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errero.egido\Documents\Mantenimineto Israel\DATA for maintenance\OCS Layouts + Workbooks + Sectioning diagrams\EP15\"/>
    </mc:Choice>
  </mc:AlternateContent>
  <xr:revisionPtr revIDLastSave="0" documentId="13_ncr:1_{FC77018C-0E08-43F8-A118-E277229C8F30}" xr6:coauthVersionLast="47" xr6:coauthVersionMax="47" xr10:uidLastSave="{00000000-0000-0000-0000-000000000000}"/>
  <bookViews>
    <workbookView xWindow="28680" yWindow="-120" windowWidth="29040" windowHeight="15720" tabRatio="830" activeTab="10" xr2:uid="{00000000-000D-0000-FFFF-FFFF00000000}"/>
  </bookViews>
  <sheets>
    <sheet name="Revision data" sheetId="21411" r:id="rId1"/>
    <sheet name="HR Track 1" sheetId="2" r:id="rId2"/>
    <sheet name="HR Track 2" sheetId="21398" r:id="rId3"/>
    <sheet name="HR Track 3" sheetId="3" r:id="rId4"/>
    <sheet name="HR Track 4" sheetId="108" r:id="rId5"/>
    <sheet name="HR Track 5" sheetId="21400" state="hidden" r:id="rId6"/>
    <sheet name="HR Track 6" sheetId="21399" state="hidden" r:id="rId7"/>
    <sheet name="Foundation Calculation" sheetId="21406" state="hidden" r:id="rId8"/>
    <sheet name="CW&amp;MW Drums" sheetId="21401" state="hidden" r:id="rId9"/>
    <sheet name="control" sheetId="21397" state="hidden" r:id="rId10"/>
    <sheet name="Recuento Conjuntos" sheetId="21407" r:id="rId11"/>
    <sheet name="Recuento Especiales" sheetId="21410" r:id="rId12"/>
    <sheet name="Mediciones TOTAL" sheetId="21408" r:id="rId13"/>
    <sheet name="Recuento Conjuntos-OLD" sheetId="21404" state="hidden" r:id="rId14"/>
    <sheet name="Mediciones TOTAL-OLD" sheetId="21405" state="hidden" r:id="rId15"/>
    <sheet name="Arms" sheetId="21402" r:id="rId16"/>
  </sheets>
  <functionGroups builtInGroupCount="19"/>
  <definedNames>
    <definedName name="_xlnm._FilterDatabase" localSheetId="1" hidden="1">'HR Track 1'!$A$2:$AP$752</definedName>
    <definedName name="_xlnm._FilterDatabase" localSheetId="2" hidden="1">'HR Track 2'!$A$2:$AY$754</definedName>
    <definedName name="_xlnm._FilterDatabase" localSheetId="3" hidden="1">'HR Track 3'!$A$2:$AV$52</definedName>
    <definedName name="_xlnm._FilterDatabase" localSheetId="4" hidden="1">'HR Track 4'!$A$2:$AV$54</definedName>
    <definedName name="_xlnm._FilterDatabase" localSheetId="5" hidden="1">'HR Track 5'!$AL$1:$AL$142</definedName>
    <definedName name="_xlnm._FilterDatabase" localSheetId="6" hidden="1">'HR Track 6'!$AL$1:$AL$142</definedName>
    <definedName name="_xlnm._FilterDatabase" localSheetId="10" hidden="1">'Recuento Conjuntos'!$E$1:$E$892</definedName>
    <definedName name="_xlnm._FilterDatabase" localSheetId="13" hidden="1">'Recuento Conjuntos-OLD'!$E$1:$E$841</definedName>
    <definedName name="_xlnm._FilterDatabase" localSheetId="0" hidden="1">'Revision data'!$A$2:$AP$752</definedName>
    <definedName name="_xlnm.Print_Area" localSheetId="9">control!$A$1:$C$47</definedName>
    <definedName name="_xlnm.Print_Area" localSheetId="8">'CW&amp;MW Drums'!$A$9:$Q$63</definedName>
    <definedName name="_xlnm.Print_Area" localSheetId="1">'HR Track 1'!$A$2:$AY$752</definedName>
    <definedName name="_xlnm.Print_Area" localSheetId="2">'HR Track 2'!$A$1:$AY$754</definedName>
    <definedName name="_xlnm.Print_Area" localSheetId="3">'HR Track 3'!$A$1:$AY$52</definedName>
    <definedName name="_xlnm.Print_Area" localSheetId="4">'HR Track 4'!$A$1:$AY$54</definedName>
    <definedName name="_xlnm.Print_Area" localSheetId="5">'HR Track 5'!$A$1:$P$60</definedName>
    <definedName name="_xlnm.Print_Area" localSheetId="6">'HR Track 6'!$A$1:$P$260</definedName>
    <definedName name="_xlnm.Print_Area" localSheetId="12">'Mediciones TOTAL'!$A$1:$G$316</definedName>
    <definedName name="_xlnm.Print_Area" localSheetId="14">'Mediciones TOTAL-OLD'!$A$3:$G$307</definedName>
    <definedName name="_xlnm.Print_Area" localSheetId="10">'Recuento Conjuntos'!$A$1:$G$257</definedName>
    <definedName name="_xlnm.Print_Area" localSheetId="13">'Recuento Conjuntos-OLD'!$A$1:$G$206</definedName>
    <definedName name="_xlnm.Print_Area" localSheetId="0">'Revision data'!$A$1:$D$11</definedName>
    <definedName name="Area_S1" localSheetId="0">'Revision data'!$AJ$5:$AJ$1198</definedName>
    <definedName name="Area_S1">'HR Track 1'!$AJ$5:$AJ$1198</definedName>
    <definedName name="Area_S2">'HR Track 2'!$AJ$4:$AJ$1198</definedName>
    <definedName name="Area_S3">'HR Track 3'!$AJ$4:$AJ$500</definedName>
    <definedName name="Area_S4">'HR Track 4'!$AJ$4:$AJ$500</definedName>
    <definedName name="Area_v1" localSheetId="0">'Revision data'!$A$1:$AM$1198</definedName>
    <definedName name="Area_v1">'HR Track 1'!$A$1:$AM$1198</definedName>
    <definedName name="Area_v2">'HR Track 2'!$A$1:$AM$1198</definedName>
    <definedName name="Area_v3">'HR Track 3'!$A$1:$AM$500</definedName>
    <definedName name="Area_v4">'HR Track 4'!$A$1:$AM$500</definedName>
    <definedName name="Area_v5">'HR Track 5'!$A$1:$AM$500</definedName>
    <definedName name="Area_v6">'HR Track 6'!$A$1:$AM$500</definedName>
    <definedName name="cantones_v1" localSheetId="0">'Revision data'!$I$1:$I$1198</definedName>
    <definedName name="cantones_v1">'HR Track 1'!$I$1:$I$1198</definedName>
    <definedName name="cantones_v2">'HR Track 2'!$I$1:$I$1213</definedName>
    <definedName name="cantones_v3">'HR Track 3'!$I$1:$I$500</definedName>
    <definedName name="cantones_v4">'HR Track 4'!$I$1:$I$500</definedName>
    <definedName name="cantones_v5">'HR Track 5'!$I$1:$I$500</definedName>
    <definedName name="cantones_v6">'HR Track 6'!$I$1:$I$500</definedName>
    <definedName name="m2_v1" localSheetId="0">'Revision data'!$O$1:$O$1219</definedName>
    <definedName name="m2_v1">'HR Track 1'!$O$1:$O$1219</definedName>
    <definedName name="m2_v2">'HR Track 2'!$O$1:$O$1213</definedName>
    <definedName name="m2_v3">'HR Track 3'!$O$1:$O$496</definedName>
    <definedName name="m2_v4">'HR Track 4'!$O$1:$O$500</definedName>
    <definedName name="m2_v5">'HR Track 5'!$O$1:$O$500</definedName>
    <definedName name="m2_v6">'HR Track 6'!$O$1:$O$500</definedName>
    <definedName name="Print_Area" localSheetId="12">'Mediciones TOTAL'!$A$2:$G$337</definedName>
    <definedName name="Print_Area" localSheetId="10">'Recuento Conjuntos'!$A$1:$M$257</definedName>
    <definedName name="Print_Titles" localSheetId="12">'Mediciones TOTAL'!$3:$4</definedName>
    <definedName name="Print_Titles" localSheetId="10">'Recuento Conjuntos'!$2:$2</definedName>
    <definedName name="_xlnm.Print_Titles" localSheetId="1">'HR Track 1'!$1:$3</definedName>
    <definedName name="_xlnm.Print_Titles" localSheetId="2">'HR Track 2'!$1:$3</definedName>
    <definedName name="_xlnm.Print_Titles" localSheetId="3">'HR Track 3'!$1:$3</definedName>
    <definedName name="_xlnm.Print_Titles" localSheetId="4">'HR Track 4'!$1:$3</definedName>
    <definedName name="_xlnm.Print_Titles" localSheetId="5">'HR Track 5'!$1:$3</definedName>
    <definedName name="_xlnm.Print_Titles" localSheetId="6">'HR Track 6'!$1:$3</definedName>
    <definedName name="_xlnm.Print_Titles" localSheetId="12">'Mediciones TOTAL'!$2:$3</definedName>
    <definedName name="_xlnm.Print_Titles" localSheetId="14">'Mediciones TOTAL-OLD'!$3:$4</definedName>
    <definedName name="_xlnm.Print_Titles" localSheetId="10">'Recuento Conjuntos'!$1:$2</definedName>
    <definedName name="_xlnm.Print_Titles" localSheetId="13">'Recuento Conjuntos-OLD'!$2:$2</definedName>
    <definedName name="_xlnm.Print_Titles" localSheetId="0">'Revision data'!$1:$3</definedName>
    <definedName name="Vanos_v1" localSheetId="0">'Revision data'!$G$1:$G$1219</definedName>
    <definedName name="Vanos_v1">'HR Track 1'!$G$1:$G$1219</definedName>
    <definedName name="vanos_v2">'HR Track 2'!$G$1:$G$1213</definedName>
    <definedName name="vanos_v3">'HR Track 3'!$G$1:$G$496</definedName>
    <definedName name="vanos_v4">'HR Track 4'!$G$1:$G$500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1" i="21407" l="1"/>
  <c r="M111" i="21407"/>
  <c r="L134" i="21407"/>
  <c r="M134" i="21407"/>
  <c r="S6" i="108"/>
  <c r="S6" i="3"/>
  <c r="S8" i="3"/>
  <c r="S8" i="108"/>
  <c r="S594" i="2" l="1"/>
  <c r="S596" i="2"/>
  <c r="S640" i="21398"/>
  <c r="S642" i="21398"/>
  <c r="S560" i="21398"/>
  <c r="S554" i="21398"/>
  <c r="S556" i="21398"/>
  <c r="S558" i="21398"/>
  <c r="S634" i="21398"/>
  <c r="S636" i="21398"/>
  <c r="S638" i="21398"/>
  <c r="S620" i="21398"/>
  <c r="S622" i="21398"/>
  <c r="S624" i="21398"/>
  <c r="S626" i="21398"/>
  <c r="S606" i="21398"/>
  <c r="S608" i="21398"/>
  <c r="S598" i="21398"/>
  <c r="S600" i="21398"/>
  <c r="S290" i="21398" l="1"/>
  <c r="S292" i="21398"/>
  <c r="S510" i="21398" l="1"/>
  <c r="S512" i="21398"/>
  <c r="S488" i="21398"/>
  <c r="S480" i="21398"/>
  <c r="S482" i="21398"/>
  <c r="S484" i="21398"/>
  <c r="S486" i="21398"/>
  <c r="S492" i="21398"/>
  <c r="S491" i="21398"/>
  <c r="S490" i="21398"/>
  <c r="S489" i="21398"/>
  <c r="S424" i="21398"/>
  <c r="S423" i="21398"/>
  <c r="S422" i="21398"/>
  <c r="S421" i="21398"/>
  <c r="S402" i="21398"/>
  <c r="S404" i="21398"/>
  <c r="S406" i="21398"/>
  <c r="S408" i="21398"/>
  <c r="S410" i="21398"/>
  <c r="S412" i="21398"/>
  <c r="S414" i="21398"/>
  <c r="S416" i="21398"/>
  <c r="S418" i="21398"/>
  <c r="S420" i="21398"/>
  <c r="S426" i="21398"/>
  <c r="S428" i="21398"/>
  <c r="S430" i="21398"/>
  <c r="S432" i="21398"/>
  <c r="S434" i="21398"/>
  <c r="S436" i="21398"/>
  <c r="S438" i="21398"/>
  <c r="S440" i="21398"/>
  <c r="S442" i="21398"/>
  <c r="S444" i="21398"/>
  <c r="S446" i="21398"/>
  <c r="S448" i="21398"/>
  <c r="S392" i="21398"/>
  <c r="S394" i="21398"/>
  <c r="S386" i="21398"/>
  <c r="S378" i="21398"/>
  <c r="S380" i="21398"/>
  <c r="S382" i="21398"/>
  <c r="S384" i="21398"/>
  <c r="S548" i="21398" l="1"/>
  <c r="S550" i="21398"/>
  <c r="S496" i="21398"/>
  <c r="S498" i="21398"/>
  <c r="S500" i="21398"/>
  <c r="S502" i="21398"/>
  <c r="S504" i="21398"/>
  <c r="S506" i="21398"/>
  <c r="S508" i="21398"/>
  <c r="S494" i="21398"/>
  <c r="S455" i="21398"/>
  <c r="S454" i="21398"/>
  <c r="S457" i="21398"/>
  <c r="S458" i="21398"/>
  <c r="S456" i="21398"/>
  <c r="S452" i="21398"/>
  <c r="S460" i="21398"/>
  <c r="S462" i="21398"/>
  <c r="S464" i="21398"/>
  <c r="S466" i="21398"/>
  <c r="S468" i="21398"/>
  <c r="S470" i="21398"/>
  <c r="S472" i="21398"/>
  <c r="S474" i="21398"/>
  <c r="S476" i="21398"/>
  <c r="S478" i="21398"/>
  <c r="S450" i="21398"/>
  <c r="S322" i="21398" l="1"/>
  <c r="S321" i="21398"/>
  <c r="S320" i="21398"/>
  <c r="S319" i="21398"/>
  <c r="S318" i="21398"/>
  <c r="S288" i="21398"/>
  <c r="S287" i="21398"/>
  <c r="S286" i="21398"/>
  <c r="S285" i="21398"/>
  <c r="S284" i="21398"/>
  <c r="S270" i="21398"/>
  <c r="S390" i="21398"/>
  <c r="S389" i="21398"/>
  <c r="S388" i="21398"/>
  <c r="S387" i="21398"/>
  <c r="S356" i="21398"/>
  <c r="S355" i="21398"/>
  <c r="S354" i="21398"/>
  <c r="S353" i="21398"/>
  <c r="S262" i="21398"/>
  <c r="S264" i="21398"/>
  <c r="S266" i="21398"/>
  <c r="S268" i="21398"/>
  <c r="S272" i="21398"/>
  <c r="S274" i="21398"/>
  <c r="S276" i="21398"/>
  <c r="S278" i="21398"/>
  <c r="S280" i="21398"/>
  <c r="S282" i="21398"/>
  <c r="S294" i="21398"/>
  <c r="S296" i="21398"/>
  <c r="S298" i="21398"/>
  <c r="S300" i="21398"/>
  <c r="S302" i="21398"/>
  <c r="S304" i="21398"/>
  <c r="S306" i="21398"/>
  <c r="S308" i="21398"/>
  <c r="S310" i="21398"/>
  <c r="S312" i="21398"/>
  <c r="S314" i="21398"/>
  <c r="S316" i="21398"/>
  <c r="S324" i="21398"/>
  <c r="S326" i="21398"/>
  <c r="S328" i="21398"/>
  <c r="S330" i="21398"/>
  <c r="S332" i="21398"/>
  <c r="S334" i="21398"/>
  <c r="S336" i="21398"/>
  <c r="S338" i="21398"/>
  <c r="S340" i="21398"/>
  <c r="S342" i="21398"/>
  <c r="S344" i="21398"/>
  <c r="S346" i="21398"/>
  <c r="S348" i="21398"/>
  <c r="S350" i="21398"/>
  <c r="S352" i="21398"/>
  <c r="S358" i="21398"/>
  <c r="S360" i="21398"/>
  <c r="S362" i="21398"/>
  <c r="S364" i="21398"/>
  <c r="S366" i="21398"/>
  <c r="S368" i="21398"/>
  <c r="S370" i="21398"/>
  <c r="S372" i="21398"/>
  <c r="S374" i="21398"/>
  <c r="S376" i="21398"/>
  <c r="S396" i="21398"/>
  <c r="S398" i="21398"/>
  <c r="S400" i="21398"/>
  <c r="S82" i="21398" l="1"/>
  <c r="S80" i="21398"/>
  <c r="S70" i="21398"/>
  <c r="S72" i="21398"/>
  <c r="S254" i="21398" l="1"/>
  <c r="S253" i="21398"/>
  <c r="S252" i="21398"/>
  <c r="S251" i="21398"/>
  <c r="S224" i="21398"/>
  <c r="S223" i="21398"/>
  <c r="S222" i="21398"/>
  <c r="S221" i="21398"/>
  <c r="S196" i="21398"/>
  <c r="S198" i="21398"/>
  <c r="S200" i="21398"/>
  <c r="S202" i="21398"/>
  <c r="S204" i="21398"/>
  <c r="S206" i="21398"/>
  <c r="S208" i="21398"/>
  <c r="S210" i="21398"/>
  <c r="S212" i="21398"/>
  <c r="S214" i="21398"/>
  <c r="S216" i="21398"/>
  <c r="S218" i="21398"/>
  <c r="S220" i="21398"/>
  <c r="S226" i="21398"/>
  <c r="S228" i="21398"/>
  <c r="S230" i="21398"/>
  <c r="S232" i="21398"/>
  <c r="S234" i="21398"/>
  <c r="S236" i="21398"/>
  <c r="S238" i="21398"/>
  <c r="S240" i="21398"/>
  <c r="S242" i="21398"/>
  <c r="S244" i="21398"/>
  <c r="S246" i="21398"/>
  <c r="S248" i="21398"/>
  <c r="S250" i="21398"/>
  <c r="S256" i="21398"/>
  <c r="S258" i="21398"/>
  <c r="S260" i="21398"/>
  <c r="S194" i="21398"/>
  <c r="S192" i="21398"/>
  <c r="S190" i="21398"/>
  <c r="S189" i="21398"/>
  <c r="S188" i="21398"/>
  <c r="S187" i="21398"/>
  <c r="S156" i="21398"/>
  <c r="S155" i="21398"/>
  <c r="S154" i="21398"/>
  <c r="S153" i="21398"/>
  <c r="S122" i="21398"/>
  <c r="S121" i="21398"/>
  <c r="S120" i="21398"/>
  <c r="S119" i="21398"/>
  <c r="S86" i="21398"/>
  <c r="S87" i="21398"/>
  <c r="S88" i="21398"/>
  <c r="S85" i="21398"/>
  <c r="S84" i="21398"/>
  <c r="S90" i="21398"/>
  <c r="S92" i="21398"/>
  <c r="S94" i="21398"/>
  <c r="S96" i="21398"/>
  <c r="S98" i="21398"/>
  <c r="S100" i="21398"/>
  <c r="S102" i="21398"/>
  <c r="S104" i="21398"/>
  <c r="S106" i="21398"/>
  <c r="S108" i="21398"/>
  <c r="S110" i="21398"/>
  <c r="S112" i="21398"/>
  <c r="S114" i="21398"/>
  <c r="S116" i="21398"/>
  <c r="S118" i="21398"/>
  <c r="S124" i="21398"/>
  <c r="S126" i="21398"/>
  <c r="S128" i="21398"/>
  <c r="S130" i="21398"/>
  <c r="S132" i="21398"/>
  <c r="S134" i="21398"/>
  <c r="S136" i="21398"/>
  <c r="S138" i="21398"/>
  <c r="S140" i="21398"/>
  <c r="S142" i="21398"/>
  <c r="S144" i="21398"/>
  <c r="S146" i="21398"/>
  <c r="S148" i="21398"/>
  <c r="S150" i="21398"/>
  <c r="S152" i="21398"/>
  <c r="S158" i="21398"/>
  <c r="S160" i="21398"/>
  <c r="S162" i="21398"/>
  <c r="S164" i="21398"/>
  <c r="S166" i="21398"/>
  <c r="S168" i="21398"/>
  <c r="S170" i="21398"/>
  <c r="S172" i="21398"/>
  <c r="S174" i="21398"/>
  <c r="S176" i="21398"/>
  <c r="S178" i="21398"/>
  <c r="S180" i="21398"/>
  <c r="S182" i="21398"/>
  <c r="S184" i="21398"/>
  <c r="S186" i="21398"/>
  <c r="S724" i="21398" l="1"/>
  <c r="S725" i="21398"/>
  <c r="S726" i="21398"/>
  <c r="S727" i="21398"/>
  <c r="S728" i="21398"/>
  <c r="S729" i="21398"/>
  <c r="S730" i="21398"/>
  <c r="S723" i="21398"/>
  <c r="S714" i="21398"/>
  <c r="S715" i="21398"/>
  <c r="S716" i="21398"/>
  <c r="S717" i="21398"/>
  <c r="S718" i="21398"/>
  <c r="S713" i="21398"/>
  <c r="S712" i="21398"/>
  <c r="S711" i="21398"/>
  <c r="S708" i="21398"/>
  <c r="S707" i="21398"/>
  <c r="S705" i="21398"/>
  <c r="S702" i="21398"/>
  <c r="S704" i="21398"/>
  <c r="S706" i="21398"/>
  <c r="S710" i="21398"/>
  <c r="S720" i="21398"/>
  <c r="S722" i="21398"/>
  <c r="S732" i="21398"/>
  <c r="S734" i="21398"/>
  <c r="S736" i="21398"/>
  <c r="S738" i="21398"/>
  <c r="S740" i="21398"/>
  <c r="S742" i="21398"/>
  <c r="S744" i="21398"/>
  <c r="S746" i="21398"/>
  <c r="S748" i="21398"/>
  <c r="S750" i="21398"/>
  <c r="S700" i="21398"/>
  <c r="S36" i="108" l="1"/>
  <c r="S38" i="108"/>
  <c r="S20" i="108"/>
  <c r="S78" i="21398" l="1"/>
  <c r="S76" i="21398"/>
  <c r="S74" i="21398"/>
  <c r="S552" i="21398"/>
  <c r="S622" i="2" l="1"/>
  <c r="S624" i="2"/>
  <c r="S606" i="2"/>
  <c r="S608" i="2"/>
  <c r="S598" i="2"/>
  <c r="S600" i="2"/>
  <c r="S592" i="2"/>
  <c r="S630" i="21398" l="1"/>
  <c r="S632" i="21398"/>
  <c r="S628" i="21398"/>
  <c r="S612" i="21398"/>
  <c r="S614" i="21398"/>
  <c r="S616" i="21398"/>
  <c r="S618" i="21398"/>
  <c r="S610" i="21398"/>
  <c r="S604" i="21398"/>
  <c r="S602" i="21398"/>
  <c r="S596" i="21398"/>
  <c r="S546" i="21398" l="1"/>
  <c r="S545" i="21398"/>
  <c r="S544" i="21398"/>
  <c r="S543" i="21398"/>
  <c r="S542" i="21398"/>
  <c r="S34" i="108" l="1"/>
  <c r="S40" i="108"/>
  <c r="S42" i="108"/>
  <c r="S44" i="108"/>
  <c r="S46" i="108"/>
  <c r="S48" i="108"/>
  <c r="S50" i="108"/>
  <c r="S32" i="108"/>
  <c r="S30" i="108"/>
  <c r="S24" i="108"/>
  <c r="S25" i="108"/>
  <c r="S26" i="108"/>
  <c r="S27" i="108"/>
  <c r="S28" i="108"/>
  <c r="S29" i="108"/>
  <c r="S23" i="108"/>
  <c r="S22" i="108"/>
  <c r="S514" i="21398" l="1"/>
  <c r="S540" i="21398"/>
  <c r="S538" i="21398"/>
  <c r="S536" i="21398"/>
  <c r="S534" i="21398"/>
  <c r="S532" i="21398"/>
  <c r="S530" i="21398"/>
  <c r="S528" i="21398"/>
  <c r="S526" i="21398"/>
  <c r="S524" i="21398"/>
  <c r="S522" i="21398"/>
  <c r="S521" i="21398"/>
  <c r="S520" i="21398"/>
  <c r="S519" i="21398"/>
  <c r="S518" i="21398"/>
  <c r="S516" i="21398"/>
  <c r="S28" i="21398" l="1"/>
  <c r="S30" i="21398"/>
  <c r="S594" i="21398" l="1"/>
  <c r="S592" i="21398"/>
  <c r="S590" i="21398"/>
  <c r="S588" i="21398"/>
  <c r="S586" i="21398"/>
  <c r="S584" i="21398"/>
  <c r="S582" i="21398"/>
  <c r="S580" i="21398"/>
  <c r="S578" i="21398"/>
  <c r="S576" i="21398"/>
  <c r="S574" i="21398"/>
  <c r="S572" i="21398"/>
  <c r="S570" i="21398"/>
  <c r="S568" i="21398"/>
  <c r="S566" i="21398"/>
  <c r="S564" i="21398"/>
  <c r="S562" i="21398"/>
  <c r="S56" i="21398"/>
  <c r="S32" i="21398"/>
  <c r="S34" i="21398"/>
  <c r="S36" i="21398"/>
  <c r="S38" i="21398"/>
  <c r="S40" i="21398"/>
  <c r="S42" i="21398"/>
  <c r="S44" i="21398"/>
  <c r="S46" i="21398"/>
  <c r="S48" i="21398"/>
  <c r="S50" i="21398"/>
  <c r="S52" i="21398"/>
  <c r="S54" i="21398"/>
  <c r="S58" i="21398"/>
  <c r="S60" i="21398"/>
  <c r="S62" i="21398"/>
  <c r="S64" i="21398"/>
  <c r="S66" i="21398"/>
  <c r="S68" i="21398"/>
  <c r="S26" i="21398"/>
  <c r="S24" i="21398"/>
  <c r="R45" i="21398"/>
  <c r="S604" i="2" l="1"/>
  <c r="S610" i="2"/>
  <c r="S612" i="2"/>
  <c r="S614" i="2"/>
  <c r="S616" i="2"/>
  <c r="S618" i="2"/>
  <c r="S620" i="2"/>
  <c r="S626" i="2"/>
  <c r="S628" i="2"/>
  <c r="S630" i="2"/>
  <c r="S632" i="2"/>
  <c r="S634" i="2"/>
  <c r="S636" i="2"/>
  <c r="S638" i="2"/>
  <c r="S640" i="2"/>
  <c r="S642" i="2"/>
  <c r="S602" i="2"/>
  <c r="C8" i="21410" l="1"/>
  <c r="C9" i="21410" l="1"/>
  <c r="C6" i="21410" l="1"/>
  <c r="H222" i="21407" l="1"/>
  <c r="G222" i="21407" s="1"/>
  <c r="G259" i="21408"/>
  <c r="G257" i="21408"/>
  <c r="G255" i="21408"/>
  <c r="K219" i="21407" l="1"/>
  <c r="J219" i="21407"/>
  <c r="I219" i="21407"/>
  <c r="H219" i="21407"/>
  <c r="H200" i="21407" l="1"/>
  <c r="K201" i="21407"/>
  <c r="J201" i="21407"/>
  <c r="I201" i="21407"/>
  <c r="H201" i="21407"/>
  <c r="K198" i="21407"/>
  <c r="J198" i="21407"/>
  <c r="I198" i="21407"/>
  <c r="H198" i="21407"/>
  <c r="S554" i="2" l="1"/>
  <c r="S552" i="2"/>
  <c r="S550" i="2"/>
  <c r="S548" i="2"/>
  <c r="S546" i="2"/>
  <c r="S76" i="2"/>
  <c r="S74" i="2"/>
  <c r="S72" i="2"/>
  <c r="S70" i="2"/>
  <c r="S68" i="2"/>
  <c r="AQ546" i="2"/>
  <c r="AT547" i="2"/>
  <c r="AT549" i="2"/>
  <c r="AT545" i="2"/>
  <c r="AQ548" i="2"/>
  <c r="K230" i="21407" l="1"/>
  <c r="J230" i="21407"/>
  <c r="I230" i="21407"/>
  <c r="H230" i="21407"/>
  <c r="G230" i="21407" l="1"/>
  <c r="S24" i="3"/>
  <c r="S26" i="3"/>
  <c r="S28" i="3"/>
  <c r="S30" i="3"/>
  <c r="S32" i="3"/>
  <c r="S22" i="3"/>
  <c r="S34" i="3"/>
  <c r="S36" i="3"/>
  <c r="S38" i="3"/>
  <c r="S40" i="3"/>
  <c r="S42" i="3"/>
  <c r="S44" i="3"/>
  <c r="S46" i="3"/>
  <c r="S48" i="3"/>
  <c r="S20" i="3"/>
  <c r="G268" i="21408"/>
  <c r="S694" i="2" l="1"/>
  <c r="S695" i="2"/>
  <c r="S696" i="2"/>
  <c r="S697" i="2"/>
  <c r="S698" i="2"/>
  <c r="S700" i="2"/>
  <c r="S702" i="2"/>
  <c r="S704" i="2"/>
  <c r="S705" i="2"/>
  <c r="S706" i="2"/>
  <c r="S707" i="2"/>
  <c r="S708" i="2"/>
  <c r="S710" i="2"/>
  <c r="S711" i="2"/>
  <c r="S712" i="2"/>
  <c r="S713" i="2"/>
  <c r="S714" i="2"/>
  <c r="S715" i="2"/>
  <c r="S716" i="2"/>
  <c r="S717" i="2"/>
  <c r="S718" i="2"/>
  <c r="S720" i="2"/>
  <c r="S722" i="2"/>
  <c r="S723" i="2"/>
  <c r="S724" i="2"/>
  <c r="S725" i="2"/>
  <c r="S726" i="2"/>
  <c r="S727" i="2"/>
  <c r="S728" i="2"/>
  <c r="S729" i="2"/>
  <c r="S730" i="2"/>
  <c r="S732" i="2"/>
  <c r="S740" i="2" l="1"/>
  <c r="S742" i="2"/>
  <c r="S744" i="2"/>
  <c r="S736" i="2" l="1"/>
  <c r="S738" i="2"/>
  <c r="S746" i="2"/>
  <c r="S748" i="2"/>
  <c r="S734" i="2" l="1"/>
  <c r="S698" i="21398" l="1"/>
  <c r="S697" i="21398"/>
  <c r="S696" i="21398"/>
  <c r="S695" i="21398"/>
  <c r="S694" i="21398"/>
  <c r="S668" i="21398"/>
  <c r="S667" i="21398"/>
  <c r="S666" i="21398"/>
  <c r="S665" i="21398"/>
  <c r="S664" i="21398"/>
  <c r="S646" i="21398"/>
  <c r="S648" i="21398"/>
  <c r="S650" i="21398"/>
  <c r="S652" i="21398"/>
  <c r="S654" i="21398"/>
  <c r="S656" i="21398"/>
  <c r="S658" i="21398"/>
  <c r="S660" i="21398"/>
  <c r="S662" i="21398"/>
  <c r="S670" i="21398"/>
  <c r="S672" i="21398"/>
  <c r="S674" i="21398"/>
  <c r="S676" i="21398"/>
  <c r="S678" i="21398"/>
  <c r="S680" i="21398"/>
  <c r="S682" i="21398"/>
  <c r="S684" i="21398"/>
  <c r="S686" i="21398"/>
  <c r="S688" i="21398"/>
  <c r="S690" i="21398"/>
  <c r="S692" i="21398"/>
  <c r="S644" i="21398"/>
  <c r="S668" i="2"/>
  <c r="S667" i="2"/>
  <c r="S666" i="2"/>
  <c r="S665" i="2"/>
  <c r="S664" i="2"/>
  <c r="S646" i="2"/>
  <c r="S648" i="2"/>
  <c r="S650" i="2"/>
  <c r="S652" i="2"/>
  <c r="S654" i="2"/>
  <c r="S656" i="2"/>
  <c r="S658" i="2"/>
  <c r="S660" i="2"/>
  <c r="S662" i="2"/>
  <c r="S670" i="2"/>
  <c r="S672" i="2"/>
  <c r="S674" i="2"/>
  <c r="S676" i="2"/>
  <c r="S678" i="2"/>
  <c r="S680" i="2"/>
  <c r="S682" i="2"/>
  <c r="S684" i="2"/>
  <c r="S686" i="2"/>
  <c r="S688" i="2"/>
  <c r="S690" i="2"/>
  <c r="S692" i="2"/>
  <c r="S644" i="2"/>
  <c r="S578" i="2"/>
  <c r="S577" i="2"/>
  <c r="S576" i="2"/>
  <c r="S575" i="2"/>
  <c r="S574" i="2"/>
  <c r="S562" i="2"/>
  <c r="S564" i="2"/>
  <c r="S566" i="2"/>
  <c r="S568" i="2"/>
  <c r="S570" i="2"/>
  <c r="S572" i="2"/>
  <c r="S580" i="2"/>
  <c r="S582" i="2"/>
  <c r="S584" i="2"/>
  <c r="S586" i="2"/>
  <c r="S588" i="2"/>
  <c r="S590" i="2"/>
  <c r="S560" i="2"/>
  <c r="H214" i="21407" l="1"/>
  <c r="J214" i="21407"/>
  <c r="S544" i="2" l="1"/>
  <c r="S543" i="2"/>
  <c r="S542" i="2"/>
  <c r="S541" i="2"/>
  <c r="S540" i="2"/>
  <c r="S538" i="2"/>
  <c r="S536" i="2"/>
  <c r="S534" i="2"/>
  <c r="S532" i="2"/>
  <c r="S530" i="2"/>
  <c r="S528" i="2"/>
  <c r="S526" i="2"/>
  <c r="S524" i="2"/>
  <c r="S522" i="2"/>
  <c r="S520" i="2"/>
  <c r="S519" i="2"/>
  <c r="S518" i="2"/>
  <c r="S517" i="2"/>
  <c r="S516" i="2"/>
  <c r="S514" i="2"/>
  <c r="S512" i="2"/>
  <c r="S510" i="2"/>
  <c r="S508" i="2"/>
  <c r="S506" i="2"/>
  <c r="S504" i="2"/>
  <c r="S502" i="2"/>
  <c r="S500" i="2"/>
  <c r="S498" i="2"/>
  <c r="S496" i="2"/>
  <c r="S494" i="2"/>
  <c r="S492" i="2"/>
  <c r="S490" i="2"/>
  <c r="S489" i="2"/>
  <c r="S488" i="2"/>
  <c r="S487" i="2"/>
  <c r="S486" i="2"/>
  <c r="S484" i="2"/>
  <c r="S482" i="2"/>
  <c r="S480" i="2"/>
  <c r="S478" i="2"/>
  <c r="S476" i="2"/>
  <c r="S474" i="2"/>
  <c r="S472" i="2"/>
  <c r="S470" i="2"/>
  <c r="S468" i="2"/>
  <c r="S466" i="2"/>
  <c r="S464" i="2"/>
  <c r="S462" i="2"/>
  <c r="S460" i="2"/>
  <c r="S458" i="2"/>
  <c r="S456" i="2"/>
  <c r="S455" i="2"/>
  <c r="S454" i="2"/>
  <c r="S453" i="2"/>
  <c r="S452" i="2"/>
  <c r="S450" i="2"/>
  <c r="S448" i="2"/>
  <c r="S446" i="2"/>
  <c r="S444" i="2"/>
  <c r="S442" i="2"/>
  <c r="S440" i="2"/>
  <c r="S438" i="2"/>
  <c r="S436" i="2"/>
  <c r="S434" i="2"/>
  <c r="S432" i="2"/>
  <c r="S430" i="2"/>
  <c r="S428" i="2"/>
  <c r="S426" i="2"/>
  <c r="S424" i="2"/>
  <c r="S422" i="2"/>
  <c r="S421" i="2"/>
  <c r="S420" i="2"/>
  <c r="S419" i="2"/>
  <c r="S418" i="2"/>
  <c r="S416" i="2"/>
  <c r="S414" i="2"/>
  <c r="S412" i="2"/>
  <c r="S410" i="2"/>
  <c r="S408" i="2"/>
  <c r="S406" i="2"/>
  <c r="S404" i="2"/>
  <c r="S402" i="2"/>
  <c r="S400" i="2"/>
  <c r="S398" i="2"/>
  <c r="S396" i="2"/>
  <c r="S394" i="2"/>
  <c r="S392" i="2"/>
  <c r="S390" i="2"/>
  <c r="S388" i="2"/>
  <c r="S387" i="2"/>
  <c r="S386" i="2"/>
  <c r="S385" i="2"/>
  <c r="S384" i="2"/>
  <c r="S382" i="2"/>
  <c r="S380" i="2"/>
  <c r="S378" i="2"/>
  <c r="S376" i="2"/>
  <c r="S374" i="2"/>
  <c r="S372" i="2"/>
  <c r="S370" i="2"/>
  <c r="S368" i="2"/>
  <c r="S366" i="2"/>
  <c r="S354" i="2" l="1"/>
  <c r="S353" i="2"/>
  <c r="S352" i="2"/>
  <c r="S351" i="2"/>
  <c r="S350" i="2"/>
  <c r="S320" i="2"/>
  <c r="S319" i="2"/>
  <c r="S318" i="2"/>
  <c r="S317" i="2"/>
  <c r="S316" i="2"/>
  <c r="S286" i="2"/>
  <c r="S285" i="2"/>
  <c r="S284" i="2"/>
  <c r="S283" i="2"/>
  <c r="S282" i="2"/>
  <c r="S252" i="2"/>
  <c r="S251" i="2"/>
  <c r="S250" i="2"/>
  <c r="S249" i="2"/>
  <c r="S248" i="2"/>
  <c r="S242" i="2"/>
  <c r="S244" i="2"/>
  <c r="S246" i="2"/>
  <c r="S254" i="2"/>
  <c r="S256" i="2"/>
  <c r="S258" i="2"/>
  <c r="S260" i="2"/>
  <c r="S262" i="2"/>
  <c r="S264" i="2"/>
  <c r="S266" i="2"/>
  <c r="S268" i="2"/>
  <c r="S270" i="2"/>
  <c r="S272" i="2"/>
  <c r="S274" i="2"/>
  <c r="S276" i="2"/>
  <c r="S278" i="2"/>
  <c r="S280" i="2"/>
  <c r="S288" i="2"/>
  <c r="S290" i="2"/>
  <c r="S292" i="2"/>
  <c r="S294" i="2"/>
  <c r="S296" i="2"/>
  <c r="S298" i="2"/>
  <c r="S300" i="2"/>
  <c r="S302" i="2"/>
  <c r="S304" i="2"/>
  <c r="S306" i="2"/>
  <c r="S308" i="2"/>
  <c r="S310" i="2"/>
  <c r="S312" i="2"/>
  <c r="S314" i="2"/>
  <c r="S322" i="2"/>
  <c r="S324" i="2"/>
  <c r="S326" i="2"/>
  <c r="S328" i="2"/>
  <c r="S330" i="2"/>
  <c r="S332" i="2"/>
  <c r="S334" i="2"/>
  <c r="S336" i="2"/>
  <c r="S338" i="2"/>
  <c r="S340" i="2"/>
  <c r="S342" i="2"/>
  <c r="S344" i="2"/>
  <c r="S346" i="2"/>
  <c r="S348" i="2"/>
  <c r="S356" i="2"/>
  <c r="S358" i="2"/>
  <c r="S360" i="2"/>
  <c r="S362" i="2"/>
  <c r="S364" i="2"/>
  <c r="I34" i="108" l="1"/>
  <c r="I30" i="108"/>
  <c r="I32" i="108"/>
  <c r="I34" i="3"/>
  <c r="I32" i="3"/>
  <c r="I30" i="3"/>
  <c r="AT737" i="2"/>
  <c r="AQ722" i="2"/>
  <c r="AT27" i="108"/>
  <c r="AT39" i="108"/>
  <c r="AT37" i="108"/>
  <c r="AQ20" i="3"/>
  <c r="AQ746" i="21398"/>
  <c r="AQ38" i="108"/>
  <c r="AQ40" i="3"/>
  <c r="AQ26" i="3"/>
  <c r="AT745" i="2"/>
  <c r="AT749" i="21398"/>
  <c r="AQ726" i="21398"/>
  <c r="AQ18" i="108"/>
  <c r="AT741" i="2"/>
  <c r="AT723" i="2"/>
  <c r="AT19" i="108"/>
  <c r="AQ36" i="3"/>
  <c r="AQ46" i="108"/>
  <c r="AQ726" i="2"/>
  <c r="AQ734" i="21398"/>
  <c r="AQ44" i="3"/>
  <c r="AQ728" i="2"/>
  <c r="AT737" i="21398"/>
  <c r="AT23" i="108"/>
  <c r="AT721" i="2"/>
  <c r="AT43" i="3"/>
  <c r="AT741" i="21398"/>
  <c r="AQ740" i="2"/>
  <c r="AQ724" i="21398"/>
  <c r="AT729" i="2"/>
  <c r="AT27" i="3"/>
  <c r="AT35" i="3"/>
  <c r="AQ732" i="2"/>
  <c r="AT735" i="21398"/>
  <c r="AT35" i="108"/>
  <c r="AT29" i="108"/>
  <c r="AQ44" i="108"/>
  <c r="AT749" i="2"/>
  <c r="AQ40" i="108"/>
  <c r="AT729" i="21398"/>
  <c r="AT51" i="108"/>
  <c r="AQ738" i="2"/>
  <c r="AQ730" i="21398"/>
  <c r="AQ46" i="3"/>
  <c r="AQ36" i="108"/>
  <c r="AQ48" i="108"/>
  <c r="AQ736" i="2"/>
  <c r="AT731" i="21398"/>
  <c r="AQ42" i="3"/>
  <c r="AQ748" i="2"/>
  <c r="AT739" i="2"/>
  <c r="AT29" i="3"/>
  <c r="AQ750" i="21398"/>
  <c r="AQ744" i="2"/>
  <c r="AT25" i="3"/>
  <c r="AQ24" i="3"/>
  <c r="AT733" i="2"/>
  <c r="AT33" i="108"/>
  <c r="AT47" i="3"/>
  <c r="AQ722" i="21398"/>
  <c r="AT21" i="3"/>
  <c r="AT43" i="108"/>
  <c r="AQ724" i="2"/>
  <c r="AT49" i="108"/>
  <c r="AT747" i="21398"/>
  <c r="AQ742" i="21398"/>
  <c r="AQ32" i="108"/>
  <c r="AQ28" i="3"/>
  <c r="AT31" i="108"/>
  <c r="AQ734" i="2"/>
  <c r="AT731" i="2"/>
  <c r="AT739" i="21398"/>
  <c r="AT743" i="2"/>
  <c r="AQ34" i="3"/>
  <c r="AT747" i="2"/>
  <c r="AQ24" i="108"/>
  <c r="AT733" i="21398"/>
  <c r="AT751" i="21398"/>
  <c r="AT37" i="3"/>
  <c r="AQ728" i="21398"/>
  <c r="AQ22" i="108"/>
  <c r="AQ736" i="21398"/>
  <c r="AT727" i="21398"/>
  <c r="AT31" i="3"/>
  <c r="AQ20" i="108"/>
  <c r="AQ48" i="3"/>
  <c r="AT39" i="3"/>
  <c r="AQ748" i="21398"/>
  <c r="AQ720" i="2"/>
  <c r="AT723" i="21398"/>
  <c r="AT41" i="3"/>
  <c r="AT743" i="21398"/>
  <c r="AQ740" i="21398"/>
  <c r="AT725" i="2"/>
  <c r="AQ742" i="2"/>
  <c r="AT21" i="108"/>
  <c r="AT23" i="3"/>
  <c r="AQ738" i="21398"/>
  <c r="AT45" i="3"/>
  <c r="AQ22" i="3"/>
  <c r="AQ34" i="108"/>
  <c r="AQ30" i="108"/>
  <c r="AQ50" i="108"/>
  <c r="AT725" i="21398"/>
  <c r="AQ744" i="21398"/>
  <c r="AT41" i="108"/>
  <c r="AT727" i="2"/>
  <c r="AT735" i="2"/>
  <c r="AQ42" i="108"/>
  <c r="AQ30" i="3"/>
  <c r="AT745" i="21398"/>
  <c r="AQ26" i="108"/>
  <c r="AQ732" i="21398"/>
  <c r="AQ730" i="2"/>
  <c r="AT25" i="108"/>
  <c r="AQ38" i="3"/>
  <c r="AQ28" i="108"/>
  <c r="AT47" i="108"/>
  <c r="AT45" i="108"/>
  <c r="AT49" i="3"/>
  <c r="AQ746" i="2"/>
  <c r="AT721" i="21398"/>
  <c r="I734" i="21398" l="1"/>
  <c r="I732" i="21398"/>
  <c r="I710" i="21398"/>
  <c r="I708" i="21398"/>
  <c r="I734" i="2" l="1"/>
  <c r="I732" i="2"/>
  <c r="I710" i="2"/>
  <c r="I708" i="2"/>
  <c r="J18" i="108"/>
  <c r="S240" i="2" l="1"/>
  <c r="S238" i="2"/>
  <c r="S236" i="2"/>
  <c r="S234" i="2"/>
  <c r="S232" i="2"/>
  <c r="S230" i="2"/>
  <c r="S228" i="2"/>
  <c r="S226" i="2"/>
  <c r="S224" i="2"/>
  <c r="S222" i="2"/>
  <c r="S221" i="2"/>
  <c r="S220" i="2"/>
  <c r="S219" i="2"/>
  <c r="S218" i="2"/>
  <c r="S216" i="2"/>
  <c r="S214" i="2"/>
  <c r="S212" i="2"/>
  <c r="S210" i="2"/>
  <c r="S208" i="2"/>
  <c r="S206" i="2"/>
  <c r="S204" i="2"/>
  <c r="S202" i="2"/>
  <c r="S200" i="2"/>
  <c r="S198" i="2"/>
  <c r="S196" i="2"/>
  <c r="S194" i="2"/>
  <c r="S192" i="2"/>
  <c r="S190" i="2"/>
  <c r="S188" i="2"/>
  <c r="S187" i="2"/>
  <c r="S186" i="2"/>
  <c r="S185" i="2"/>
  <c r="S184" i="2"/>
  <c r="S182" i="2"/>
  <c r="S180" i="2"/>
  <c r="S178" i="2"/>
  <c r="S176" i="2"/>
  <c r="S174" i="2"/>
  <c r="S172" i="2"/>
  <c r="S170" i="2"/>
  <c r="S168" i="2"/>
  <c r="S166" i="2"/>
  <c r="S164" i="2"/>
  <c r="S162" i="2"/>
  <c r="S160" i="2"/>
  <c r="S158" i="2"/>
  <c r="S156" i="2"/>
  <c r="S154" i="2"/>
  <c r="S153" i="2"/>
  <c r="S152" i="2"/>
  <c r="S151" i="2"/>
  <c r="S150" i="2"/>
  <c r="S148" i="2"/>
  <c r="S146" i="2"/>
  <c r="S144" i="2"/>
  <c r="S142" i="2"/>
  <c r="S140" i="2"/>
  <c r="S138" i="2"/>
  <c r="S136" i="2"/>
  <c r="S134" i="2"/>
  <c r="S132" i="2"/>
  <c r="S130" i="2"/>
  <c r="S128" i="2"/>
  <c r="S126" i="2"/>
  <c r="S124" i="2"/>
  <c r="S122" i="2"/>
  <c r="S120" i="2"/>
  <c r="S119" i="2"/>
  <c r="S118" i="2"/>
  <c r="S117" i="2"/>
  <c r="S116" i="2"/>
  <c r="S114" i="2"/>
  <c r="S112" i="2"/>
  <c r="S110" i="2"/>
  <c r="S108" i="2"/>
  <c r="S106" i="2"/>
  <c r="S104" i="2"/>
  <c r="S102" i="2"/>
  <c r="S100" i="2"/>
  <c r="S98" i="2"/>
  <c r="S96" i="2"/>
  <c r="S94" i="2"/>
  <c r="S92" i="2"/>
  <c r="S90" i="2"/>
  <c r="S88" i="2"/>
  <c r="S86" i="2"/>
  <c r="S85" i="2"/>
  <c r="S84" i="2"/>
  <c r="S83" i="2"/>
  <c r="S82" i="2"/>
  <c r="S66" i="2"/>
  <c r="S64" i="2"/>
  <c r="S62" i="2"/>
  <c r="S60" i="2"/>
  <c r="S58" i="2"/>
  <c r="S56" i="2"/>
  <c r="S54" i="2"/>
  <c r="S52" i="2"/>
  <c r="S50" i="2"/>
  <c r="S49" i="2"/>
  <c r="S48" i="2"/>
  <c r="S47" i="2"/>
  <c r="S22" i="2" l="1"/>
  <c r="S24" i="2"/>
  <c r="S26" i="2"/>
  <c r="S28" i="2"/>
  <c r="S30" i="2"/>
  <c r="S32" i="2"/>
  <c r="S34" i="2"/>
  <c r="S36" i="2"/>
  <c r="S38" i="2"/>
  <c r="S40" i="2"/>
  <c r="S42" i="2"/>
  <c r="S44" i="2"/>
  <c r="S46" i="2"/>
  <c r="S20" i="2"/>
  <c r="K212" i="21407" l="1"/>
  <c r="J212" i="21407"/>
  <c r="I212" i="21407"/>
  <c r="I205" i="21407" s="1"/>
  <c r="H212" i="21407"/>
  <c r="H205" i="21407" s="1"/>
  <c r="K200" i="21407"/>
  <c r="J200" i="21407"/>
  <c r="I200" i="21407"/>
  <c r="AQ706" i="2"/>
  <c r="AT715" i="21398"/>
  <c r="AT707" i="2"/>
  <c r="AQ706" i="21398"/>
  <c r="AQ704" i="2"/>
  <c r="AQ710" i="2"/>
  <c r="AT711" i="2"/>
  <c r="AQ708" i="21398"/>
  <c r="AQ708" i="2"/>
  <c r="AQ704" i="21398"/>
  <c r="AT715" i="2"/>
  <c r="AT705" i="21398"/>
  <c r="AT703" i="21398"/>
  <c r="AT705" i="2"/>
  <c r="AT709" i="21398"/>
  <c r="AT713" i="21398"/>
  <c r="AT713" i="2"/>
  <c r="AT707" i="21398"/>
  <c r="AT717" i="2"/>
  <c r="AT717" i="21398"/>
  <c r="AT709" i="2"/>
  <c r="AT711" i="21398"/>
  <c r="I214" i="21407" l="1"/>
  <c r="K214" i="21407"/>
  <c r="H135" i="21407"/>
  <c r="S80" i="21407"/>
  <c r="R80" i="21407"/>
  <c r="Q80" i="21407"/>
  <c r="P80" i="21407"/>
  <c r="O80" i="21407"/>
  <c r="S79" i="21407"/>
  <c r="R79" i="21407"/>
  <c r="Q79" i="21407"/>
  <c r="P79" i="21407"/>
  <c r="O79" i="21407"/>
  <c r="S78" i="21407"/>
  <c r="R78" i="21407"/>
  <c r="Q78" i="21407"/>
  <c r="P78" i="21407"/>
  <c r="O78" i="21407"/>
  <c r="S77" i="21407"/>
  <c r="R77" i="21407"/>
  <c r="Q77" i="21407"/>
  <c r="P77" i="21407"/>
  <c r="O77" i="21407"/>
  <c r="S74" i="21407"/>
  <c r="S73" i="21407"/>
  <c r="R73" i="21407"/>
  <c r="Q73" i="21407"/>
  <c r="P73" i="21407"/>
  <c r="O73" i="21407"/>
  <c r="S71" i="21407"/>
  <c r="R71" i="21407"/>
  <c r="Q71" i="21407"/>
  <c r="P71" i="21407"/>
  <c r="O71" i="21407"/>
  <c r="S61" i="21407"/>
  <c r="R61" i="21407"/>
  <c r="Q61" i="21407"/>
  <c r="P61" i="21407"/>
  <c r="O61" i="21407"/>
  <c r="S60" i="21407"/>
  <c r="R60" i="21407"/>
  <c r="Q60" i="21407"/>
  <c r="P60" i="21407"/>
  <c r="O60" i="21407"/>
  <c r="S59" i="21407"/>
  <c r="R59" i="21407"/>
  <c r="Q59" i="21407"/>
  <c r="P59" i="21407"/>
  <c r="O59" i="21407"/>
  <c r="S58" i="21407"/>
  <c r="R58" i="21407"/>
  <c r="Q58" i="21407"/>
  <c r="P58" i="21407"/>
  <c r="O58" i="21407"/>
  <c r="S57" i="21407"/>
  <c r="R57" i="21407"/>
  <c r="Q57" i="21407"/>
  <c r="P57" i="21407"/>
  <c r="O57" i="21407"/>
  <c r="S56" i="21407"/>
  <c r="R56" i="21407"/>
  <c r="Q56" i="21407"/>
  <c r="P56" i="21407"/>
  <c r="O56" i="21407"/>
  <c r="S55" i="21407"/>
  <c r="R55" i="21407"/>
  <c r="Q55" i="21407"/>
  <c r="P55" i="21407"/>
  <c r="O55" i="21407"/>
  <c r="S54" i="21407"/>
  <c r="R54" i="21407"/>
  <c r="Q54" i="21407"/>
  <c r="P54" i="21407"/>
  <c r="O54" i="21407"/>
  <c r="S53" i="21407"/>
  <c r="R53" i="21407"/>
  <c r="Q53" i="21407"/>
  <c r="P53" i="21407"/>
  <c r="O53" i="21407"/>
  <c r="S52" i="21407"/>
  <c r="R52" i="21407"/>
  <c r="Q52" i="21407"/>
  <c r="P52" i="21407"/>
  <c r="O52" i="21407"/>
  <c r="S51" i="21407"/>
  <c r="R51" i="21407"/>
  <c r="Q51" i="21407"/>
  <c r="P51" i="21407"/>
  <c r="O51" i="21407"/>
  <c r="S50" i="21407"/>
  <c r="R50" i="21407"/>
  <c r="Q50" i="21407"/>
  <c r="P50" i="21407"/>
  <c r="O50" i="21407"/>
  <c r="S48" i="21407"/>
  <c r="R48" i="21407"/>
  <c r="Q48" i="21407"/>
  <c r="P48" i="21407"/>
  <c r="O48" i="21407"/>
  <c r="G214" i="21407" l="1"/>
  <c r="G253" i="21408"/>
  <c r="E333" i="21408" l="1"/>
  <c r="E332" i="21408"/>
  <c r="E331" i="21408"/>
  <c r="E330" i="21408"/>
  <c r="E329" i="21408"/>
  <c r="E328" i="21408"/>
  <c r="E327" i="21408"/>
  <c r="E326" i="21408"/>
  <c r="E325" i="21408"/>
  <c r="E324" i="21408"/>
  <c r="E323" i="21408"/>
  <c r="E322" i="21408"/>
  <c r="E321" i="21408"/>
  <c r="E320" i="21408"/>
  <c r="E319" i="21408"/>
  <c r="E318" i="21408"/>
  <c r="E334" i="21408" s="1"/>
  <c r="E300" i="21408"/>
  <c r="E281" i="21408"/>
  <c r="E278" i="21408"/>
  <c r="E277" i="21408"/>
  <c r="E276" i="21408"/>
  <c r="E275" i="21408"/>
  <c r="E274" i="21408"/>
  <c r="E272" i="21408"/>
  <c r="E283" i="21408" s="1"/>
  <c r="E265" i="21408"/>
  <c r="E251" i="21408"/>
  <c r="E234" i="21408"/>
  <c r="E233" i="21408"/>
  <c r="E232" i="21408"/>
  <c r="E230" i="21408"/>
  <c r="E229" i="21408"/>
  <c r="E228" i="21408"/>
  <c r="E225" i="21408"/>
  <c r="E236" i="21408" s="1"/>
  <c r="E212" i="21408"/>
  <c r="E209" i="21408"/>
  <c r="E206" i="21408"/>
  <c r="E202" i="21408"/>
  <c r="E198" i="21408"/>
  <c r="E190" i="21408"/>
  <c r="E189" i="21408"/>
  <c r="E188" i="21408"/>
  <c r="E187" i="21408"/>
  <c r="E186" i="21408"/>
  <c r="E185" i="21408"/>
  <c r="E184" i="21408"/>
  <c r="E183" i="21408"/>
  <c r="E191" i="21408" s="1"/>
  <c r="E159" i="21408"/>
  <c r="E158" i="21408"/>
  <c r="E157" i="21408"/>
  <c r="E156" i="21408"/>
  <c r="E155" i="21408"/>
  <c r="E161" i="21408" s="1"/>
  <c r="E150" i="21408"/>
  <c r="E145" i="21408"/>
  <c r="E141" i="21408"/>
  <c r="E137" i="21408"/>
  <c r="E130" i="21408"/>
  <c r="E129" i="21408"/>
  <c r="E128" i="21408"/>
  <c r="E127" i="21408"/>
  <c r="E126" i="21408"/>
  <c r="E125" i="21408"/>
  <c r="E122" i="21408"/>
  <c r="E121" i="21408"/>
  <c r="E120" i="21408"/>
  <c r="E119" i="21408"/>
  <c r="E118" i="21408"/>
  <c r="E114" i="21408"/>
  <c r="E113" i="21408"/>
  <c r="E131" i="21408" s="1"/>
  <c r="E107" i="21408"/>
  <c r="E27" i="21408"/>
  <c r="E26" i="21408"/>
  <c r="E25" i="21408"/>
  <c r="E24" i="21408"/>
  <c r="E21" i="21408"/>
  <c r="E20" i="21408"/>
  <c r="E19" i="21408"/>
  <c r="E31" i="21408" s="1"/>
  <c r="E13" i="21408"/>
  <c r="E12" i="21408"/>
  <c r="G257" i="21407"/>
  <c r="G256" i="21407"/>
  <c r="G255" i="21407"/>
  <c r="G254" i="21407"/>
  <c r="G253" i="21407"/>
  <c r="G252" i="21407"/>
  <c r="G251" i="21407"/>
  <c r="G250" i="21407"/>
  <c r="G249" i="21407"/>
  <c r="G248" i="21407"/>
  <c r="G247" i="21407"/>
  <c r="G246" i="21407"/>
  <c r="G245" i="21407"/>
  <c r="G243" i="21407"/>
  <c r="G242" i="21407"/>
  <c r="G241" i="21407"/>
  <c r="G240" i="21407"/>
  <c r="G238" i="21407"/>
  <c r="H232" i="21407"/>
  <c r="I232" i="21407" s="1"/>
  <c r="G232" i="21407" s="1"/>
  <c r="K229" i="21407"/>
  <c r="J229" i="21407"/>
  <c r="I229" i="21407"/>
  <c r="H229" i="21407"/>
  <c r="K228" i="21407"/>
  <c r="J228" i="21407"/>
  <c r="I228" i="21407"/>
  <c r="H228" i="21407"/>
  <c r="K227" i="21407"/>
  <c r="J227" i="21407"/>
  <c r="I227" i="21407"/>
  <c r="K226" i="21407"/>
  <c r="J226" i="21407"/>
  <c r="I226" i="21407"/>
  <c r="K223" i="21407"/>
  <c r="J223" i="21407"/>
  <c r="I223" i="21407"/>
  <c r="H220" i="21407"/>
  <c r="G220" i="21407" s="1"/>
  <c r="H218" i="21407"/>
  <c r="H217" i="21407"/>
  <c r="G217" i="21407" s="1"/>
  <c r="K215" i="21407"/>
  <c r="K205" i="21407" s="1"/>
  <c r="J215" i="21407"/>
  <c r="J205" i="21407" s="1"/>
  <c r="K213" i="21407"/>
  <c r="J213" i="21407"/>
  <c r="I213" i="21407"/>
  <c r="H213" i="21407"/>
  <c r="K211" i="21407"/>
  <c r="J211" i="21407"/>
  <c r="I211" i="21407"/>
  <c r="H211" i="21407"/>
  <c r="K210" i="21407"/>
  <c r="J210" i="21407"/>
  <c r="I210" i="21407"/>
  <c r="H210" i="21407"/>
  <c r="G209" i="21407"/>
  <c r="K204" i="21407"/>
  <c r="J204" i="21407"/>
  <c r="I204" i="21407"/>
  <c r="H204" i="21407"/>
  <c r="K203" i="21407"/>
  <c r="J203" i="21407"/>
  <c r="I203" i="21407"/>
  <c r="H203" i="21407"/>
  <c r="K202" i="21407"/>
  <c r="J202" i="21407"/>
  <c r="I202" i="21407"/>
  <c r="H202" i="21407"/>
  <c r="K199" i="21407"/>
  <c r="J199" i="21407"/>
  <c r="I199" i="21407"/>
  <c r="H199" i="21407"/>
  <c r="G195" i="21407"/>
  <c r="G192" i="21407"/>
  <c r="G191" i="21407"/>
  <c r="G190" i="21407"/>
  <c r="G187" i="21407"/>
  <c r="G180" i="21407"/>
  <c r="G178" i="21407"/>
  <c r="G177" i="21407"/>
  <c r="G176" i="21407"/>
  <c r="G175" i="21407"/>
  <c r="G174" i="21407"/>
  <c r="G173" i="21407"/>
  <c r="G172" i="21407"/>
  <c r="G171" i="21407"/>
  <c r="G170" i="21407"/>
  <c r="G169" i="21407"/>
  <c r="G167" i="21407"/>
  <c r="G166" i="21407"/>
  <c r="G165" i="21407"/>
  <c r="G164" i="21407"/>
  <c r="G163" i="21407"/>
  <c r="G162" i="21407"/>
  <c r="G160" i="21407"/>
  <c r="G159" i="21407"/>
  <c r="G158" i="21407"/>
  <c r="G157" i="21407"/>
  <c r="G156" i="21407"/>
  <c r="G140" i="21407"/>
  <c r="K137" i="21407"/>
  <c r="J137" i="21407"/>
  <c r="I137" i="21407"/>
  <c r="H137" i="21407"/>
  <c r="K135" i="21407"/>
  <c r="J135" i="21407"/>
  <c r="I135" i="21407"/>
  <c r="G124" i="21407"/>
  <c r="G29" i="21407"/>
  <c r="G28" i="21407"/>
  <c r="T26" i="21407"/>
  <c r="S26" i="21407"/>
  <c r="T23" i="21407"/>
  <c r="S23" i="21407"/>
  <c r="G93" i="21408"/>
  <c r="G59" i="21408"/>
  <c r="G52" i="21408"/>
  <c r="G304" i="21408"/>
  <c r="G217" i="21408"/>
  <c r="G45" i="21408"/>
  <c r="G220" i="21408"/>
  <c r="G312" i="21408"/>
  <c r="G311" i="21408"/>
  <c r="G215" i="21408"/>
  <c r="G199" i="21408"/>
  <c r="G221" i="21408"/>
  <c r="G214" i="21408"/>
  <c r="G98" i="21408"/>
  <c r="G38" i="21408"/>
  <c r="G92" i="21408"/>
  <c r="G207" i="21408"/>
  <c r="G204" i="21408"/>
  <c r="G301" i="21408"/>
  <c r="G144" i="21408"/>
  <c r="G292" i="21408"/>
  <c r="G309" i="21408"/>
  <c r="G200" i="21408"/>
  <c r="G66" i="21408"/>
  <c r="G314" i="21408"/>
  <c r="G96" i="21408"/>
  <c r="G294" i="21408"/>
  <c r="G216" i="21408"/>
  <c r="G39" i="21408"/>
  <c r="G219" i="21408"/>
  <c r="G97" i="21408"/>
  <c r="G261" i="21408"/>
  <c r="G203" i="21408"/>
  <c r="G310" i="21408"/>
  <c r="G313" i="21408"/>
  <c r="G94" i="21408"/>
  <c r="G246" i="21408"/>
  <c r="G213" i="21408"/>
  <c r="G218" i="21408"/>
  <c r="G264" i="21408"/>
  <c r="G291" i="21408"/>
  <c r="G40" i="21408"/>
  <c r="G303" i="21408"/>
  <c r="G245" i="21408"/>
  <c r="H225" i="21407" l="1"/>
  <c r="I225" i="21407"/>
  <c r="J225" i="21407"/>
  <c r="K225" i="21407"/>
  <c r="I221" i="21407"/>
  <c r="H221" i="21407"/>
  <c r="J221" i="21407"/>
  <c r="K221" i="21407"/>
  <c r="G215" i="21407"/>
  <c r="H227" i="21407"/>
  <c r="G227" i="21407" s="1"/>
  <c r="G136" i="21407"/>
  <c r="K224" i="21407"/>
  <c r="G231" i="21407"/>
  <c r="G135" i="21407"/>
  <c r="H224" i="21407"/>
  <c r="G137" i="21407"/>
  <c r="G204" i="21407"/>
  <c r="G211" i="21407"/>
  <c r="J224" i="21407"/>
  <c r="G210" i="21407"/>
  <c r="G219" i="21407"/>
  <c r="G212" i="21407"/>
  <c r="G198" i="21407"/>
  <c r="G202" i="21407"/>
  <c r="G213" i="21407"/>
  <c r="G229" i="21407"/>
  <c r="G201" i="21407"/>
  <c r="I224" i="21407"/>
  <c r="G228" i="21407"/>
  <c r="G200" i="21407"/>
  <c r="G179" i="21407"/>
  <c r="G199" i="21407"/>
  <c r="G203" i="21407"/>
  <c r="G218" i="21407"/>
  <c r="H223" i="21407"/>
  <c r="G223" i="21407" s="1"/>
  <c r="H226" i="21407"/>
  <c r="G226" i="21407" s="1"/>
  <c r="E40" i="21408"/>
  <c r="E52" i="21408"/>
  <c r="E92" i="21408"/>
  <c r="E96" i="21408"/>
  <c r="E207" i="21408"/>
  <c r="E216" i="21408"/>
  <c r="E220" i="21408"/>
  <c r="E261" i="21408"/>
  <c r="E304" i="21408"/>
  <c r="E312" i="21408"/>
  <c r="E203" i="21408"/>
  <c r="E245" i="21408"/>
  <c r="E292" i="21408"/>
  <c r="E45" i="21408"/>
  <c r="E93" i="21408"/>
  <c r="E97" i="21408"/>
  <c r="E199" i="21408"/>
  <c r="E213" i="21408"/>
  <c r="E217" i="21408"/>
  <c r="E221" i="21408"/>
  <c r="E301" i="21408"/>
  <c r="E309" i="21408"/>
  <c r="E313" i="21408"/>
  <c r="E204" i="21408"/>
  <c r="E246" i="21408"/>
  <c r="E38" i="21408"/>
  <c r="E66" i="21408"/>
  <c r="E94" i="21408"/>
  <c r="E98" i="21408"/>
  <c r="E200" i="21408"/>
  <c r="E214" i="21408"/>
  <c r="E218" i="21408"/>
  <c r="E310" i="21408"/>
  <c r="E314" i="21408"/>
  <c r="E294" i="21408"/>
  <c r="E39" i="21408"/>
  <c r="E59" i="21408"/>
  <c r="E144" i="21408"/>
  <c r="E215" i="21408"/>
  <c r="E219" i="21408"/>
  <c r="E264" i="21408"/>
  <c r="E303" i="21408"/>
  <c r="E311" i="21408"/>
  <c r="E291" i="21408"/>
  <c r="G307" i="21408"/>
  <c r="G256" i="21408"/>
  <c r="G289" i="21408"/>
  <c r="G263" i="21408"/>
  <c r="G306" i="21408"/>
  <c r="G149" i="21408"/>
  <c r="G254" i="21408"/>
  <c r="G258" i="21408"/>
  <c r="G262" i="21408"/>
  <c r="G260" i="21408"/>
  <c r="G293" i="21408"/>
  <c r="G266" i="21408"/>
  <c r="G308" i="21408"/>
  <c r="G252" i="21408"/>
  <c r="E254" i="21408" l="1"/>
  <c r="E293" i="21408"/>
  <c r="E258" i="21408"/>
  <c r="E289" i="21408"/>
  <c r="E263" i="21408"/>
  <c r="E306" i="21408"/>
  <c r="E256" i="21408"/>
  <c r="E308" i="21408"/>
  <c r="E307" i="21408"/>
  <c r="E253" i="21408"/>
  <c r="E260" i="21408"/>
  <c r="E262" i="21408"/>
  <c r="E252" i="21408"/>
  <c r="E149" i="21408"/>
  <c r="G224" i="21407"/>
  <c r="G205" i="21407"/>
  <c r="G250" i="21408"/>
  <c r="G221" i="21407" l="1"/>
  <c r="G225" i="21407"/>
  <c r="E250" i="21408"/>
  <c r="G8" i="108"/>
  <c r="G6" i="108"/>
  <c r="G8" i="3"/>
  <c r="AQ694" i="21398"/>
  <c r="AT695" i="21398"/>
  <c r="AQ696" i="21398"/>
  <c r="AQ718" i="21398"/>
  <c r="AQ700" i="21398"/>
  <c r="AQ692" i="21398"/>
  <c r="AQ710" i="21398"/>
  <c r="AT699" i="21398"/>
  <c r="AQ716" i="21398"/>
  <c r="AQ702" i="21398"/>
  <c r="AT697" i="21398"/>
  <c r="AQ714" i="21398"/>
  <c r="AT719" i="21398"/>
  <c r="AT701" i="21398"/>
  <c r="AQ712" i="21398"/>
  <c r="G305" i="21408"/>
  <c r="AT693" i="21398"/>
  <c r="AQ698" i="21398"/>
  <c r="AQ720" i="21398"/>
  <c r="E305" i="21408" l="1"/>
  <c r="AT699" i="2"/>
  <c r="AT693" i="2"/>
  <c r="AQ716" i="2"/>
  <c r="AT703" i="2"/>
  <c r="AQ696" i="2"/>
  <c r="AQ712" i="2"/>
  <c r="AT695" i="2"/>
  <c r="AQ714" i="2"/>
  <c r="AT697" i="2"/>
  <c r="AQ698" i="2"/>
  <c r="AT701" i="2"/>
  <c r="AQ700" i="2"/>
  <c r="AT719" i="2"/>
  <c r="AQ702" i="2"/>
  <c r="AQ694" i="2"/>
  <c r="AQ692" i="2"/>
  <c r="AQ718" i="2"/>
  <c r="M111" i="21404" l="1"/>
  <c r="L111" i="21404"/>
  <c r="AA49" i="21404" l="1"/>
  <c r="Z49" i="21404"/>
  <c r="Y49" i="21404"/>
  <c r="X49" i="21404"/>
  <c r="W49" i="21404"/>
  <c r="V49" i="21404"/>
  <c r="T49" i="21404"/>
  <c r="S49" i="21404"/>
  <c r="R49" i="21404"/>
  <c r="Q49" i="21404"/>
  <c r="P49" i="21404"/>
  <c r="O49" i="21404"/>
  <c r="P48" i="21404"/>
  <c r="AA48" i="21404"/>
  <c r="Z48" i="21404"/>
  <c r="Y48" i="21404"/>
  <c r="X48" i="21404"/>
  <c r="W48" i="21404"/>
  <c r="V48" i="21404"/>
  <c r="T48" i="21404"/>
  <c r="S48" i="21404"/>
  <c r="R48" i="21404"/>
  <c r="Q48" i="21404"/>
  <c r="O48" i="21404"/>
  <c r="N49" i="21404" l="1"/>
  <c r="N48" i="21404"/>
  <c r="E71" i="21405"/>
  <c r="M49" i="21404"/>
  <c r="L49" i="21404"/>
  <c r="M48" i="21404"/>
  <c r="L48" i="21404"/>
  <c r="M40" i="21404"/>
  <c r="L40" i="21404"/>
  <c r="P20" i="21404" l="1"/>
  <c r="Q20" i="21404"/>
  <c r="X44" i="21404"/>
  <c r="Y44" i="21404"/>
  <c r="Y42" i="21404"/>
  <c r="X42" i="21404"/>
  <c r="Q44" i="21404"/>
  <c r="R44" i="21404"/>
  <c r="R42" i="21404"/>
  <c r="Q42" i="21404"/>
  <c r="X21" i="21404"/>
  <c r="Y21" i="21404"/>
  <c r="X22" i="21404"/>
  <c r="Y22" i="21404"/>
  <c r="X23" i="21404"/>
  <c r="Y23" i="21404"/>
  <c r="X24" i="21404"/>
  <c r="Y24" i="21404"/>
  <c r="X25" i="21404"/>
  <c r="Y25" i="21404"/>
  <c r="X26" i="21404"/>
  <c r="Y26" i="21404"/>
  <c r="X27" i="21404"/>
  <c r="Y27" i="21404"/>
  <c r="X28" i="21404"/>
  <c r="Y28" i="21404"/>
  <c r="X29" i="21404"/>
  <c r="Y29" i="21404"/>
  <c r="X30" i="21404"/>
  <c r="Y30" i="21404"/>
  <c r="X31" i="21404"/>
  <c r="Y31" i="21404"/>
  <c r="X32" i="21404"/>
  <c r="Y32" i="21404"/>
  <c r="Y20" i="21404"/>
  <c r="X20" i="21404"/>
  <c r="R32" i="21404"/>
  <c r="Q32" i="21404"/>
  <c r="Q21" i="21404"/>
  <c r="R21" i="21404"/>
  <c r="Q22" i="21404"/>
  <c r="R22" i="21404"/>
  <c r="Q23" i="21404"/>
  <c r="R23" i="21404"/>
  <c r="Q24" i="21404"/>
  <c r="R24" i="21404"/>
  <c r="Q25" i="21404"/>
  <c r="R25" i="21404"/>
  <c r="Q26" i="21404"/>
  <c r="R26" i="21404"/>
  <c r="Q27" i="21404"/>
  <c r="R27" i="21404"/>
  <c r="Q28" i="21404"/>
  <c r="R28" i="21404"/>
  <c r="Q29" i="21404"/>
  <c r="R29" i="21404"/>
  <c r="Q30" i="21404"/>
  <c r="R30" i="21404"/>
  <c r="Q31" i="21404"/>
  <c r="R31" i="21404"/>
  <c r="S20" i="21404"/>
  <c r="R20" i="21404"/>
  <c r="I32" i="21398" l="1"/>
  <c r="I172" i="21398"/>
  <c r="I170" i="21398"/>
  <c r="I138" i="21398"/>
  <c r="I136" i="21398"/>
  <c r="I104" i="21398"/>
  <c r="I102" i="21398"/>
  <c r="I68" i="21398"/>
  <c r="I66" i="21398"/>
  <c r="I34" i="21398"/>
  <c r="I30" i="2"/>
  <c r="BL36" i="21399"/>
  <c r="BL26" i="21399"/>
  <c r="BL25" i="21399"/>
  <c r="BL24" i="21399"/>
  <c r="BL22" i="21399"/>
  <c r="BL36" i="21400"/>
  <c r="BL26" i="21400"/>
  <c r="BL25" i="21400"/>
  <c r="BL24" i="21400"/>
  <c r="BL22" i="21400"/>
  <c r="BL36" i="108"/>
  <c r="BL26" i="108"/>
  <c r="BL25" i="108"/>
  <c r="BL24" i="108"/>
  <c r="BL22" i="108"/>
  <c r="BL36" i="3"/>
  <c r="BL26" i="3"/>
  <c r="BL25" i="3"/>
  <c r="BL24" i="3"/>
  <c r="BL22" i="3"/>
  <c r="BL36" i="21398"/>
  <c r="BL26" i="21398"/>
  <c r="BL25" i="21398"/>
  <c r="BL24" i="21398"/>
  <c r="BL22" i="21398"/>
  <c r="BL36" i="2"/>
  <c r="BL22" i="2"/>
  <c r="L165" i="21404"/>
  <c r="M165" i="21404"/>
  <c r="BL33" i="21399" l="1"/>
  <c r="BL33" i="3"/>
  <c r="BL33" i="108"/>
  <c r="BL33" i="21398"/>
  <c r="BL33" i="21400" l="1"/>
  <c r="F19" i="3"/>
  <c r="K142" i="21407"/>
  <c r="AQ620" i="2"/>
  <c r="AQ602" i="21398"/>
  <c r="AQ624" i="21398"/>
  <c r="AQ636" i="21398"/>
  <c r="AQ72" i="21398"/>
  <c r="AQ640" i="2"/>
  <c r="AQ608" i="21398"/>
  <c r="AQ638" i="21398"/>
  <c r="AT9" i="3"/>
  <c r="AT605" i="2"/>
  <c r="AQ608" i="2"/>
  <c r="AQ628" i="21398"/>
  <c r="AT599" i="2"/>
  <c r="AQ8" i="3"/>
  <c r="AQ610" i="21398"/>
  <c r="AQ626" i="2"/>
  <c r="AQ604" i="21398"/>
  <c r="AQ634" i="21398"/>
  <c r="AQ642" i="2"/>
  <c r="AQ620" i="21398"/>
  <c r="AQ606" i="2"/>
  <c r="AQ550" i="2"/>
  <c r="AQ626" i="21398"/>
  <c r="AQ550" i="21398"/>
  <c r="AQ70" i="21398"/>
  <c r="AT19" i="3"/>
  <c r="AQ598" i="21398"/>
  <c r="AQ8" i="108"/>
  <c r="AQ634" i="2"/>
  <c r="AQ632" i="21398"/>
  <c r="AQ628" i="2"/>
  <c r="AT185" i="2"/>
  <c r="AT7" i="108"/>
  <c r="AQ606" i="21398"/>
  <c r="AQ618" i="2"/>
  <c r="AQ630" i="2"/>
  <c r="AQ624" i="2"/>
  <c r="AQ622" i="21398"/>
  <c r="AQ636" i="2"/>
  <c r="AQ600" i="21398"/>
  <c r="AQ604" i="2"/>
  <c r="AQ630" i="21398"/>
  <c r="AT601" i="2"/>
  <c r="AQ632" i="2"/>
  <c r="AT9" i="108"/>
  <c r="AT7" i="3"/>
  <c r="AT601" i="21398"/>
  <c r="AQ598" i="2"/>
  <c r="AQ600" i="2"/>
  <c r="AQ622" i="2"/>
  <c r="AQ74" i="21398"/>
  <c r="AQ602" i="2"/>
  <c r="AC7" i="3" l="1"/>
  <c r="AC7" i="108"/>
  <c r="AC9" i="108"/>
  <c r="J142" i="21407"/>
  <c r="K95" i="21404" l="1"/>
  <c r="J95" i="21404"/>
  <c r="E47" i="21405"/>
  <c r="M179" i="21404" l="1"/>
  <c r="L179" i="21404"/>
  <c r="M158" i="21404"/>
  <c r="L158" i="21404"/>
  <c r="I624" i="21398" l="1"/>
  <c r="I622" i="21398"/>
  <c r="I624" i="2"/>
  <c r="I622" i="2"/>
  <c r="BL26" i="2"/>
  <c r="BL25" i="2"/>
  <c r="BL24" i="2"/>
  <c r="H187" i="21404"/>
  <c r="BL19" i="2"/>
  <c r="BL18" i="2"/>
  <c r="BL17" i="2"/>
  <c r="BL16" i="2"/>
  <c r="BL15" i="2"/>
  <c r="BL14" i="2"/>
  <c r="BL10" i="2"/>
  <c r="BL5" i="2"/>
  <c r="BL4" i="2"/>
  <c r="BL10" i="21398"/>
  <c r="BL13" i="2" l="1"/>
  <c r="BL33" i="2"/>
  <c r="BL20" i="2"/>
  <c r="BL8" i="2"/>
  <c r="H161" i="21407" s="1"/>
  <c r="C21" i="108"/>
  <c r="C21" i="3"/>
  <c r="I680" i="21398"/>
  <c r="I678" i="21398"/>
  <c r="I652" i="21398"/>
  <c r="I650" i="21398"/>
  <c r="I590" i="21398"/>
  <c r="I588" i="21398"/>
  <c r="I564" i="21398"/>
  <c r="I562" i="21398"/>
  <c r="I532" i="21398"/>
  <c r="I530" i="21398"/>
  <c r="I506" i="21398"/>
  <c r="I504" i="21398"/>
  <c r="I474" i="21398"/>
  <c r="I472" i="21398"/>
  <c r="I440" i="21398"/>
  <c r="I438" i="21398"/>
  <c r="I406" i="21398"/>
  <c r="I404" i="21398"/>
  <c r="I372" i="21398"/>
  <c r="I370" i="21398"/>
  <c r="I338" i="21398"/>
  <c r="I336" i="21398"/>
  <c r="I304" i="21398"/>
  <c r="I302" i="21398"/>
  <c r="I270" i="21398"/>
  <c r="I268" i="21398"/>
  <c r="I238" i="21398"/>
  <c r="I236" i="21398"/>
  <c r="I206" i="21398"/>
  <c r="I204" i="21398"/>
  <c r="I680" i="2"/>
  <c r="I678" i="2"/>
  <c r="I652" i="2"/>
  <c r="I650" i="2"/>
  <c r="I590" i="2"/>
  <c r="I588" i="2"/>
  <c r="I562" i="2"/>
  <c r="I560" i="2"/>
  <c r="I530" i="2"/>
  <c r="I528" i="2"/>
  <c r="I504" i="2"/>
  <c r="I502" i="2"/>
  <c r="I472" i="2"/>
  <c r="I470" i="2"/>
  <c r="I438" i="2"/>
  <c r="I436" i="2"/>
  <c r="I404" i="2"/>
  <c r="I402" i="2"/>
  <c r="I370" i="2"/>
  <c r="I368" i="2"/>
  <c r="I336" i="2"/>
  <c r="I334" i="2"/>
  <c r="I302" i="2"/>
  <c r="I300" i="2"/>
  <c r="I268" i="2"/>
  <c r="I266" i="2"/>
  <c r="I236" i="2"/>
  <c r="I234" i="2"/>
  <c r="I204" i="2"/>
  <c r="I202" i="2"/>
  <c r="I170" i="2"/>
  <c r="I168" i="2"/>
  <c r="I136" i="2"/>
  <c r="I134" i="2"/>
  <c r="I102" i="2"/>
  <c r="I100" i="2"/>
  <c r="I66" i="2"/>
  <c r="I64" i="2"/>
  <c r="I32" i="2"/>
  <c r="Z44" i="21404"/>
  <c r="V44" i="21404"/>
  <c r="W44" i="21404"/>
  <c r="AA44" i="21404"/>
  <c r="V42" i="21404"/>
  <c r="AA42" i="21404"/>
  <c r="Z42" i="21404"/>
  <c r="W42" i="21404"/>
  <c r="Z32" i="21404"/>
  <c r="Z20" i="21404"/>
  <c r="Z21" i="21404"/>
  <c r="Z22" i="21404"/>
  <c r="Z23" i="21404"/>
  <c r="Z24" i="21404"/>
  <c r="Z25" i="21404"/>
  <c r="Z26" i="21404"/>
  <c r="Z27" i="21404"/>
  <c r="Z28" i="21404"/>
  <c r="Z29" i="21404"/>
  <c r="Z30" i="21404"/>
  <c r="Z31" i="21404"/>
  <c r="O44" i="21404"/>
  <c r="P44" i="21404"/>
  <c r="S44" i="21404"/>
  <c r="T44" i="21404"/>
  <c r="T42" i="21404"/>
  <c r="S42" i="21404"/>
  <c r="P42" i="21404"/>
  <c r="O42" i="21404"/>
  <c r="T32" i="21404"/>
  <c r="T21" i="21404"/>
  <c r="T20" i="21404"/>
  <c r="T22" i="21404"/>
  <c r="T23" i="21404"/>
  <c r="T24" i="21404"/>
  <c r="T25" i="21404"/>
  <c r="T26" i="21404"/>
  <c r="T27" i="21404"/>
  <c r="T28" i="21404"/>
  <c r="T29" i="21404"/>
  <c r="T30" i="21404"/>
  <c r="T31" i="21404"/>
  <c r="M166" i="21404"/>
  <c r="L166" i="21404"/>
  <c r="C23" i="3" l="1"/>
  <c r="C25" i="3" s="1"/>
  <c r="C27" i="3" s="1"/>
  <c r="C29" i="3" s="1"/>
  <c r="C31" i="3" s="1"/>
  <c r="J22" i="3"/>
  <c r="C23" i="108"/>
  <c r="C25" i="108" s="1"/>
  <c r="C27" i="108" s="1"/>
  <c r="C29" i="108" s="1"/>
  <c r="C31" i="108" s="1"/>
  <c r="C33" i="108" s="1"/>
  <c r="J22" i="108"/>
  <c r="I142" i="21407"/>
  <c r="H142" i="21407"/>
  <c r="J5" i="108"/>
  <c r="E188" i="21405"/>
  <c r="M98" i="21404"/>
  <c r="L98" i="21404"/>
  <c r="M97" i="21404"/>
  <c r="L97" i="21404"/>
  <c r="M142" i="21404"/>
  <c r="L142" i="21404"/>
  <c r="M141" i="21404"/>
  <c r="L141" i="21404"/>
  <c r="Y15" i="21401"/>
  <c r="J30" i="108" l="1"/>
  <c r="J32" i="108"/>
  <c r="C33" i="3"/>
  <c r="J32" i="3"/>
  <c r="J30" i="3"/>
  <c r="G142" i="21407"/>
  <c r="C35" i="108"/>
  <c r="J34" i="108" s="1"/>
  <c r="M143" i="21404"/>
  <c r="L143" i="21404"/>
  <c r="O29" i="21401"/>
  <c r="J29" i="21401"/>
  <c r="L29" i="21401" s="1"/>
  <c r="M29" i="21401" s="1"/>
  <c r="O28" i="21401"/>
  <c r="J28" i="21401"/>
  <c r="L28" i="21401" s="1"/>
  <c r="M28" i="21401" s="1"/>
  <c r="O27" i="21401"/>
  <c r="J27" i="21401"/>
  <c r="L27" i="21401" s="1"/>
  <c r="M27" i="21401" s="1"/>
  <c r="O26" i="21401"/>
  <c r="J26" i="21401"/>
  <c r="L26" i="21401" s="1"/>
  <c r="M26" i="21401" s="1"/>
  <c r="O25" i="21401"/>
  <c r="J25" i="21401"/>
  <c r="L25" i="21401" s="1"/>
  <c r="M25" i="21401" s="1"/>
  <c r="O24" i="21401"/>
  <c r="J24" i="21401"/>
  <c r="L24" i="21401" s="1"/>
  <c r="M24" i="21401" s="1"/>
  <c r="O23" i="21401"/>
  <c r="J23" i="21401"/>
  <c r="L23" i="21401" s="1"/>
  <c r="M23" i="21401" s="1"/>
  <c r="O22" i="21401"/>
  <c r="J22" i="21401"/>
  <c r="L22" i="21401" s="1"/>
  <c r="M22" i="21401" s="1"/>
  <c r="O21" i="21401"/>
  <c r="J21" i="21401"/>
  <c r="L21" i="21401" s="1"/>
  <c r="M21" i="21401" s="1"/>
  <c r="O20" i="21401"/>
  <c r="J20" i="21401"/>
  <c r="L20" i="21401" s="1"/>
  <c r="M20" i="21401" s="1"/>
  <c r="O19" i="21401"/>
  <c r="J19" i="21401"/>
  <c r="L19" i="21401" s="1"/>
  <c r="M19" i="21401" s="1"/>
  <c r="O18" i="21401"/>
  <c r="J18" i="21401"/>
  <c r="L18" i="21401" s="1"/>
  <c r="M18" i="21401" s="1"/>
  <c r="O17" i="21401"/>
  <c r="J17" i="21401"/>
  <c r="L17" i="21401" s="1"/>
  <c r="M17" i="21401" s="1"/>
  <c r="O16" i="21401"/>
  <c r="J16" i="21401"/>
  <c r="L16" i="21401" s="1"/>
  <c r="M16" i="21401" s="1"/>
  <c r="J54" i="21401"/>
  <c r="E54" i="21401"/>
  <c r="O53" i="21401"/>
  <c r="J53" i="21401"/>
  <c r="E53" i="21401"/>
  <c r="J52" i="21401"/>
  <c r="E52" i="21401"/>
  <c r="O51" i="21401"/>
  <c r="J51" i="21401"/>
  <c r="E51" i="21401"/>
  <c r="J50" i="21401"/>
  <c r="E50" i="21401"/>
  <c r="O49" i="21401"/>
  <c r="J49" i="21401"/>
  <c r="E49" i="21401"/>
  <c r="J48" i="21401"/>
  <c r="E48" i="21401"/>
  <c r="O47" i="21401"/>
  <c r="J47" i="21401"/>
  <c r="E47" i="21401"/>
  <c r="J46" i="21401"/>
  <c r="E46" i="21401"/>
  <c r="O45" i="21401"/>
  <c r="J45" i="21401"/>
  <c r="E45" i="21401"/>
  <c r="J44" i="21401"/>
  <c r="E44" i="21401"/>
  <c r="O43" i="21401"/>
  <c r="J43" i="21401"/>
  <c r="E43" i="21401"/>
  <c r="M81" i="21404"/>
  <c r="L81" i="21404"/>
  <c r="M178" i="21404"/>
  <c r="L178" i="21404"/>
  <c r="C33" i="21397"/>
  <c r="C8" i="21397"/>
  <c r="C7" i="21397"/>
  <c r="C32" i="21397"/>
  <c r="C5" i="21397"/>
  <c r="G167" i="21408"/>
  <c r="C35" i="3" l="1"/>
  <c r="F33" i="3"/>
  <c r="E167" i="21408"/>
  <c r="L45" i="21401"/>
  <c r="M45" i="21401" s="1"/>
  <c r="C27" i="21398"/>
  <c r="C29" i="21398" s="1"/>
  <c r="C31" i="21398" s="1"/>
  <c r="J32" i="21398" s="1"/>
  <c r="L51" i="21401"/>
  <c r="M51" i="21401" s="1"/>
  <c r="L43" i="21401"/>
  <c r="M43" i="21401" s="1"/>
  <c r="L47" i="21401"/>
  <c r="M47" i="21401" s="1"/>
  <c r="L53" i="21401"/>
  <c r="M53" i="21401" s="1"/>
  <c r="L49" i="21401"/>
  <c r="M49" i="21401" s="1"/>
  <c r="C10" i="21397"/>
  <c r="AT33" i="3"/>
  <c r="AQ32" i="3"/>
  <c r="J34" i="3" l="1"/>
  <c r="C37" i="3"/>
  <c r="C37" i="108"/>
  <c r="C33" i="21398"/>
  <c r="C35" i="21398" s="1"/>
  <c r="J34" i="21398" s="1"/>
  <c r="L11" i="21404"/>
  <c r="L10" i="21404"/>
  <c r="L5" i="21404"/>
  <c r="J37" i="3" l="1"/>
  <c r="C39" i="3"/>
  <c r="C41" i="3" s="1"/>
  <c r="C43" i="3" s="1"/>
  <c r="C45" i="3" s="1"/>
  <c r="C39" i="108"/>
  <c r="C37" i="21398"/>
  <c r="C39" i="21398" s="1"/>
  <c r="C41" i="21398" s="1"/>
  <c r="C43" i="21398" s="1"/>
  <c r="C45" i="21398" s="1"/>
  <c r="L77" i="21404"/>
  <c r="BL4" i="21400"/>
  <c r="BL5" i="21400"/>
  <c r="BL6" i="21400"/>
  <c r="BL7" i="21400"/>
  <c r="BL14" i="21400"/>
  <c r="BL15" i="21400"/>
  <c r="BL16" i="21400"/>
  <c r="BL17" i="21400"/>
  <c r="BL18" i="21400"/>
  <c r="BL19" i="21400"/>
  <c r="L139" i="21404"/>
  <c r="G206" i="21404"/>
  <c r="G205" i="21404"/>
  <c r="G204" i="21404"/>
  <c r="G203" i="21404"/>
  <c r="G202" i="21404"/>
  <c r="G201" i="21404"/>
  <c r="G200" i="21404"/>
  <c r="G199" i="21404"/>
  <c r="G198" i="21404"/>
  <c r="G197" i="21404"/>
  <c r="G196" i="21404"/>
  <c r="G195" i="21404"/>
  <c r="G194" i="21404"/>
  <c r="G192" i="21404"/>
  <c r="G191" i="21404"/>
  <c r="G190" i="21404"/>
  <c r="G161" i="21404"/>
  <c r="G152" i="21404"/>
  <c r="G149" i="21404"/>
  <c r="G148" i="21404"/>
  <c r="G147" i="21404"/>
  <c r="G144" i="21404"/>
  <c r="G137" i="21404"/>
  <c r="G135" i="21404"/>
  <c r="G134" i="21404"/>
  <c r="G133" i="21404"/>
  <c r="G132" i="21404"/>
  <c r="G131" i="21404"/>
  <c r="G130" i="21404"/>
  <c r="G129" i="21404"/>
  <c r="G128" i="21404"/>
  <c r="G127" i="21404"/>
  <c r="G126" i="21404"/>
  <c r="G124" i="21404"/>
  <c r="G123" i="21404"/>
  <c r="G122" i="21404"/>
  <c r="G121" i="21404"/>
  <c r="G120" i="21404"/>
  <c r="G119" i="21404"/>
  <c r="G117" i="21404"/>
  <c r="G116" i="21404"/>
  <c r="G115" i="21404"/>
  <c r="G114" i="21404"/>
  <c r="G113" i="21404"/>
  <c r="G100" i="21404"/>
  <c r="G99" i="21404"/>
  <c r="G84" i="21404"/>
  <c r="G75" i="21404"/>
  <c r="G74" i="21404"/>
  <c r="G73" i="21404"/>
  <c r="G72" i="21404"/>
  <c r="G16" i="21404"/>
  <c r="G15" i="21404"/>
  <c r="M96" i="21404"/>
  <c r="M95" i="21404"/>
  <c r="M94" i="21404"/>
  <c r="L193" i="21404"/>
  <c r="L188" i="21404"/>
  <c r="L186" i="21404"/>
  <c r="L185" i="21404"/>
  <c r="L184" i="21404"/>
  <c r="L183" i="21404"/>
  <c r="L182" i="21404"/>
  <c r="L164" i="21404"/>
  <c r="L160" i="21404" s="1"/>
  <c r="L163" i="21404"/>
  <c r="L162" i="21404"/>
  <c r="L159" i="21404"/>
  <c r="L157" i="21404"/>
  <c r="L156" i="21404"/>
  <c r="L155" i="21404"/>
  <c r="L154" i="21404"/>
  <c r="L153" i="21404"/>
  <c r="L146" i="21404"/>
  <c r="L145" i="21404" s="1"/>
  <c r="L140" i="21404"/>
  <c r="L138" i="21404"/>
  <c r="L112" i="21404"/>
  <c r="L110" i="21404"/>
  <c r="L109" i="21404"/>
  <c r="L108" i="21404"/>
  <c r="L107" i="21404"/>
  <c r="L106" i="21404"/>
  <c r="L105" i="21404"/>
  <c r="L101" i="21404"/>
  <c r="L96" i="21404"/>
  <c r="L95" i="21404"/>
  <c r="L94" i="21404"/>
  <c r="L93" i="21404"/>
  <c r="L92" i="21404"/>
  <c r="L91" i="21404"/>
  <c r="L90" i="21404"/>
  <c r="L89" i="21404"/>
  <c r="L88" i="21404"/>
  <c r="L87" i="21404"/>
  <c r="L86" i="21404"/>
  <c r="L85" i="21404"/>
  <c r="L83" i="21404"/>
  <c r="L82" i="21404"/>
  <c r="L80" i="21404"/>
  <c r="L78" i="21404"/>
  <c r="L76" i="21404"/>
  <c r="L71" i="21404"/>
  <c r="L70" i="21404"/>
  <c r="L68" i="21404"/>
  <c r="L69" i="21404" s="1"/>
  <c r="L66" i="21404"/>
  <c r="L67" i="21404" s="1"/>
  <c r="L65" i="21404"/>
  <c r="L64" i="21404"/>
  <c r="L63" i="21404"/>
  <c r="L62" i="21404"/>
  <c r="L61" i="21404"/>
  <c r="L60" i="21404"/>
  <c r="L59" i="21404"/>
  <c r="L58" i="21404"/>
  <c r="L57" i="21404"/>
  <c r="L56" i="21404"/>
  <c r="L55" i="21404"/>
  <c r="L54" i="21404"/>
  <c r="L53" i="21404"/>
  <c r="L52" i="21404"/>
  <c r="L47" i="21404"/>
  <c r="L46" i="21404"/>
  <c r="L45" i="21404"/>
  <c r="L44" i="21404"/>
  <c r="L43" i="21404"/>
  <c r="L42" i="21404"/>
  <c r="L41" i="21404"/>
  <c r="L39" i="21404"/>
  <c r="L38" i="21404"/>
  <c r="L37" i="21404"/>
  <c r="L36" i="21404"/>
  <c r="L35" i="21404"/>
  <c r="L34" i="21404"/>
  <c r="L33" i="21404"/>
  <c r="L32" i="21404"/>
  <c r="L31" i="21404"/>
  <c r="L30" i="21404"/>
  <c r="L29" i="21404"/>
  <c r="L28" i="21404"/>
  <c r="L27" i="21404"/>
  <c r="L26" i="21404"/>
  <c r="L25" i="21404"/>
  <c r="L24" i="21404"/>
  <c r="L23" i="21404"/>
  <c r="L22" i="21404"/>
  <c r="L21" i="21404"/>
  <c r="L20" i="21404"/>
  <c r="L19" i="21404"/>
  <c r="L18" i="21404"/>
  <c r="L17" i="21404"/>
  <c r="L13" i="21404"/>
  <c r="L12" i="21404"/>
  <c r="L9" i="21404"/>
  <c r="L8" i="21404"/>
  <c r="L7" i="21404"/>
  <c r="L6" i="21404"/>
  <c r="L4" i="21404"/>
  <c r="L177" i="21404"/>
  <c r="L176" i="21404"/>
  <c r="L173" i="21404"/>
  <c r="M177" i="21404"/>
  <c r="M176" i="21404"/>
  <c r="M173" i="21404"/>
  <c r="BL5" i="108"/>
  <c r="BL19" i="21399"/>
  <c r="BL18" i="21399"/>
  <c r="BL17" i="21399"/>
  <c r="BL16" i="21399"/>
  <c r="BL15" i="21399"/>
  <c r="BL14" i="21399"/>
  <c r="BL10" i="21399"/>
  <c r="M101" i="21404"/>
  <c r="BL7" i="21399"/>
  <c r="BL6" i="21399"/>
  <c r="BL5" i="21399"/>
  <c r="BL4" i="21399"/>
  <c r="BL10" i="21400"/>
  <c r="BL19" i="108"/>
  <c r="BL18" i="108"/>
  <c r="BL17" i="108"/>
  <c r="BL16" i="108"/>
  <c r="BL15" i="108"/>
  <c r="BL14" i="108"/>
  <c r="BL10" i="108"/>
  <c r="BL7" i="108"/>
  <c r="BL4" i="108"/>
  <c r="BL19" i="3"/>
  <c r="BL18" i="3"/>
  <c r="BL17" i="3"/>
  <c r="BL16" i="3"/>
  <c r="BL15" i="3"/>
  <c r="BL14" i="3"/>
  <c r="BL10" i="3"/>
  <c r="BL7" i="3"/>
  <c r="BL6" i="3"/>
  <c r="BL5" i="3"/>
  <c r="BL4" i="3"/>
  <c r="C41" i="108" l="1"/>
  <c r="C43" i="108" s="1"/>
  <c r="C45" i="108" s="1"/>
  <c r="C47" i="108" s="1"/>
  <c r="C49" i="108" s="1"/>
  <c r="C51" i="108" s="1"/>
  <c r="C53" i="108" s="1"/>
  <c r="J53" i="108" s="1"/>
  <c r="J39" i="108"/>
  <c r="BL13" i="3"/>
  <c r="J136" i="21404" s="1"/>
  <c r="C47" i="3"/>
  <c r="L175" i="21404"/>
  <c r="L172" i="21404"/>
  <c r="BL13" i="21399"/>
  <c r="M136" i="21404" s="1"/>
  <c r="BL20" i="21400"/>
  <c r="C47" i="21398"/>
  <c r="F45" i="21398"/>
  <c r="BL8" i="3"/>
  <c r="M77" i="21404"/>
  <c r="M11" i="21404"/>
  <c r="M10" i="21404"/>
  <c r="M5" i="21404"/>
  <c r="L150" i="21404"/>
  <c r="L151" i="21404" s="1"/>
  <c r="M9" i="21404"/>
  <c r="M20" i="21404"/>
  <c r="M28" i="21404"/>
  <c r="M36" i="21404"/>
  <c r="M45" i="21404"/>
  <c r="M57" i="21404"/>
  <c r="M65" i="21404"/>
  <c r="M90" i="21404"/>
  <c r="M105" i="21404"/>
  <c r="M140" i="21404"/>
  <c r="M159" i="21404"/>
  <c r="M185" i="21404"/>
  <c r="M21" i="21404"/>
  <c r="M29" i="21404"/>
  <c r="M37" i="21404"/>
  <c r="M46" i="21404"/>
  <c r="M58" i="21404"/>
  <c r="M66" i="21404"/>
  <c r="M67" i="21404" s="1"/>
  <c r="M82" i="21404"/>
  <c r="M91" i="21404"/>
  <c r="M106" i="21404"/>
  <c r="M146" i="21404"/>
  <c r="M145" i="21404" s="1"/>
  <c r="M186" i="21404"/>
  <c r="L3" i="21404"/>
  <c r="L104" i="21404"/>
  <c r="L103" i="21404" s="1"/>
  <c r="L102" i="21404" s="1"/>
  <c r="M12" i="21404"/>
  <c r="M22" i="21404"/>
  <c r="M30" i="21404"/>
  <c r="M38" i="21404"/>
  <c r="M47" i="21404"/>
  <c r="M59" i="21404"/>
  <c r="M68" i="21404"/>
  <c r="M69" i="21404" s="1"/>
  <c r="M83" i="21404"/>
  <c r="M92" i="21404"/>
  <c r="M107" i="21404"/>
  <c r="M153" i="21404"/>
  <c r="M162" i="21404"/>
  <c r="M188" i="21404"/>
  <c r="M139" i="21404"/>
  <c r="M4" i="21404"/>
  <c r="M13" i="21404"/>
  <c r="M23" i="21404"/>
  <c r="M31" i="21404"/>
  <c r="M39" i="21404"/>
  <c r="M52" i="21404"/>
  <c r="M60" i="21404"/>
  <c r="M70" i="21404"/>
  <c r="M85" i="21404"/>
  <c r="M93" i="21404"/>
  <c r="M108" i="21404"/>
  <c r="M154" i="21404"/>
  <c r="M163" i="21404"/>
  <c r="M193" i="21404"/>
  <c r="M24" i="21404"/>
  <c r="M32" i="21404"/>
  <c r="M41" i="21404"/>
  <c r="M53" i="21404"/>
  <c r="M61" i="21404"/>
  <c r="M71" i="21404"/>
  <c r="M86" i="21404"/>
  <c r="M109" i="21404"/>
  <c r="M155" i="21404"/>
  <c r="M164" i="21404"/>
  <c r="M160" i="21404" s="1"/>
  <c r="BL20" i="21399"/>
  <c r="M6" i="21404"/>
  <c r="M17" i="21404"/>
  <c r="M25" i="21404"/>
  <c r="M33" i="21404"/>
  <c r="M42" i="21404"/>
  <c r="M54" i="21404"/>
  <c r="M62" i="21404"/>
  <c r="M76" i="21404"/>
  <c r="M87" i="21404"/>
  <c r="M110" i="21404"/>
  <c r="M156" i="21404"/>
  <c r="M182" i="21404"/>
  <c r="BL8" i="21399"/>
  <c r="M118" i="21404" s="1"/>
  <c r="BL20" i="108"/>
  <c r="L174" i="21404"/>
  <c r="M7" i="21404"/>
  <c r="M18" i="21404"/>
  <c r="M26" i="21404"/>
  <c r="M34" i="21404"/>
  <c r="M43" i="21404"/>
  <c r="M55" i="21404"/>
  <c r="M63" i="21404"/>
  <c r="M78" i="21404"/>
  <c r="M88" i="21404"/>
  <c r="M112" i="21404"/>
  <c r="M157" i="21404"/>
  <c r="M183" i="21404"/>
  <c r="L50" i="21404"/>
  <c r="L51" i="21404" s="1"/>
  <c r="M8" i="21404"/>
  <c r="M19" i="21404"/>
  <c r="M27" i="21404"/>
  <c r="M35" i="21404"/>
  <c r="M44" i="21404"/>
  <c r="M56" i="21404"/>
  <c r="M64" i="21404"/>
  <c r="M80" i="21404"/>
  <c r="M89" i="21404"/>
  <c r="M138" i="21404"/>
  <c r="M184" i="21404"/>
  <c r="BL8" i="21400"/>
  <c r="L118" i="21404" s="1"/>
  <c r="L79" i="21404"/>
  <c r="BL8" i="108"/>
  <c r="BL13" i="21400"/>
  <c r="L136" i="21404" s="1"/>
  <c r="BL13" i="108"/>
  <c r="K136" i="21404" s="1"/>
  <c r="BL20" i="3"/>
  <c r="BL19" i="21398"/>
  <c r="BL18" i="21398"/>
  <c r="BL17" i="21398"/>
  <c r="BL16" i="21398"/>
  <c r="BL15" i="21398"/>
  <c r="BL14" i="21398"/>
  <c r="BL5" i="21398"/>
  <c r="BL4" i="21398"/>
  <c r="H180" i="21404"/>
  <c r="G180" i="21404" s="1"/>
  <c r="K114" i="21407" l="1"/>
  <c r="K112" i="21407"/>
  <c r="K113" i="21407"/>
  <c r="K115" i="21407"/>
  <c r="K155" i="21407"/>
  <c r="K153" i="21407"/>
  <c r="K154" i="21407"/>
  <c r="K111" i="21404"/>
  <c r="J118" i="21404"/>
  <c r="J161" i="21407"/>
  <c r="K118" i="21404"/>
  <c r="K161" i="21407"/>
  <c r="K118" i="21407"/>
  <c r="K184" i="21407"/>
  <c r="K122" i="21407"/>
  <c r="K79" i="21407"/>
  <c r="K93" i="21407"/>
  <c r="K56" i="21407"/>
  <c r="K121" i="21407"/>
  <c r="K34" i="21407"/>
  <c r="K70" i="21407"/>
  <c r="K32" i="21407"/>
  <c r="K181" i="21407"/>
  <c r="K46" i="21407"/>
  <c r="K146" i="21407"/>
  <c r="K41" i="21407"/>
  <c r="K12" i="21407"/>
  <c r="K149" i="21407"/>
  <c r="K30" i="21407"/>
  <c r="K39" i="21407"/>
  <c r="K53" i="21407"/>
  <c r="K33" i="21407"/>
  <c r="K71" i="21407"/>
  <c r="K239" i="21407"/>
  <c r="K54" i="21407"/>
  <c r="K11" i="21407"/>
  <c r="K125" i="21407"/>
  <c r="K60" i="21407"/>
  <c r="K132" i="21407"/>
  <c r="K126" i="21407"/>
  <c r="K8" i="21407"/>
  <c r="K47" i="21407"/>
  <c r="K128" i="21407"/>
  <c r="K236" i="21407"/>
  <c r="K90" i="21407"/>
  <c r="K62" i="21407"/>
  <c r="K91" i="21407"/>
  <c r="K69" i="21407"/>
  <c r="K85" i="21407"/>
  <c r="K15" i="21407"/>
  <c r="K59" i="21407"/>
  <c r="K64" i="21407"/>
  <c r="K51" i="21407"/>
  <c r="K183" i="21407"/>
  <c r="K36" i="21407"/>
  <c r="K102" i="21407"/>
  <c r="K74" i="21407"/>
  <c r="K87" i="21407"/>
  <c r="K63" i="21407"/>
  <c r="K7" i="21407"/>
  <c r="K101" i="21407"/>
  <c r="K234" i="21407"/>
  <c r="K150" i="21407"/>
  <c r="K22" i="21407"/>
  <c r="K130" i="21407"/>
  <c r="K57" i="21407"/>
  <c r="K127" i="21407"/>
  <c r="K84" i="21407"/>
  <c r="K88" i="21407"/>
  <c r="K233" i="21407"/>
  <c r="K237" i="21407" s="1"/>
  <c r="K129" i="21407"/>
  <c r="K6" i="21407"/>
  <c r="K13" i="21407"/>
  <c r="K96" i="21407"/>
  <c r="K94" i="21407"/>
  <c r="K120" i="21407"/>
  <c r="R26" i="21407"/>
  <c r="K26" i="21407" s="1"/>
  <c r="K83" i="21407"/>
  <c r="K189" i="21407"/>
  <c r="K45" i="21407"/>
  <c r="K73" i="21407"/>
  <c r="K9" i="21407"/>
  <c r="K110" i="21407"/>
  <c r="K10" i="21407"/>
  <c r="K31" i="21407"/>
  <c r="K37" i="21407"/>
  <c r="K17" i="21407"/>
  <c r="K86" i="21407"/>
  <c r="K44" i="21407"/>
  <c r="K61" i="21407"/>
  <c r="K197" i="21407"/>
  <c r="K18" i="21407"/>
  <c r="K235" i="21407"/>
  <c r="K72" i="21407"/>
  <c r="R23" i="21407"/>
  <c r="K23" i="21407" s="1"/>
  <c r="K92" i="21407"/>
  <c r="K151" i="21407"/>
  <c r="K49" i="21407"/>
  <c r="K55" i="21407"/>
  <c r="K24" i="21407"/>
  <c r="K138" i="21407"/>
  <c r="K133" i="21407"/>
  <c r="K80" i="21407"/>
  <c r="K116" i="21407"/>
  <c r="K139" i="21407"/>
  <c r="K65" i="21407"/>
  <c r="K52" i="21407"/>
  <c r="K95" i="21407"/>
  <c r="K21" i="21407"/>
  <c r="K38" i="21407"/>
  <c r="K182" i="21407"/>
  <c r="K58" i="21407"/>
  <c r="K97" i="21407"/>
  <c r="K98" i="21407" s="1"/>
  <c r="K16" i="21407"/>
  <c r="K67" i="21407"/>
  <c r="K109" i="21407"/>
  <c r="K196" i="21407"/>
  <c r="K147" i="21407"/>
  <c r="K89" i="21407"/>
  <c r="K152" i="21407"/>
  <c r="K77" i="21407"/>
  <c r="K25" i="21407"/>
  <c r="K42" i="21407"/>
  <c r="K131" i="21407"/>
  <c r="K43" i="21407"/>
  <c r="K148" i="21407"/>
  <c r="K20" i="21407"/>
  <c r="K68" i="21407"/>
  <c r="K186" i="21407"/>
  <c r="K75" i="21407"/>
  <c r="K76" i="21407"/>
  <c r="K40" i="21407"/>
  <c r="K50" i="21407"/>
  <c r="K14" i="21407"/>
  <c r="K123" i="21407"/>
  <c r="K117" i="21407"/>
  <c r="K19" i="21407"/>
  <c r="K4" i="21407"/>
  <c r="K48" i="21407"/>
  <c r="K66" i="21407"/>
  <c r="K78" i="21407"/>
  <c r="K5" i="21407"/>
  <c r="K99" i="21407"/>
  <c r="K100" i="21407" s="1"/>
  <c r="K185" i="21407"/>
  <c r="K35" i="21407"/>
  <c r="C49" i="3"/>
  <c r="K48" i="21404"/>
  <c r="K40" i="21404"/>
  <c r="K49" i="21404"/>
  <c r="K179" i="21404"/>
  <c r="K158" i="21404"/>
  <c r="K165" i="21404" s="1"/>
  <c r="M175" i="21404"/>
  <c r="M172" i="21404"/>
  <c r="C49" i="21398"/>
  <c r="C51" i="21398" s="1"/>
  <c r="C53" i="21398" s="1"/>
  <c r="J48" i="21398"/>
  <c r="M174" i="21404"/>
  <c r="M150" i="21404"/>
  <c r="M151" i="21404" s="1"/>
  <c r="M79" i="21404"/>
  <c r="M104" i="21404"/>
  <c r="M103" i="21404" s="1"/>
  <c r="M102" i="21404" s="1"/>
  <c r="M3" i="21404"/>
  <c r="M50" i="21404"/>
  <c r="M51" i="21404" s="1"/>
  <c r="BL20" i="21398"/>
  <c r="BL8" i="21398"/>
  <c r="I161" i="21407" s="1"/>
  <c r="BL13" i="21398"/>
  <c r="K111" i="21407" l="1"/>
  <c r="K134" i="21407"/>
  <c r="G161" i="21407"/>
  <c r="K244" i="21407"/>
  <c r="K141" i="21407"/>
  <c r="K81" i="21407"/>
  <c r="K82" i="21407" s="1"/>
  <c r="K193" i="21407"/>
  <c r="K194" i="21407" s="1"/>
  <c r="K188" i="21407"/>
  <c r="K145" i="21407"/>
  <c r="K144" i="21407" s="1"/>
  <c r="K143" i="21407" s="1"/>
  <c r="K119" i="21407"/>
  <c r="C51" i="3"/>
  <c r="C55" i="21398"/>
  <c r="C57" i="21398" s="1"/>
  <c r="C59" i="21398" s="1"/>
  <c r="C61" i="21398" s="1"/>
  <c r="C63" i="21398" s="1"/>
  <c r="C65" i="21398" s="1"/>
  <c r="J66" i="21398" s="1"/>
  <c r="J52" i="21398"/>
  <c r="G197" i="21408"/>
  <c r="E197" i="21408" l="1"/>
  <c r="J51" i="3"/>
  <c r="C67" i="21398"/>
  <c r="C69" i="21398" s="1"/>
  <c r="J68" i="21398" s="1"/>
  <c r="C71" i="21398" l="1"/>
  <c r="C73" i="21398" s="1"/>
  <c r="C75" i="21398" s="1"/>
  <c r="C77" i="21398" s="1"/>
  <c r="C79" i="21398" s="1"/>
  <c r="C81" i="21398" s="1"/>
  <c r="C83" i="21398" s="1"/>
  <c r="C85" i="21398" l="1"/>
  <c r="C87" i="21398" s="1"/>
  <c r="C89" i="21398" s="1"/>
  <c r="J84" i="21398"/>
  <c r="C91" i="21398" l="1"/>
  <c r="C93" i="21398" s="1"/>
  <c r="C95" i="21398" s="1"/>
  <c r="C97" i="21398" s="1"/>
  <c r="C99" i="21398" s="1"/>
  <c r="C101" i="21398" s="1"/>
  <c r="J102" i="21398" s="1"/>
  <c r="J88" i="21398"/>
  <c r="E82" i="21405"/>
  <c r="E83" i="21405"/>
  <c r="E80" i="21405"/>
  <c r="E79" i="21405"/>
  <c r="E194" i="21405"/>
  <c r="C103" i="21398" l="1"/>
  <c r="C105" i="21398" s="1"/>
  <c r="J104" i="21398" s="1"/>
  <c r="E303" i="21405"/>
  <c r="E302" i="21405"/>
  <c r="E301" i="21405"/>
  <c r="E300" i="21405"/>
  <c r="E299" i="21405"/>
  <c r="E298" i="21405"/>
  <c r="E297" i="21405"/>
  <c r="E296" i="21405"/>
  <c r="E295" i="21405"/>
  <c r="E294" i="21405"/>
  <c r="E293" i="21405"/>
  <c r="E292" i="21405"/>
  <c r="E291" i="21405"/>
  <c r="E290" i="21405"/>
  <c r="E289" i="21405"/>
  <c r="E288" i="21405"/>
  <c r="E279" i="21405"/>
  <c r="E274" i="21405"/>
  <c r="E270" i="21405"/>
  <c r="E262" i="21405"/>
  <c r="E251" i="21405"/>
  <c r="E248" i="21405"/>
  <c r="E247" i="21405"/>
  <c r="E246" i="21405"/>
  <c r="E245" i="21405"/>
  <c r="E244" i="21405"/>
  <c r="E242" i="21405"/>
  <c r="E237" i="21405"/>
  <c r="E223" i="21405"/>
  <c r="E211" i="21405"/>
  <c r="E210" i="21405"/>
  <c r="E209" i="21405"/>
  <c r="E207" i="21405"/>
  <c r="E206" i="21405"/>
  <c r="E205" i="21405"/>
  <c r="E202" i="21405"/>
  <c r="E197" i="21405"/>
  <c r="E196" i="21405"/>
  <c r="E195" i="21405"/>
  <c r="E193" i="21405"/>
  <c r="E192" i="21405"/>
  <c r="E191" i="21405"/>
  <c r="E190" i="21405"/>
  <c r="E189" i="21405"/>
  <c r="E186" i="21405"/>
  <c r="E184" i="21405"/>
  <c r="E183" i="21405"/>
  <c r="E181" i="21405"/>
  <c r="E180" i="21405"/>
  <c r="E179" i="21405"/>
  <c r="E177" i="21405"/>
  <c r="E175" i="21405"/>
  <c r="E167" i="21405"/>
  <c r="E166" i="21405"/>
  <c r="E165" i="21405"/>
  <c r="E164" i="21405"/>
  <c r="E163" i="21405"/>
  <c r="E162" i="21405"/>
  <c r="E161" i="21405"/>
  <c r="E160" i="21405"/>
  <c r="E138" i="21405"/>
  <c r="E137" i="21405"/>
  <c r="E136" i="21405"/>
  <c r="E135" i="21405"/>
  <c r="E134" i="21405"/>
  <c r="E129" i="21405"/>
  <c r="E109" i="21405"/>
  <c r="E108" i="21405"/>
  <c r="E107" i="21405"/>
  <c r="E106" i="21405"/>
  <c r="E105" i="21405"/>
  <c r="E104" i="21405"/>
  <c r="E101" i="21405"/>
  <c r="E100" i="21405"/>
  <c r="E99" i="21405"/>
  <c r="E98" i="21405"/>
  <c r="E97" i="21405"/>
  <c r="E93" i="21405"/>
  <c r="E92" i="21405"/>
  <c r="E77" i="21405"/>
  <c r="E37" i="21405"/>
  <c r="E27" i="21405"/>
  <c r="E26" i="21405"/>
  <c r="E25" i="21405"/>
  <c r="E24" i="21405"/>
  <c r="E21" i="21405"/>
  <c r="E20" i="21405"/>
  <c r="E19" i="21405"/>
  <c r="E13" i="21405"/>
  <c r="E12" i="21405"/>
  <c r="C107" i="21398" l="1"/>
  <c r="C109" i="21398" s="1"/>
  <c r="C111" i="21398" s="1"/>
  <c r="C113" i="21398" s="1"/>
  <c r="C115" i="21398" s="1"/>
  <c r="C117" i="21398" s="1"/>
  <c r="E213" i="21405"/>
  <c r="E304" i="21405"/>
  <c r="E253" i="21405"/>
  <c r="E140" i="21405"/>
  <c r="E168" i="21405"/>
  <c r="E31" i="21405"/>
  <c r="E110" i="21405"/>
  <c r="E259" i="21405"/>
  <c r="E73" i="21405"/>
  <c r="E264" i="21405"/>
  <c r="E74" i="21405"/>
  <c r="E75" i="21405"/>
  <c r="E273" i="21405"/>
  <c r="E263" i="21405"/>
  <c r="E72" i="21405"/>
  <c r="E174" i="21405"/>
  <c r="C119" i="21398" l="1"/>
  <c r="C121" i="21398" s="1"/>
  <c r="C123" i="21398" s="1"/>
  <c r="J118" i="21398"/>
  <c r="V23" i="21404"/>
  <c r="W23" i="21404"/>
  <c r="AA23" i="21404"/>
  <c r="V24" i="21404"/>
  <c r="W24" i="21404"/>
  <c r="AA24" i="21404"/>
  <c r="V27" i="21404"/>
  <c r="W27" i="21404"/>
  <c r="AA27" i="21404"/>
  <c r="V28" i="21404"/>
  <c r="W28" i="21404"/>
  <c r="AA28" i="21404"/>
  <c r="V31" i="21404"/>
  <c r="W31" i="21404"/>
  <c r="AA31" i="21404"/>
  <c r="V32" i="21404"/>
  <c r="W32" i="21404"/>
  <c r="AA32" i="21404"/>
  <c r="AA20" i="21404"/>
  <c r="W20" i="21404"/>
  <c r="V20" i="21404"/>
  <c r="O23" i="21404"/>
  <c r="P23" i="21404"/>
  <c r="S23" i="21404"/>
  <c r="O24" i="21404"/>
  <c r="P24" i="21404"/>
  <c r="S24" i="21404"/>
  <c r="O27" i="21404"/>
  <c r="P27" i="21404"/>
  <c r="S27" i="21404"/>
  <c r="O28" i="21404"/>
  <c r="P28" i="21404"/>
  <c r="S28" i="21404"/>
  <c r="O31" i="21404"/>
  <c r="P31" i="21404"/>
  <c r="S31" i="21404"/>
  <c r="O32" i="21404"/>
  <c r="P32" i="21404"/>
  <c r="S32" i="21404"/>
  <c r="O20" i="21404"/>
  <c r="I189" i="21404"/>
  <c r="H189" i="21404"/>
  <c r="I176" i="21404"/>
  <c r="K173" i="21404"/>
  <c r="J173" i="21404"/>
  <c r="I173" i="21404"/>
  <c r="K177" i="21404"/>
  <c r="J177" i="21404"/>
  <c r="I177" i="21404"/>
  <c r="J176" i="21404"/>
  <c r="K176" i="21404"/>
  <c r="K96" i="21404"/>
  <c r="J96" i="21404"/>
  <c r="K94" i="21404"/>
  <c r="J94" i="21404"/>
  <c r="I96" i="21404"/>
  <c r="I94" i="21404"/>
  <c r="H96" i="21404"/>
  <c r="H94" i="21404"/>
  <c r="I118" i="21404"/>
  <c r="I136" i="21404"/>
  <c r="C125" i="21398" l="1"/>
  <c r="C127" i="21398" s="1"/>
  <c r="C129" i="21398" s="1"/>
  <c r="C131" i="21398" s="1"/>
  <c r="C133" i="21398" s="1"/>
  <c r="C135" i="21398" s="1"/>
  <c r="J136" i="21398" s="1"/>
  <c r="J122" i="21398"/>
  <c r="G95" i="21404"/>
  <c r="G189" i="21404"/>
  <c r="G94" i="21404"/>
  <c r="G96" i="21404"/>
  <c r="N24" i="21404"/>
  <c r="N42" i="21404"/>
  <c r="N28" i="21404"/>
  <c r="N23" i="21404"/>
  <c r="G187" i="21404"/>
  <c r="H118" i="21404"/>
  <c r="G118" i="21404" s="1"/>
  <c r="N31" i="21404"/>
  <c r="N27" i="21404"/>
  <c r="N32" i="21404"/>
  <c r="N44" i="21404"/>
  <c r="N20" i="21404"/>
  <c r="E271" i="21405"/>
  <c r="H136" i="21404"/>
  <c r="G136" i="21404" s="1"/>
  <c r="C137" i="21398" l="1"/>
  <c r="C139" i="21398" s="1"/>
  <c r="J138" i="21398" s="1"/>
  <c r="H181" i="21404"/>
  <c r="C141" i="21398" l="1"/>
  <c r="C143" i="21398" s="1"/>
  <c r="C145" i="21398" s="1"/>
  <c r="C147" i="21398" s="1"/>
  <c r="C149" i="21398" s="1"/>
  <c r="C151" i="21398" s="1"/>
  <c r="K97" i="21404"/>
  <c r="K98" i="21404"/>
  <c r="K143" i="21404"/>
  <c r="K141" i="21404"/>
  <c r="K142" i="21404"/>
  <c r="K140" i="21404"/>
  <c r="K81" i="21404"/>
  <c r="K178" i="21404"/>
  <c r="K156" i="21404"/>
  <c r="K11" i="21404"/>
  <c r="K139" i="21404"/>
  <c r="K77" i="21404"/>
  <c r="K10" i="21404"/>
  <c r="K5" i="21404"/>
  <c r="I181" i="21404"/>
  <c r="G181" i="21404" s="1"/>
  <c r="C153" i="21398" l="1"/>
  <c r="C155" i="21398" s="1"/>
  <c r="C157" i="21398" s="1"/>
  <c r="J152" i="21398"/>
  <c r="H101" i="21404"/>
  <c r="I101" i="21404"/>
  <c r="C159" i="21398" l="1"/>
  <c r="C161" i="21398" s="1"/>
  <c r="C163" i="21398" s="1"/>
  <c r="C165" i="21398" s="1"/>
  <c r="C167" i="21398" s="1"/>
  <c r="C169" i="21398" s="1"/>
  <c r="J170" i="21398" s="1"/>
  <c r="J156" i="21398"/>
  <c r="C171" i="21398" l="1"/>
  <c r="C173" i="21398" s="1"/>
  <c r="J172" i="21398" s="1"/>
  <c r="C175" i="21398" l="1"/>
  <c r="C177" i="21398" s="1"/>
  <c r="C179" i="21398" s="1"/>
  <c r="C181" i="21398" s="1"/>
  <c r="C183" i="21398" s="1"/>
  <c r="C185" i="21398" s="1"/>
  <c r="K101" i="21404"/>
  <c r="K17" i="21404"/>
  <c r="J101" i="21404"/>
  <c r="C187" i="21398" l="1"/>
  <c r="C189" i="21398" s="1"/>
  <c r="C191" i="21398" s="1"/>
  <c r="J186" i="21398"/>
  <c r="G101" i="21404"/>
  <c r="E276" i="21405"/>
  <c r="K52" i="21404"/>
  <c r="K38" i="21404"/>
  <c r="K12" i="21404"/>
  <c r="K193" i="21404"/>
  <c r="K159" i="21404"/>
  <c r="K155" i="21404" s="1"/>
  <c r="K25" i="21404"/>
  <c r="K54" i="21404"/>
  <c r="K21" i="21404"/>
  <c r="K71" i="21404"/>
  <c r="K56" i="21404"/>
  <c r="K63" i="21404"/>
  <c r="K36" i="21404"/>
  <c r="K105" i="21404"/>
  <c r="K62" i="21404"/>
  <c r="K68" i="21404"/>
  <c r="K69" i="21404" s="1"/>
  <c r="K57" i="21404"/>
  <c r="K153" i="21404"/>
  <c r="K91" i="21404"/>
  <c r="K55" i="21404"/>
  <c r="K107" i="21404"/>
  <c r="K65" i="21404"/>
  <c r="K60" i="21404"/>
  <c r="K13" i="21404"/>
  <c r="K66" i="21404"/>
  <c r="K67" i="21404" s="1"/>
  <c r="K19" i="21404"/>
  <c r="K59" i="21404"/>
  <c r="K154" i="21404"/>
  <c r="K70" i="21404"/>
  <c r="K8" i="21404"/>
  <c r="K182" i="21404"/>
  <c r="K86" i="21404"/>
  <c r="K44" i="21404"/>
  <c r="K27" i="21404"/>
  <c r="K82" i="21404"/>
  <c r="K7" i="21404"/>
  <c r="K162" i="21404"/>
  <c r="K30" i="21404"/>
  <c r="K183" i="21404"/>
  <c r="K24" i="21404"/>
  <c r="K23" i="21404"/>
  <c r="K35" i="21404"/>
  <c r="K87" i="21404"/>
  <c r="K47" i="21404"/>
  <c r="K112" i="21404"/>
  <c r="K110" i="21404"/>
  <c r="K78" i="21404"/>
  <c r="K45" i="21404"/>
  <c r="K80" i="21404"/>
  <c r="K37" i="21404"/>
  <c r="K164" i="21404"/>
  <c r="K160" i="21404" s="1"/>
  <c r="K93" i="21404"/>
  <c r="K58" i="21404"/>
  <c r="K41" i="21404"/>
  <c r="K186" i="21404"/>
  <c r="K53" i="21404"/>
  <c r="K31" i="21404"/>
  <c r="K83" i="21404"/>
  <c r="K90" i="21404"/>
  <c r="K106" i="21404"/>
  <c r="K33" i="21404"/>
  <c r="K34" i="21404"/>
  <c r="K6" i="21404"/>
  <c r="K28" i="21404"/>
  <c r="K184" i="21404"/>
  <c r="K89" i="21404"/>
  <c r="K64" i="21404"/>
  <c r="K185" i="21404"/>
  <c r="K22" i="21404"/>
  <c r="K4" i="21404"/>
  <c r="K188" i="21404"/>
  <c r="K146" i="21404"/>
  <c r="K39" i="21404"/>
  <c r="K61" i="21404"/>
  <c r="K26" i="21404"/>
  <c r="K109" i="21404"/>
  <c r="K43" i="21404"/>
  <c r="K92" i="21404"/>
  <c r="K20" i="21404"/>
  <c r="K9" i="21404"/>
  <c r="K163" i="21404"/>
  <c r="K138" i="21404"/>
  <c r="K46" i="21404"/>
  <c r="K29" i="21404"/>
  <c r="K157" i="21404"/>
  <c r="K42" i="21404"/>
  <c r="K88" i="21404"/>
  <c r="K18" i="21404"/>
  <c r="K85" i="21404"/>
  <c r="K32" i="21404"/>
  <c r="K76" i="21404"/>
  <c r="K108" i="21404"/>
  <c r="K175" i="21404" l="1"/>
  <c r="K172" i="21404"/>
  <c r="C193" i="21398"/>
  <c r="C195" i="21398" s="1"/>
  <c r="C197" i="21398" s="1"/>
  <c r="C199" i="21398" s="1"/>
  <c r="J190" i="21398"/>
  <c r="K104" i="21404"/>
  <c r="E146" i="21405"/>
  <c r="K79" i="21404"/>
  <c r="K50" i="21404"/>
  <c r="K145" i="21404"/>
  <c r="K150" i="21404"/>
  <c r="K174" i="21404"/>
  <c r="K3" i="21404"/>
  <c r="C201" i="21398" l="1"/>
  <c r="C203" i="21398" s="1"/>
  <c r="J204" i="21398" s="1"/>
  <c r="J199" i="21398"/>
  <c r="K51" i="21404"/>
  <c r="K103" i="21404"/>
  <c r="K151" i="21404"/>
  <c r="E272" i="21405"/>
  <c r="E227" i="21405"/>
  <c r="E156" i="21405"/>
  <c r="E84" i="21405"/>
  <c r="E182" i="21405"/>
  <c r="E260" i="21405"/>
  <c r="E70" i="21405"/>
  <c r="E120" i="21405"/>
  <c r="E78" i="21405"/>
  <c r="E154" i="21405"/>
  <c r="E265" i="21405"/>
  <c r="E67" i="21405"/>
  <c r="E187" i="21405"/>
  <c r="E86" i="21405"/>
  <c r="E151" i="21405"/>
  <c r="E63" i="21405"/>
  <c r="E152" i="21405"/>
  <c r="E150" i="21405"/>
  <c r="E68" i="21405"/>
  <c r="E64" i="21405"/>
  <c r="E65" i="21405"/>
  <c r="E58" i="21405"/>
  <c r="E220" i="21405"/>
  <c r="E41" i="21405"/>
  <c r="E53" i="21405"/>
  <c r="E85" i="21405"/>
  <c r="E278" i="21405"/>
  <c r="E232" i="21405"/>
  <c r="E185" i="21405"/>
  <c r="E155" i="21405"/>
  <c r="E231" i="21405"/>
  <c r="E124" i="21405"/>
  <c r="E153" i="21405"/>
  <c r="E66" i="21405"/>
  <c r="E116" i="21405"/>
  <c r="E81" i="21405"/>
  <c r="E178" i="21405"/>
  <c r="E226" i="21405"/>
  <c r="C205" i="21398" l="1"/>
  <c r="C207" i="21398" s="1"/>
  <c r="J206" i="21398" s="1"/>
  <c r="K102" i="21404"/>
  <c r="E199" i="21405"/>
  <c r="E131" i="21405"/>
  <c r="E224" i="21405"/>
  <c r="E275" i="21405"/>
  <c r="E225" i="21405"/>
  <c r="E239" i="21405" s="1"/>
  <c r="E11" i="21405"/>
  <c r="E16" i="21405" s="1"/>
  <c r="E149" i="21405"/>
  <c r="E285" i="21405"/>
  <c r="E89" i="21405"/>
  <c r="C209" i="21398" l="1"/>
  <c r="C211" i="21398" s="1"/>
  <c r="C213" i="21398" s="1"/>
  <c r="C215" i="21398" s="1"/>
  <c r="C217" i="21398" s="1"/>
  <c r="C219" i="21398" s="1"/>
  <c r="E148" i="21405"/>
  <c r="E147" i="21405"/>
  <c r="C221" i="21398" l="1"/>
  <c r="C223" i="21398" s="1"/>
  <c r="C225" i="21398" s="1"/>
  <c r="J220" i="21398"/>
  <c r="E157" i="21405"/>
  <c r="E307" i="21405" s="1"/>
  <c r="C227" i="21398" l="1"/>
  <c r="C229" i="21398" s="1"/>
  <c r="C231" i="21398" s="1"/>
  <c r="C233" i="21398" s="1"/>
  <c r="C235" i="21398" s="1"/>
  <c r="J236" i="21398" s="1"/>
  <c r="J224" i="21398"/>
  <c r="C237" i="21398" l="1"/>
  <c r="C239" i="21398" s="1"/>
  <c r="J238" i="21398" s="1"/>
  <c r="C241" i="21398" l="1"/>
  <c r="C243" i="21398" s="1"/>
  <c r="C245" i="21398" s="1"/>
  <c r="C247" i="21398" s="1"/>
  <c r="C249" i="21398" s="1"/>
  <c r="C251" i="21398" l="1"/>
  <c r="C253" i="21398" s="1"/>
  <c r="C255" i="21398" s="1"/>
  <c r="J250" i="21398"/>
  <c r="C257" i="21398" l="1"/>
  <c r="F255" i="21398"/>
  <c r="J254" i="21398"/>
  <c r="C259" i="21398" l="1"/>
  <c r="F257" i="21398"/>
  <c r="C261" i="21398" l="1"/>
  <c r="C263" i="21398" s="1"/>
  <c r="C265" i="21398" s="1"/>
  <c r="F259" i="21398"/>
  <c r="C267" i="21398" l="1"/>
  <c r="J268" i="21398" s="1"/>
  <c r="F265" i="21398"/>
  <c r="J264" i="21398"/>
  <c r="C269" i="21398" l="1"/>
  <c r="F267" i="21398"/>
  <c r="C271" i="21398" l="1"/>
  <c r="J270" i="21398" s="1"/>
  <c r="F269" i="21398"/>
  <c r="C273" i="21398" l="1"/>
  <c r="C275" i="21398" s="1"/>
  <c r="C277" i="21398" s="1"/>
  <c r="C279" i="21398" s="1"/>
  <c r="C281" i="21398" s="1"/>
  <c r="C283" i="21398" s="1"/>
  <c r="C285" i="21398" l="1"/>
  <c r="C287" i="21398" s="1"/>
  <c r="C289" i="21398" s="1"/>
  <c r="J284" i="21398"/>
  <c r="C291" i="21398" l="1"/>
  <c r="C293" i="21398" s="1"/>
  <c r="C295" i="21398" s="1"/>
  <c r="C297" i="21398" s="1"/>
  <c r="C299" i="21398" s="1"/>
  <c r="C301" i="21398" s="1"/>
  <c r="J302" i="21398" s="1"/>
  <c r="J288" i="21398"/>
  <c r="C303" i="21398" l="1"/>
  <c r="C305" i="21398" s="1"/>
  <c r="J304" i="21398" s="1"/>
  <c r="C307" i="21398" l="1"/>
  <c r="C309" i="21398" s="1"/>
  <c r="C311" i="21398" s="1"/>
  <c r="C313" i="21398" s="1"/>
  <c r="C315" i="21398" s="1"/>
  <c r="C317" i="21398" s="1"/>
  <c r="C319" i="21398" l="1"/>
  <c r="J318" i="21398"/>
  <c r="C321" i="21398" l="1"/>
  <c r="C323" i="21398" s="1"/>
  <c r="J319" i="21398"/>
  <c r="C325" i="21398" l="1"/>
  <c r="C327" i="21398" s="1"/>
  <c r="C329" i="21398" s="1"/>
  <c r="C331" i="21398" s="1"/>
  <c r="C333" i="21398" s="1"/>
  <c r="C335" i="21398" s="1"/>
  <c r="J336" i="21398" s="1"/>
  <c r="J322" i="21398"/>
  <c r="C337" i="21398" l="1"/>
  <c r="C339" i="21398" s="1"/>
  <c r="J338" i="21398" s="1"/>
  <c r="C341" i="21398" l="1"/>
  <c r="C343" i="21398" s="1"/>
  <c r="C345" i="21398" s="1"/>
  <c r="C347" i="21398" s="1"/>
  <c r="C349" i="21398" s="1"/>
  <c r="C351" i="21398" s="1"/>
  <c r="C353" i="21398" l="1"/>
  <c r="C355" i="21398" s="1"/>
  <c r="C357" i="21398" s="1"/>
  <c r="J352" i="21398"/>
  <c r="C359" i="21398" l="1"/>
  <c r="C361" i="21398" s="1"/>
  <c r="C363" i="21398" s="1"/>
  <c r="C365" i="21398" s="1"/>
  <c r="C367" i="21398" s="1"/>
  <c r="J356" i="21398"/>
  <c r="C369" i="21398" l="1"/>
  <c r="J370" i="21398" s="1"/>
  <c r="F367" i="21398"/>
  <c r="C371" i="21398" l="1"/>
  <c r="F369" i="21398"/>
  <c r="C373" i="21398" l="1"/>
  <c r="J372" i="21398" s="1"/>
  <c r="F371" i="21398"/>
  <c r="C375" i="21398" l="1"/>
  <c r="C377" i="21398" l="1"/>
  <c r="F375" i="21398"/>
  <c r="C379" i="21398" l="1"/>
  <c r="C381" i="21398" s="1"/>
  <c r="C383" i="21398" s="1"/>
  <c r="C385" i="21398" s="1"/>
  <c r="F377" i="21398"/>
  <c r="C387" i="21398" l="1"/>
  <c r="C389" i="21398" s="1"/>
  <c r="C391" i="21398" s="1"/>
  <c r="J386" i="21398"/>
  <c r="C393" i="21398" l="1"/>
  <c r="C395" i="21398" s="1"/>
  <c r="C397" i="21398" s="1"/>
  <c r="C399" i="21398" s="1"/>
  <c r="C401" i="21398" s="1"/>
  <c r="C403" i="21398" s="1"/>
  <c r="J404" i="21398" s="1"/>
  <c r="J390" i="21398"/>
  <c r="C405" i="21398" l="1"/>
  <c r="C407" i="21398" l="1"/>
  <c r="J406" i="21398" s="1"/>
  <c r="C409" i="21398" l="1"/>
  <c r="C411" i="21398" l="1"/>
  <c r="C413" i="21398" s="1"/>
  <c r="C415" i="21398" s="1"/>
  <c r="C417" i="21398" s="1"/>
  <c r="C419" i="21398" s="1"/>
  <c r="J420" i="21398" l="1"/>
  <c r="C421" i="21398"/>
  <c r="C423" i="21398" s="1"/>
  <c r="C425" i="21398" s="1"/>
  <c r="C427" i="21398" l="1"/>
  <c r="C429" i="21398" s="1"/>
  <c r="C431" i="21398" s="1"/>
  <c r="C433" i="21398" s="1"/>
  <c r="C435" i="21398" s="1"/>
  <c r="C437" i="21398" s="1"/>
  <c r="J424" i="21398"/>
  <c r="J438" i="21398" l="1"/>
  <c r="C439" i="21398"/>
  <c r="C441" i="21398" s="1"/>
  <c r="J436" i="21398"/>
  <c r="J440" i="21398" l="1"/>
  <c r="C443" i="21398"/>
  <c r="C445" i="21398" s="1"/>
  <c r="C447" i="21398" s="1"/>
  <c r="C449" i="21398" s="1"/>
  <c r="C451" i="21398" s="1"/>
  <c r="C453" i="21398" s="1"/>
  <c r="C455" i="21398" l="1"/>
  <c r="C457" i="21398" s="1"/>
  <c r="C459" i="21398" s="1"/>
  <c r="J454" i="21398"/>
  <c r="J458" i="21398" l="1"/>
  <c r="C461" i="21398"/>
  <c r="C463" i="21398" s="1"/>
  <c r="C465" i="21398" s="1"/>
  <c r="C467" i="21398" s="1"/>
  <c r="C469" i="21398" s="1"/>
  <c r="C471" i="21398" s="1"/>
  <c r="J472" i="21398" l="1"/>
  <c r="C473" i="21398"/>
  <c r="C475" i="21398" s="1"/>
  <c r="J474" i="21398" l="1"/>
  <c r="C477" i="21398"/>
  <c r="C479" i="21398" s="1"/>
  <c r="C481" i="21398" s="1"/>
  <c r="C483" i="21398" s="1"/>
  <c r="C485" i="21398" s="1"/>
  <c r="C487" i="21398" s="1"/>
  <c r="C489" i="21398" l="1"/>
  <c r="C491" i="21398" s="1"/>
  <c r="C493" i="21398" s="1"/>
  <c r="J488" i="21398"/>
  <c r="C495" i="21398" l="1"/>
  <c r="C497" i="21398" s="1"/>
  <c r="C499" i="21398" s="1"/>
  <c r="C501" i="21398" s="1"/>
  <c r="C503" i="21398" s="1"/>
  <c r="J492" i="21398"/>
  <c r="J504" i="21398" l="1"/>
  <c r="C505" i="21398"/>
  <c r="C507" i="21398" s="1"/>
  <c r="J506" i="21398" l="1"/>
  <c r="C509" i="21398"/>
  <c r="C511" i="21398" s="1"/>
  <c r="C513" i="21398" s="1"/>
  <c r="C515" i="21398" s="1"/>
  <c r="C517" i="21398" s="1"/>
  <c r="C519" i="21398" l="1"/>
  <c r="C521" i="21398" s="1"/>
  <c r="C523" i="21398" s="1"/>
  <c r="J518" i="21398"/>
  <c r="C525" i="21398" l="1"/>
  <c r="C527" i="21398" s="1"/>
  <c r="C529" i="21398" s="1"/>
  <c r="J522" i="21398"/>
  <c r="J530" i="21398" l="1"/>
  <c r="C531" i="21398"/>
  <c r="C533" i="21398" s="1"/>
  <c r="J532" i="21398" l="1"/>
  <c r="C535" i="21398"/>
  <c r="C537" i="21398" s="1"/>
  <c r="C539" i="21398" s="1"/>
  <c r="C541" i="21398" s="1"/>
  <c r="J542" i="21398" l="1"/>
  <c r="C543" i="21398"/>
  <c r="C545" i="21398" s="1"/>
  <c r="C547" i="21398" s="1"/>
  <c r="C549" i="21398" l="1"/>
  <c r="C551" i="21398" s="1"/>
  <c r="C553" i="21398" s="1"/>
  <c r="J546" i="21398"/>
  <c r="C555" i="21398" l="1"/>
  <c r="F553" i="21398"/>
  <c r="C557" i="21398" l="1"/>
  <c r="F555" i="21398"/>
  <c r="C559" i="21398" l="1"/>
  <c r="F557" i="21398"/>
  <c r="F559" i="21398" l="1"/>
  <c r="C561" i="21398"/>
  <c r="J562" i="21398" l="1"/>
  <c r="C563" i="21398"/>
  <c r="C565" i="21398" s="1"/>
  <c r="J564" i="21398" l="1"/>
  <c r="C567" i="21398"/>
  <c r="C569" i="21398" s="1"/>
  <c r="C571" i="21398" s="1"/>
  <c r="C573" i="21398" s="1"/>
  <c r="C575" i="21398" s="1"/>
  <c r="C577" i="21398" l="1"/>
  <c r="C579" i="21398" s="1"/>
  <c r="C581" i="21398" s="1"/>
  <c r="J576" i="21398"/>
  <c r="C583" i="21398" l="1"/>
  <c r="C585" i="21398" s="1"/>
  <c r="C587" i="21398" s="1"/>
  <c r="J580" i="21398"/>
  <c r="C589" i="21398" l="1"/>
  <c r="C591" i="21398" s="1"/>
  <c r="J588" i="21398"/>
  <c r="C593" i="21398" l="1"/>
  <c r="C595" i="21398" s="1"/>
  <c r="C597" i="21398" s="1"/>
  <c r="C599" i="21398" s="1"/>
  <c r="C601" i="21398" s="1"/>
  <c r="C603" i="21398" s="1"/>
  <c r="C605" i="21398" s="1"/>
  <c r="C607" i="21398" s="1"/>
  <c r="C609" i="21398" s="1"/>
  <c r="C611" i="21398" s="1"/>
  <c r="C613" i="21398" s="1"/>
  <c r="J590" i="21398"/>
  <c r="C615" i="21398" l="1"/>
  <c r="F613" i="21398"/>
  <c r="C617" i="21398" l="1"/>
  <c r="F615" i="21398"/>
  <c r="C619" i="21398" l="1"/>
  <c r="F617" i="21398"/>
  <c r="C621" i="21398" l="1"/>
  <c r="F619" i="21398"/>
  <c r="C623" i="21398" l="1"/>
  <c r="C625" i="21398" s="1"/>
  <c r="C627" i="21398" l="1"/>
  <c r="C629" i="21398" s="1"/>
  <c r="C631" i="21398" s="1"/>
  <c r="C633" i="21398" s="1"/>
  <c r="C635" i="21398" s="1"/>
  <c r="C637" i="21398" l="1"/>
  <c r="C639" i="21398" l="1"/>
  <c r="C641" i="21398" s="1"/>
  <c r="C643" i="21398" s="1"/>
  <c r="C645" i="21398" l="1"/>
  <c r="C647" i="21398" s="1"/>
  <c r="F647" i="21398" s="1"/>
  <c r="C649" i="21398" l="1"/>
  <c r="J650" i="21398" s="1"/>
  <c r="C651" i="21398" l="1"/>
  <c r="F651" i="21398" s="1"/>
  <c r="F649" i="21398"/>
  <c r="C653" i="21398" l="1"/>
  <c r="J652" i="21398" s="1"/>
  <c r="C655" i="21398" l="1"/>
  <c r="C657" i="21398" s="1"/>
  <c r="C659" i="21398" s="1"/>
  <c r="C661" i="21398" s="1"/>
  <c r="C663" i="21398" s="1"/>
  <c r="C665" i="21398" s="1"/>
  <c r="C667" i="21398" s="1"/>
  <c r="C669" i="21398" s="1"/>
  <c r="J664" i="21398" l="1"/>
  <c r="C671" i="21398"/>
  <c r="F671" i="21398" s="1"/>
  <c r="J668" i="21398"/>
  <c r="C673" i="21398" l="1"/>
  <c r="F673" i="21398" s="1"/>
  <c r="C675" i="21398" l="1"/>
  <c r="F675" i="21398" s="1"/>
  <c r="C677" i="21398" l="1"/>
  <c r="J678" i="21398" s="1"/>
  <c r="C679" i="21398" l="1"/>
  <c r="C681" i="21398" s="1"/>
  <c r="J680" i="21398" s="1"/>
  <c r="C683" i="21398" l="1"/>
  <c r="F681" i="21398"/>
  <c r="C685" i="21398" l="1"/>
  <c r="C687" i="21398" s="1"/>
  <c r="C689" i="21398" s="1"/>
  <c r="F683" i="21398"/>
  <c r="C691" i="21398" l="1"/>
  <c r="C693" i="21398" s="1"/>
  <c r="C695" i="21398" s="1"/>
  <c r="C697" i="21398" s="1"/>
  <c r="C699" i="21398" s="1"/>
  <c r="F689" i="21398"/>
  <c r="J698" i="21398" l="1"/>
  <c r="C701" i="21398"/>
  <c r="C703" i="21398" s="1"/>
  <c r="C705" i="21398" s="1"/>
  <c r="C707" i="21398" s="1"/>
  <c r="J708" i="21398" s="1"/>
  <c r="F691" i="21398"/>
  <c r="J694" i="21398" l="1"/>
  <c r="C709" i="21398" l="1"/>
  <c r="C711" i="21398" s="1"/>
  <c r="C713" i="21398" l="1"/>
  <c r="C715" i="21398" s="1"/>
  <c r="C717" i="21398" s="1"/>
  <c r="J710" i="21398"/>
  <c r="J713" i="21398" l="1"/>
  <c r="C719" i="21398"/>
  <c r="C721" i="21398" s="1"/>
  <c r="J722" i="21398" s="1"/>
  <c r="J715" i="21398"/>
  <c r="C723" i="21398" l="1"/>
  <c r="C725" i="21398" s="1"/>
  <c r="C727" i="21398" l="1"/>
  <c r="C729" i="21398" s="1"/>
  <c r="C731" i="21398" s="1"/>
  <c r="C733" i="21398" l="1"/>
  <c r="C735" i="21398" s="1"/>
  <c r="J734" i="21398" s="1"/>
  <c r="J732" i="21398"/>
  <c r="J730" i="21398"/>
  <c r="C737" i="21398" l="1"/>
  <c r="C739" i="21398" s="1"/>
  <c r="C741" i="21398" l="1"/>
  <c r="C743" i="21398" s="1"/>
  <c r="C745" i="21398" s="1"/>
  <c r="C747" i="21398" s="1"/>
  <c r="C749" i="21398" s="1"/>
  <c r="C751" i="21398" s="1"/>
  <c r="C753" i="21398" s="1"/>
  <c r="J753" i="21398" s="1"/>
  <c r="J739" i="21398"/>
  <c r="I54" i="21407"/>
  <c r="I72" i="21407"/>
  <c r="I42" i="21407"/>
  <c r="I133" i="21407"/>
  <c r="I47" i="21407"/>
  <c r="I185" i="21407"/>
  <c r="I57" i="21407"/>
  <c r="I58" i="21407"/>
  <c r="I196" i="21407"/>
  <c r="I92" i="21407"/>
  <c r="I80" i="21407"/>
  <c r="I60" i="21407"/>
  <c r="I132" i="21407"/>
  <c r="I18" i="21407"/>
  <c r="I43" i="21407"/>
  <c r="I234" i="21407"/>
  <c r="I83" i="21407"/>
  <c r="I90" i="21404"/>
  <c r="I44" i="21404"/>
  <c r="I76" i="21404"/>
  <c r="I97" i="21404"/>
  <c r="I10" i="21404"/>
  <c r="I153" i="21404"/>
  <c r="I77" i="21404"/>
  <c r="I33" i="21404"/>
  <c r="I36" i="21404"/>
  <c r="I19" i="21404"/>
  <c r="I54" i="21404"/>
  <c r="I29" i="21404"/>
  <c r="I110" i="21404"/>
  <c r="I39" i="21404"/>
  <c r="I162" i="21404"/>
  <c r="I20" i="21404"/>
  <c r="I32" i="21404"/>
  <c r="I27" i="21404"/>
  <c r="I81" i="21404"/>
  <c r="I146" i="21407"/>
  <c r="I9" i="21407"/>
  <c r="I68" i="21407"/>
  <c r="I36" i="21407"/>
  <c r="I97" i="21407"/>
  <c r="I98" i="21407" s="1"/>
  <c r="P26" i="21407"/>
  <c r="I26" i="21407" s="1"/>
  <c r="I17" i="21407"/>
  <c r="I90" i="21407"/>
  <c r="I35" i="21407"/>
  <c r="I55" i="21407"/>
  <c r="I121" i="21407"/>
  <c r="I21" i="21407"/>
  <c r="I14" i="21407"/>
  <c r="I59" i="21407"/>
  <c r="I101" i="21407"/>
  <c r="I158" i="21404"/>
  <c r="I165" i="21404" s="1"/>
  <c r="I5" i="21404"/>
  <c r="I111" i="21404"/>
  <c r="I112" i="21404" s="1"/>
  <c r="I107" i="21404"/>
  <c r="I89" i="21404"/>
  <c r="I24" i="21404"/>
  <c r="I62" i="21404"/>
  <c r="I143" i="21404"/>
  <c r="I34" i="21404"/>
  <c r="I21" i="21404"/>
  <c r="I182" i="21404"/>
  <c r="I186" i="21404" s="1"/>
  <c r="I122" i="21407"/>
  <c r="I74" i="21407"/>
  <c r="I128" i="21407"/>
  <c r="I95" i="21407"/>
  <c r="I32" i="21407"/>
  <c r="I40" i="21407"/>
  <c r="I51" i="21407"/>
  <c r="I197" i="21407"/>
  <c r="I77" i="21407"/>
  <c r="I78" i="21407"/>
  <c r="I87" i="21407"/>
  <c r="I76" i="21407"/>
  <c r="I5" i="21407"/>
  <c r="I13" i="21407"/>
  <c r="I64" i="21407"/>
  <c r="I88" i="21407"/>
  <c r="I31" i="21407"/>
  <c r="I105" i="21404"/>
  <c r="I56" i="21404"/>
  <c r="I59" i="21404"/>
  <c r="I64" i="21404"/>
  <c r="I183" i="21404"/>
  <c r="I82" i="21404"/>
  <c r="I12" i="21404"/>
  <c r="I30" i="21404"/>
  <c r="I6" i="21404"/>
  <c r="I156" i="21404"/>
  <c r="I11" i="21404"/>
  <c r="I22" i="21404"/>
  <c r="I120" i="21407"/>
  <c r="I147" i="21407"/>
  <c r="I65" i="21407"/>
  <c r="I49" i="21407"/>
  <c r="I44" i="21407"/>
  <c r="I52" i="21407"/>
  <c r="I62" i="21407"/>
  <c r="I184" i="21407"/>
  <c r="I16" i="21407"/>
  <c r="I181" i="21407"/>
  <c r="I152" i="21407"/>
  <c r="I71" i="21407"/>
  <c r="I91" i="21407"/>
  <c r="I123" i="21407"/>
  <c r="I37" i="21407"/>
  <c r="I126" i="21407"/>
  <c r="I125" i="21407"/>
  <c r="I163" i="21404"/>
  <c r="I88" i="21404"/>
  <c r="I68" i="21404"/>
  <c r="I69" i="21404" s="1"/>
  <c r="I93" i="21404"/>
  <c r="I8" i="21404"/>
  <c r="I154" i="21404"/>
  <c r="I26" i="21404"/>
  <c r="I185" i="21404"/>
  <c r="I164" i="21404"/>
  <c r="I52" i="21404"/>
  <c r="I139" i="21404"/>
  <c r="I17" i="21404"/>
  <c r="I233" i="21407"/>
  <c r="I237" i="21407" s="1"/>
  <c r="I24" i="21407"/>
  <c r="I139" i="21407"/>
  <c r="I150" i="21407"/>
  <c r="I141" i="21407"/>
  <c r="I66" i="21407"/>
  <c r="I56" i="21407"/>
  <c r="I48" i="21407"/>
  <c r="I236" i="21407"/>
  <c r="I38" i="21407"/>
  <c r="I110" i="21407"/>
  <c r="I239" i="21407"/>
  <c r="I15" i="21407"/>
  <c r="I118" i="21407"/>
  <c r="I39" i="21407"/>
  <c r="I75" i="21407"/>
  <c r="I102" i="21407"/>
  <c r="I46" i="21404"/>
  <c r="I108" i="21404"/>
  <c r="I43" i="21404"/>
  <c r="I92" i="21404"/>
  <c r="I146" i="21404"/>
  <c r="I193" i="21404"/>
  <c r="I41" i="21404"/>
  <c r="I9" i="21404"/>
  <c r="I138" i="21404"/>
  <c r="I48" i="21404"/>
  <c r="I58" i="21404"/>
  <c r="I63" i="21404"/>
  <c r="I179" i="21404"/>
  <c r="I140" i="21404"/>
  <c r="I106" i="21404"/>
  <c r="I178" i="21404"/>
  <c r="I141" i="21404"/>
  <c r="I159" i="21404"/>
  <c r="I155" i="21404" s="1"/>
  <c r="I73" i="21407"/>
  <c r="I79" i="21407"/>
  <c r="I235" i="21407"/>
  <c r="I70" i="21407"/>
  <c r="I7" i="21407"/>
  <c r="I67" i="21407"/>
  <c r="I41" i="21407"/>
  <c r="I94" i="21407"/>
  <c r="I4" i="21407"/>
  <c r="I89" i="21407"/>
  <c r="I50" i="21407"/>
  <c r="I61" i="21407"/>
  <c r="I6" i="21407"/>
  <c r="I8" i="21407"/>
  <c r="I19" i="21407"/>
  <c r="I45" i="21407"/>
  <c r="I46" i="21407"/>
  <c r="I53" i="21404"/>
  <c r="I14" i="21404"/>
  <c r="I184" i="21404"/>
  <c r="I83" i="21404"/>
  <c r="I42" i="21404"/>
  <c r="I87" i="21404"/>
  <c r="I18" i="21404"/>
  <c r="I28" i="21404"/>
  <c r="I85" i="21404"/>
  <c r="I66" i="21404"/>
  <c r="I67" i="21404" s="1"/>
  <c r="I60" i="21404"/>
  <c r="I31" i="21404"/>
  <c r="I40" i="21404"/>
  <c r="I61" i="21404"/>
  <c r="I47" i="21404"/>
  <c r="I45" i="21404"/>
  <c r="I80" i="21404"/>
  <c r="I70" i="21404"/>
  <c r="I117" i="21407"/>
  <c r="I12" i="21407"/>
  <c r="P23" i="21407"/>
  <c r="I23" i="21407" s="1"/>
  <c r="I85" i="21407"/>
  <c r="I63" i="21407"/>
  <c r="I151" i="21407"/>
  <c r="I33" i="21407"/>
  <c r="I11" i="21407"/>
  <c r="I138" i="21407"/>
  <c r="I129" i="21407"/>
  <c r="I86" i="21407"/>
  <c r="I22" i="21407"/>
  <c r="I131" i="21407"/>
  <c r="I189" i="21407"/>
  <c r="I53" i="21407"/>
  <c r="I25" i="21407"/>
  <c r="I30" i="21407"/>
  <c r="I23" i="21404"/>
  <c r="I13" i="21404"/>
  <c r="I38" i="21404"/>
  <c r="I7" i="21404"/>
  <c r="I25" i="21404"/>
  <c r="I98" i="21404"/>
  <c r="I37" i="21404"/>
  <c r="I55" i="21404"/>
  <c r="I57" i="21404"/>
  <c r="I109" i="21404"/>
  <c r="I49" i="21404"/>
  <c r="I188" i="21404"/>
  <c r="I65" i="21404"/>
  <c r="I4" i="21404"/>
  <c r="I35" i="21404"/>
  <c r="I142" i="21404"/>
  <c r="I91" i="21404"/>
  <c r="I86" i="21404"/>
  <c r="I182" i="21407"/>
  <c r="I20" i="21407"/>
  <c r="I109" i="21407"/>
  <c r="I10" i="21407"/>
  <c r="I186" i="21407"/>
  <c r="I127" i="21407"/>
  <c r="I244" i="21407"/>
  <c r="I34" i="21407"/>
  <c r="I183" i="21407"/>
  <c r="I84" i="21407"/>
  <c r="I96" i="21407"/>
  <c r="I130" i="21407"/>
  <c r="I148" i="21407"/>
  <c r="I69" i="21407"/>
  <c r="I93" i="21407"/>
  <c r="I99" i="21407"/>
  <c r="I100" i="21407" s="1"/>
  <c r="I149" i="21407"/>
  <c r="I71" i="21404"/>
  <c r="I78" i="21404"/>
  <c r="I157" i="21404"/>
  <c r="I111" i="21407" l="1"/>
  <c r="I134" i="21407"/>
  <c r="I113" i="21407"/>
  <c r="I115" i="21407"/>
  <c r="I114" i="21407"/>
  <c r="I112" i="21407"/>
  <c r="G4" i="21410"/>
  <c r="I154" i="21407"/>
  <c r="I153" i="21407"/>
  <c r="I155" i="21407"/>
  <c r="I116" i="21407"/>
  <c r="I79" i="21404"/>
  <c r="I3" i="21404"/>
  <c r="I119" i="21407"/>
  <c r="I150" i="21404"/>
  <c r="I151" i="21404" s="1"/>
  <c r="I145" i="21404"/>
  <c r="I104" i="21404"/>
  <c r="I103" i="21404" s="1"/>
  <c r="I102" i="21404" s="1"/>
  <c r="I174" i="21404"/>
  <c r="I160" i="21404"/>
  <c r="I193" i="21407"/>
  <c r="I194" i="21407" s="1"/>
  <c r="I188" i="21407"/>
  <c r="I81" i="21407"/>
  <c r="I82" i="21407" s="1"/>
  <c r="I145" i="21407"/>
  <c r="I144" i="21407" s="1"/>
  <c r="I143" i="21407" s="1"/>
  <c r="I50" i="21404"/>
  <c r="I51" i="21404" s="1"/>
  <c r="I175" i="21404" l="1"/>
  <c r="I172" i="21404"/>
  <c r="C23" i="2"/>
  <c r="C25" i="2" l="1"/>
  <c r="C27" i="2" s="1"/>
  <c r="C29" i="2" s="1"/>
  <c r="C31" i="2" l="1"/>
  <c r="C33" i="2" l="1"/>
  <c r="C35" i="2" l="1"/>
  <c r="C37" i="2" l="1"/>
  <c r="C39" i="2" s="1"/>
  <c r="C41" i="2" s="1"/>
  <c r="F41" i="2" s="1"/>
  <c r="C43" i="2" l="1"/>
  <c r="C45" i="2" l="1"/>
  <c r="C47" i="2" s="1"/>
  <c r="C49" i="2" s="1"/>
  <c r="C51" i="2" s="1"/>
  <c r="F43" i="2"/>
  <c r="C53" i="2" l="1"/>
  <c r="C55" i="2" s="1"/>
  <c r="C57" i="2" s="1"/>
  <c r="C59" i="2" s="1"/>
  <c r="C61" i="2" s="1"/>
  <c r="C63" i="2" s="1"/>
  <c r="C65" i="2" l="1"/>
  <c r="C67" i="2" s="1"/>
  <c r="C69" i="2" l="1"/>
  <c r="C71" i="2" s="1"/>
  <c r="C73" i="2" s="1"/>
  <c r="C75" i="2" s="1"/>
  <c r="C77" i="2" s="1"/>
  <c r="C79" i="2" s="1"/>
  <c r="C81" i="2" s="1"/>
  <c r="AQ210" i="2"/>
  <c r="AT159" i="21398"/>
  <c r="AQ154" i="21398"/>
  <c r="AT131" i="2"/>
  <c r="AT413" i="21398"/>
  <c r="AQ34" i="21398"/>
  <c r="AQ336" i="2"/>
  <c r="AQ322" i="21398"/>
  <c r="AQ230" i="2"/>
  <c r="AT381" i="2"/>
  <c r="AQ310" i="2"/>
  <c r="AT85" i="2"/>
  <c r="AT303" i="21398"/>
  <c r="AT467" i="21398"/>
  <c r="AQ220" i="21398"/>
  <c r="AT111" i="21398"/>
  <c r="AT245" i="21398"/>
  <c r="AT149" i="2"/>
  <c r="AT115" i="2"/>
  <c r="AT327" i="2"/>
  <c r="AQ134" i="2"/>
  <c r="AT293" i="21398"/>
  <c r="AQ52" i="2"/>
  <c r="AQ258" i="21398"/>
  <c r="AQ652" i="21398"/>
  <c r="AT471" i="2"/>
  <c r="AT49" i="2"/>
  <c r="AT227" i="21398"/>
  <c r="AT235" i="21398"/>
  <c r="AT401" i="2"/>
  <c r="AT249" i="2"/>
  <c r="AT161" i="21398"/>
  <c r="AQ124" i="2"/>
  <c r="AQ292" i="21398"/>
  <c r="AT619" i="2"/>
  <c r="AT553" i="21398"/>
  <c r="AT75" i="21398"/>
  <c r="AQ612" i="21398"/>
  <c r="AT353" i="21398"/>
  <c r="AT435" i="21398"/>
  <c r="AQ342" i="2"/>
  <c r="AT173" i="2"/>
  <c r="AQ292" i="2"/>
  <c r="AT357" i="2"/>
  <c r="AT661" i="21398"/>
  <c r="G222" i="21405"/>
  <c r="AT269" i="2"/>
  <c r="AT691" i="21398"/>
  <c r="AQ48" i="2"/>
  <c r="AQ262" i="21398"/>
  <c r="AQ464" i="2"/>
  <c r="AQ170" i="21398"/>
  <c r="AQ316" i="2"/>
  <c r="AT487" i="21398"/>
  <c r="AT451" i="21398"/>
  <c r="AQ272" i="21398"/>
  <c r="AQ528" i="2"/>
  <c r="AQ580" i="21398"/>
  <c r="AQ112" i="2"/>
  <c r="AQ40" i="2"/>
  <c r="AQ588" i="21398"/>
  <c r="AQ122" i="21398"/>
  <c r="AQ462" i="21398"/>
  <c r="AQ474" i="21398"/>
  <c r="AQ396" i="2"/>
  <c r="AQ158" i="21398"/>
  <c r="AQ678" i="21398"/>
  <c r="AT467" i="2"/>
  <c r="AT167" i="2"/>
  <c r="AQ174" i="2"/>
  <c r="AQ532" i="21398"/>
  <c r="AT457" i="21398"/>
  <c r="AT87" i="21398"/>
  <c r="AT83" i="21398"/>
  <c r="AT113" i="21398"/>
  <c r="AQ426" i="2"/>
  <c r="AT185" i="21398"/>
  <c r="AQ68" i="2"/>
  <c r="AQ430" i="21398"/>
  <c r="AQ94" i="2"/>
  <c r="G284" i="21405"/>
  <c r="AQ214" i="21398"/>
  <c r="AT377" i="2"/>
  <c r="AT77" i="21398"/>
  <c r="AT561" i="2"/>
  <c r="AT423" i="21398"/>
  <c r="AT607" i="2"/>
  <c r="AQ422" i="21398"/>
  <c r="AQ56" i="21398"/>
  <c r="AQ284" i="2"/>
  <c r="AQ592" i="21398"/>
  <c r="AQ658" i="2"/>
  <c r="AT167" i="21398"/>
  <c r="AQ54" i="2"/>
  <c r="AQ246" i="21398"/>
  <c r="AQ484" i="2"/>
  <c r="AQ102" i="2"/>
  <c r="AT365" i="21398"/>
  <c r="AQ456" i="21398"/>
  <c r="AT313" i="21398"/>
  <c r="AQ652" i="2"/>
  <c r="AT429" i="2"/>
  <c r="AT329" i="2"/>
  <c r="AT411" i="2"/>
  <c r="AQ360" i="2"/>
  <c r="AQ92" i="2"/>
  <c r="AT343" i="2"/>
  <c r="AT285" i="2"/>
  <c r="AT617" i="21398"/>
  <c r="AQ276" i="21398"/>
  <c r="AQ248" i="21398"/>
  <c r="AT443" i="2"/>
  <c r="AT665" i="21398"/>
  <c r="AQ564" i="21398"/>
  <c r="AT469" i="21398"/>
  <c r="AQ52" i="21398"/>
  <c r="AT449" i="21398"/>
  <c r="AT191" i="2"/>
  <c r="AT33" i="21398"/>
  <c r="AQ78" i="21398"/>
  <c r="AT41" i="21398"/>
  <c r="AQ208" i="2"/>
  <c r="AQ560" i="21398"/>
  <c r="AT55" i="21398"/>
  <c r="AQ312" i="2"/>
  <c r="AQ220" i="2"/>
  <c r="AT203" i="21398"/>
  <c r="AT499" i="2"/>
  <c r="AQ470" i="21398"/>
  <c r="AQ232" i="21398"/>
  <c r="AQ654" i="21398"/>
  <c r="AQ314" i="2"/>
  <c r="AQ350" i="2"/>
  <c r="AT333" i="21398"/>
  <c r="AQ466" i="2"/>
  <c r="AT311" i="21398"/>
  <c r="AT419" i="2"/>
  <c r="AQ250" i="21398"/>
  <c r="AQ582" i="2"/>
  <c r="AT67" i="2"/>
  <c r="AQ690" i="21398"/>
  <c r="AT287" i="2"/>
  <c r="AT537" i="2"/>
  <c r="AT473" i="2"/>
  <c r="AT685" i="2"/>
  <c r="AT223" i="21398"/>
  <c r="AT569" i="2"/>
  <c r="AT363" i="2"/>
  <c r="AQ204" i="21398"/>
  <c r="AT227" i="2"/>
  <c r="AT23" i="2"/>
  <c r="AQ208" i="21398"/>
  <c r="AT439" i="21398"/>
  <c r="AT163" i="2"/>
  <c r="AT351" i="21398"/>
  <c r="AT259" i="21398"/>
  <c r="AQ390" i="2"/>
  <c r="AT119" i="2"/>
  <c r="AT155" i="21398"/>
  <c r="AQ518" i="21398"/>
  <c r="AQ686" i="21398"/>
  <c r="AT439" i="2"/>
  <c r="AQ80" i="21398"/>
  <c r="AQ298" i="2"/>
  <c r="AQ536" i="2"/>
  <c r="AT285" i="21398"/>
  <c r="AT153" i="21398"/>
  <c r="AQ264" i="21398"/>
  <c r="AQ236" i="2"/>
  <c r="AT279" i="21398"/>
  <c r="AT623" i="21398"/>
  <c r="AQ662" i="2"/>
  <c r="AT317" i="2"/>
  <c r="AQ62" i="2"/>
  <c r="AT587" i="2"/>
  <c r="AQ660" i="2"/>
  <c r="G197" i="21405"/>
  <c r="AT503" i="2"/>
  <c r="G191" i="21405"/>
  <c r="G83" i="21405"/>
  <c r="AQ36" i="2"/>
  <c r="AQ542" i="21398"/>
  <c r="AQ252" i="21398"/>
  <c r="AT457" i="2"/>
  <c r="AT519" i="21398"/>
  <c r="AT313" i="2"/>
  <c r="AT421" i="2"/>
  <c r="AQ414" i="2"/>
  <c r="AT213" i="21398"/>
  <c r="AT433" i="2"/>
  <c r="AT509" i="2"/>
  <c r="AT359" i="21398"/>
  <c r="AT301" i="2"/>
  <c r="AT259" i="2"/>
  <c r="G79" i="21405"/>
  <c r="AT141" i="2"/>
  <c r="AQ446" i="21398"/>
  <c r="AT477" i="21398"/>
  <c r="AQ92" i="21398"/>
  <c r="AT589" i="21398"/>
  <c r="AT625" i="21398"/>
  <c r="AQ564" i="2"/>
  <c r="AT239" i="2"/>
  <c r="AQ370" i="2"/>
  <c r="AT529" i="2"/>
  <c r="AQ520" i="2"/>
  <c r="AT667" i="2"/>
  <c r="AT311" i="2"/>
  <c r="AQ270" i="2"/>
  <c r="AT41" i="2"/>
  <c r="AT321" i="2"/>
  <c r="AQ26" i="21398"/>
  <c r="G177" i="21405"/>
  <c r="AT579" i="2"/>
  <c r="AT271" i="21398"/>
  <c r="AT145" i="2"/>
  <c r="AT29" i="2"/>
  <c r="AQ372" i="21398"/>
  <c r="AT487" i="2"/>
  <c r="AT177" i="21398"/>
  <c r="AQ586" i="21398"/>
  <c r="AQ30" i="21398"/>
  <c r="AT349" i="2"/>
  <c r="AT475" i="2"/>
  <c r="AQ486" i="2"/>
  <c r="AQ304" i="21398"/>
  <c r="AQ480" i="21398"/>
  <c r="AT355" i="2"/>
  <c r="AQ458" i="21398"/>
  <c r="AQ644" i="2"/>
  <c r="AQ222" i="2"/>
  <c r="AQ536" i="21398"/>
  <c r="AT513" i="2"/>
  <c r="AQ366" i="21398"/>
  <c r="AT593" i="21398"/>
  <c r="AT635" i="21398"/>
  <c r="AT445" i="2"/>
  <c r="AT207" i="2"/>
  <c r="AT165" i="21398"/>
  <c r="G128" i="21405"/>
  <c r="AQ66" i="21398"/>
  <c r="AQ50" i="2"/>
  <c r="AT305" i="2"/>
  <c r="AT493" i="2"/>
  <c r="AT293" i="2"/>
  <c r="AQ212" i="2"/>
  <c r="AT465" i="2"/>
  <c r="AQ218" i="2"/>
  <c r="AT517" i="2"/>
  <c r="AT507" i="2"/>
  <c r="G181" i="21405"/>
  <c r="AT525" i="21398"/>
  <c r="AT315" i="2"/>
  <c r="AQ428" i="21398"/>
  <c r="AQ384" i="2"/>
  <c r="AQ304" i="2"/>
  <c r="AQ530" i="2"/>
  <c r="AQ124" i="21398"/>
  <c r="AQ28" i="2"/>
  <c r="AQ674" i="21398"/>
  <c r="AT609" i="2"/>
  <c r="AQ58" i="2"/>
  <c r="AT289" i="2"/>
  <c r="AQ642" i="21398"/>
  <c r="AT453" i="21398"/>
  <c r="AQ106" i="2"/>
  <c r="AT261" i="21398"/>
  <c r="AQ302" i="2"/>
  <c r="AQ434" i="2"/>
  <c r="AQ588" i="2"/>
  <c r="AT375" i="21398"/>
  <c r="AQ404" i="2"/>
  <c r="AT65" i="21398"/>
  <c r="AQ418" i="21398"/>
  <c r="AT327" i="21398"/>
  <c r="AT505" i="2"/>
  <c r="AQ522" i="2"/>
  <c r="AT653" i="21398"/>
  <c r="AQ566" i="2"/>
  <c r="AQ132" i="21398"/>
  <c r="AT105" i="2"/>
  <c r="G281" i="21405"/>
  <c r="AT139" i="2"/>
  <c r="AQ650" i="21398"/>
  <c r="AQ274" i="21398"/>
  <c r="AT513" i="21398"/>
  <c r="AQ168" i="21398"/>
  <c r="AT407" i="2"/>
  <c r="AT91" i="2"/>
  <c r="AT329" i="21398"/>
  <c r="AT383" i="21398"/>
  <c r="AT379" i="21398"/>
  <c r="AT477" i="2"/>
  <c r="AT241" i="2"/>
  <c r="AQ160" i="2"/>
  <c r="AT615" i="21398"/>
  <c r="AT659" i="2"/>
  <c r="AQ356" i="21398"/>
  <c r="G180" i="21405"/>
  <c r="AQ422" i="2"/>
  <c r="AT533" i="21398"/>
  <c r="AT131" i="21398"/>
  <c r="AT45" i="21398"/>
  <c r="AQ538" i="2"/>
  <c r="AQ82" i="2"/>
  <c r="AQ230" i="21398"/>
  <c r="AQ544" i="2"/>
  <c r="AQ306" i="21398"/>
  <c r="AT681" i="21398"/>
  <c r="AT331" i="21398"/>
  <c r="AT641" i="21398"/>
  <c r="AT667" i="21398"/>
  <c r="AT381" i="21398"/>
  <c r="AT217" i="2"/>
  <c r="AQ258" i="2"/>
  <c r="AT39" i="2"/>
  <c r="AQ444" i="2"/>
  <c r="AT347" i="2"/>
  <c r="AQ314" i="21398"/>
  <c r="AT81" i="2"/>
  <c r="AQ202" i="21398"/>
  <c r="AT79" i="21398"/>
  <c r="AT627" i="2"/>
  <c r="AQ312" i="21398"/>
  <c r="AQ460" i="21398"/>
  <c r="AQ310" i="21398"/>
  <c r="AT37" i="21398"/>
  <c r="AT33" i="2"/>
  <c r="AQ684" i="21398"/>
  <c r="AQ234" i="21398"/>
  <c r="AT521" i="21398"/>
  <c r="AT27" i="2"/>
  <c r="AT363" i="21398"/>
  <c r="AT597" i="21398"/>
  <c r="AT547" i="21398"/>
  <c r="AT591" i="2"/>
  <c r="AT247" i="21398"/>
  <c r="AQ616" i="21398"/>
  <c r="AQ110" i="21398"/>
  <c r="AQ98" i="2"/>
  <c r="AT277" i="21398"/>
  <c r="AQ38" i="2"/>
  <c r="AQ298" i="21398"/>
  <c r="AQ266" i="21398"/>
  <c r="AQ364" i="21398"/>
  <c r="AT587" i="21398"/>
  <c r="AT335" i="2"/>
  <c r="AT27" i="21398"/>
  <c r="AQ358" i="2"/>
  <c r="AT385" i="21398"/>
  <c r="AQ534" i="2"/>
  <c r="AT387" i="2"/>
  <c r="AT97" i="2"/>
  <c r="AT493" i="21398"/>
  <c r="G193" i="21405"/>
  <c r="AQ186" i="21398"/>
  <c r="AT373" i="21398"/>
  <c r="AQ358" i="21398"/>
  <c r="AQ548" i="21398"/>
  <c r="AQ224" i="2"/>
  <c r="AT231" i="21398"/>
  <c r="AT611" i="21398"/>
  <c r="AQ216" i="2"/>
  <c r="AQ106" i="21398"/>
  <c r="AT309" i="2"/>
  <c r="AQ486" i="21398"/>
  <c r="AT655" i="21398"/>
  <c r="AT431" i="2"/>
  <c r="AQ354" i="2"/>
  <c r="AT59" i="2"/>
  <c r="AQ320" i="21398"/>
  <c r="G39" i="21405"/>
  <c r="AT479" i="21398"/>
  <c r="AQ388" i="2"/>
  <c r="AQ198" i="21398"/>
  <c r="AT107" i="21398"/>
  <c r="AT283" i="21398"/>
  <c r="AQ184" i="21398"/>
  <c r="AT319" i="21398"/>
  <c r="AQ362" i="21398"/>
  <c r="AQ488" i="21398"/>
  <c r="AQ640" i="21398"/>
  <c r="AQ158" i="2"/>
  <c r="AQ290" i="2"/>
  <c r="AT417" i="2"/>
  <c r="AQ510" i="21398"/>
  <c r="AT291" i="2"/>
  <c r="AT117" i="21398"/>
  <c r="AQ146" i="2"/>
  <c r="AQ482" i="21398"/>
  <c r="AT473" i="21398"/>
  <c r="AT137" i="2"/>
  <c r="AT669" i="2"/>
  <c r="AQ88" i="21398"/>
  <c r="AT395" i="21398"/>
  <c r="AQ54" i="21398"/>
  <c r="AT633" i="21398"/>
  <c r="AQ164" i="2"/>
  <c r="AQ116" i="2"/>
  <c r="G82" i="21405"/>
  <c r="AQ596" i="2"/>
  <c r="AT47" i="21398"/>
  <c r="AT175" i="2"/>
  <c r="AQ134" i="21398"/>
  <c r="AQ276" i="2"/>
  <c r="AT421" i="21398"/>
  <c r="AQ406" i="2"/>
  <c r="AQ118" i="2"/>
  <c r="AQ270" i="21398"/>
  <c r="AQ178" i="21398"/>
  <c r="AQ664" i="2"/>
  <c r="AT49" i="21398"/>
  <c r="AQ196" i="2"/>
  <c r="AT559" i="21398"/>
  <c r="AQ466" i="21398"/>
  <c r="AT105" i="21398"/>
  <c r="AQ176" i="2"/>
  <c r="AQ490" i="2"/>
  <c r="AQ286" i="21398"/>
  <c r="AT199" i="2"/>
  <c r="AT645" i="2"/>
  <c r="AT29" i="21398"/>
  <c r="AQ424" i="2"/>
  <c r="AQ214" i="2"/>
  <c r="AT429" i="21398"/>
  <c r="AT315" i="21398"/>
  <c r="AQ126" i="21398"/>
  <c r="AT251" i="21398"/>
  <c r="AQ478" i="2"/>
  <c r="AQ22" i="2"/>
  <c r="G262" i="21405"/>
  <c r="AT435" i="2"/>
  <c r="AT71" i="21398"/>
  <c r="AT183" i="2"/>
  <c r="AQ540" i="21398"/>
  <c r="AT565" i="21398"/>
  <c r="AQ182" i="2"/>
  <c r="AT51" i="21398"/>
  <c r="AT133" i="2"/>
  <c r="AQ578" i="2"/>
  <c r="AT451" i="2"/>
  <c r="AQ58" i="21398"/>
  <c r="AT211" i="2"/>
  <c r="AT581" i="2"/>
  <c r="AQ572" i="21398"/>
  <c r="AT543" i="21398"/>
  <c r="AT673" i="21398"/>
  <c r="AT403" i="2"/>
  <c r="AT641" i="2"/>
  <c r="AQ48" i="21398"/>
  <c r="AT637" i="2"/>
  <c r="AT539" i="2"/>
  <c r="AQ64" i="2"/>
  <c r="AQ412" i="2"/>
  <c r="AT87" i="2"/>
  <c r="AQ280" i="2"/>
  <c r="AT225" i="2"/>
  <c r="AT629" i="2"/>
  <c r="AQ294" i="2"/>
  <c r="AT499" i="21398"/>
  <c r="AQ458" i="2"/>
  <c r="AQ228" i="21398"/>
  <c r="AT585" i="21398"/>
  <c r="AT147" i="21398"/>
  <c r="AQ112" i="21398"/>
  <c r="AT299" i="2"/>
  <c r="AQ666" i="21398"/>
  <c r="AT219" i="21398"/>
  <c r="AT101" i="21398"/>
  <c r="AT35" i="2"/>
  <c r="AQ242" i="21398"/>
  <c r="AT687" i="21398"/>
  <c r="AT557" i="21398"/>
  <c r="AT575" i="21398"/>
  <c r="AQ402" i="2"/>
  <c r="AQ200" i="2"/>
  <c r="AQ100" i="2"/>
  <c r="AT183" i="21398"/>
  <c r="AT483" i="2"/>
  <c r="AQ394" i="2"/>
  <c r="AQ474" i="2"/>
  <c r="AQ194" i="21398"/>
  <c r="AT635" i="2"/>
  <c r="AQ460" i="2"/>
  <c r="AT359" i="2"/>
  <c r="AQ568" i="21398"/>
  <c r="AT281" i="21398"/>
  <c r="AT187" i="2"/>
  <c r="AT61" i="2"/>
  <c r="G123" i="21405"/>
  <c r="AQ46" i="2"/>
  <c r="AQ130" i="21398"/>
  <c r="AQ38" i="21398"/>
  <c r="AT275" i="21398"/>
  <c r="AQ584" i="21398"/>
  <c r="AQ680" i="21398"/>
  <c r="AT139" i="21398"/>
  <c r="AQ334" i="21398"/>
  <c r="AQ434" i="21398"/>
  <c r="AQ562" i="2"/>
  <c r="AT437" i="21398"/>
  <c r="AQ558" i="21398"/>
  <c r="AQ688" i="21398"/>
  <c r="AT339" i="2"/>
  <c r="AT437" i="2"/>
  <c r="AQ480" i="2"/>
  <c r="AT613" i="21398"/>
  <c r="AT689" i="21398"/>
  <c r="AQ268" i="21398"/>
  <c r="AT535" i="2"/>
  <c r="AT155" i="2"/>
  <c r="AQ216" i="21398"/>
  <c r="AT345" i="21398"/>
  <c r="AT169" i="2"/>
  <c r="AT483" i="21398"/>
  <c r="AQ484" i="21398"/>
  <c r="AT607" i="21398"/>
  <c r="AT173" i="21398"/>
  <c r="AQ82" i="21398"/>
  <c r="AT233" i="21398"/>
  <c r="AQ228" i="2"/>
  <c r="AT669" i="21398"/>
  <c r="AT583" i="2"/>
  <c r="AQ442" i="2"/>
  <c r="AQ392" i="2"/>
  <c r="AQ76" i="21398"/>
  <c r="AQ666" i="2"/>
  <c r="AQ438" i="21398"/>
  <c r="AQ74" i="2"/>
  <c r="AQ86" i="21398"/>
  <c r="AQ570" i="21398"/>
  <c r="AQ380" i="2"/>
  <c r="AQ190" i="21398"/>
  <c r="AT121" i="2"/>
  <c r="AT423" i="2"/>
  <c r="AT201" i="2"/>
  <c r="AT93" i="2"/>
  <c r="AT657" i="21398"/>
  <c r="AT639" i="2"/>
  <c r="AT531" i="21398"/>
  <c r="G184" i="21405"/>
  <c r="AT177" i="2"/>
  <c r="AQ162" i="2"/>
  <c r="AQ664" i="21398"/>
  <c r="AQ194" i="2"/>
  <c r="AT81" i="21398"/>
  <c r="AQ330" i="2"/>
  <c r="G195" i="21405"/>
  <c r="AQ280" i="21398"/>
  <c r="AT401" i="21398"/>
  <c r="AT89" i="21398"/>
  <c r="AT535" i="21398"/>
  <c r="AQ170" i="2"/>
  <c r="AT237" i="2"/>
  <c r="AQ142" i="2"/>
  <c r="AT425" i="21398"/>
  <c r="AT109" i="2"/>
  <c r="AT83" i="2"/>
  <c r="AQ260" i="21398"/>
  <c r="AQ24" i="21398"/>
  <c r="AT679" i="21398"/>
  <c r="AQ440" i="21398"/>
  <c r="AQ454" i="2"/>
  <c r="AT445" i="21398"/>
  <c r="AQ490" i="21398"/>
  <c r="AQ430" i="2"/>
  <c r="AQ162" i="21398"/>
  <c r="AQ332" i="21398"/>
  <c r="AT25" i="2"/>
  <c r="AT531" i="2"/>
  <c r="AQ160" i="21398"/>
  <c r="AT663" i="21398"/>
  <c r="AT361" i="21398"/>
  <c r="AQ500" i="21398"/>
  <c r="AT117" i="2"/>
  <c r="AQ512" i="21398"/>
  <c r="AT291" i="21398"/>
  <c r="AQ144" i="21398"/>
  <c r="AT621" i="2"/>
  <c r="AQ286" i="2"/>
  <c r="AQ136" i="21398"/>
  <c r="AQ380" i="21398"/>
  <c r="AT85" i="21398"/>
  <c r="AQ328" i="21398"/>
  <c r="AQ414" i="21398"/>
  <c r="AT633" i="2"/>
  <c r="AT397" i="2"/>
  <c r="AT595" i="21398"/>
  <c r="AT111" i="2"/>
  <c r="AT393" i="21398"/>
  <c r="AQ426" i="21398"/>
  <c r="AQ390" i="21398"/>
  <c r="AT541" i="21398"/>
  <c r="AQ94" i="21398"/>
  <c r="AT241" i="21398"/>
  <c r="AT527" i="2"/>
  <c r="AQ226" i="21398"/>
  <c r="AT243" i="2"/>
  <c r="AT679" i="2"/>
  <c r="AQ272" i="2"/>
  <c r="AT209" i="21398"/>
  <c r="G271" i="21405"/>
  <c r="AT317" i="21398"/>
  <c r="AT345" i="2"/>
  <c r="AT325" i="2"/>
  <c r="AT235" i="2"/>
  <c r="AQ450" i="2"/>
  <c r="AQ482" i="2"/>
  <c r="AQ576" i="2"/>
  <c r="AQ356" i="2"/>
  <c r="AQ176" i="21398"/>
  <c r="AQ512" i="2"/>
  <c r="AT191" i="21398"/>
  <c r="AT539" i="21398"/>
  <c r="AQ202" i="2"/>
  <c r="AQ84" i="2"/>
  <c r="AQ122" i="2"/>
  <c r="AT295" i="21398"/>
  <c r="G194" i="21405"/>
  <c r="AT189" i="21398"/>
  <c r="AT551" i="21398"/>
  <c r="AT341" i="21398"/>
  <c r="AT405" i="21398"/>
  <c r="AT415" i="2"/>
  <c r="AQ442" i="21398"/>
  <c r="AQ448" i="2"/>
  <c r="AT629" i="21398"/>
  <c r="AT179" i="2"/>
  <c r="AQ282" i="21398"/>
  <c r="AQ334" i="2"/>
  <c r="AQ542" i="2"/>
  <c r="AT383" i="2"/>
  <c r="AT377" i="21398"/>
  <c r="AT563" i="2"/>
  <c r="AQ244" i="2"/>
  <c r="AQ104" i="21398"/>
  <c r="G274" i="21405"/>
  <c r="AT231" i="2"/>
  <c r="AQ278" i="2"/>
  <c r="AT283" i="2"/>
  <c r="AQ436" i="2"/>
  <c r="AT455" i="21398"/>
  <c r="AT277" i="2"/>
  <c r="AQ130" i="2"/>
  <c r="AQ282" i="2"/>
  <c r="AT69" i="21398"/>
  <c r="AT273" i="21398"/>
  <c r="AT369" i="21398"/>
  <c r="AQ406" i="21398"/>
  <c r="AT59" i="21398"/>
  <c r="AQ196" i="21398"/>
  <c r="AQ60" i="21398"/>
  <c r="AT485" i="21398"/>
  <c r="AQ136" i="2"/>
  <c r="AQ328" i="2"/>
  <c r="AQ278" i="21398"/>
  <c r="AT305" i="21398"/>
  <c r="G264" i="21405"/>
  <c r="AT219" i="2"/>
  <c r="AQ174" i="21398"/>
  <c r="AQ370" i="21398"/>
  <c r="AQ472" i="21398"/>
  <c r="AT297" i="2"/>
  <c r="AQ472" i="2"/>
  <c r="AQ64" i="21398"/>
  <c r="AT571" i="21398"/>
  <c r="AT125" i="21398"/>
  <c r="AQ566" i="21398"/>
  <c r="AT165" i="2"/>
  <c r="AT481" i="2"/>
  <c r="AT567" i="2"/>
  <c r="AT251" i="2"/>
  <c r="AT181" i="2"/>
  <c r="AT45" i="2"/>
  <c r="AQ138" i="21398"/>
  <c r="AQ96" i="2"/>
  <c r="AT73" i="21398"/>
  <c r="AQ68" i="21398"/>
  <c r="AT603" i="21398"/>
  <c r="AQ410" i="21398"/>
  <c r="AT53" i="21398"/>
  <c r="AT323" i="2"/>
  <c r="AQ678" i="2"/>
  <c r="AQ470" i="2"/>
  <c r="AQ352" i="21398"/>
  <c r="AT195" i="21398"/>
  <c r="AQ318" i="2"/>
  <c r="AT675" i="21398"/>
  <c r="AQ500" i="2"/>
  <c r="AT141" i="21398"/>
  <c r="AT151" i="2"/>
  <c r="AQ444" i="21398"/>
  <c r="G280" i="21405"/>
  <c r="AQ660" i="21398"/>
  <c r="AQ462" i="2"/>
  <c r="AQ206" i="21398"/>
  <c r="AQ574" i="2"/>
  <c r="AQ668" i="21398"/>
  <c r="AT203" i="2"/>
  <c r="AQ524" i="2"/>
  <c r="AQ80" i="2"/>
  <c r="AT71" i="2"/>
  <c r="AQ672" i="21398"/>
  <c r="AT149" i="21398"/>
  <c r="AT441" i="2"/>
  <c r="AT453" i="2"/>
  <c r="AQ534" i="21398"/>
  <c r="AT599" i="21398"/>
  <c r="AT335" i="21398"/>
  <c r="AT515" i="2"/>
  <c r="AT495" i="2"/>
  <c r="AQ336" i="21398"/>
  <c r="AT57" i="21398"/>
  <c r="AT61" i="21398"/>
  <c r="AQ436" i="21398"/>
  <c r="AT209" i="2"/>
  <c r="AT511" i="21398"/>
  <c r="AQ424" i="21398"/>
  <c r="AT511" i="2"/>
  <c r="AT495" i="21398"/>
  <c r="AT307" i="21398"/>
  <c r="AQ496" i="2"/>
  <c r="AQ360" i="21398"/>
  <c r="AT609" i="21398"/>
  <c r="AQ242" i="2"/>
  <c r="AT485" i="2"/>
  <c r="AQ300" i="2"/>
  <c r="AT143" i="21398"/>
  <c r="G192" i="21405"/>
  <c r="AT243" i="21398"/>
  <c r="AT549" i="21398"/>
  <c r="AT255" i="21398"/>
  <c r="AQ206" i="2"/>
  <c r="AT651" i="21398"/>
  <c r="AQ300" i="21398"/>
  <c r="AQ324" i="2"/>
  <c r="AT221" i="2"/>
  <c r="AT521" i="2"/>
  <c r="AT677" i="21398"/>
  <c r="AQ452" i="21398"/>
  <c r="AT31" i="21398"/>
  <c r="AT25" i="21398"/>
  <c r="AQ682" i="21398"/>
  <c r="AT501" i="21398"/>
  <c r="AQ142" i="21398"/>
  <c r="AT431" i="21398"/>
  <c r="AQ150" i="21398"/>
  <c r="AQ42" i="2"/>
  <c r="AQ26" i="2"/>
  <c r="AT603" i="2"/>
  <c r="AT137" i="21398"/>
  <c r="AQ244" i="21398"/>
  <c r="AQ138" i="2"/>
  <c r="AQ432" i="21398"/>
  <c r="AT351" i="2"/>
  <c r="AT79" i="2"/>
  <c r="AT517" i="21398"/>
  <c r="AQ326" i="2"/>
  <c r="AQ296" i="21398"/>
  <c r="AQ302" i="21398"/>
  <c r="AQ36" i="21398"/>
  <c r="AQ268" i="2"/>
  <c r="AT123" i="21398"/>
  <c r="AT89" i="2"/>
  <c r="AQ416" i="21398"/>
  <c r="AT491" i="21398"/>
  <c r="AT409" i="2"/>
  <c r="AQ128" i="21398"/>
  <c r="AQ186" i="2"/>
  <c r="AQ398" i="21398"/>
  <c r="AT101" i="2"/>
  <c r="AQ120" i="2"/>
  <c r="AT263" i="21398"/>
  <c r="AQ346" i="21398"/>
  <c r="AQ498" i="2"/>
  <c r="G198" i="21405"/>
  <c r="AT279" i="2"/>
  <c r="AQ440" i="2"/>
  <c r="AQ330" i="21398"/>
  <c r="AT247" i="2"/>
  <c r="AQ318" i="21398"/>
  <c r="AT455" i="2"/>
  <c r="AT95" i="21398"/>
  <c r="AQ504" i="2"/>
  <c r="AT489" i="21398"/>
  <c r="AT687" i="2"/>
  <c r="AQ96" i="21398"/>
  <c r="AT503" i="21398"/>
  <c r="AQ326" i="21398"/>
  <c r="AT577" i="21398"/>
  <c r="AT655" i="2"/>
  <c r="AQ582" i="21398"/>
  <c r="AT113" i="2"/>
  <c r="AQ592" i="2"/>
  <c r="AT447" i="21398"/>
  <c r="AQ100" i="21398"/>
  <c r="AQ254" i="21398"/>
  <c r="AQ662" i="21398"/>
  <c r="AQ492" i="2"/>
  <c r="AT585" i="2"/>
  <c r="AQ348" i="2"/>
  <c r="AT197" i="2"/>
  <c r="AQ502" i="2"/>
  <c r="AT127" i="2"/>
  <c r="AQ498" i="21398"/>
  <c r="AT31" i="2"/>
  <c r="AQ148" i="21398"/>
  <c r="AQ182" i="21398"/>
  <c r="AQ114" i="21398"/>
  <c r="AQ510" i="2"/>
  <c r="G44" i="21405"/>
  <c r="AT93" i="21398"/>
  <c r="AT151" i="21398"/>
  <c r="AQ560" i="2"/>
  <c r="AQ438" i="2"/>
  <c r="AQ84" i="21398"/>
  <c r="AQ574" i="21398"/>
  <c r="AT481" i="21398"/>
  <c r="AT67" i="21398"/>
  <c r="AT569" i="21398"/>
  <c r="AT643" i="21398"/>
  <c r="AQ508" i="2"/>
  <c r="AT509" i="21398"/>
  <c r="AQ488" i="2"/>
  <c r="AT605" i="21398"/>
  <c r="AT201" i="21398"/>
  <c r="AT405" i="2"/>
  <c r="AQ350" i="21398"/>
  <c r="AQ378" i="21398"/>
  <c r="AQ152" i="21398"/>
  <c r="AQ684" i="2"/>
  <c r="AQ114" i="2"/>
  <c r="AQ192" i="2"/>
  <c r="AT119" i="21398"/>
  <c r="AT301" i="21398"/>
  <c r="AT307" i="2"/>
  <c r="AT657" i="2"/>
  <c r="AT665" i="2"/>
  <c r="AT427" i="2"/>
  <c r="AT193" i="2"/>
  <c r="AT309" i="21398"/>
  <c r="AQ344" i="2"/>
  <c r="AT387" i="21398"/>
  <c r="AT385" i="2"/>
  <c r="AQ32" i="2"/>
  <c r="AT225" i="21398"/>
  <c r="AT233" i="2"/>
  <c r="AT95" i="2"/>
  <c r="AQ526" i="2"/>
  <c r="AT195" i="2"/>
  <c r="AT261" i="2"/>
  <c r="AQ248" i="2"/>
  <c r="G43" i="21405"/>
  <c r="AT661" i="2"/>
  <c r="AT379" i="2"/>
  <c r="AQ316" i="21398"/>
  <c r="AQ120" i="21398"/>
  <c r="AQ180" i="21398"/>
  <c r="AQ128" i="2"/>
  <c r="AQ140" i="2"/>
  <c r="AT37" i="2"/>
  <c r="AQ156" i="2"/>
  <c r="AQ378" i="2"/>
  <c r="AT63" i="21398"/>
  <c r="AQ578" i="21398"/>
  <c r="AQ514" i="2"/>
  <c r="AQ514" i="21398"/>
  <c r="AT425" i="2"/>
  <c r="AT39" i="21398"/>
  <c r="AQ86" i="2"/>
  <c r="AQ108" i="21398"/>
  <c r="AT551" i="2"/>
  <c r="G279" i="21405"/>
  <c r="AQ464" i="21398"/>
  <c r="AT281" i="2"/>
  <c r="AQ42" i="21398"/>
  <c r="AT47" i="2"/>
  <c r="AQ308" i="2"/>
  <c r="AT627" i="21398"/>
  <c r="AT223" i="2"/>
  <c r="AT491" i="2"/>
  <c r="AQ590" i="21398"/>
  <c r="AQ552" i="21398"/>
  <c r="AT343" i="21398"/>
  <c r="AT579" i="21398"/>
  <c r="AT443" i="21398"/>
  <c r="AQ284" i="21398"/>
  <c r="G259" i="21405"/>
  <c r="AQ392" i="21398"/>
  <c r="AT625" i="2"/>
  <c r="AT147" i="2"/>
  <c r="AQ340" i="21398"/>
  <c r="AQ520" i="21398"/>
  <c r="AQ342" i="21398"/>
  <c r="AQ396" i="21398"/>
  <c r="AQ104" i="2"/>
  <c r="AT583" i="21398"/>
  <c r="AT341" i="2"/>
  <c r="AQ32" i="21398"/>
  <c r="G146" i="21405"/>
  <c r="AQ576" i="21398"/>
  <c r="AQ554" i="21398"/>
  <c r="AQ306" i="2"/>
  <c r="AQ382" i="2"/>
  <c r="AQ568" i="2"/>
  <c r="AQ188" i="21398"/>
  <c r="AT253" i="21398"/>
  <c r="AT403" i="21398"/>
  <c r="AT461" i="21398"/>
  <c r="AT35" i="21398"/>
  <c r="AQ584" i="2"/>
  <c r="AT653" i="2"/>
  <c r="AQ44" i="2"/>
  <c r="AT459" i="2"/>
  <c r="AQ232" i="2"/>
  <c r="AQ594" i="21398"/>
  <c r="AQ320" i="2"/>
  <c r="AT109" i="21398"/>
  <c r="AT135" i="21398"/>
  <c r="AQ296" i="2"/>
  <c r="AT299" i="21398"/>
  <c r="AT479" i="2"/>
  <c r="AQ386" i="21398"/>
  <c r="AQ544" i="21398"/>
  <c r="AT175" i="21398"/>
  <c r="AQ164" i="21398"/>
  <c r="AQ28" i="21398"/>
  <c r="AT333" i="2"/>
  <c r="AQ30" i="2"/>
  <c r="AT411" i="21398"/>
  <c r="AQ148" i="2"/>
  <c r="AT99" i="21398"/>
  <c r="AQ398" i="2"/>
  <c r="AT415" i="21398"/>
  <c r="AT559" i="2"/>
  <c r="AQ476" i="2"/>
  <c r="AQ676" i="21398"/>
  <c r="AT193" i="21398"/>
  <c r="AQ572" i="2"/>
  <c r="AT649" i="21398"/>
  <c r="G176" i="21405"/>
  <c r="AQ294" i="21398"/>
  <c r="AQ76" i="2"/>
  <c r="AT323" i="21398"/>
  <c r="AT69" i="2"/>
  <c r="AT303" i="2"/>
  <c r="AQ234" i="2"/>
  <c r="AQ478" i="21398"/>
  <c r="AT123" i="2"/>
  <c r="AT645" i="21398"/>
  <c r="AT205" i="21398"/>
  <c r="AQ72" i="2"/>
  <c r="AT297" i="21398"/>
  <c r="AQ190" i="2"/>
  <c r="AT265" i="21398"/>
  <c r="AQ408" i="2"/>
  <c r="AQ98" i="21398"/>
  <c r="AQ288" i="21398"/>
  <c r="AQ556" i="21398"/>
  <c r="AT433" i="21398"/>
  <c r="AQ376" i="21398"/>
  <c r="AQ518" i="2"/>
  <c r="AQ168" i="2"/>
  <c r="AT43" i="21398"/>
  <c r="AQ200" i="21398"/>
  <c r="AT107" i="2"/>
  <c r="AT321" i="21398"/>
  <c r="AT529" i="21398"/>
  <c r="AT257" i="21398"/>
  <c r="AT121" i="21398"/>
  <c r="G283" i="21405"/>
  <c r="AQ70" i="2"/>
  <c r="AT357" i="21398"/>
  <c r="AQ338" i="21398"/>
  <c r="AT325" i="21398"/>
  <c r="AT181" i="21398"/>
  <c r="AT677" i="2"/>
  <c r="AT577" i="2"/>
  <c r="AQ456" i="2"/>
  <c r="AQ468" i="21398"/>
  <c r="AQ146" i="21398"/>
  <c r="AQ386" i="2"/>
  <c r="AQ90" i="21398"/>
  <c r="AQ338" i="2"/>
  <c r="AQ412" i="21398"/>
  <c r="AQ416" i="2"/>
  <c r="AT63" i="2"/>
  <c r="AT399" i="21398"/>
  <c r="AT527" i="21398"/>
  <c r="AT463" i="2"/>
  <c r="AT371" i="21398"/>
  <c r="AT399" i="2"/>
  <c r="AQ504" i="21398"/>
  <c r="AT595" i="2"/>
  <c r="AQ522" i="21398"/>
  <c r="AT171" i="21398"/>
  <c r="AT497" i="21398"/>
  <c r="AQ546" i="21398"/>
  <c r="AQ288" i="2"/>
  <c r="AT65" i="2"/>
  <c r="AQ420" i="21398"/>
  <c r="AQ166" i="21398"/>
  <c r="AQ24" i="2"/>
  <c r="AQ156" i="21398"/>
  <c r="AT103" i="21398"/>
  <c r="AT205" i="2"/>
  <c r="AT331" i="2"/>
  <c r="AQ324" i="21398"/>
  <c r="AT637" i="21398"/>
  <c r="AT221" i="21398"/>
  <c r="AQ238" i="21398"/>
  <c r="AT573" i="2"/>
  <c r="AT135" i="2"/>
  <c r="AQ476" i="21398"/>
  <c r="AQ126" i="2"/>
  <c r="AT497" i="2"/>
  <c r="AQ408" i="21398"/>
  <c r="AT541" i="2"/>
  <c r="AQ354" i="21398"/>
  <c r="AQ676" i="2"/>
  <c r="AT389" i="2"/>
  <c r="AQ346" i="2"/>
  <c r="AT289" i="21398"/>
  <c r="AQ530" i="21398"/>
  <c r="AQ188" i="2"/>
  <c r="AQ670" i="21398"/>
  <c r="AQ668" i="2"/>
  <c r="AT91" i="21398"/>
  <c r="AT337" i="2"/>
  <c r="AQ502" i="21398"/>
  <c r="AQ210" i="21398"/>
  <c r="AQ654" i="2"/>
  <c r="AT459" i="21398"/>
  <c r="AT267" i="21398"/>
  <c r="AQ516" i="2"/>
  <c r="AT409" i="21398"/>
  <c r="AT441" i="21398"/>
  <c r="AQ596" i="21398"/>
  <c r="AQ152" i="2"/>
  <c r="AQ250" i="2"/>
  <c r="AT397" i="21398"/>
  <c r="AT465" i="21398"/>
  <c r="AQ322" i="2"/>
  <c r="AQ448" i="21398"/>
  <c r="AQ376" i="2"/>
  <c r="AT75" i="2"/>
  <c r="G223" i="21405"/>
  <c r="AQ614" i="21398"/>
  <c r="AT115" i="21398"/>
  <c r="AQ40" i="21398"/>
  <c r="AT683" i="21398"/>
  <c r="AT319" i="2"/>
  <c r="AT623" i="2"/>
  <c r="AQ446" i="2"/>
  <c r="AQ44" i="21398"/>
  <c r="AQ432" i="2"/>
  <c r="AT505" i="21398"/>
  <c r="AQ420" i="2"/>
  <c r="AQ344" i="21398"/>
  <c r="AQ192" i="21398"/>
  <c r="AQ570" i="2"/>
  <c r="AT103" i="2"/>
  <c r="AT671" i="21398"/>
  <c r="AT525" i="2"/>
  <c r="AT573" i="21398"/>
  <c r="AT663" i="2"/>
  <c r="AT407" i="21398"/>
  <c r="AT187" i="21398"/>
  <c r="AT361" i="2"/>
  <c r="AQ528" i="21398"/>
  <c r="AT639" i="21398"/>
  <c r="AQ362" i="2"/>
  <c r="AT127" i="21398"/>
  <c r="AQ656" i="2"/>
  <c r="AQ516" i="21398"/>
  <c r="AQ236" i="21398"/>
  <c r="AQ402" i="21398"/>
  <c r="AQ224" i="21398"/>
  <c r="AQ172" i="2"/>
  <c r="AT631" i="2"/>
  <c r="AQ78" i="2"/>
  <c r="AT271" i="2"/>
  <c r="AT207" i="21398"/>
  <c r="AQ34" i="2"/>
  <c r="AT53" i="2"/>
  <c r="AQ496" i="21398"/>
  <c r="AQ204" i="2"/>
  <c r="AT685" i="21398"/>
  <c r="G80" i="21405"/>
  <c r="AQ198" i="2"/>
  <c r="AT169" i="21398"/>
  <c r="AT523" i="21398"/>
  <c r="AQ178" i="2"/>
  <c r="AQ308" i="21398"/>
  <c r="AT391" i="21398"/>
  <c r="AT129" i="2"/>
  <c r="AQ508" i="21398"/>
  <c r="AT581" i="21398"/>
  <c r="AQ586" i="2"/>
  <c r="AT659" i="21398"/>
  <c r="AQ184" i="2"/>
  <c r="AQ46" i="21398"/>
  <c r="AT213" i="2"/>
  <c r="AQ494" i="21398"/>
  <c r="AT537" i="21398"/>
  <c r="AT215" i="21398"/>
  <c r="AQ374" i="21398"/>
  <c r="AT347" i="21398"/>
  <c r="AQ656" i="21398"/>
  <c r="AT145" i="21398"/>
  <c r="AQ532" i="2"/>
  <c r="AT199" i="21398"/>
  <c r="AQ118" i="21398"/>
  <c r="AT643" i="2"/>
  <c r="AQ368" i="21398"/>
  <c r="AQ166" i="2"/>
  <c r="AQ562" i="21398"/>
  <c r="AT275" i="2"/>
  <c r="AT371" i="2"/>
  <c r="AT567" i="21398"/>
  <c r="AT619" i="21398"/>
  <c r="AQ418" i="2"/>
  <c r="AQ352" i="2"/>
  <c r="AT133" i="21398"/>
  <c r="AT561" i="21398"/>
  <c r="AQ468" i="2"/>
  <c r="AT647" i="21398"/>
  <c r="AQ274" i="2"/>
  <c r="AT367" i="21398"/>
  <c r="AQ246" i="2"/>
  <c r="AQ400" i="21398"/>
  <c r="AT417" i="21398"/>
  <c r="AQ618" i="21398"/>
  <c r="AT337" i="21398"/>
  <c r="AT161" i="2"/>
  <c r="AQ240" i="21398"/>
  <c r="AT211" i="21398"/>
  <c r="G196" i="21405"/>
  <c r="AQ686" i="2"/>
  <c r="AT501" i="2"/>
  <c r="AT77" i="2"/>
  <c r="AQ88" i="2"/>
  <c r="G263" i="21405"/>
  <c r="AT249" i="21398"/>
  <c r="AT159" i="2"/>
  <c r="G174" i="21405"/>
  <c r="AT125" i="2"/>
  <c r="AT157" i="2"/>
  <c r="AQ110" i="2"/>
  <c r="AT157" i="21398"/>
  <c r="AT597" i="2"/>
  <c r="AQ388" i="21398"/>
  <c r="AT97" i="21398"/>
  <c r="AQ394" i="21398"/>
  <c r="AT239" i="21398"/>
  <c r="AT593" i="2"/>
  <c r="AQ150" i="2"/>
  <c r="AT461" i="2"/>
  <c r="AT269" i="21398"/>
  <c r="AT565" i="2"/>
  <c r="AQ56" i="2"/>
  <c r="AT51" i="2"/>
  <c r="AQ410" i="2"/>
  <c r="AQ506" i="21398"/>
  <c r="G282" i="21405"/>
  <c r="AQ218" i="21398"/>
  <c r="AQ452" i="2"/>
  <c r="AT523" i="2"/>
  <c r="AT229" i="2"/>
  <c r="AQ384" i="21398"/>
  <c r="AQ646" i="21398"/>
  <c r="AT229" i="21398"/>
  <c r="AT99" i="2"/>
  <c r="AQ238" i="2"/>
  <c r="AQ638" i="2"/>
  <c r="AQ108" i="2"/>
  <c r="G261" i="21405"/>
  <c r="AT447" i="2"/>
  <c r="AT273" i="2"/>
  <c r="AT519" i="2"/>
  <c r="AQ558" i="2"/>
  <c r="AQ648" i="21398"/>
  <c r="AQ590" i="2"/>
  <c r="AT237" i="21398"/>
  <c r="AQ348" i="21398"/>
  <c r="AT589" i="2"/>
  <c r="AQ492" i="21398"/>
  <c r="AT469" i="2"/>
  <c r="AQ450" i="21398"/>
  <c r="AQ494" i="2"/>
  <c r="AT349" i="21398"/>
  <c r="AQ60" i="2"/>
  <c r="AQ580" i="2"/>
  <c r="AT215" i="2"/>
  <c r="AQ50" i="21398"/>
  <c r="AT449" i="2"/>
  <c r="AQ240" i="2"/>
  <c r="AQ260" i="2"/>
  <c r="AQ62" i="21398"/>
  <c r="AQ658" i="21398"/>
  <c r="AT55" i="2"/>
  <c r="AQ382" i="21398"/>
  <c r="AT197" i="21398"/>
  <c r="AT391" i="2"/>
  <c r="AT153" i="2"/>
  <c r="AQ90" i="2"/>
  <c r="AT21" i="2"/>
  <c r="AQ428" i="2"/>
  <c r="AQ102" i="21398"/>
  <c r="AQ404" i="21398"/>
  <c r="AQ400" i="2"/>
  <c r="AT621" i="21398"/>
  <c r="AT413" i="2"/>
  <c r="AT533" i="2"/>
  <c r="AT163" i="21398"/>
  <c r="AT507" i="21398"/>
  <c r="G40" i="21405"/>
  <c r="AT631" i="21398"/>
  <c r="AT287" i="21398"/>
  <c r="AQ222" i="21398"/>
  <c r="AT489" i="2"/>
  <c r="AT515" i="21398"/>
  <c r="AQ212" i="21398"/>
  <c r="AT355" i="21398"/>
  <c r="AT463" i="21398"/>
  <c r="AQ66" i="2"/>
  <c r="AQ140" i="21398"/>
  <c r="AQ116" i="21398"/>
  <c r="AQ226" i="2"/>
  <c r="AQ180" i="2"/>
  <c r="AT393" i="2"/>
  <c r="AT471" i="21398"/>
  <c r="AQ332" i="2"/>
  <c r="AT57" i="2"/>
  <c r="AT245" i="2"/>
  <c r="AT395" i="2"/>
  <c r="AT475" i="21398"/>
  <c r="AT179" i="21398"/>
  <c r="AT143" i="2"/>
  <c r="G273" i="21405"/>
  <c r="AT171" i="2"/>
  <c r="AQ538" i="21398"/>
  <c r="AQ454" i="21398"/>
  <c r="AQ594" i="2"/>
  <c r="AT43" i="2"/>
  <c r="AT339" i="21398"/>
  <c r="AT419" i="21398"/>
  <c r="AT189" i="2"/>
  <c r="AT389" i="21398"/>
  <c r="AQ526" i="21398"/>
  <c r="AQ144" i="2"/>
  <c r="AQ154" i="2"/>
  <c r="AT571" i="2"/>
  <c r="AQ172" i="21398"/>
  <c r="AT427" i="21398"/>
  <c r="AQ290" i="21398"/>
  <c r="AT591" i="21398"/>
  <c r="AQ524" i="21398"/>
  <c r="AT129" i="21398"/>
  <c r="AT73" i="2"/>
  <c r="AT575" i="2"/>
  <c r="AT545" i="21398"/>
  <c r="AQ340" i="2"/>
  <c r="G38" i="21405"/>
  <c r="AQ644" i="21398"/>
  <c r="AQ132" i="2"/>
  <c r="AT555" i="21398"/>
  <c r="AQ256" i="21398"/>
  <c r="AT563" i="21398"/>
  <c r="G190" i="21405"/>
  <c r="AT217" i="21398"/>
  <c r="AQ540" i="2"/>
  <c r="AT353" i="2"/>
  <c r="AQ506" i="2"/>
  <c r="AT543" i="2"/>
  <c r="AT295" i="2"/>
  <c r="C31" i="21397" l="1"/>
  <c r="C30" i="21397"/>
  <c r="C35" i="21397" s="1"/>
  <c r="AC79" i="2"/>
  <c r="C83" i="2"/>
  <c r="C85" i="2" s="1"/>
  <c r="C87" i="2" s="1"/>
  <c r="C89" i="2" l="1"/>
  <c r="C91" i="2" s="1"/>
  <c r="C93" i="2" s="1"/>
  <c r="C95" i="2" s="1"/>
  <c r="C97" i="2" s="1"/>
  <c r="C99" i="2" s="1"/>
  <c r="C101" i="2" l="1"/>
  <c r="C103" i="2" s="1"/>
  <c r="C105" i="2" l="1"/>
  <c r="C107" i="2" s="1"/>
  <c r="C109" i="2" s="1"/>
  <c r="C111" i="2" s="1"/>
  <c r="C113" i="2" s="1"/>
  <c r="C115" i="2" s="1"/>
  <c r="C117" i="2" l="1"/>
  <c r="C119" i="2" s="1"/>
  <c r="C121" i="2" s="1"/>
  <c r="J120" i="2" s="1"/>
  <c r="C123" i="2" l="1"/>
  <c r="C125" i="2" s="1"/>
  <c r="C127" i="2" s="1"/>
  <c r="C129" i="2" s="1"/>
  <c r="C131" i="2" s="1"/>
  <c r="C133" i="2" s="1"/>
  <c r="J134" i="2" s="1"/>
  <c r="C135" i="2" l="1"/>
  <c r="C137" i="2" s="1"/>
  <c r="J136" i="2" s="1"/>
  <c r="C139" i="2" l="1"/>
  <c r="C141" i="2" s="1"/>
  <c r="C143" i="2" s="1"/>
  <c r="C145" i="2" s="1"/>
  <c r="C147" i="2" s="1"/>
  <c r="C149" i="2" s="1"/>
  <c r="C151" i="2" l="1"/>
  <c r="C153" i="2" s="1"/>
  <c r="C155" i="2" s="1"/>
  <c r="J154" i="2" s="1"/>
  <c r="J150" i="2"/>
  <c r="C157" i="2" l="1"/>
  <c r="C159" i="2" s="1"/>
  <c r="C161" i="2" s="1"/>
  <c r="C163" i="2" s="1"/>
  <c r="C165" i="2" s="1"/>
  <c r="C167" i="2" s="1"/>
  <c r="J168" i="2" s="1"/>
  <c r="C169" i="2" l="1"/>
  <c r="C171" i="2" s="1"/>
  <c r="J170" i="2" s="1"/>
  <c r="C173" i="2" l="1"/>
  <c r="C175" i="2" s="1"/>
  <c r="C177" i="2" s="1"/>
  <c r="C179" i="2" s="1"/>
  <c r="C181" i="2" s="1"/>
  <c r="C183" i="2" s="1"/>
  <c r="J184" i="2" l="1"/>
  <c r="C185" i="2"/>
  <c r="C187" i="2" s="1"/>
  <c r="C189" i="2" s="1"/>
  <c r="J188" i="2" s="1"/>
  <c r="C191" i="2" l="1"/>
  <c r="C193" i="2" s="1"/>
  <c r="C195" i="2" s="1"/>
  <c r="C197" i="2" s="1"/>
  <c r="J197" i="2" l="1"/>
  <c r="C199" i="2"/>
  <c r="C201" i="2" s="1"/>
  <c r="J202" i="2" s="1"/>
  <c r="C203" i="2" l="1"/>
  <c r="C205" i="2" s="1"/>
  <c r="J204" i="2" s="1"/>
  <c r="C207" i="2" l="1"/>
  <c r="C209" i="2" s="1"/>
  <c r="C211" i="2" s="1"/>
  <c r="C213" i="2" s="1"/>
  <c r="C215" i="2" s="1"/>
  <c r="C217" i="2" s="1"/>
  <c r="J218" i="2" l="1"/>
  <c r="C219" i="2"/>
  <c r="C221" i="2" s="1"/>
  <c r="C223" i="2" s="1"/>
  <c r="J222" i="2" s="1"/>
  <c r="C225" i="2" l="1"/>
  <c r="C227" i="2" s="1"/>
  <c r="C229" i="2" s="1"/>
  <c r="C231" i="2" s="1"/>
  <c r="C233" i="2" s="1"/>
  <c r="J234" i="2" s="1"/>
  <c r="C235" i="2" l="1"/>
  <c r="C237" i="2" s="1"/>
  <c r="J236" i="2" s="1"/>
  <c r="C239" i="2" l="1"/>
  <c r="C241" i="2" s="1"/>
  <c r="C243" i="2" s="1"/>
  <c r="C245" i="2" s="1"/>
  <c r="C247" i="2" s="1"/>
  <c r="J248" i="2" l="1"/>
  <c r="C249" i="2"/>
  <c r="C251" i="2" s="1"/>
  <c r="C253" i="2" s="1"/>
  <c r="J252" i="2" s="1"/>
  <c r="F253" i="2" l="1"/>
  <c r="C255" i="2"/>
  <c r="AQ252" i="2"/>
  <c r="F255" i="2" l="1"/>
  <c r="C257" i="2"/>
  <c r="AT253" i="2"/>
  <c r="AQ254" i="2"/>
  <c r="C259" i="2" l="1"/>
  <c r="C261" i="2" s="1"/>
  <c r="C263" i="2" s="1"/>
  <c r="F257" i="2"/>
  <c r="AT255" i="2"/>
  <c r="AT257" i="2"/>
  <c r="C265" i="2" l="1"/>
  <c r="J266" i="2" s="1"/>
  <c r="F263" i="2"/>
  <c r="AQ256" i="2"/>
  <c r="AT263" i="2"/>
  <c r="J264" i="2" l="1"/>
  <c r="F265" i="2"/>
  <c r="C267" i="2"/>
  <c r="AT265" i="2"/>
  <c r="AQ264" i="2"/>
  <c r="AQ262" i="2"/>
  <c r="C269" i="2" l="1"/>
  <c r="J268" i="2" s="1"/>
  <c r="F267" i="2"/>
  <c r="AQ266" i="2"/>
  <c r="AT267" i="2"/>
  <c r="C271" i="2" l="1"/>
  <c r="C273" i="2" s="1"/>
  <c r="C275" i="2" s="1"/>
  <c r="C277" i="2" s="1"/>
  <c r="C279" i="2" s="1"/>
  <c r="C281" i="2" s="1"/>
  <c r="C283" i="2" l="1"/>
  <c r="C285" i="2" s="1"/>
  <c r="C287" i="2" s="1"/>
  <c r="J286" i="2" s="1"/>
  <c r="J282" i="2"/>
  <c r="C289" i="2" l="1"/>
  <c r="C291" i="2" s="1"/>
  <c r="C293" i="2" s="1"/>
  <c r="C295" i="2" s="1"/>
  <c r="C297" i="2" s="1"/>
  <c r="C299" i="2" s="1"/>
  <c r="C301" i="2" l="1"/>
  <c r="C303" i="2" s="1"/>
  <c r="J300" i="2"/>
  <c r="C305" i="2" l="1"/>
  <c r="C307" i="2" s="1"/>
  <c r="C309" i="2" s="1"/>
  <c r="C311" i="2" s="1"/>
  <c r="C313" i="2" s="1"/>
  <c r="C315" i="2" s="1"/>
  <c r="J302" i="2"/>
  <c r="C317" i="2" l="1"/>
  <c r="J316" i="2"/>
  <c r="J317" i="2" l="1"/>
  <c r="C319" i="2"/>
  <c r="C321" i="2" s="1"/>
  <c r="J320" i="2" s="1"/>
  <c r="C323" i="2" l="1"/>
  <c r="C325" i="2" s="1"/>
  <c r="C327" i="2" s="1"/>
  <c r="C329" i="2" s="1"/>
  <c r="C331" i="2" s="1"/>
  <c r="C333" i="2" s="1"/>
  <c r="J334" i="2" s="1"/>
  <c r="C335" i="2" l="1"/>
  <c r="C337" i="2" s="1"/>
  <c r="J336" i="2" s="1"/>
  <c r="C339" i="2" l="1"/>
  <c r="C341" i="2" s="1"/>
  <c r="C343" i="2" s="1"/>
  <c r="C345" i="2" s="1"/>
  <c r="C347" i="2" s="1"/>
  <c r="C349" i="2" s="1"/>
  <c r="J350" i="2" l="1"/>
  <c r="C351" i="2"/>
  <c r="C353" i="2" s="1"/>
  <c r="C355" i="2" s="1"/>
  <c r="J354" i="2" s="1"/>
  <c r="C357" i="2" l="1"/>
  <c r="C359" i="2" s="1"/>
  <c r="C361" i="2" s="1"/>
  <c r="C363" i="2" s="1"/>
  <c r="C365" i="2" s="1"/>
  <c r="F365" i="2" l="1"/>
  <c r="C367" i="2"/>
  <c r="J368" i="2" s="1"/>
  <c r="AT365" i="2"/>
  <c r="C369" i="2" l="1"/>
  <c r="F367" i="2"/>
  <c r="AT367" i="2"/>
  <c r="AQ366" i="2"/>
  <c r="AQ364" i="2"/>
  <c r="C371" i="2" l="1"/>
  <c r="J370" i="2" s="1"/>
  <c r="F369" i="2"/>
  <c r="AQ368" i="2"/>
  <c r="AT369" i="2"/>
  <c r="C373" i="2" l="1"/>
  <c r="F373" i="2" l="1"/>
  <c r="C375" i="2"/>
  <c r="AQ372" i="2"/>
  <c r="F375" i="2" l="1"/>
  <c r="C377" i="2"/>
  <c r="C379" i="2" s="1"/>
  <c r="C381" i="2" s="1"/>
  <c r="C383" i="2" s="1"/>
  <c r="AT375" i="2"/>
  <c r="AT373" i="2"/>
  <c r="AQ374" i="2"/>
  <c r="C385" i="2" l="1"/>
  <c r="C387" i="2" s="1"/>
  <c r="C389" i="2" s="1"/>
  <c r="J388" i="2" s="1"/>
  <c r="J384" i="2"/>
  <c r="C391" i="2" l="1"/>
  <c r="C393" i="2" s="1"/>
  <c r="C395" i="2" s="1"/>
  <c r="C397" i="2" s="1"/>
  <c r="C399" i="2" s="1"/>
  <c r="C401" i="2" s="1"/>
  <c r="J402" i="2" s="1"/>
  <c r="C403" i="2" l="1"/>
  <c r="C405" i="2" s="1"/>
  <c r="J404" i="2" s="1"/>
  <c r="C407" i="2" l="1"/>
  <c r="C409" i="2" s="1"/>
  <c r="C411" i="2" s="1"/>
  <c r="C413" i="2" s="1"/>
  <c r="C415" i="2" s="1"/>
  <c r="C417" i="2" s="1"/>
  <c r="C419" i="2" l="1"/>
  <c r="C421" i="2" s="1"/>
  <c r="C423" i="2" s="1"/>
  <c r="J422" i="2" s="1"/>
  <c r="J418" i="2"/>
  <c r="C425" i="2" l="1"/>
  <c r="C427" i="2" s="1"/>
  <c r="C429" i="2" s="1"/>
  <c r="C431" i="2" s="1"/>
  <c r="C433" i="2" s="1"/>
  <c r="C435" i="2" s="1"/>
  <c r="J436" i="2" s="1"/>
  <c r="J434" i="2" l="1"/>
  <c r="C437" i="2"/>
  <c r="C439" i="2" s="1"/>
  <c r="J438" i="2" s="1"/>
  <c r="C441" i="2" l="1"/>
  <c r="C443" i="2" s="1"/>
  <c r="C445" i="2" s="1"/>
  <c r="C447" i="2" s="1"/>
  <c r="C449" i="2" s="1"/>
  <c r="C451" i="2" s="1"/>
  <c r="C453" i="2" l="1"/>
  <c r="C455" i="2" s="1"/>
  <c r="C457" i="2" s="1"/>
  <c r="J456" i="2" s="1"/>
  <c r="J452" i="2"/>
  <c r="C459" i="2" l="1"/>
  <c r="C461" i="2" s="1"/>
  <c r="C463" i="2" s="1"/>
  <c r="C465" i="2" s="1"/>
  <c r="C467" i="2" s="1"/>
  <c r="C469" i="2" s="1"/>
  <c r="J470" i="2" s="1"/>
  <c r="C471" i="2" l="1"/>
  <c r="C473" i="2" s="1"/>
  <c r="J472" i="2" s="1"/>
  <c r="C475" i="2" l="1"/>
  <c r="C477" i="2" s="1"/>
  <c r="C479" i="2" s="1"/>
  <c r="C481" i="2" s="1"/>
  <c r="C483" i="2" s="1"/>
  <c r="C485" i="2" s="1"/>
  <c r="C487" i="2" l="1"/>
  <c r="C489" i="2" s="1"/>
  <c r="C491" i="2" s="1"/>
  <c r="J490" i="2" s="1"/>
  <c r="J486" i="2"/>
  <c r="C493" i="2" l="1"/>
  <c r="C495" i="2" s="1"/>
  <c r="C497" i="2" s="1"/>
  <c r="C499" i="2" s="1"/>
  <c r="C501" i="2" s="1"/>
  <c r="J502" i="2" s="1"/>
  <c r="C503" i="2" l="1"/>
  <c r="C505" i="2" s="1"/>
  <c r="J504" i="2" s="1"/>
  <c r="C507" i="2" l="1"/>
  <c r="C509" i="2" s="1"/>
  <c r="C511" i="2" s="1"/>
  <c r="C513" i="2" s="1"/>
  <c r="C515" i="2" s="1"/>
  <c r="J516" i="2" s="1"/>
  <c r="C517" i="2" l="1"/>
  <c r="C519" i="2" s="1"/>
  <c r="C521" i="2" s="1"/>
  <c r="J520" i="2" l="1"/>
  <c r="C523" i="2"/>
  <c r="C525" i="2" s="1"/>
  <c r="C527" i="2" s="1"/>
  <c r="J528" i="2" s="1"/>
  <c r="C529" i="2" l="1"/>
  <c r="C531" i="2" s="1"/>
  <c r="J530" i="2" s="1"/>
  <c r="C533" i="2" l="1"/>
  <c r="C535" i="2" s="1"/>
  <c r="C537" i="2" s="1"/>
  <c r="C539" i="2" s="1"/>
  <c r="C541" i="2" l="1"/>
  <c r="C543" i="2" s="1"/>
  <c r="C545" i="2" s="1"/>
  <c r="J540" i="2"/>
  <c r="J544" i="2" l="1"/>
  <c r="C547" i="2"/>
  <c r="C549" i="2" s="1"/>
  <c r="C551" i="2" s="1"/>
  <c r="C553" i="2" s="1"/>
  <c r="F553" i="2" l="1"/>
  <c r="C555" i="2"/>
  <c r="AQ552" i="2"/>
  <c r="C557" i="2" l="1"/>
  <c r="F555" i="2"/>
  <c r="AT555" i="2"/>
  <c r="AQ554" i="2"/>
  <c r="AT553" i="2"/>
  <c r="F557" i="2" l="1"/>
  <c r="C559" i="2"/>
  <c r="J560" i="2" s="1"/>
  <c r="AQ556" i="2"/>
  <c r="AT557" i="2"/>
  <c r="C561" i="2" l="1"/>
  <c r="C563" i="2" s="1"/>
  <c r="J562" i="2" s="1"/>
  <c r="C565" i="2" l="1"/>
  <c r="C567" i="2" s="1"/>
  <c r="C569" i="2" s="1"/>
  <c r="C571" i="2" s="1"/>
  <c r="C573" i="2" s="1"/>
  <c r="C575" i="2" l="1"/>
  <c r="C577" i="2" s="1"/>
  <c r="C579" i="2" s="1"/>
  <c r="J574" i="2"/>
  <c r="C581" i="2" l="1"/>
  <c r="C583" i="2" s="1"/>
  <c r="C585" i="2" s="1"/>
  <c r="C587" i="2" s="1"/>
  <c r="J588" i="2" s="1"/>
  <c r="J578" i="2"/>
  <c r="C589" i="2" l="1"/>
  <c r="C591" i="2" s="1"/>
  <c r="J590" i="2" s="1"/>
  <c r="C593" i="2" l="1"/>
  <c r="C595" i="2" s="1"/>
  <c r="C597" i="2" s="1"/>
  <c r="C599" i="2" s="1"/>
  <c r="C601" i="2" s="1"/>
  <c r="C603" i="2" s="1"/>
  <c r="C605" i="2" s="1"/>
  <c r="C607" i="2" s="1"/>
  <c r="C609" i="2" s="1"/>
  <c r="C611" i="2" s="1"/>
  <c r="F611" i="2" s="1"/>
  <c r="AQ610" i="2"/>
  <c r="C613" i="2" l="1"/>
  <c r="F613" i="2" s="1"/>
  <c r="AT611" i="2"/>
  <c r="AQ612" i="2"/>
  <c r="C615" i="2" l="1"/>
  <c r="F615" i="2" s="1"/>
  <c r="AQ614" i="2"/>
  <c r="AT613" i="2"/>
  <c r="C617" i="2" l="1"/>
  <c r="F617" i="2" s="1"/>
  <c r="AQ616" i="2"/>
  <c r="AT615" i="2"/>
  <c r="C619" i="2" l="1"/>
  <c r="C621" i="2" s="1"/>
  <c r="C623" i="2" s="1"/>
  <c r="C625" i="2" s="1"/>
  <c r="AT617" i="2"/>
  <c r="H21" i="21402" l="1"/>
  <c r="D15" i="21402"/>
  <c r="C627" i="2"/>
  <c r="C629" i="2" s="1"/>
  <c r="C631" i="2" s="1"/>
  <c r="C633" i="2" s="1"/>
  <c r="C635" i="2" s="1"/>
  <c r="D20" i="21402" l="1"/>
  <c r="P16" i="21402"/>
  <c r="D17" i="21402"/>
  <c r="L23" i="21402"/>
  <c r="L16" i="21402"/>
  <c r="H13" i="21402"/>
  <c r="D21" i="21402"/>
  <c r="H23" i="21402"/>
  <c r="H24" i="21402"/>
  <c r="L24" i="21402"/>
  <c r="P14" i="21402"/>
  <c r="D16" i="21402"/>
  <c r="P13" i="21402"/>
  <c r="H15" i="21402"/>
  <c r="P12" i="21402"/>
  <c r="L21" i="21402"/>
  <c r="H20" i="21402"/>
  <c r="D19" i="21402"/>
  <c r="L14" i="21402"/>
  <c r="L18" i="21402"/>
  <c r="D23" i="21402"/>
  <c r="H18" i="21402"/>
  <c r="H12" i="21402"/>
  <c r="H16" i="21402"/>
  <c r="L17" i="21402"/>
  <c r="H22" i="21402"/>
  <c r="D22" i="21402"/>
  <c r="D14" i="21402"/>
  <c r="D18" i="21402"/>
  <c r="D12" i="21402"/>
  <c r="H19" i="21402"/>
  <c r="D13" i="21402"/>
  <c r="L15" i="21402"/>
  <c r="H17" i="21402"/>
  <c r="L19" i="21402"/>
  <c r="H14" i="21402"/>
  <c r="L20" i="21402"/>
  <c r="L13" i="21402"/>
  <c r="L12" i="21402"/>
  <c r="L22" i="21402"/>
  <c r="P15" i="21402"/>
  <c r="C637" i="2"/>
  <c r="C639" i="2" l="1"/>
  <c r="C641" i="2" s="1"/>
  <c r="C643" i="2" s="1"/>
  <c r="C645" i="2" l="1"/>
  <c r="C647" i="2" s="1"/>
  <c r="F647" i="2" s="1"/>
  <c r="AT647" i="2"/>
  <c r="AQ646" i="2"/>
  <c r="C649" i="2" l="1"/>
  <c r="F649" i="2" s="1"/>
  <c r="AQ648" i="2"/>
  <c r="AT649" i="2"/>
  <c r="C651" i="2" l="1"/>
  <c r="F651" i="2" s="1"/>
  <c r="J650" i="2"/>
  <c r="AT651" i="2"/>
  <c r="AQ650" i="2"/>
  <c r="C653" i="2" l="1"/>
  <c r="J652" i="2" s="1"/>
  <c r="C655" i="2" l="1"/>
  <c r="C657" i="2" s="1"/>
  <c r="C659" i="2" s="1"/>
  <c r="C661" i="2" s="1"/>
  <c r="C663" i="2" s="1"/>
  <c r="J664" i="2" s="1"/>
  <c r="C665" i="2" l="1"/>
  <c r="C667" i="2" s="1"/>
  <c r="C669" i="2" s="1"/>
  <c r="J668" i="2" s="1"/>
  <c r="C671" i="2" l="1"/>
  <c r="F671" i="2" s="1"/>
  <c r="AQ670" i="2"/>
  <c r="AT671" i="2"/>
  <c r="C673" i="2" l="1"/>
  <c r="F673" i="2" s="1"/>
  <c r="AQ672" i="2"/>
  <c r="AT673" i="2"/>
  <c r="C675" i="2" l="1"/>
  <c r="F675" i="2" s="1"/>
  <c r="AQ674" i="2"/>
  <c r="AT675" i="2"/>
  <c r="C677" i="2" l="1"/>
  <c r="J678" i="2" s="1"/>
  <c r="C679" i="2" l="1"/>
  <c r="C681" i="2" s="1"/>
  <c r="J680" i="2" s="1"/>
  <c r="F681" i="2" l="1"/>
  <c r="C683" i="2"/>
  <c r="F683" i="2" s="1"/>
  <c r="AT681" i="2"/>
  <c r="AQ682" i="2"/>
  <c r="AT683" i="2"/>
  <c r="AQ680" i="2"/>
  <c r="C685" i="2" l="1"/>
  <c r="C687" i="2" s="1"/>
  <c r="C689" i="2" s="1"/>
  <c r="F689" i="2" s="1"/>
  <c r="AT689" i="2"/>
  <c r="AQ688" i="2"/>
  <c r="C691" i="2" l="1"/>
  <c r="F691" i="2" s="1"/>
  <c r="AQ690" i="2"/>
  <c r="C693" i="2" l="1"/>
  <c r="C695" i="2" s="1"/>
  <c r="C697" i="2" s="1"/>
  <c r="C699" i="2" s="1"/>
  <c r="C701" i="2" s="1"/>
  <c r="AT691" i="2"/>
  <c r="J698" i="2" l="1"/>
  <c r="J694" i="2"/>
  <c r="C703" i="2"/>
  <c r="C705" i="2" l="1"/>
  <c r="C707" i="2" s="1"/>
  <c r="C709" i="2" l="1"/>
  <c r="C711" i="2" s="1"/>
  <c r="J708" i="2"/>
  <c r="G166" i="21404"/>
  <c r="C713" i="2" l="1"/>
  <c r="J710" i="2"/>
  <c r="C715" i="2" l="1"/>
  <c r="J713" i="2"/>
  <c r="C717" i="2" l="1"/>
  <c r="J715" i="2"/>
  <c r="G230" i="21405"/>
  <c r="J718" i="2" l="1"/>
  <c r="C719" i="2"/>
  <c r="C721" i="2" s="1"/>
  <c r="J722" i="2" l="1"/>
  <c r="C723" i="2"/>
  <c r="C725" i="2" s="1"/>
  <c r="C727" i="2" s="1"/>
  <c r="C729" i="2" s="1"/>
  <c r="C731" i="2" s="1"/>
  <c r="C733" i="2" s="1"/>
  <c r="C735" i="2" s="1"/>
  <c r="J734" i="2" s="1"/>
  <c r="J5" i="3"/>
  <c r="J114" i="21407" l="1"/>
  <c r="J112" i="21407"/>
  <c r="J115" i="21407"/>
  <c r="J113" i="21407"/>
  <c r="J155" i="21407"/>
  <c r="J153" i="21407"/>
  <c r="J154" i="21407"/>
  <c r="J732" i="2"/>
  <c r="J730" i="2"/>
  <c r="C737" i="2"/>
  <c r="J737" i="2" s="1"/>
  <c r="J79" i="21407"/>
  <c r="J182" i="21407"/>
  <c r="J148" i="21407"/>
  <c r="J122" i="21407"/>
  <c r="J11" i="21407"/>
  <c r="J67" i="21407"/>
  <c r="J91" i="21407"/>
  <c r="J109" i="21407"/>
  <c r="J94" i="21407"/>
  <c r="J6" i="21407"/>
  <c r="J70" i="21407"/>
  <c r="J181" i="21407"/>
  <c r="J7" i="21407"/>
  <c r="J87" i="21407"/>
  <c r="J151" i="21407"/>
  <c r="J126" i="21407"/>
  <c r="J133" i="21407"/>
  <c r="J139" i="21407"/>
  <c r="J21" i="21407"/>
  <c r="G27" i="21407"/>
  <c r="J121" i="21407"/>
  <c r="J41" i="21407"/>
  <c r="J96" i="21407"/>
  <c r="J60" i="21407"/>
  <c r="J83" i="21407"/>
  <c r="J110" i="21407"/>
  <c r="J22" i="21407"/>
  <c r="J102" i="21407"/>
  <c r="J61" i="21407"/>
  <c r="J46" i="21407"/>
  <c r="J152" i="21407"/>
  <c r="J54" i="21407"/>
  <c r="J47" i="21407"/>
  <c r="J127" i="21407"/>
  <c r="J86" i="21407"/>
  <c r="J25" i="21407"/>
  <c r="J125" i="21407"/>
  <c r="J38" i="21407"/>
  <c r="J233" i="21407"/>
  <c r="J237" i="21407" s="1"/>
  <c r="J141" i="21407"/>
  <c r="J147" i="21407"/>
  <c r="J63" i="21407"/>
  <c r="J77" i="21407"/>
  <c r="J244" i="21407"/>
  <c r="J48" i="21407"/>
  <c r="J69" i="21407"/>
  <c r="J51" i="21407"/>
  <c r="J35" i="21407"/>
  <c r="J128" i="21407"/>
  <c r="J42" i="21407"/>
  <c r="J19" i="21407"/>
  <c r="J90" i="21407"/>
  <c r="J34" i="21407"/>
  <c r="J9" i="21407"/>
  <c r="J30" i="21407"/>
  <c r="J116" i="21407"/>
  <c r="J4" i="21407"/>
  <c r="J14" i="21407"/>
  <c r="J39" i="21407"/>
  <c r="J64" i="21407"/>
  <c r="J93" i="21407"/>
  <c r="J131" i="21407"/>
  <c r="J74" i="21407"/>
  <c r="J73" i="21407"/>
  <c r="J84" i="21407"/>
  <c r="Q26" i="21407"/>
  <c r="J26" i="21407" s="1"/>
  <c r="J15" i="21407"/>
  <c r="J85" i="21407"/>
  <c r="J33" i="21407"/>
  <c r="J88" i="21407"/>
  <c r="J80" i="21407"/>
  <c r="Q23" i="21407"/>
  <c r="J23" i="21407" s="1"/>
  <c r="J40" i="21407"/>
  <c r="J78" i="21407"/>
  <c r="J24" i="21407"/>
  <c r="J89" i="21407"/>
  <c r="J183" i="21407"/>
  <c r="J132" i="21407"/>
  <c r="J13" i="21407"/>
  <c r="J49" i="21407"/>
  <c r="J12" i="21407"/>
  <c r="J57" i="21407"/>
  <c r="J146" i="21407"/>
  <c r="J20" i="21407"/>
  <c r="J58" i="21407"/>
  <c r="J129" i="21407"/>
  <c r="J5" i="21407"/>
  <c r="J56" i="21407"/>
  <c r="J239" i="21407"/>
  <c r="J97" i="21407"/>
  <c r="J98" i="21407" s="1"/>
  <c r="J66" i="21407"/>
  <c r="J43" i="21407"/>
  <c r="J18" i="21407"/>
  <c r="J72" i="21407"/>
  <c r="J123" i="21407"/>
  <c r="J31" i="21407"/>
  <c r="J235" i="21407"/>
  <c r="J53" i="21407"/>
  <c r="J184" i="21407"/>
  <c r="J99" i="21407"/>
  <c r="J100" i="21407" s="1"/>
  <c r="J44" i="21407"/>
  <c r="J37" i="21407"/>
  <c r="J196" i="21407"/>
  <c r="J36" i="21407"/>
  <c r="J8" i="21407"/>
  <c r="J186" i="21407"/>
  <c r="J118" i="21407"/>
  <c r="J236" i="21407"/>
  <c r="J68" i="21407"/>
  <c r="J62" i="21407"/>
  <c r="J117" i="21407"/>
  <c r="J92" i="21407"/>
  <c r="J234" i="21407"/>
  <c r="J138" i="21407"/>
  <c r="J95" i="21407"/>
  <c r="J130" i="21407"/>
  <c r="J55" i="21407"/>
  <c r="J120" i="21407"/>
  <c r="J197" i="21407"/>
  <c r="J50" i="21407"/>
  <c r="J52" i="21407"/>
  <c r="J189" i="21407"/>
  <c r="J193" i="21407" s="1"/>
  <c r="J194" i="21407" s="1"/>
  <c r="J45" i="21407"/>
  <c r="J16" i="21407"/>
  <c r="J149" i="21407"/>
  <c r="J59" i="21407"/>
  <c r="J185" i="21407"/>
  <c r="J71" i="21407"/>
  <c r="J17" i="21407"/>
  <c r="J76" i="21407"/>
  <c r="J150" i="21407"/>
  <c r="J10" i="21407"/>
  <c r="J32" i="21407"/>
  <c r="J101" i="21407"/>
  <c r="J65" i="21407"/>
  <c r="J75" i="21407"/>
  <c r="J6" i="21404"/>
  <c r="J56" i="21404"/>
  <c r="J158" i="21404"/>
  <c r="J142" i="21404"/>
  <c r="J7" i="21404"/>
  <c r="J44" i="21404"/>
  <c r="J57" i="21404"/>
  <c r="J21" i="21404"/>
  <c r="J10" i="21404"/>
  <c r="J89" i="21404"/>
  <c r="J110" i="21404"/>
  <c r="J39" i="21404"/>
  <c r="J83" i="21404"/>
  <c r="J53" i="21404"/>
  <c r="J27" i="21404"/>
  <c r="J32" i="21404"/>
  <c r="J40" i="21404"/>
  <c r="J24" i="21404"/>
  <c r="J70" i="21404"/>
  <c r="J64" i="21404"/>
  <c r="J54" i="21404"/>
  <c r="J18" i="21404"/>
  <c r="J41" i="21404"/>
  <c r="J78" i="21404"/>
  <c r="J17" i="21404"/>
  <c r="J91" i="21404"/>
  <c r="J97" i="21404"/>
  <c r="J153" i="21404"/>
  <c r="J55" i="21404"/>
  <c r="J141" i="21404"/>
  <c r="J92" i="21404"/>
  <c r="J61" i="21404"/>
  <c r="J33" i="21404"/>
  <c r="J107" i="21404"/>
  <c r="J81" i="21404"/>
  <c r="J30" i="21404"/>
  <c r="J42" i="21404"/>
  <c r="J36" i="21404"/>
  <c r="J65" i="21404"/>
  <c r="J49" i="21404"/>
  <c r="J37" i="21404"/>
  <c r="J35" i="21404"/>
  <c r="J143" i="21404"/>
  <c r="J52" i="21404"/>
  <c r="J68" i="21404"/>
  <c r="J156" i="21404"/>
  <c r="J13" i="21404"/>
  <c r="J108" i="21404"/>
  <c r="J12" i="21404"/>
  <c r="J164" i="21404"/>
  <c r="J77" i="21404"/>
  <c r="J157" i="21404"/>
  <c r="J159" i="21404"/>
  <c r="J93" i="21404"/>
  <c r="J71" i="21404"/>
  <c r="J182" i="21404"/>
  <c r="J11" i="21404"/>
  <c r="J38" i="21404"/>
  <c r="J154" i="21404"/>
  <c r="J140" i="21404"/>
  <c r="J90" i="21404"/>
  <c r="J31" i="21404"/>
  <c r="J45" i="21404"/>
  <c r="J185" i="21404"/>
  <c r="J25" i="21404"/>
  <c r="J179" i="21404"/>
  <c r="J162" i="21404"/>
  <c r="J34" i="21404"/>
  <c r="J178" i="21404"/>
  <c r="J88" i="21404"/>
  <c r="J59" i="21404"/>
  <c r="J60" i="21404"/>
  <c r="J26" i="21404"/>
  <c r="J9" i="21404"/>
  <c r="J47" i="21404"/>
  <c r="J76" i="21404"/>
  <c r="J43" i="21404"/>
  <c r="J23" i="21404"/>
  <c r="J183" i="21404"/>
  <c r="J85" i="21404"/>
  <c r="J111" i="21404"/>
  <c r="J184" i="21404"/>
  <c r="J80" i="21404"/>
  <c r="J106" i="21404"/>
  <c r="J86" i="21404"/>
  <c r="J193" i="21404"/>
  <c r="J58" i="21404"/>
  <c r="J28" i="21404"/>
  <c r="J87" i="21404"/>
  <c r="J82" i="21404"/>
  <c r="G236" i="21405"/>
  <c r="G235" i="21405"/>
  <c r="J111" i="21407" l="1"/>
  <c r="J134" i="21407"/>
  <c r="J188" i="21407"/>
  <c r="C739" i="2"/>
  <c r="J119" i="21407"/>
  <c r="J81" i="21407"/>
  <c r="J82" i="21407" s="1"/>
  <c r="J145" i="21407"/>
  <c r="J144" i="21407" s="1"/>
  <c r="J143" i="21407" s="1"/>
  <c r="J79" i="21404"/>
  <c r="J69" i="21404"/>
  <c r="J165" i="21404"/>
  <c r="J112" i="21404"/>
  <c r="J160" i="21404"/>
  <c r="J104" i="21404"/>
  <c r="J186" i="21404"/>
  <c r="J19" i="21404"/>
  <c r="J188" i="21404"/>
  <c r="J22" i="21404"/>
  <c r="J20" i="21404"/>
  <c r="J29" i="21404"/>
  <c r="J46" i="21404"/>
  <c r="J5" i="21404"/>
  <c r="J139" i="21404"/>
  <c r="J155" i="21404"/>
  <c r="J146" i="21404"/>
  <c r="J63" i="21404"/>
  <c r="J105" i="21404"/>
  <c r="J4" i="21404"/>
  <c r="J8" i="21404"/>
  <c r="J138" i="21404"/>
  <c r="J48" i="21404"/>
  <c r="J66" i="21404"/>
  <c r="J62" i="21404"/>
  <c r="J98" i="21404"/>
  <c r="J109" i="21404"/>
  <c r="J163" i="21404"/>
  <c r="G228" i="21405"/>
  <c r="G50" i="21405"/>
  <c r="G234" i="21405"/>
  <c r="G278" i="21405"/>
  <c r="G56" i="21405"/>
  <c r="G277" i="21405"/>
  <c r="G61" i="21405"/>
  <c r="G232" i="21405"/>
  <c r="G276" i="21405"/>
  <c r="G231" i="21405"/>
  <c r="G233" i="21405"/>
  <c r="G238" i="21405"/>
  <c r="C741" i="2" l="1"/>
  <c r="G3" i="21407"/>
  <c r="J174" i="21404"/>
  <c r="J3" i="21404"/>
  <c r="J150" i="21404"/>
  <c r="J145" i="21404"/>
  <c r="J103" i="21404"/>
  <c r="J50" i="21404"/>
  <c r="J172" i="21404"/>
  <c r="J175" i="21404"/>
  <c r="J67" i="21404"/>
  <c r="G229" i="21405"/>
  <c r="G275" i="21405"/>
  <c r="G227" i="21405"/>
  <c r="C743" i="2" l="1"/>
  <c r="E11" i="21408"/>
  <c r="E16" i="21408" s="1"/>
  <c r="J102" i="21404"/>
  <c r="J151" i="21404"/>
  <c r="J51" i="21404"/>
  <c r="C745" i="2" l="1"/>
  <c r="C747" i="2" l="1"/>
  <c r="C749" i="2" l="1"/>
  <c r="C751" i="2" l="1"/>
  <c r="J751" i="2" l="1"/>
  <c r="H112" i="21407" l="1"/>
  <c r="G112" i="21407" s="1"/>
  <c r="H114" i="21407"/>
  <c r="G114" i="21407" s="1"/>
  <c r="H113" i="21407"/>
  <c r="G113" i="21407" s="1"/>
  <c r="H115" i="21407"/>
  <c r="G115" i="21407" s="1"/>
  <c r="F4" i="21410"/>
  <c r="C4" i="21410" s="1"/>
  <c r="H154" i="21407"/>
  <c r="G154" i="21407" s="1"/>
  <c r="H153" i="21407"/>
  <c r="H155" i="21407"/>
  <c r="H116" i="21407"/>
  <c r="E6" i="21402"/>
  <c r="H4" i="21407"/>
  <c r="G4" i="21407" s="1"/>
  <c r="E4" i="21402"/>
  <c r="E5" i="21402"/>
  <c r="E3" i="21402"/>
  <c r="H21" i="21407"/>
  <c r="G21" i="21407" s="1"/>
  <c r="G104" i="21408"/>
  <c r="G178" i="21408"/>
  <c r="G103" i="21408"/>
  <c r="E104" i="21408" l="1"/>
  <c r="E103" i="21408"/>
  <c r="E178" i="21408"/>
  <c r="H149" i="21407"/>
  <c r="G149" i="21407" s="1"/>
  <c r="H188" i="21404"/>
  <c r="G188" i="21404" s="1"/>
  <c r="H26" i="21407"/>
  <c r="G26" i="21407" s="1"/>
  <c r="H96" i="21407"/>
  <c r="G96" i="21407" s="1"/>
  <c r="H85" i="21404"/>
  <c r="H69" i="21407"/>
  <c r="G69" i="21407" s="1"/>
  <c r="H80" i="21404"/>
  <c r="H154" i="21404"/>
  <c r="G154" i="21404" s="1"/>
  <c r="H58" i="21404"/>
  <c r="G58" i="21404" s="1"/>
  <c r="H32" i="21407"/>
  <c r="G32" i="21407" s="1"/>
  <c r="H178" i="21404"/>
  <c r="G178" i="21404" s="1"/>
  <c r="H189" i="21407"/>
  <c r="H77" i="21404"/>
  <c r="G77" i="21404" s="1"/>
  <c r="H18" i="21407"/>
  <c r="G18" i="21407" s="1"/>
  <c r="H29" i="21404"/>
  <c r="G29" i="21404" s="1"/>
  <c r="H43" i="21407"/>
  <c r="G43" i="21407" s="1"/>
  <c r="H33" i="21407"/>
  <c r="G33" i="21407" s="1"/>
  <c r="H78" i="21407"/>
  <c r="G78" i="21407" s="1"/>
  <c r="H111" i="21404"/>
  <c r="H61" i="21404"/>
  <c r="G61" i="21404" s="1"/>
  <c r="H76" i="21407"/>
  <c r="G76" i="21407" s="1"/>
  <c r="H81" i="21404"/>
  <c r="G81" i="21404" s="1"/>
  <c r="H181" i="21407"/>
  <c r="G181" i="21407" s="1"/>
  <c r="H141" i="21404"/>
  <c r="G141" i="21404" s="1"/>
  <c r="H83" i="21407"/>
  <c r="G83" i="21407" s="1"/>
  <c r="H110" i="21404"/>
  <c r="G110" i="21404" s="1"/>
  <c r="H131" i="21407"/>
  <c r="G131" i="21407" s="1"/>
  <c r="H65" i="21404"/>
  <c r="G65" i="21404" s="1"/>
  <c r="H14" i="21404"/>
  <c r="G14" i="21404" s="1"/>
  <c r="H88" i="21404"/>
  <c r="G88" i="21404" s="1"/>
  <c r="H30" i="21404"/>
  <c r="G30" i="21404" s="1"/>
  <c r="H53" i="21407"/>
  <c r="G53" i="21407" s="1"/>
  <c r="H54" i="21404"/>
  <c r="G54" i="21404" s="1"/>
  <c r="H15" i="21407"/>
  <c r="G15" i="21407" s="1"/>
  <c r="H9" i="21404"/>
  <c r="G9" i="21404" s="1"/>
  <c r="H159" i="21404"/>
  <c r="H63" i="21407"/>
  <c r="G63" i="21407" s="1"/>
  <c r="H34" i="21404"/>
  <c r="G34" i="21404" s="1"/>
  <c r="H67" i="21407"/>
  <c r="G67" i="21407" s="1"/>
  <c r="H78" i="21404"/>
  <c r="G78" i="21404" s="1"/>
  <c r="H71" i="21407"/>
  <c r="G71" i="21407" s="1"/>
  <c r="H8" i="21404"/>
  <c r="G8" i="21404" s="1"/>
  <c r="H125" i="21407"/>
  <c r="H37" i="21407"/>
  <c r="G37" i="21407" s="1"/>
  <c r="H44" i="21404"/>
  <c r="G44" i="21404" s="1"/>
  <c r="H60" i="21404"/>
  <c r="G60" i="21404" s="1"/>
  <c r="H43" i="21404"/>
  <c r="G43" i="21404" s="1"/>
  <c r="H45" i="21407"/>
  <c r="G45" i="21407" s="1"/>
  <c r="H132" i="21407"/>
  <c r="G132" i="21407" s="1"/>
  <c r="H42" i="21407"/>
  <c r="G42" i="21407" s="1"/>
  <c r="H25" i="21404"/>
  <c r="G25" i="21404" s="1"/>
  <c r="H65" i="21407"/>
  <c r="G65" i="21407" s="1"/>
  <c r="H32" i="21404"/>
  <c r="G32" i="21404" s="1"/>
  <c r="H5" i="21407"/>
  <c r="G5" i="21407" s="1"/>
  <c r="H49" i="21404"/>
  <c r="G49" i="21404" s="1"/>
  <c r="H129" i="21407"/>
  <c r="G129" i="21407" s="1"/>
  <c r="H138" i="21404"/>
  <c r="G138" i="21404" s="1"/>
  <c r="H52" i="21407"/>
  <c r="G52" i="21407" s="1"/>
  <c r="H105" i="21404"/>
  <c r="G105" i="21404" s="1"/>
  <c r="H46" i="21407"/>
  <c r="H13" i="21404"/>
  <c r="G13" i="21404" s="1"/>
  <c r="H68" i="21404"/>
  <c r="H163" i="21404"/>
  <c r="G163" i="21404" s="1"/>
  <c r="H92" i="21407"/>
  <c r="G92" i="21407" s="1"/>
  <c r="H66" i="21407"/>
  <c r="G66" i="21407" s="1"/>
  <c r="H62" i="21407"/>
  <c r="G62" i="21407" s="1"/>
  <c r="H23" i="21404"/>
  <c r="G23" i="21404" s="1"/>
  <c r="H184" i="21407"/>
  <c r="G184" i="21407" s="1"/>
  <c r="H36" i="21407"/>
  <c r="G36" i="21407" s="1"/>
  <c r="H6" i="21404"/>
  <c r="G6" i="21404" s="1"/>
  <c r="H130" i="21407"/>
  <c r="G130" i="21407" s="1"/>
  <c r="H8" i="21407"/>
  <c r="G8" i="21407" s="1"/>
  <c r="H126" i="21407"/>
  <c r="G126" i="21407" s="1"/>
  <c r="H71" i="21404"/>
  <c r="G71" i="21404" s="1"/>
  <c r="H233" i="21407"/>
  <c r="H40" i="21407"/>
  <c r="G40" i="21407" s="1"/>
  <c r="H61" i="21407"/>
  <c r="G61" i="21407" s="1"/>
  <c r="H59" i="21404"/>
  <c r="G59" i="21404" s="1"/>
  <c r="H54" i="21407"/>
  <c r="G54" i="21407" s="1"/>
  <c r="H44" i="21407"/>
  <c r="G44" i="21407" s="1"/>
  <c r="H36" i="21404"/>
  <c r="G36" i="21404" s="1"/>
  <c r="H70" i="21404"/>
  <c r="G70" i="21404" s="1"/>
  <c r="H89" i="21407"/>
  <c r="G89" i="21407" s="1"/>
  <c r="H99" i="21407"/>
  <c r="H49" i="21407"/>
  <c r="G49" i="21407" s="1"/>
  <c r="H4" i="21404"/>
  <c r="H93" i="21407"/>
  <c r="G93" i="21407" s="1"/>
  <c r="H146" i="21407"/>
  <c r="G146" i="21407" s="1"/>
  <c r="H58" i="21407"/>
  <c r="G58" i="21407" s="1"/>
  <c r="H197" i="21407"/>
  <c r="G197" i="21407" s="1"/>
  <c r="H179" i="21404"/>
  <c r="G179" i="21404" s="1"/>
  <c r="H41" i="21407"/>
  <c r="G41" i="21407" s="1"/>
  <c r="H27" i="21404"/>
  <c r="G27" i="21404" s="1"/>
  <c r="H101" i="21407"/>
  <c r="G101" i="21407" s="1"/>
  <c r="H38" i="21407"/>
  <c r="G38" i="21407" s="1"/>
  <c r="H88" i="21407"/>
  <c r="G88" i="21407" s="1"/>
  <c r="H139" i="21407"/>
  <c r="G139" i="21407" s="1"/>
  <c r="H18" i="21404"/>
  <c r="H186" i="21407"/>
  <c r="G186" i="21407" s="1"/>
  <c r="H42" i="21404"/>
  <c r="G42" i="21404" s="1"/>
  <c r="H20" i="21404"/>
  <c r="G20" i="21404" s="1"/>
  <c r="H40" i="21404"/>
  <c r="G40" i="21404" s="1"/>
  <c r="H87" i="21404"/>
  <c r="G87" i="21404" s="1"/>
  <c r="H82" i="21404"/>
  <c r="G82" i="21404" s="1"/>
  <c r="O25" i="21407"/>
  <c r="H25" i="21407" s="1"/>
  <c r="G25" i="21407" s="1"/>
  <c r="H5" i="21404"/>
  <c r="G5" i="21404" s="1"/>
  <c r="H34" i="21407"/>
  <c r="H169" i="21404"/>
  <c r="H6" i="21407"/>
  <c r="G6" i="21407" s="1"/>
  <c r="H128" i="21407"/>
  <c r="G128" i="21407" s="1"/>
  <c r="H48" i="21407"/>
  <c r="G48" i="21407" s="1"/>
  <c r="H56" i="21407"/>
  <c r="G56" i="21407" s="1"/>
  <c r="H150" i="21407"/>
  <c r="G150" i="21407" s="1"/>
  <c r="H182" i="21404"/>
  <c r="H117" i="21407"/>
  <c r="G117" i="21407" s="1"/>
  <c r="H89" i="21404"/>
  <c r="G89" i="21404" s="1"/>
  <c r="H171" i="21404"/>
  <c r="G171" i="21404" s="1"/>
  <c r="H26" i="21404"/>
  <c r="G26" i="21404" s="1"/>
  <c r="H235" i="21407"/>
  <c r="G235" i="21407" s="1"/>
  <c r="H157" i="21404"/>
  <c r="G157" i="21404" s="1"/>
  <c r="H33" i="21404"/>
  <c r="G33" i="21404" s="1"/>
  <c r="H41" i="21404"/>
  <c r="G41" i="21404" s="1"/>
  <c r="H87" i="21407"/>
  <c r="G87" i="21407" s="1"/>
  <c r="H24" i="21404"/>
  <c r="G24" i="21404" s="1"/>
  <c r="H48" i="21404"/>
  <c r="G48" i="21404" s="1"/>
  <c r="H107" i="21404"/>
  <c r="G107" i="21404" s="1"/>
  <c r="H63" i="21404"/>
  <c r="G63" i="21404" s="1"/>
  <c r="H94" i="21407"/>
  <c r="G94" i="21407" s="1"/>
  <c r="H21" i="21404"/>
  <c r="G21" i="21404" s="1"/>
  <c r="H127" i="21407"/>
  <c r="G127" i="21407" s="1"/>
  <c r="H120" i="21407"/>
  <c r="H93" i="21404"/>
  <c r="G93" i="21404" s="1"/>
  <c r="H139" i="21404"/>
  <c r="G139" i="21404" s="1"/>
  <c r="H12" i="21407"/>
  <c r="G12" i="21407" s="1"/>
  <c r="H90" i="21407"/>
  <c r="G90" i="21407" s="1"/>
  <c r="H92" i="21404"/>
  <c r="G92" i="21404" s="1"/>
  <c r="H153" i="21404"/>
  <c r="G153" i="21404" s="1"/>
  <c r="H31" i="21404"/>
  <c r="G31" i="21404" s="1"/>
  <c r="H168" i="21404"/>
  <c r="H47" i="21404"/>
  <c r="G47" i="21404" s="1"/>
  <c r="H46" i="21404"/>
  <c r="G46" i="21404" s="1"/>
  <c r="H98" i="21404"/>
  <c r="G98" i="21404" s="1"/>
  <c r="H19" i="21404"/>
  <c r="G19" i="21404" s="1"/>
  <c r="H57" i="21404"/>
  <c r="G57" i="21404" s="1"/>
  <c r="H151" i="21407"/>
  <c r="G151" i="21407" s="1"/>
  <c r="H38" i="21404"/>
  <c r="G38" i="21404" s="1"/>
  <c r="H236" i="21407"/>
  <c r="G236" i="21407" s="1"/>
  <c r="H73" i="21407"/>
  <c r="G73" i="21407" s="1"/>
  <c r="H86" i="21407"/>
  <c r="G86" i="21407" s="1"/>
  <c r="H138" i="21407"/>
  <c r="G138" i="21407" s="1"/>
  <c r="H196" i="21407"/>
  <c r="G196" i="21407" s="1"/>
  <c r="H158" i="21404"/>
  <c r="G116" i="21407"/>
  <c r="H11" i="21407"/>
  <c r="G11" i="21407" s="1"/>
  <c r="H121" i="21407"/>
  <c r="G121" i="21407" s="1"/>
  <c r="H183" i="21407"/>
  <c r="G183" i="21407" s="1"/>
  <c r="H39" i="21404"/>
  <c r="G39" i="21404" s="1"/>
  <c r="H156" i="21404"/>
  <c r="G156" i="21404" s="1"/>
  <c r="H11" i="21404"/>
  <c r="G11" i="21404" s="1"/>
  <c r="H56" i="21404"/>
  <c r="G56" i="21404" s="1"/>
  <c r="H97" i="21404"/>
  <c r="G97" i="21404" s="1"/>
  <c r="H152" i="21407"/>
  <c r="H109" i="21404"/>
  <c r="G109" i="21404" s="1"/>
  <c r="H20" i="21407"/>
  <c r="G20" i="21407" s="1"/>
  <c r="H146" i="21404"/>
  <c r="H14" i="21407"/>
  <c r="G14" i="21407" s="1"/>
  <c r="H66" i="21404"/>
  <c r="H35" i="21407"/>
  <c r="G35" i="21407" s="1"/>
  <c r="H52" i="21404"/>
  <c r="G52" i="21404" s="1"/>
  <c r="H95" i="21407"/>
  <c r="G95" i="21407" s="1"/>
  <c r="H55" i="21404"/>
  <c r="G55" i="21404" s="1"/>
  <c r="H68" i="21407"/>
  <c r="G68" i="21407" s="1"/>
  <c r="H37" i="21404"/>
  <c r="G37" i="21404" s="1"/>
  <c r="H185" i="21407"/>
  <c r="G185" i="21407" s="1"/>
  <c r="H50" i="21407"/>
  <c r="G50" i="21407" s="1"/>
  <c r="H85" i="21407"/>
  <c r="G85" i="21407" s="1"/>
  <c r="H51" i="21407"/>
  <c r="G51" i="21407" s="1"/>
  <c r="H35" i="21404"/>
  <c r="G35" i="21404" s="1"/>
  <c r="H133" i="21407"/>
  <c r="G133" i="21407" s="1"/>
  <c r="H147" i="21407"/>
  <c r="G147" i="21407" s="1"/>
  <c r="H10" i="21407"/>
  <c r="G10" i="21407" s="1"/>
  <c r="H143" i="21404"/>
  <c r="G143" i="21404" s="1"/>
  <c r="H97" i="21407"/>
  <c r="H183" i="21404"/>
  <c r="G183" i="21404" s="1"/>
  <c r="H118" i="21407"/>
  <c r="G118" i="21407" s="1"/>
  <c r="H91" i="21404"/>
  <c r="G91" i="21404" s="1"/>
  <c r="H142" i="21404"/>
  <c r="G142" i="21404" s="1"/>
  <c r="H7" i="21407"/>
  <c r="G7" i="21407" s="1"/>
  <c r="H108" i="21404"/>
  <c r="G108" i="21404" s="1"/>
  <c r="H19" i="21407"/>
  <c r="G19" i="21407" s="1"/>
  <c r="H244" i="21407"/>
  <c r="G244" i="21407" s="1"/>
  <c r="H22" i="21404"/>
  <c r="G22" i="21404" s="1"/>
  <c r="H31" i="21407"/>
  <c r="G31" i="21407" s="1"/>
  <c r="H86" i="21404"/>
  <c r="G86" i="21404" s="1"/>
  <c r="H39" i="21407"/>
  <c r="G39" i="21407" s="1"/>
  <c r="H76" i="21404"/>
  <c r="G76" i="21404" s="1"/>
  <c r="H110" i="21407"/>
  <c r="G110" i="21407" s="1"/>
  <c r="H55" i="21407"/>
  <c r="G55" i="21407" s="1"/>
  <c r="H57" i="21407"/>
  <c r="G57" i="21407" s="1"/>
  <c r="H64" i="21404"/>
  <c r="G64" i="21404" s="1"/>
  <c r="H148" i="21407"/>
  <c r="G148" i="21407" s="1"/>
  <c r="H123" i="21407"/>
  <c r="G123" i="21407" s="1"/>
  <c r="O23" i="21407"/>
  <c r="H23" i="21407" s="1"/>
  <c r="G23" i="21407" s="1"/>
  <c r="H80" i="21407"/>
  <c r="G80" i="21407" s="1"/>
  <c r="H141" i="21407"/>
  <c r="G141" i="21407" s="1"/>
  <c r="H91" i="21407"/>
  <c r="G91" i="21407" s="1"/>
  <c r="H170" i="21404"/>
  <c r="G170" i="21404" s="1"/>
  <c r="H9" i="21407"/>
  <c r="G9" i="21407" s="1"/>
  <c r="H83" i="21404"/>
  <c r="G83" i="21404" s="1"/>
  <c r="H59" i="21407"/>
  <c r="G59" i="21407" s="1"/>
  <c r="H12" i="21404"/>
  <c r="G12" i="21404" s="1"/>
  <c r="H74" i="21407"/>
  <c r="G74" i="21407" s="1"/>
  <c r="H10" i="21404"/>
  <c r="G10" i="21404" s="1"/>
  <c r="H239" i="21407"/>
  <c r="G239" i="21407" s="1"/>
  <c r="H90" i="21404"/>
  <c r="G90" i="21404" s="1"/>
  <c r="H70" i="21407"/>
  <c r="G70" i="21407" s="1"/>
  <c r="H24" i="21407"/>
  <c r="G24" i="21407" s="1"/>
  <c r="H64" i="21407"/>
  <c r="G64" i="21407" s="1"/>
  <c r="H102" i="21407"/>
  <c r="G102" i="21407" s="1"/>
  <c r="H75" i="21407"/>
  <c r="G75" i="21407" s="1"/>
  <c r="H77" i="21407"/>
  <c r="G77" i="21407" s="1"/>
  <c r="H193" i="21404"/>
  <c r="G193" i="21404" s="1"/>
  <c r="H22" i="21407"/>
  <c r="G22" i="21407" s="1"/>
  <c r="H109" i="21407"/>
  <c r="H184" i="21404"/>
  <c r="G184" i="21404" s="1"/>
  <c r="H45" i="21404"/>
  <c r="H185" i="21404"/>
  <c r="G185" i="21404" s="1"/>
  <c r="H60" i="21407"/>
  <c r="G60" i="21407" s="1"/>
  <c r="H122" i="21407"/>
  <c r="G122" i="21407" s="1"/>
  <c r="H182" i="21407"/>
  <c r="G182" i="21407" s="1"/>
  <c r="H53" i="21404"/>
  <c r="G53" i="21404" s="1"/>
  <c r="H16" i="21407"/>
  <c r="G16" i="21407" s="1"/>
  <c r="H17" i="21407"/>
  <c r="G17" i="21407" s="1"/>
  <c r="H84" i="21407"/>
  <c r="G84" i="21407" s="1"/>
  <c r="H106" i="21404"/>
  <c r="G106" i="21404" s="1"/>
  <c r="H28" i="21404"/>
  <c r="G28" i="21404" s="1"/>
  <c r="H72" i="21407"/>
  <c r="G72" i="21407" s="1"/>
  <c r="H47" i="21407"/>
  <c r="G47" i="21407" s="1"/>
  <c r="H79" i="21407"/>
  <c r="G79" i="21407" s="1"/>
  <c r="H162" i="21404"/>
  <c r="G162" i="21404" s="1"/>
  <c r="H13" i="21407"/>
  <c r="G13" i="21407" s="1"/>
  <c r="H62" i="21404"/>
  <c r="G62" i="21404" s="1"/>
  <c r="H30" i="21407"/>
  <c r="G30" i="21407" s="1"/>
  <c r="H234" i="21407"/>
  <c r="G234" i="21407" s="1"/>
  <c r="H17" i="21404"/>
  <c r="G17" i="21404" s="1"/>
  <c r="H7" i="21404"/>
  <c r="G7" i="21404" s="1"/>
  <c r="H140" i="21404"/>
  <c r="G140" i="21404" s="1"/>
  <c r="H164" i="21404"/>
  <c r="G81" i="21405"/>
  <c r="G64" i="21405"/>
  <c r="G52" i="21405"/>
  <c r="G125" i="21405"/>
  <c r="G53" i="21405"/>
  <c r="G260" i="21405"/>
  <c r="G91" i="21408"/>
  <c r="G82" i="21408"/>
  <c r="G51" i="21408"/>
  <c r="G171" i="21408"/>
  <c r="G296" i="21408"/>
  <c r="G205" i="21408"/>
  <c r="G71" i="21405"/>
  <c r="G140" i="21408"/>
  <c r="G121" i="21405"/>
  <c r="G84" i="21408"/>
  <c r="G84" i="21405"/>
  <c r="G153" i="21405"/>
  <c r="G59" i="21405"/>
  <c r="G15" i="21405"/>
  <c r="G64" i="21408"/>
  <c r="G56" i="21408"/>
  <c r="G100" i="21408"/>
  <c r="G151" i="21405"/>
  <c r="G58" i="21408"/>
  <c r="G182" i="21405"/>
  <c r="G99" i="21408"/>
  <c r="G75" i="21405"/>
  <c r="G53" i="21408"/>
  <c r="G88" i="21408"/>
  <c r="G55" i="21405"/>
  <c r="G150" i="21405"/>
  <c r="G46" i="21408"/>
  <c r="G146" i="21408"/>
  <c r="G68" i="21405"/>
  <c r="G85" i="21408"/>
  <c r="G109" i="21408"/>
  <c r="G249" i="21408"/>
  <c r="G122" i="21405"/>
  <c r="G41" i="21408"/>
  <c r="G63" i="21408"/>
  <c r="G69" i="21408"/>
  <c r="G41" i="21405"/>
  <c r="G60" i="21408"/>
  <c r="G48" i="21408"/>
  <c r="G175" i="21408"/>
  <c r="G81" i="21408"/>
  <c r="G76" i="21405"/>
  <c r="G85" i="21405"/>
  <c r="G152" i="21405"/>
  <c r="G57" i="21405"/>
  <c r="G106" i="21408"/>
  <c r="G88" i="21405"/>
  <c r="G73" i="21408"/>
  <c r="G83" i="21408"/>
  <c r="G208" i="21408"/>
  <c r="G54" i="21408"/>
  <c r="G172" i="21408"/>
  <c r="G76" i="21408"/>
  <c r="G267" i="21405"/>
  <c r="G44" i="21408"/>
  <c r="G187" i="21405"/>
  <c r="G89" i="21408"/>
  <c r="G119" i="21405"/>
  <c r="G302" i="21408"/>
  <c r="G143" i="21408"/>
  <c r="G42" i="21408"/>
  <c r="G185" i="21405"/>
  <c r="G86" i="21408"/>
  <c r="G75" i="21408"/>
  <c r="G47" i="21405"/>
  <c r="G298" i="21408"/>
  <c r="G173" i="21408"/>
  <c r="G68" i="21408"/>
  <c r="G77" i="21408"/>
  <c r="G78" i="21408"/>
  <c r="G127" i="21405"/>
  <c r="G105" i="21408"/>
  <c r="G47" i="21408"/>
  <c r="G95" i="21408"/>
  <c r="G176" i="21408"/>
  <c r="G139" i="21408"/>
  <c r="G66" i="21405"/>
  <c r="G74" i="21405"/>
  <c r="G54" i="21405"/>
  <c r="G72" i="21408"/>
  <c r="G101" i="21408"/>
  <c r="G65" i="21408"/>
  <c r="G147" i="21408"/>
  <c r="G49" i="21408"/>
  <c r="G174" i="21408"/>
  <c r="G79" i="21408"/>
  <c r="G178" i="21405"/>
  <c r="G102" i="21408"/>
  <c r="G42" i="21405"/>
  <c r="G290" i="21408"/>
  <c r="G70" i="21405"/>
  <c r="G72" i="21405"/>
  <c r="G73" i="21405"/>
  <c r="G63" i="21405"/>
  <c r="G61" i="21408"/>
  <c r="G188" i="21405"/>
  <c r="G74" i="21408"/>
  <c r="G55" i="21408"/>
  <c r="G201" i="21408"/>
  <c r="G69" i="21405"/>
  <c r="G226" i="21405"/>
  <c r="G50" i="21408"/>
  <c r="G80" i="21408"/>
  <c r="G90" i="21408"/>
  <c r="G266" i="21405"/>
  <c r="G49" i="21405"/>
  <c r="G65" i="21405"/>
  <c r="G142" i="21408"/>
  <c r="G67" i="21408"/>
  <c r="G78" i="21405"/>
  <c r="G297" i="21408"/>
  <c r="G45" i="21405"/>
  <c r="G51" i="21405"/>
  <c r="G155" i="21405"/>
  <c r="G71" i="21408"/>
  <c r="G48" i="21405"/>
  <c r="G151" i="21408"/>
  <c r="G148" i="21408"/>
  <c r="G77" i="21405"/>
  <c r="G62" i="21408"/>
  <c r="G14" i="21405"/>
  <c r="G211" i="21408"/>
  <c r="G130" i="21405"/>
  <c r="G210" i="21408"/>
  <c r="G62" i="21405"/>
  <c r="G67" i="21405"/>
  <c r="G272" i="21405"/>
  <c r="G46" i="21405"/>
  <c r="G60" i="21405"/>
  <c r="G57" i="21408"/>
  <c r="G70" i="21408"/>
  <c r="G118" i="21405"/>
  <c r="G87" i="21408"/>
  <c r="G126" i="21405"/>
  <c r="G154" i="21405"/>
  <c r="G58" i="21405"/>
  <c r="G268" i="21405"/>
  <c r="G43" i="21408"/>
  <c r="G109" i="21407" l="1"/>
  <c r="H111" i="21407"/>
  <c r="H134" i="21407"/>
  <c r="E106" i="21408"/>
  <c r="E105" i="21408"/>
  <c r="E296" i="21408"/>
  <c r="E67" i="21408"/>
  <c r="E41" i="21408"/>
  <c r="E53" i="21408"/>
  <c r="E208" i="21408"/>
  <c r="E109" i="21408"/>
  <c r="E63" i="21408"/>
  <c r="E99" i="21408"/>
  <c r="C14" i="21397"/>
  <c r="E60" i="21408"/>
  <c r="E74" i="21408"/>
  <c r="E95" i="21408"/>
  <c r="C17" i="21397"/>
  <c r="E71" i="21408"/>
  <c r="E46" i="21408"/>
  <c r="E302" i="21408"/>
  <c r="E73" i="21408"/>
  <c r="E65" i="21408"/>
  <c r="E86" i="21408"/>
  <c r="E173" i="21408"/>
  <c r="C43" i="21397"/>
  <c r="E58" i="21408"/>
  <c r="C15" i="21397"/>
  <c r="E100" i="21408"/>
  <c r="E290" i="21408"/>
  <c r="E151" i="21408"/>
  <c r="E90" i="21408"/>
  <c r="E172" i="21408"/>
  <c r="C41" i="21397"/>
  <c r="E148" i="21408"/>
  <c r="E51" i="21408"/>
  <c r="E48" i="21408"/>
  <c r="E211" i="21408"/>
  <c r="E76" i="21408"/>
  <c r="E201" i="21408"/>
  <c r="C44" i="21397"/>
  <c r="E249" i="21408"/>
  <c r="E81" i="21408"/>
  <c r="E54" i="21408"/>
  <c r="E298" i="21408"/>
  <c r="E176" i="21408"/>
  <c r="E146" i="21408"/>
  <c r="E297" i="21408"/>
  <c r="E175" i="21408"/>
  <c r="E139" i="21408"/>
  <c r="E205" i="21408"/>
  <c r="E83" i="21408"/>
  <c r="C16" i="21397"/>
  <c r="E91" i="21408"/>
  <c r="E62" i="21408"/>
  <c r="E171" i="21408"/>
  <c r="C40" i="21397"/>
  <c r="E55" i="21408"/>
  <c r="E142" i="21408"/>
  <c r="E147" i="21408"/>
  <c r="E210" i="21408"/>
  <c r="E69" i="21408"/>
  <c r="E72" i="21408"/>
  <c r="E87" i="21408"/>
  <c r="E49" i="21408"/>
  <c r="E143" i="21408"/>
  <c r="E47" i="21408"/>
  <c r="E70" i="21408"/>
  <c r="E140" i="21408"/>
  <c r="E78" i="21408"/>
  <c r="C21" i="21397"/>
  <c r="E75" i="21408"/>
  <c r="E77" i="21408"/>
  <c r="E174" i="21408"/>
  <c r="E56" i="21408"/>
  <c r="E43" i="21408"/>
  <c r="E42" i="21408"/>
  <c r="E50" i="21408"/>
  <c r="E85" i="21408"/>
  <c r="E88" i="21408"/>
  <c r="E68" i="21408"/>
  <c r="E44" i="21408"/>
  <c r="E64" i="21408"/>
  <c r="E82" i="21408"/>
  <c r="E102" i="21408"/>
  <c r="E57" i="21408"/>
  <c r="E79" i="21408"/>
  <c r="E84" i="21408"/>
  <c r="E101" i="21408"/>
  <c r="E61" i="21408"/>
  <c r="E80" i="21408"/>
  <c r="E89" i="21408"/>
  <c r="N27" i="21407"/>
  <c r="H98" i="21407"/>
  <c r="G98" i="21407" s="1"/>
  <c r="G97" i="21407"/>
  <c r="H67" i="21404"/>
  <c r="G67" i="21404" s="1"/>
  <c r="G66" i="21404"/>
  <c r="G80" i="21404"/>
  <c r="H79" i="21404"/>
  <c r="G79" i="21404" s="1"/>
  <c r="H150" i="21404"/>
  <c r="G146" i="21404"/>
  <c r="H145" i="21404"/>
  <c r="G145" i="21404" s="1"/>
  <c r="G155" i="21407"/>
  <c r="H3" i="21404"/>
  <c r="G3" i="21404" s="1"/>
  <c r="G4" i="21404"/>
  <c r="H69" i="21404"/>
  <c r="G69" i="21404" s="1"/>
  <c r="G68" i="21404"/>
  <c r="H104" i="21404"/>
  <c r="G85" i="21404"/>
  <c r="G168" i="21404"/>
  <c r="H173" i="21404"/>
  <c r="G173" i="21404" s="1"/>
  <c r="H176" i="21404"/>
  <c r="G176" i="21404" s="1"/>
  <c r="G120" i="21407"/>
  <c r="H119" i="21407"/>
  <c r="G119" i="21407" s="1"/>
  <c r="G169" i="21404"/>
  <c r="H177" i="21404"/>
  <c r="G177" i="21404" s="1"/>
  <c r="G99" i="21407"/>
  <c r="H100" i="21407"/>
  <c r="G100" i="21407" s="1"/>
  <c r="H81" i="21407"/>
  <c r="G46" i="21407"/>
  <c r="H155" i="21404"/>
  <c r="G155" i="21404" s="1"/>
  <c r="G159" i="21404"/>
  <c r="G189" i="21407"/>
  <c r="H193" i="21407"/>
  <c r="H188" i="21407"/>
  <c r="G188" i="21407" s="1"/>
  <c r="G152" i="21407"/>
  <c r="G153" i="21407"/>
  <c r="H186" i="21404"/>
  <c r="G186" i="21404" s="1"/>
  <c r="G182" i="21404"/>
  <c r="G233" i="21407"/>
  <c r="H237" i="21407"/>
  <c r="G237" i="21407" s="1"/>
  <c r="H145" i="21407"/>
  <c r="G125" i="21407"/>
  <c r="H112" i="21404"/>
  <c r="G112" i="21404" s="1"/>
  <c r="G111" i="21404"/>
  <c r="G14" i="21408"/>
  <c r="H160" i="21404"/>
  <c r="G164" i="21404"/>
  <c r="G15" i="21408"/>
  <c r="H50" i="21404"/>
  <c r="G18" i="21404"/>
  <c r="H165" i="21404"/>
  <c r="G165" i="21404" s="1"/>
  <c r="G158" i="21404"/>
  <c r="G243" i="21408"/>
  <c r="G37" i="21408"/>
  <c r="G179" i="21408"/>
  <c r="G299" i="21408"/>
  <c r="G37" i="21405"/>
  <c r="G177" i="21408"/>
  <c r="G269" i="21405"/>
  <c r="G45" i="21404"/>
  <c r="G244" i="21408"/>
  <c r="G138" i="21408"/>
  <c r="G117" i="21405"/>
  <c r="G156" i="21405"/>
  <c r="G220" i="21405"/>
  <c r="G265" i="21405"/>
  <c r="G108" i="21408"/>
  <c r="G295" i="21408"/>
  <c r="G87" i="21405"/>
  <c r="G221" i="21405"/>
  <c r="E138" i="21408" l="1"/>
  <c r="E152" i="21408" s="1"/>
  <c r="C24" i="21397"/>
  <c r="C26" i="21397" s="1"/>
  <c r="E299" i="21408"/>
  <c r="E295" i="21408"/>
  <c r="E243" i="21408"/>
  <c r="E244" i="21408"/>
  <c r="C12" i="21397"/>
  <c r="C19" i="21397" s="1"/>
  <c r="E37" i="21408"/>
  <c r="E110" i="21408" s="1"/>
  <c r="C38" i="21397"/>
  <c r="E108" i="21408"/>
  <c r="E177" i="21408"/>
  <c r="E179" i="21408"/>
  <c r="C47" i="21397"/>
  <c r="E222" i="21408"/>
  <c r="H174" i="21404"/>
  <c r="G174" i="21404" s="1"/>
  <c r="H51" i="21404"/>
  <c r="G51" i="21404" s="1"/>
  <c r="G50" i="21404"/>
  <c r="G193" i="21407"/>
  <c r="H194" i="21407"/>
  <c r="G194" i="21407" s="1"/>
  <c r="H103" i="21404"/>
  <c r="G104" i="21404"/>
  <c r="H144" i="21407"/>
  <c r="G145" i="21407"/>
  <c r="H151" i="21404"/>
  <c r="G151" i="21404" s="1"/>
  <c r="G150" i="21404"/>
  <c r="H172" i="21404"/>
  <c r="G172" i="21404" s="1"/>
  <c r="H175" i="21404"/>
  <c r="G175" i="21404" s="1"/>
  <c r="G160" i="21404"/>
  <c r="G81" i="21407"/>
  <c r="H82" i="21407"/>
  <c r="G82" i="21407" s="1"/>
  <c r="G247" i="21408"/>
  <c r="G248" i="21408"/>
  <c r="G224" i="21405"/>
  <c r="G149" i="21405"/>
  <c r="G225" i="21405"/>
  <c r="G170" i="21408"/>
  <c r="E315" i="21408" l="1"/>
  <c r="E170" i="21408"/>
  <c r="E248" i="21408"/>
  <c r="E247" i="21408"/>
  <c r="H143" i="21407"/>
  <c r="G143" i="21407" s="1"/>
  <c r="G144" i="21407"/>
  <c r="H102" i="21404"/>
  <c r="G102" i="21404" s="1"/>
  <c r="G103" i="21404"/>
  <c r="G147" i="21405"/>
  <c r="G169" i="21408"/>
  <c r="G168" i="21408"/>
  <c r="G148" i="21405"/>
  <c r="E269" i="21408" l="1"/>
  <c r="E169" i="21408"/>
  <c r="E168" i="21408"/>
  <c r="E180" i="21408" l="1"/>
  <c r="E337" i="2140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Francisco Martinez</author>
  </authors>
  <commentList>
    <comment ref="AH547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Other side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617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Dist 1st Dropper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Francisco Martinez</author>
  </authors>
  <commentList>
    <comment ref="T71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Dist 1st Dropper: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miusuario</author>
    <author>Juan Francisco Martinez</author>
  </authors>
  <commentList>
    <comment ref="C102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miusuario:</t>
        </r>
        <r>
          <rPr>
            <sz val="9"/>
            <color indexed="81"/>
            <rFont val="Tahoma"/>
            <family val="2"/>
          </rPr>
          <t xml:space="preserve">
Incluye dos conjuntos
</t>
        </r>
      </text>
    </comment>
    <comment ref="C104" authorId="1" shapeId="0" xr:uid="{00000000-0006-0000-0C00-000002000000}">
      <text>
        <r>
          <rPr>
            <b/>
            <sz val="9"/>
            <color indexed="81"/>
            <rFont val="Tahoma"/>
            <family val="2"/>
          </rPr>
          <t>incluye dos conjuntos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1" shapeId="0" xr:uid="{00000000-0006-0000-0C00-000003000000}">
      <text>
        <r>
          <rPr>
            <b/>
            <sz val="9"/>
            <color indexed="81"/>
            <rFont val="Tahoma"/>
            <family val="2"/>
          </rPr>
          <t>incluye dos conjuntos</t>
        </r>
      </text>
    </comment>
  </commentList>
</comments>
</file>

<file path=xl/sharedStrings.xml><?xml version="1.0" encoding="utf-8"?>
<sst xmlns="http://schemas.openxmlformats.org/spreadsheetml/2006/main" count="12412" uniqueCount="3168">
  <si>
    <t>6-S.02</t>
  </si>
  <si>
    <t>6-S.03</t>
  </si>
  <si>
    <t>6-S.04</t>
  </si>
  <si>
    <t>6-S.06</t>
  </si>
  <si>
    <t>6-S.07</t>
  </si>
  <si>
    <t>6-S.08</t>
  </si>
  <si>
    <t>6-S.09</t>
  </si>
  <si>
    <t>6-S.11</t>
  </si>
  <si>
    <t>Total Parcial 6-S</t>
  </si>
  <si>
    <t>6-I. ALIMENTACIÓN- CONEXIONES DE CATENARIA Y SECCIONADORES - INSTALACION</t>
  </si>
  <si>
    <t>6-I.02</t>
  </si>
  <si>
    <t>6-I.03</t>
  </si>
  <si>
    <t>6-I.04</t>
  </si>
  <si>
    <t>6-I.05</t>
  </si>
  <si>
    <t>6-I.07</t>
  </si>
  <si>
    <t>Total Parcial 6-I</t>
  </si>
  <si>
    <t>TOTAL 6 ALIMENTACIÓN - CONEXIONES DE CATENARIA Y SECCIONADORES</t>
  </si>
  <si>
    <t>7 PROTECCIONES</t>
  </si>
  <si>
    <t>7-S. PROTECCIONES - SUMINISTRO DE MATERIALES</t>
  </si>
  <si>
    <t>7-S.01</t>
  </si>
  <si>
    <t>7-S.02</t>
  </si>
  <si>
    <t>7-S.03</t>
  </si>
  <si>
    <t>7-S.04</t>
  </si>
  <si>
    <t>7-S.05</t>
  </si>
  <si>
    <t>7-S.06</t>
  </si>
  <si>
    <t>7-S.07</t>
  </si>
  <si>
    <t>7-S.08</t>
  </si>
  <si>
    <t>7-S.09</t>
  </si>
  <si>
    <t>7-S.10</t>
  </si>
  <si>
    <t>7-S.11</t>
  </si>
  <si>
    <t>7-S.12</t>
  </si>
  <si>
    <t>7-S.13</t>
  </si>
  <si>
    <t>7-S.14</t>
  </si>
  <si>
    <t>Total Parcial 7-S</t>
  </si>
  <si>
    <t>7-I. PROTECCIONES - INSTALACION</t>
  </si>
  <si>
    <t>7-I.01</t>
  </si>
  <si>
    <t>7-I.02</t>
  </si>
  <si>
    <t>7-I.03</t>
  </si>
  <si>
    <t>7-I.04</t>
  </si>
  <si>
    <t>7-I.05</t>
  </si>
  <si>
    <t>7-I.06</t>
  </si>
  <si>
    <t>7-I.07</t>
  </si>
  <si>
    <t>7-I.08</t>
  </si>
  <si>
    <t>7-I.09</t>
  </si>
  <si>
    <t>7-I.10</t>
  </si>
  <si>
    <t>7-I.11</t>
  </si>
  <si>
    <t>7-I.12</t>
  </si>
  <si>
    <t>7-I.13</t>
  </si>
  <si>
    <t>7-I.14</t>
  </si>
  <si>
    <t>7-I.15</t>
  </si>
  <si>
    <t>7-I.16</t>
  </si>
  <si>
    <t>Total Parcial 7-I</t>
  </si>
  <si>
    <t>TOTAL 7 PROTECCIONES</t>
  </si>
  <si>
    <t>TOTAL CAPÍTULO  CATENARIA</t>
  </si>
  <si>
    <t>Suplemento de ménsula en poste hasta 5m. de gálibo</t>
  </si>
  <si>
    <t>INSTALACIÓN</t>
  </si>
  <si>
    <t>MATERIALES</t>
  </si>
  <si>
    <t>Suplemento por cimentación en roca, con micropilotes o sistema de perforación de roca para poste Tipo C1 a C4</t>
  </si>
  <si>
    <t>Suplemento por cimentación  en roca, con micropilotes o sistema de perforación de roca para poste Tipo C5 a C7</t>
  </si>
  <si>
    <t xml:space="preserve">Acopio, izado y nivelado de poste de SSEE. </t>
  </si>
  <si>
    <t>1.6. Silletas en pórtico dobles</t>
  </si>
  <si>
    <t>CIMENTACIONES:</t>
  </si>
  <si>
    <t>POSTES Y SILLETAS:</t>
  </si>
  <si>
    <t>P.Entrevía (a restar)</t>
  </si>
  <si>
    <t>Soporte de giro para dos o tres ménsulas en poste. Incluye herrajes y tornillería necesarios para su fijación al poste o al soporte.</t>
  </si>
  <si>
    <t>Soporte de giro para dos o tres ménsulas en silleta. Incluye herrajes y tornillería necesarios para su fijación al soporte.</t>
  </si>
  <si>
    <t>3.3 Doble retorno</t>
  </si>
  <si>
    <t>4.5. Anclajes cr</t>
  </si>
  <si>
    <t>4.6.Anclajes 2cr</t>
  </si>
  <si>
    <t>Soporte en túnel para una ménsula. Incluye silleta, dos jabalcones, elementos de fijación a túnel, herrajes y tornillería necesarios.</t>
  </si>
  <si>
    <t>Soporte en túnel para dos ménsulas. Incluye silleta, dos jabalcones, elementos de fijación a túnel, herrajes y tornillería necesarios.</t>
  </si>
  <si>
    <t>Acopio, izado y nivelado de pórtico rígido tipo PR1</t>
  </si>
  <si>
    <t>Acopio, izado y nivelado de pórtico rígido tipo PR2</t>
  </si>
  <si>
    <t>Acopio, izado y nivelado de pórtico rígido tipo PR3</t>
  </si>
  <si>
    <t>Acopio, izado y nivelado de pórtico rígido tipo PR4</t>
  </si>
  <si>
    <t>Acopio y montaje de silleta en túnel para una ménsula</t>
  </si>
  <si>
    <t>Acopio y montaje de silleta en túnel para dos ménsulas</t>
  </si>
  <si>
    <t>Acopio y montaje de silleta en PR para  una ménsula</t>
  </si>
  <si>
    <t>Acopio y montaje de silleta en PR para  dos ménsulas</t>
  </si>
  <si>
    <t>Catenaria Bz-70 y HC-100 Cu-Ag</t>
  </si>
  <si>
    <t>Péndola equipotencial de bucle Bz-10</t>
  </si>
  <si>
    <t>Péndola equipotencial de bucle Bz-10 para falso sustentador</t>
  </si>
  <si>
    <t>Falso sustentador Bz-25</t>
  </si>
  <si>
    <t>Acopio, tendido, regulado y pendolado de catenaria al aire libre, incluyendo la colocación del falso sustentador y el ajuste de ménsulas.</t>
  </si>
  <si>
    <t>Acopio, tendido, regulado y pendolado de catenaria en túnel, incluyendo la colocación del falso sustentador y el ajuste de ménsulas.</t>
  </si>
  <si>
    <t>Anclaje de feeder de refuerzo en túnel</t>
  </si>
  <si>
    <t>Apoyo de un feeder de refuerzo en túnel</t>
  </si>
  <si>
    <t>Silleta para feeder de refuerzo suspendido en cabeza de poste</t>
  </si>
  <si>
    <t>Silleta para feeder  de refuerzo apoyado en cabeza de poste</t>
  </si>
  <si>
    <t>Suspensión de feeder de refuerzo con aisladores en V</t>
  </si>
  <si>
    <t>Conexión feeder de refuerzo a catenaria</t>
  </si>
  <si>
    <t>Acopio, tendido, tensado y regulado de feeder de refuerzo,  incluyendo el montaje de la cadena de aisladores y pinza de suspensión en cruceta del poste</t>
  </si>
  <si>
    <t>Conexión de feeder de refuerzo a catenaria</t>
  </si>
  <si>
    <t>Cable de retorno de subestación</t>
  </si>
  <si>
    <t>Conexión de cable para retorno de subestación a carril.</t>
  </si>
  <si>
    <t>Aislamiento intermedio de sustentador Bz-70</t>
  </si>
  <si>
    <t>Aislador de sección en catenaria de 25kV AC., incluidos aislador de HC y sustentador.</t>
  </si>
  <si>
    <t>Seccionador monopolar de apertura en carga con puesta a tierra, incluido el aparellaje necesario para su conexionado a la catenaria.</t>
  </si>
  <si>
    <t>Cable para la alimentación de los motores de los seccionadores</t>
  </si>
  <si>
    <t xml:space="preserve">Conexión de cable de retorno de SSEE a carril </t>
  </si>
  <si>
    <t>Acopio e Instalación de cable para alimentación de los motores de seccionadores incluida la apertura y cierre de tapas de canaletas, ejecución de zanjas, y todos los materiales y trabajos necesarios</t>
  </si>
  <si>
    <t>Puesta a tierra de poste en andén</t>
  </si>
  <si>
    <t>Conjunto de ménsula de cola elevada</t>
  </si>
  <si>
    <t>Apoyo para feeder en cabeza de poste</t>
  </si>
  <si>
    <t>Péndola equipotencial de bucle con cable Bz-10</t>
  </si>
  <si>
    <t>Péndola equipotencial de bucle con cable Bz-10 para falso sustentador</t>
  </si>
  <si>
    <t>Punto fijo</t>
  </si>
  <si>
    <t>Conexión en perfil de túnel para dos silletas</t>
  </si>
  <si>
    <t>Anclaje de catenaria con regulación de tensión en túnel</t>
  </si>
  <si>
    <t>Anclaje de catenaria sin regulación de tensión en túnel</t>
  </si>
  <si>
    <t>Punto fijo en túnel</t>
  </si>
  <si>
    <t>Conjunto de conexiones de seccionamiento</t>
  </si>
  <si>
    <t>Puesta en paralelo de carriles</t>
  </si>
  <si>
    <t>Conexión de poste a carril</t>
  </si>
  <si>
    <t>Puesta en paralelo de cables de retorno en túnel con doble conexión a carril</t>
  </si>
  <si>
    <t>M de cable de retorno de subestación</t>
  </si>
  <si>
    <t>Conexión de poste o anclaje a cable colector en viaducto</t>
  </si>
  <si>
    <t>Puenteo de junta de dilatación</t>
  </si>
  <si>
    <t>Conexión de cable colector a carril</t>
  </si>
  <si>
    <t>Seccionador monopolar de AV</t>
  </si>
  <si>
    <t>Seccionador monopolar de AC</t>
  </si>
  <si>
    <t>Conjunto de autoválvula</t>
  </si>
  <si>
    <t>Conjunto de conexiones de colas en L.A.</t>
  </si>
  <si>
    <t>M1</t>
  </si>
  <si>
    <t>M2</t>
  </si>
  <si>
    <t>M3</t>
  </si>
  <si>
    <t>D1</t>
  </si>
  <si>
    <t>D2</t>
  </si>
  <si>
    <t>D3</t>
  </si>
  <si>
    <t>H1</t>
  </si>
  <si>
    <t>H2</t>
  </si>
  <si>
    <t>H3</t>
  </si>
  <si>
    <t>E1</t>
  </si>
  <si>
    <t>E2</t>
  </si>
  <si>
    <t>E3</t>
  </si>
  <si>
    <t>B1</t>
  </si>
  <si>
    <t>B2</t>
  </si>
  <si>
    <t>B3</t>
  </si>
  <si>
    <t>A/S</t>
  </si>
  <si>
    <t>S1</t>
  </si>
  <si>
    <t>EMT-T</t>
  </si>
  <si>
    <t>BC-XXX</t>
  </si>
  <si>
    <t>P90</t>
  </si>
  <si>
    <t>P50</t>
  </si>
  <si>
    <t>EMT-1</t>
  </si>
  <si>
    <t>EMT-2</t>
  </si>
  <si>
    <t>COD.</t>
  </si>
  <si>
    <t>Ud</t>
  </si>
  <si>
    <t>PRECIO UNITARIO</t>
  </si>
  <si>
    <t>Suplemento por cimentación  en roca, con micropilotes o sistema de perforación de roca  para anclaje</t>
  </si>
  <si>
    <t>m.</t>
  </si>
  <si>
    <t>Acopio y montaje de tirante de anclaje</t>
  </si>
  <si>
    <t>Colocación de bulón en poste</t>
  </si>
  <si>
    <t>Premontaje, acopio, montaje y ajuste de una ménsula de vía general</t>
  </si>
  <si>
    <t>Premontaje, acopio, montaje y ajuste de doble ménsula de vía general</t>
  </si>
  <si>
    <t>Premontaje, acopio, montaje y ajuste de triple ménsula de vía general</t>
  </si>
  <si>
    <t>Premontaje, acopio, montaje y ajuste de una ménsula de túnel</t>
  </si>
  <si>
    <t>Desmontaje, modificación y nuevo montaje por modificación del trazado de vía, incluyendo los elementos de transporte y demás elementos auxiliares para su perfecto funcionamiento</t>
  </si>
  <si>
    <t>km</t>
  </si>
  <si>
    <t>Anclaje de catenaria con regulación de tensión</t>
  </si>
  <si>
    <t>Anclaje de catenaria sin regulación de tensión</t>
  </si>
  <si>
    <t>Conjunto de punto fijo</t>
  </si>
  <si>
    <t>Conjunto de punto fijo en túnel</t>
  </si>
  <si>
    <t>Equipo Tensorex para compensación de catenaria formado por un módulo de tensión automática sin contrapesos, incluidos aisladores, cables y piecerío necesario.</t>
  </si>
  <si>
    <t>Despendolado y pendolado de catenaria por modificación del trazado de la vía incluyendo la retirada de péndolas desmontadas a parque y todas las operaciones y elementos auxiliares necesarios para el correcto funcionamiento de la catenaria.</t>
  </si>
  <si>
    <t>Anclaje de catenaria sin compensar en vía general</t>
  </si>
  <si>
    <t>Anclaje de una catenaria sin compensar en túnel</t>
  </si>
  <si>
    <t>Acopio, montaje y regulación de un equipo de anclaje de catenaria compensada al aire libre.</t>
  </si>
  <si>
    <t>Acopio, montaje y regulación de un equipo de anclaje de catenaria compensada en túnel</t>
  </si>
  <si>
    <t>Acopio y montaje de equipo de regulación mecánica tipo TENSOREX a instalar en túneles de gálibo reducido.</t>
  </si>
  <si>
    <t>Suplemento por montaje de cadena en V</t>
  </si>
  <si>
    <t>Conexión en perfil de túnel para una silleta</t>
  </si>
  <si>
    <t>m</t>
  </si>
  <si>
    <t>Seccionador monopolar de apertura en vacío, incluido el aparellaje necesario para su conexionado  a la catenaria.</t>
  </si>
  <si>
    <t>Seccionador monopolar de apertura en carga, incluido el aparellaje necesario para su conexionado a la catenaria.</t>
  </si>
  <si>
    <t>Acopio y montaje de aislamiento intermedio en sustentador, hilo de contacto o feeder</t>
  </si>
  <si>
    <t>Acopio y montaje de aislador de sección</t>
  </si>
  <si>
    <t>Acopio y montaje de seccionador unipolar</t>
  </si>
  <si>
    <t>Puesta a tierra de armaduras en PS</t>
  </si>
  <si>
    <t>Puenteo de juntas de dilatación</t>
  </si>
  <si>
    <t>Superficie equipotencial en accionamiento en poste</t>
  </si>
  <si>
    <t>Conjunto de autoválvula, incluyendo los elementos de sujección al poste o pórtico.</t>
  </si>
  <si>
    <t>Aislamiento de sustentador y feederes en pasos superiores y zonas de gálibo reducido.</t>
  </si>
  <si>
    <t>Instalación de cable colector</t>
  </si>
  <si>
    <t>Acopio y montaje de conexión de estructura a cable colector en viaducto</t>
  </si>
  <si>
    <t>Acopio y montaje de conexión de paso superior a carril</t>
  </si>
  <si>
    <t>Acopio y montaje de puesta en paralelo entre carriles</t>
  </si>
  <si>
    <t>Acopio y montaje de conexión de poste a carril</t>
  </si>
  <si>
    <t>Acopio y montaje de conexión de los soportes metálicos en túnel al cable colector</t>
  </si>
  <si>
    <t>Acopio y montaje de conexión entre carriles de dos vías en túnel</t>
  </si>
  <si>
    <t>Acopio y montaje de conexión de poste o anclaje a cable colector en viaducto</t>
  </si>
  <si>
    <t>Acopio y montaje de puenteo de junta de dilatación en viaducto</t>
  </si>
  <si>
    <t>Acopio y montaje de conexión de cable colector a carril</t>
  </si>
  <si>
    <t>Acopio y montaje de superficie equipotencial en poste</t>
  </si>
  <si>
    <t>Acopio y montaje de superficie equipotencial para los seccionadores de un pórtico.</t>
  </si>
  <si>
    <t>Acopio y montaje de autoválvula</t>
  </si>
  <si>
    <t>Instalación de aislamiento de sustentador y feeder en pasos superiores y zonas de gálibo reducido.</t>
  </si>
  <si>
    <t>Suministro y montaje de placa aislante de 2x1 m para protección de paramentos excesivamente próximos.</t>
  </si>
  <si>
    <t>Construcción de nicho de 2x1x0,15 para instalación de placa aislante de protección, incluido marco de aluminio o acero inoxidable para evacuación de aguas.</t>
  </si>
  <si>
    <t>DESCRIPCION</t>
  </si>
  <si>
    <t>TOTAL</t>
  </si>
  <si>
    <t>Conjunto de pica de tierra sencilla</t>
  </si>
  <si>
    <t>Puesta a tierra de armaduras en pasos superiores</t>
  </si>
  <si>
    <t>MEDICION</t>
  </si>
  <si>
    <t>Placa de anclaje de poste en viaducto</t>
  </si>
  <si>
    <t>Placa de anclaje de tirante en viaducto</t>
  </si>
  <si>
    <t>Cimentación cilíndrica para anclaje de sustentador, retorno o feeder, incluyendo las armaduras, hormigón, encofrados… necesarios para su total terminación, ejecutada desde la vía, en terreno normal.</t>
  </si>
  <si>
    <t>Cimentación cilíndrica para anclaje de hilo de contacto, incluyendo las armaduras, hormigón, encofrados… necesarios para su total terminación, ejecutada desde la vía, en terreno normal.</t>
  </si>
  <si>
    <t>Montaje de placa de anclaje de poste en viaducto</t>
  </si>
  <si>
    <t>Montaje de placa de anclaje de tirante en viaducto</t>
  </si>
  <si>
    <t>1-PERFILES</t>
  </si>
  <si>
    <t>1.1. Cimentaciones para poste</t>
  </si>
  <si>
    <t>1.2. Placas de anclaje en viaducto</t>
  </si>
  <si>
    <t>1.3. Postes</t>
  </si>
  <si>
    <t>1.4. Silletas en túnel Sencillas</t>
  </si>
  <si>
    <t>1.4.1. Silletas en túnel dobles</t>
  </si>
  <si>
    <t>1.5. Silletas en pórtico sencillas</t>
  </si>
  <si>
    <t>2-MENSULAS</t>
  </si>
  <si>
    <t>COEF. MEN.</t>
  </si>
  <si>
    <t>3.1. Catenaria</t>
  </si>
  <si>
    <t>3.2 Retorno</t>
  </si>
  <si>
    <t>3.4. Positivo</t>
  </si>
  <si>
    <t>COEF. CAT.</t>
  </si>
  <si>
    <t>4-CANTONES</t>
  </si>
  <si>
    <t>4.1 tirantes</t>
  </si>
  <si>
    <t>4.2. Cim. Anclaje</t>
  </si>
  <si>
    <t>4.3. Anclajes cp</t>
  </si>
  <si>
    <t>4.3. Anclajes CAT (PF)</t>
  </si>
  <si>
    <t>4.3. PF</t>
  </si>
  <si>
    <t>4.7. Anclajes fp</t>
  </si>
  <si>
    <t>CONTROL</t>
  </si>
  <si>
    <t>S2</t>
  </si>
  <si>
    <t>HEB-240</t>
  </si>
  <si>
    <t>HEB-260</t>
  </si>
  <si>
    <t>C4</t>
  </si>
  <si>
    <t>C3</t>
  </si>
  <si>
    <t>C7</t>
  </si>
  <si>
    <t>C5</t>
  </si>
  <si>
    <t>HEB-300</t>
  </si>
  <si>
    <t>HEB-280</t>
  </si>
  <si>
    <t>Suplemento ménsulas hasta gálibo de 5m.</t>
  </si>
  <si>
    <t>S1T</t>
  </si>
  <si>
    <t>Cimentación cilíndrica para poste C1 a C4, incluyendo las armaduras, hormigón, encofrados… necesarios para su total terminación ejecutada desde la vía, en terreno normal.</t>
  </si>
  <si>
    <t>Cimentación cilíndrica para poste C5 A C7, incluyendo las armaduras, hormigón, encofrados… necesarios para su total terminación ejecutada desde la vía, en terreno normal.</t>
  </si>
  <si>
    <t xml:space="preserve"> LÍNEA AÉREA DE CONTACTO</t>
  </si>
  <si>
    <t>1. CIMENTACIONES</t>
  </si>
  <si>
    <t>1-S. CIMENTACIONES - Suministro de materiales</t>
  </si>
  <si>
    <t>1-S.01</t>
  </si>
  <si>
    <t>1-S.02</t>
  </si>
  <si>
    <t>1-S.03</t>
  </si>
  <si>
    <t>Total Parcial 1-S</t>
  </si>
  <si>
    <t>1-I. CIMENTACIONES - INSTALACION</t>
  </si>
  <si>
    <t>1-I.01</t>
  </si>
  <si>
    <t>1-I.02</t>
  </si>
  <si>
    <t>1-I.04</t>
  </si>
  <si>
    <t>1-I.05</t>
  </si>
  <si>
    <t>1-I.06</t>
  </si>
  <si>
    <t>1-I.07</t>
  </si>
  <si>
    <t>1-I.08</t>
  </si>
  <si>
    <t>1-I.09</t>
  </si>
  <si>
    <t>1-I.10</t>
  </si>
  <si>
    <t>Total Parcial 1-I</t>
  </si>
  <si>
    <t>TOTAL 1 CIMENTACIONES</t>
  </si>
  <si>
    <t>2 POSTES, PÓRTICOS Y SILLETAS</t>
  </si>
  <si>
    <t>2-S. POSTES, PÓRTICOS Y SILLETAS DE ANCLAJE - SUMINISTRO DE MATERIALES</t>
  </si>
  <si>
    <t>2-S.01</t>
  </si>
  <si>
    <t>2-S.02</t>
  </si>
  <si>
    <t>2-S.03</t>
  </si>
  <si>
    <t>2-S.04</t>
  </si>
  <si>
    <t>2-S.05</t>
  </si>
  <si>
    <t>2-S.06</t>
  </si>
  <si>
    <t>2-S.07</t>
  </si>
  <si>
    <t>2-S.08</t>
  </si>
  <si>
    <t>2-S.09</t>
  </si>
  <si>
    <t>2-S.10</t>
  </si>
  <si>
    <t>2-S.11</t>
  </si>
  <si>
    <t>2-S.12</t>
  </si>
  <si>
    <t>2-S.13</t>
  </si>
  <si>
    <t>2-S.14</t>
  </si>
  <si>
    <t>2-S.15</t>
  </si>
  <si>
    <t>2-S.16</t>
  </si>
  <si>
    <t>2-S.17</t>
  </si>
  <si>
    <t>2-S.18</t>
  </si>
  <si>
    <t>2-S.19</t>
  </si>
  <si>
    <t>2-S.20</t>
  </si>
  <si>
    <t>2-S.21</t>
  </si>
  <si>
    <t>2-S.22</t>
  </si>
  <si>
    <t>2-S.23</t>
  </si>
  <si>
    <t>2-S.24</t>
  </si>
  <si>
    <t>Total Parcial 2-S</t>
  </si>
  <si>
    <t>2-I.01</t>
  </si>
  <si>
    <t>2-I.02</t>
  </si>
  <si>
    <t>2-I.03</t>
  </si>
  <si>
    <t>2-I.04</t>
  </si>
  <si>
    <t>2-I.10</t>
  </si>
  <si>
    <t>2-I.11</t>
  </si>
  <si>
    <t>2-I.12</t>
  </si>
  <si>
    <t>2-I.13</t>
  </si>
  <si>
    <t>2-I.16</t>
  </si>
  <si>
    <t>2-I.17</t>
  </si>
  <si>
    <t>Total Parcial 2-I</t>
  </si>
  <si>
    <t>TOTAL 2 POSTES, PÓRTICOS Y SILLETAS</t>
  </si>
  <si>
    <t>3 EQUIPAMIENTO DE SISTEMA DE CATENARIA</t>
  </si>
  <si>
    <t>3-S. EQUIPAMIENTO DE SISTEMA DE CATENARIA MENSULAS - SUMINISTRO DE MATERIALES</t>
  </si>
  <si>
    <t>3-S.01</t>
  </si>
  <si>
    <t>3-S.02</t>
  </si>
  <si>
    <t>3-S.03</t>
  </si>
  <si>
    <t>3-S.04</t>
  </si>
  <si>
    <t>3-S.05</t>
  </si>
  <si>
    <t>Total Parcial 3-S</t>
  </si>
  <si>
    <t>3-I. EQUIPAMIENTO DE SISTEMA DE CATENARIA -MENSULAS- INSTALACION</t>
  </si>
  <si>
    <t>3-I.01</t>
  </si>
  <si>
    <t>3-I.02</t>
  </si>
  <si>
    <t>3-I.03</t>
  </si>
  <si>
    <t>3-I.04</t>
  </si>
  <si>
    <t>3-I.05</t>
  </si>
  <si>
    <t>Total Parcial 3-I</t>
  </si>
  <si>
    <t>TOTAL 3 EQUIPAMIENTO DE SISTEMA DE CATENARIA</t>
  </si>
  <si>
    <t>4 CATENARIA</t>
  </si>
  <si>
    <t>4-S. CATENARIA - SUMINISTRO DE MATERIALES</t>
  </si>
  <si>
    <t>4-S.01</t>
  </si>
  <si>
    <t>4-S.02</t>
  </si>
  <si>
    <t>4-S.03</t>
  </si>
  <si>
    <t>4-S.04</t>
  </si>
  <si>
    <t>4-S.05</t>
  </si>
  <si>
    <t>4-S.06</t>
  </si>
  <si>
    <t>4-S.07</t>
  </si>
  <si>
    <t>4-S.08</t>
  </si>
  <si>
    <t>4-S.09</t>
  </si>
  <si>
    <t>4-S.10</t>
  </si>
  <si>
    <t>4-S.11</t>
  </si>
  <si>
    <t>Total Parcial 4-S</t>
  </si>
  <si>
    <t>4-I. CATENARIA - INSTALACION</t>
  </si>
  <si>
    <t>4-I.01</t>
  </si>
  <si>
    <t>4-I.02</t>
  </si>
  <si>
    <t>4-I.03</t>
  </si>
  <si>
    <t>4-I.04</t>
  </si>
  <si>
    <t>4-I.05</t>
  </si>
  <si>
    <t>4-I.06</t>
  </si>
  <si>
    <t>4-I.07</t>
  </si>
  <si>
    <t>4-I.08</t>
  </si>
  <si>
    <t>Total Parcial 4-I</t>
  </si>
  <si>
    <t>TOTAL 4 CATENARIA</t>
  </si>
  <si>
    <t>5 FEEDERES Y CABLES DE RETORNO</t>
  </si>
  <si>
    <t>5-S. FEEDERES Y CABLES DE RETORNO - SUMINISTRO DE MATERIALES</t>
  </si>
  <si>
    <t>5-S.01</t>
  </si>
  <si>
    <t>5-S.02</t>
  </si>
  <si>
    <t>5-S.03</t>
  </si>
  <si>
    <t>5-S.04</t>
  </si>
  <si>
    <t>5-S.05</t>
  </si>
  <si>
    <t>5-S.06</t>
  </si>
  <si>
    <t>5-S.07</t>
  </si>
  <si>
    <t>5-S.08</t>
  </si>
  <si>
    <t>5-S.09</t>
  </si>
  <si>
    <t>5-S.10</t>
  </si>
  <si>
    <t>5-S.11</t>
  </si>
  <si>
    <t>5-S.12</t>
  </si>
  <si>
    <t>5-S.13</t>
  </si>
  <si>
    <t>5-S.14</t>
  </si>
  <si>
    <t>5-S.15</t>
  </si>
  <si>
    <t>5-S.16</t>
  </si>
  <si>
    <t>5-S.17</t>
  </si>
  <si>
    <t>5-S.18</t>
  </si>
  <si>
    <t>5-S.19</t>
  </si>
  <si>
    <t>5-S.20</t>
  </si>
  <si>
    <t>5-S.21</t>
  </si>
  <si>
    <t>5-S.22</t>
  </si>
  <si>
    <t>5-S.23</t>
  </si>
  <si>
    <t>Total Parcial 5-S</t>
  </si>
  <si>
    <t>5-I. FEEDERES Y CABLES DE RETORNO - INSTALACION</t>
  </si>
  <si>
    <t>5-I.02</t>
  </si>
  <si>
    <t>5-I.03</t>
  </si>
  <si>
    <t>5-I.04</t>
  </si>
  <si>
    <t>5-I.05</t>
  </si>
  <si>
    <t>5-I.07</t>
  </si>
  <si>
    <t>5-I.08</t>
  </si>
  <si>
    <t>5-I.09</t>
  </si>
  <si>
    <t>Total Parcial 5-I</t>
  </si>
  <si>
    <t>TOTAL 5 FEEDERES Y CABLES DE RETORNO</t>
  </si>
  <si>
    <t>6 ALIMENTACIÓN - CONEXIONES DE CATENARIA Y SECCIONADORES</t>
  </si>
  <si>
    <t>6-S. ALIMENTACIÓN- CONEXIONES DE CATENARIA Y SECCIONADORES - SUMINISTRO DE MATERIALES</t>
  </si>
  <si>
    <t>6-S.01</t>
  </si>
  <si>
    <t>3- LONGITUD DE VIA</t>
  </si>
  <si>
    <t>Anclajes en poste sin tirante (a restar)</t>
  </si>
  <si>
    <t>5-I.06a</t>
  </si>
  <si>
    <t>Instalación de cable de cobre aislado 26/45kV 1x300 mm2 instalado en zanja, incluida pp. de zanja</t>
  </si>
  <si>
    <t>5-I.06b</t>
  </si>
  <si>
    <t>Instalación de cable de cobre aislado 26/45kV 2.(1x300) mm2 instalado en zanja, incluida pp. de zanja</t>
  </si>
  <si>
    <t>5-I.06c</t>
  </si>
  <si>
    <t>Instalación de cable de cobre aislado 26/45kV 4.(1x300) mm2 instalado en zanja, incluida pp. de zanja</t>
  </si>
  <si>
    <t>6-S.10a</t>
  </si>
  <si>
    <t>6-S.10b</t>
  </si>
  <si>
    <t>6-S.10c</t>
  </si>
  <si>
    <t>6-I.01a</t>
  </si>
  <si>
    <t>Instalación de cable de cobre aislado 0,6/1kV 3.(1x300) en zanja, incluída la ejecución de la misma</t>
  </si>
  <si>
    <t>6-I.01b</t>
  </si>
  <si>
    <t>Instalación de cable de cobre aislado 0,6/1kV 4.(1x300) en zanja, incluída la ejecución de la misma</t>
  </si>
  <si>
    <t>6-I.06a</t>
  </si>
  <si>
    <t>6-I.06b</t>
  </si>
  <si>
    <t>6-I.06c</t>
  </si>
  <si>
    <t>Cable retorno LA-280</t>
  </si>
  <si>
    <t>Feeder de refuerzo LA-280</t>
  </si>
  <si>
    <t>Cola de anclaje de un cable de retorno LA-280</t>
  </si>
  <si>
    <t>Cola de anclaje de dos cables de retorno LA-280</t>
  </si>
  <si>
    <t>Cola de anclaje de feeder de refuerzo LA-280</t>
  </si>
  <si>
    <t>Anclaje de un cable de retorno LA-280 en túnel</t>
  </si>
  <si>
    <t>Anclaje de dos cables de retorno LA-280 en túnel</t>
  </si>
  <si>
    <t>Suspensión de un cable de retorno LA-280 en poste</t>
  </si>
  <si>
    <t>Suspensión de dos cables de retorno LA-280 en poste</t>
  </si>
  <si>
    <t>Suspensión de dos cables de retorno LA-280 en túnel</t>
  </si>
  <si>
    <t>Cadena de suspensión de feeder LA-280 en silleta</t>
  </si>
  <si>
    <t>Acopio, tendido, tensado y regulado de dos cables de retorno LA-280, incluyendo el montaje de la pinza de suspensión en poste</t>
  </si>
  <si>
    <t>Acopio, tendido, tensado y regulado de un cable de retorno LA-280, incluyendo el montaje de la pinza de suspensión en silleta de túnel</t>
  </si>
  <si>
    <t>Acopio, tendido, tensado y regulado de dos cables de retorno LA-280, incluyendo el montaje de la pinza de suspensión en silleta de túnel</t>
  </si>
  <si>
    <t>Instalación de paso de feeder aéreo desnudo LA-280 a feeder aislado de aluminio Afumex 300 mm2 incluyendo botellas terminales tubos, tubos flexibles de acero inoxicable, arquetas, etc hasta dejar el cable en perfectas condiciones de funcionamiento.</t>
  </si>
  <si>
    <t>Cable de feeder de alimentación Cu-300</t>
  </si>
  <si>
    <t>Cola de anclaje de feeder Cu-300</t>
  </si>
  <si>
    <t>Cable de cobre aislado aislado para 25/45 kV de 300 mm2 de sección, incluida p.p. De empalmes y perchas.</t>
  </si>
  <si>
    <t>2-I.05</t>
  </si>
  <si>
    <t>2-I.06</t>
  </si>
  <si>
    <t>2-I.08</t>
  </si>
  <si>
    <t>2-I.09</t>
  </si>
  <si>
    <t>2-I.14</t>
  </si>
  <si>
    <t>2-I.15</t>
  </si>
  <si>
    <t>Acopio, izado y nivelado de poste 2HEB-320 para pórticos PR-3 / PR-4</t>
  </si>
  <si>
    <t>Acopio, izado y nivelado de poste Especial 2HEB-320 de anclaje en topera</t>
  </si>
  <si>
    <t>3-S.06</t>
  </si>
  <si>
    <t>3-I.06</t>
  </si>
  <si>
    <t>Premontaje, acopio, montaje y ajuste de suplemento ménsulas hasta gálibo de 5m.</t>
  </si>
  <si>
    <t>5-I.01</t>
  </si>
  <si>
    <t>Acopio, tendido, tensado y regulado de un cable de retorno LA-280, incluyendo el montaje de la pinza de suspensión en poste</t>
  </si>
  <si>
    <t>6-S.05</t>
  </si>
  <si>
    <t>Aislamiento intermedio de HC-100 Cu-Ag</t>
  </si>
  <si>
    <t>Instalación de Pórtico de alimentación para 2 cables de llegada, incluídos los 2 pórticos de 3m y los transversales, n.i. los postes ni los seccionadores</t>
  </si>
  <si>
    <t>Instalación de Pórtico de alimentación para 4 cables de llegada, incluídos los 2 pórticos de 5m y los transversales, n.i. los postes ni los seccionadores</t>
  </si>
  <si>
    <t>6-S.12</t>
  </si>
  <si>
    <t>UD</t>
  </si>
  <si>
    <t>Detector de tensión</t>
  </si>
  <si>
    <t>6-I.08</t>
  </si>
  <si>
    <t>Instalación de detector de tensión</t>
  </si>
  <si>
    <t>Instalación de puesta en paralelo de 2 vías (incluye el montaje de crucetas y cables transversales)</t>
  </si>
  <si>
    <t>HEB-220</t>
  </si>
  <si>
    <t>Poste  2HEB-320 para pórticos PR-3 / PR-4</t>
  </si>
  <si>
    <t>Poste Especial para pórtico de SSEE</t>
  </si>
  <si>
    <t>Poste Especial 2HEB-320 de anclaje en topera</t>
  </si>
  <si>
    <t>Pórtico Rígido Tipo PR1 (hasta 15 m)</t>
  </si>
  <si>
    <t>Pórtico Rígido Tipo PR2  (de 15 a 20 m)</t>
  </si>
  <si>
    <t>Pórtico Rígido Tipo PR3 (de 20 a 25 m)</t>
  </si>
  <si>
    <t>Pórtico Rígido Tipo PR4 (de 25 a 30 m)</t>
  </si>
  <si>
    <t>Poste 2HEB-550 para pórticos DE 40M</t>
  </si>
  <si>
    <t>Pórtico Rígido Tipo PR5 de 30 a 40m</t>
  </si>
  <si>
    <t>2-I. POSTES, PÓRTICOS Y SILLETAS DE ANCLAJE - INSTALACION</t>
  </si>
  <si>
    <t>2-I.07</t>
  </si>
  <si>
    <t>Acopio, izado y nivelado de poste 2HEB-550 para pórticos DE 40M</t>
  </si>
  <si>
    <t>Acopio, izado y nivelado de pórtico rígido tipo PR5 DE 40M</t>
  </si>
  <si>
    <t>Acopio, izado y nivelado de poste HEB-220 a HEB-260</t>
  </si>
  <si>
    <t>Acopio, izado y nivelado de poste HEB-280 a HEB-320</t>
  </si>
  <si>
    <t>1-I.03a</t>
  </si>
  <si>
    <t>1-I.03b</t>
  </si>
  <si>
    <t>1-I.03c</t>
  </si>
  <si>
    <t>Cimentación especial para poste de Pórtico de 20 a 25 m., incluyendo las armaduras, hormigón, encofrados…necesarios para su total terminación ejecutada desde la vía, en terreno normal.</t>
  </si>
  <si>
    <t>Cimentación especial para poste de Pórtico de 25 a 30 m., incluyendo las armaduras, hormigón, encofrados…necesarios para su total terminación ejecutada desde la vía, en terreno normal.</t>
  </si>
  <si>
    <t>Cimentación especial para poste de Pórtico de 30 a 40 m., incluyendo las armaduras, hormigón, encofrados…necesarios para su total terminación ejecutada desde la vía, en terreno normal.</t>
  </si>
  <si>
    <t>2-I.18</t>
  </si>
  <si>
    <t>Instalación de suplemento de ménsula (hasta 5m de gálibo) en poste</t>
  </si>
  <si>
    <t>S2T</t>
  </si>
  <si>
    <t>TRACK 1</t>
  </si>
  <si>
    <t>PROFILE</t>
  </si>
  <si>
    <t>K.P. (m)</t>
  </si>
  <si>
    <t>SPAN</t>
  </si>
  <si>
    <t>Track Layout</t>
  </si>
  <si>
    <t>Foundation</t>
  </si>
  <si>
    <t>Anchorage</t>
  </si>
  <si>
    <t>Sectionning</t>
  </si>
  <si>
    <t>Pole Type</t>
  </si>
  <si>
    <t>Cantilevers</t>
  </si>
  <si>
    <t>Supports</t>
  </si>
  <si>
    <t>Portals</t>
  </si>
  <si>
    <t>TRACK 2</t>
  </si>
  <si>
    <t>TRACK 3</t>
  </si>
  <si>
    <t>TRACK 4</t>
  </si>
  <si>
    <t>Stagger</t>
  </si>
  <si>
    <t>Contact Wire height</t>
  </si>
  <si>
    <t>Wind Deflection</t>
  </si>
  <si>
    <t>Catenary height</t>
  </si>
  <si>
    <t>C()</t>
  </si>
  <si>
    <t>PL</t>
  </si>
  <si>
    <t>FECHA :</t>
  </si>
  <si>
    <t>REVISIÓN :</t>
  </si>
  <si>
    <t>TIPO</t>
  </si>
  <si>
    <t>NÚMERO</t>
  </si>
  <si>
    <t>BC-1101</t>
  </si>
  <si>
    <t>BC-1401</t>
  </si>
  <si>
    <t>BC-1501</t>
  </si>
  <si>
    <t>--</t>
  </si>
  <si>
    <t>RECUENTO DE CONJUNTOS DE CATENARIA</t>
  </si>
  <si>
    <t>Nº plano</t>
  </si>
  <si>
    <t>Referencia</t>
  </si>
  <si>
    <t>Descripción</t>
  </si>
  <si>
    <t>Via 1</t>
  </si>
  <si>
    <t>Via 2</t>
  </si>
  <si>
    <t>Via 3</t>
  </si>
  <si>
    <t>Via 4</t>
  </si>
  <si>
    <t>C-101</t>
  </si>
  <si>
    <t>C-102</t>
  </si>
  <si>
    <t>Conjunto de armadura para anclaje Sustentador/Feeder/Retorno</t>
  </si>
  <si>
    <t>C-130</t>
  </si>
  <si>
    <t>C-131</t>
  </si>
  <si>
    <t>C-132</t>
  </si>
  <si>
    <t>C-134</t>
  </si>
  <si>
    <t>C-201</t>
  </si>
  <si>
    <t>C-202</t>
  </si>
  <si>
    <t>C-203</t>
  </si>
  <si>
    <t>C-204</t>
  </si>
  <si>
    <t>C-205</t>
  </si>
  <si>
    <t>C-206</t>
  </si>
  <si>
    <t>C-207</t>
  </si>
  <si>
    <t>C-208</t>
  </si>
  <si>
    <t>C-209</t>
  </si>
  <si>
    <t>C-210</t>
  </si>
  <si>
    <t>C-211</t>
  </si>
  <si>
    <t>C-220</t>
  </si>
  <si>
    <t>C-221</t>
  </si>
  <si>
    <t>Señalizacion de poste y placa de peligro de muerte</t>
  </si>
  <si>
    <t>Protección antiescalada para poste en estación.</t>
  </si>
  <si>
    <t>C-250</t>
  </si>
  <si>
    <t>C-251</t>
  </si>
  <si>
    <t>Pórtico rígido de 11 a 13 m</t>
  </si>
  <si>
    <t>C-252</t>
  </si>
  <si>
    <t>Portico rígido de 13 a 15 m</t>
  </si>
  <si>
    <t>C-253</t>
  </si>
  <si>
    <t>Pórtico rígido de 15 a 17 m</t>
  </si>
  <si>
    <t>C-254</t>
  </si>
  <si>
    <t>Pórtico rígido de 17 a 19 m</t>
  </si>
  <si>
    <t>C-255</t>
  </si>
  <si>
    <t>Pórtico rígido de 19 a 21 m</t>
  </si>
  <si>
    <t>C-256</t>
  </si>
  <si>
    <t>Pórtico rígido de 21 a 23 m</t>
  </si>
  <si>
    <t>C-257</t>
  </si>
  <si>
    <t>Pórtico rígido de 23 a 25 m</t>
  </si>
  <si>
    <t>C-258</t>
  </si>
  <si>
    <t>Pórtico rígido de 25 a 30 m</t>
  </si>
  <si>
    <t>C-259</t>
  </si>
  <si>
    <t>Pórtico rígido de 30 a 35 m</t>
  </si>
  <si>
    <t>C-260</t>
  </si>
  <si>
    <t>Pórtico rígido de 35 a 40 m</t>
  </si>
  <si>
    <t>C-261</t>
  </si>
  <si>
    <t>Pórtico rígido de 40 a 45 m</t>
  </si>
  <si>
    <t>Semipórtico B7</t>
  </si>
  <si>
    <t>C-263</t>
  </si>
  <si>
    <t>C-264</t>
  </si>
  <si>
    <t>C-265</t>
  </si>
  <si>
    <t>C-266</t>
  </si>
  <si>
    <t>C-270</t>
  </si>
  <si>
    <t>Soporte para una ménsula en Pórtico Rígido para pórtico de angular 60-80</t>
  </si>
  <si>
    <t>C-271</t>
  </si>
  <si>
    <t>Soporte para dos ménsulas en Pórtico Rígido para pórtico de angular 60-80</t>
  </si>
  <si>
    <t>C-272</t>
  </si>
  <si>
    <t>Soporte para una ménsula en Pórtico Rígido para pórtico de angular 100</t>
  </si>
  <si>
    <t>C-273</t>
  </si>
  <si>
    <t>Soporte para dos ménsulas en Pórtico Rígido para pórtico de angular 100</t>
  </si>
  <si>
    <t>C-274</t>
  </si>
  <si>
    <t>Soporte para una ménsula en B7</t>
  </si>
  <si>
    <t>C-275</t>
  </si>
  <si>
    <t>Soporte para dos ménsulas en B7</t>
  </si>
  <si>
    <t>C-276</t>
  </si>
  <si>
    <t>Soporte en túnel para una ménsula</t>
  </si>
  <si>
    <t>C-280</t>
  </si>
  <si>
    <t>Tirante de anclaje</t>
  </si>
  <si>
    <t>C-281</t>
  </si>
  <si>
    <t>C-282</t>
  </si>
  <si>
    <t>C-283</t>
  </si>
  <si>
    <t>C-284</t>
  </si>
  <si>
    <t>C-285</t>
  </si>
  <si>
    <t>Suplemento para Tirante en viaducto</t>
  </si>
  <si>
    <t>C-301</t>
  </si>
  <si>
    <t>Conjunto de ménsula dentro en poste</t>
  </si>
  <si>
    <t>C-302</t>
  </si>
  <si>
    <t>C-303</t>
  </si>
  <si>
    <t>Conjunto de ménsula fuera en poste</t>
  </si>
  <si>
    <t>C-304</t>
  </si>
  <si>
    <t>C-305</t>
  </si>
  <si>
    <t>C-306</t>
  </si>
  <si>
    <t>C-307</t>
  </si>
  <si>
    <t>Conjunto de ménsula de cola elevada en poste</t>
  </si>
  <si>
    <t>C-308</t>
  </si>
  <si>
    <t>C-309</t>
  </si>
  <si>
    <t>C-310</t>
  </si>
  <si>
    <t>C-313</t>
  </si>
  <si>
    <t>C-400</t>
  </si>
  <si>
    <t>C-401</t>
  </si>
  <si>
    <t>C-402</t>
  </si>
  <si>
    <t>C-403</t>
  </si>
  <si>
    <t>C-404</t>
  </si>
  <si>
    <t>C-407</t>
  </si>
  <si>
    <t>Anclaje de catenaria sin regulación de la tensión en poste abierto</t>
  </si>
  <si>
    <t>C-411</t>
  </si>
  <si>
    <t>C-414</t>
  </si>
  <si>
    <t>C-415</t>
  </si>
  <si>
    <t>C-416</t>
  </si>
  <si>
    <t>C-417</t>
  </si>
  <si>
    <t>C-418</t>
  </si>
  <si>
    <t>Soporte para un equipo de tensorex sencillo en túnel</t>
  </si>
  <si>
    <t>C-500</t>
  </si>
  <si>
    <t>Km de cable  LA-280</t>
  </si>
  <si>
    <t>C-501</t>
  </si>
  <si>
    <t>C-503</t>
  </si>
  <si>
    <t>Cadena de suspensión de un feeder LA-280/380 en silleta</t>
  </si>
  <si>
    <t>C-504</t>
  </si>
  <si>
    <t>C-505</t>
  </si>
  <si>
    <t>C-506</t>
  </si>
  <si>
    <t>C-511</t>
  </si>
  <si>
    <t>C-514</t>
  </si>
  <si>
    <t>C-515</t>
  </si>
  <si>
    <t>Conjunto de apoyo de un FN en túnel</t>
  </si>
  <si>
    <t>C-516</t>
  </si>
  <si>
    <t>Apoyo en silleta de ménsula de un FN en túnel</t>
  </si>
  <si>
    <t>C-517</t>
  </si>
  <si>
    <t>Silleta de suspensión de un feeder en PR para pórticos de LPN60/80</t>
  </si>
  <si>
    <t>C-518</t>
  </si>
  <si>
    <t>Silleta de suspensión de un feeder en PR para pórticos de LPN100</t>
  </si>
  <si>
    <t>C-519</t>
  </si>
  <si>
    <t>Silleta de suspensión de 2 feederes en PR para pórticos de LPN60/80</t>
  </si>
  <si>
    <t>C-520</t>
  </si>
  <si>
    <t>Silleta de suspensión de dos feederes en PR para pórticos de LPN100</t>
  </si>
  <si>
    <t>C-521</t>
  </si>
  <si>
    <t>Anclaje de feeder LA-280 en túnel</t>
  </si>
  <si>
    <t>C-551</t>
  </si>
  <si>
    <t>C-552</t>
  </si>
  <si>
    <t>Km de cable colector de cobre 50</t>
  </si>
  <si>
    <t>C-553</t>
  </si>
  <si>
    <t>C-554</t>
  </si>
  <si>
    <t>C-556</t>
  </si>
  <si>
    <t>C-559</t>
  </si>
  <si>
    <t>C-560</t>
  </si>
  <si>
    <t>C-600</t>
  </si>
  <si>
    <t>C-601</t>
  </si>
  <si>
    <t>C-602</t>
  </si>
  <si>
    <t>Conjunto de conexión entre sustentadores (P90,P50,…)</t>
  </si>
  <si>
    <t>C-605</t>
  </si>
  <si>
    <t>C-606</t>
  </si>
  <si>
    <t>C-607</t>
  </si>
  <si>
    <t>C-608</t>
  </si>
  <si>
    <t>C-609</t>
  </si>
  <si>
    <t>C-610</t>
  </si>
  <si>
    <t>C-611</t>
  </si>
  <si>
    <t>C-612</t>
  </si>
  <si>
    <t>C-613</t>
  </si>
  <si>
    <t>Accionamiento y transmisión para seccionador en poste (Tipo Eléctrico)</t>
  </si>
  <si>
    <t>C-620</t>
  </si>
  <si>
    <t>Superficie equipotencial en poste con accionamiento</t>
  </si>
  <si>
    <t>C-621</t>
  </si>
  <si>
    <t>C-622</t>
  </si>
  <si>
    <t>C-623</t>
  </si>
  <si>
    <t>C-624</t>
  </si>
  <si>
    <t>Conexión en perfil de tunel para una silleta</t>
  </si>
  <si>
    <t>Conexión de anclaje compensado de catenaria en túnel.</t>
  </si>
  <si>
    <t>Conexión de anclaje de catenaria sin compensar en túnel.</t>
  </si>
  <si>
    <t>Conexión de punto fijo en túnel</t>
  </si>
  <si>
    <t>Conexión en Perfil de Túnel de Barandilla</t>
  </si>
  <si>
    <t>C-711</t>
  </si>
  <si>
    <t>Puesta a tierra  de estrutura en viaducto (de barandilla a poste)</t>
  </si>
  <si>
    <t>W1</t>
  </si>
  <si>
    <t>W2</t>
  </si>
  <si>
    <t>W3</t>
  </si>
  <si>
    <t>A1</t>
  </si>
  <si>
    <t>A2</t>
  </si>
  <si>
    <t>A3</t>
  </si>
  <si>
    <t>S/A</t>
  </si>
  <si>
    <t>A</t>
  </si>
  <si>
    <t>AnMC</t>
  </si>
  <si>
    <t>AnMC/PL</t>
  </si>
  <si>
    <t>HEB-()</t>
  </si>
  <si>
    <t>CP+AnMC</t>
  </si>
  <si>
    <t>FP+AnMC</t>
  </si>
  <si>
    <t>AnM</t>
  </si>
  <si>
    <t>Section E</t>
  </si>
  <si>
    <t>Section C</t>
  </si>
  <si>
    <t>AnM/PL</t>
  </si>
  <si>
    <t>Anchorage Foundation</t>
  </si>
  <si>
    <t>Current Cant</t>
  </si>
  <si>
    <t>Theorical Cant</t>
  </si>
  <si>
    <t>Current Track Layout</t>
  </si>
  <si>
    <t>Current Span</t>
  </si>
  <si>
    <t>Span</t>
  </si>
  <si>
    <t>Arm Type</t>
  </si>
  <si>
    <t>Height Cantilever Support</t>
  </si>
  <si>
    <t>Track PK</t>
  </si>
  <si>
    <t>Gauge Pole Location</t>
  </si>
  <si>
    <t>Distance Rail-Pole</t>
  </si>
  <si>
    <t>Sectioning Feeding</t>
  </si>
  <si>
    <t>Arm Angle</t>
  </si>
  <si>
    <t>Return Support</t>
  </si>
  <si>
    <t>30+800 SSEE</t>
  </si>
  <si>
    <t>HEB-320LL</t>
  </si>
  <si>
    <t>EMT-1T</t>
  </si>
  <si>
    <t>EMT-2T</t>
  </si>
  <si>
    <t>EMT-TT</t>
  </si>
  <si>
    <t>6110</t>
  </si>
  <si>
    <t>C-001</t>
  </si>
  <si>
    <t>6111</t>
  </si>
  <si>
    <t>Conjunto de armadura para anclaje doble (HC+S)</t>
  </si>
  <si>
    <t>6105</t>
  </si>
  <si>
    <t>Conjunto de anclaje de poste en viaducto (HEB-220 a HEB-240)</t>
  </si>
  <si>
    <t>Conjunto de anclaje de poste en viaducto (HEB-260 a HEB-300)</t>
  </si>
  <si>
    <t>Conjunto de anclaje de poste en viaducto (HEB-320)</t>
  </si>
  <si>
    <t>Placa de anclaje para  tirante en viaducto  (i. PL-AN)</t>
  </si>
  <si>
    <t>6120</t>
  </si>
  <si>
    <t>Poste HEB-220</t>
  </si>
  <si>
    <t>Poste HEB-240</t>
  </si>
  <si>
    <t>Poste HEB-260</t>
  </si>
  <si>
    <t>Poste HEB-280</t>
  </si>
  <si>
    <t>Poste HEB-300</t>
  </si>
  <si>
    <t>Poste HEB-240L</t>
  </si>
  <si>
    <t>Poste HEB-260L</t>
  </si>
  <si>
    <t>Poste HEB-280L</t>
  </si>
  <si>
    <t>Poste HEB-300L</t>
  </si>
  <si>
    <t>Poste HEB-320L</t>
  </si>
  <si>
    <t>Poste HEB-320LL (11M) para pórticos de depots</t>
  </si>
  <si>
    <t>Poste 2HEB-320(A) de anclaje en topera</t>
  </si>
  <si>
    <t>Poste 2HEB-320L(PR)</t>
  </si>
  <si>
    <t>Poste 2HEB-550L(PR)</t>
  </si>
  <si>
    <t>Poste HEB-320LL(P)</t>
  </si>
  <si>
    <t/>
  </si>
  <si>
    <t>6121</t>
  </si>
  <si>
    <t>6127</t>
  </si>
  <si>
    <t>C-262a</t>
  </si>
  <si>
    <t>-</t>
  </si>
  <si>
    <t>C-262b</t>
  </si>
  <si>
    <t>Semipórtico atirantado de 15 a 20m</t>
  </si>
  <si>
    <t>6125</t>
  </si>
  <si>
    <t>Pórtico de alimentación y PP  de 3 m para timoneria</t>
  </si>
  <si>
    <t>Pórtico de alimentación y PP  de 3 m sin timoneria</t>
  </si>
  <si>
    <t>6126</t>
  </si>
  <si>
    <t>Pórtico de alimentación y PP  de 5m, para timonería</t>
  </si>
  <si>
    <t>Pórtico de alimentación y PP de 5m, sin timonería prevista</t>
  </si>
  <si>
    <t>6122</t>
  </si>
  <si>
    <t>6123</t>
  </si>
  <si>
    <t>6124</t>
  </si>
  <si>
    <t>6129</t>
  </si>
  <si>
    <t>Suplemento para ménsula en poste de hasta 5m de gálibo</t>
  </si>
  <si>
    <t>6128</t>
  </si>
  <si>
    <t>6130</t>
  </si>
  <si>
    <t>6132</t>
  </si>
  <si>
    <t>6134</t>
  </si>
  <si>
    <t>6131</t>
  </si>
  <si>
    <t>Conjunto de ménsula dentro en túnel</t>
  </si>
  <si>
    <t>6133</t>
  </si>
  <si>
    <t>Conjunto de ménsula fuera en túnel</t>
  </si>
  <si>
    <t>6136</t>
  </si>
  <si>
    <t>Conjunto de ménsula de c.e. en túnel</t>
  </si>
  <si>
    <t>Conjunto de ménsula dentro en pr</t>
  </si>
  <si>
    <t>Conjunto de ménsula fuera en pr</t>
  </si>
  <si>
    <t>Conjunto de ménsula de cola elevada en pr</t>
  </si>
  <si>
    <t>6135</t>
  </si>
  <si>
    <t>Soporte de giro de dos o tres ménsulas en poste</t>
  </si>
  <si>
    <t>C-320</t>
  </si>
  <si>
    <t>Variación por brazo en curva ligera</t>
  </si>
  <si>
    <t>C-321</t>
  </si>
  <si>
    <t>Variación por brazo en curva fuerte</t>
  </si>
  <si>
    <t>C-322</t>
  </si>
  <si>
    <t>Variación por brazo en eje l.a.</t>
  </si>
  <si>
    <t>C-323</t>
  </si>
  <si>
    <t>Variación por brazo de aguja</t>
  </si>
  <si>
    <t>Km de 1xBz-70+1x HC-120 Cu-Ag</t>
  </si>
  <si>
    <t>6140</t>
  </si>
  <si>
    <t>6141</t>
  </si>
  <si>
    <t>Conjunto de falso sustentador (bz-25)</t>
  </si>
  <si>
    <t>6142</t>
  </si>
  <si>
    <t>6143</t>
  </si>
  <si>
    <t>6144</t>
  </si>
  <si>
    <t>6145</t>
  </si>
  <si>
    <t>6146</t>
  </si>
  <si>
    <t>6148</t>
  </si>
  <si>
    <t>6147</t>
  </si>
  <si>
    <t>C-430d</t>
  </si>
  <si>
    <t>Km de 1xBz-70+1x HC-100 Cu-Ag(sidings)</t>
  </si>
  <si>
    <t>C-431d</t>
  </si>
  <si>
    <t>Péndola equipotencial de bucle con cable Bz-10-SIDINGS</t>
  </si>
  <si>
    <t>C-432d</t>
  </si>
  <si>
    <t>Anclaje de catenaria con regulación de la tensión para catenaria ligera</t>
  </si>
  <si>
    <t>C-433d</t>
  </si>
  <si>
    <t>Anclaje de catenaria sin regulación de la tensión para catenaria ligera</t>
  </si>
  <si>
    <t>C-440d</t>
  </si>
  <si>
    <t>Km de catenaria rígida</t>
  </si>
  <si>
    <t>Km de Feeder de Alimentación Cu-300</t>
  </si>
  <si>
    <t>C-502.1</t>
  </si>
  <si>
    <t>km de cable de cobre aislado RHZ1FA3Z1-25/45 KV de 1x300 mm2 i. pp. de empalmes</t>
  </si>
  <si>
    <t>C-502.2</t>
  </si>
  <si>
    <t>Paso de FN LA-280 a cable aislado incluido cola de anclaje de fn</t>
  </si>
  <si>
    <t>6155</t>
  </si>
  <si>
    <t>6156</t>
  </si>
  <si>
    <t>Silleta para feeder suspendido en cabeza de poste</t>
  </si>
  <si>
    <t>Suspensión de feeder de refuerzo con cadena en "V"</t>
  </si>
  <si>
    <t>6151</t>
  </si>
  <si>
    <t>Conjunto de cola de anclaje de feeder LA-280 en poste</t>
  </si>
  <si>
    <t>Cola de Anclaje de Cu-300</t>
  </si>
  <si>
    <t>6158</t>
  </si>
  <si>
    <t>6159</t>
  </si>
  <si>
    <t>6153</t>
  </si>
  <si>
    <t>Km de cable colector L-76</t>
  </si>
  <si>
    <t>6154</t>
  </si>
  <si>
    <t>Conjunto de suspensión de cable de retorno LA-280 en poste</t>
  </si>
  <si>
    <t>6150</t>
  </si>
  <si>
    <t>6152</t>
  </si>
  <si>
    <t>C-570</t>
  </si>
  <si>
    <t>6160</t>
  </si>
  <si>
    <t>6161</t>
  </si>
  <si>
    <t>6162</t>
  </si>
  <si>
    <t>C-603</t>
  </si>
  <si>
    <t>6188</t>
  </si>
  <si>
    <t>C-604</t>
  </si>
  <si>
    <t>6163</t>
  </si>
  <si>
    <t>Conjunto de aislamiento intermedio en sustentador bz-70</t>
  </si>
  <si>
    <t>Conjunto de aislamiento intermedio en HC 120 mm2</t>
  </si>
  <si>
    <t>Aislamiento intermedio feeder LA-280</t>
  </si>
  <si>
    <t>6164</t>
  </si>
  <si>
    <t>Equipamiento para zona neutra con Aisladores de sección en catenaria de 25KV AC</t>
  </si>
  <si>
    <t>Seccionador monopolar de AC con PAT</t>
  </si>
  <si>
    <t>Earthing device en túnel</t>
  </si>
  <si>
    <t>6170</t>
  </si>
  <si>
    <t>6176</t>
  </si>
  <si>
    <t>Aparellaje de seccionador monopolar en túnel</t>
  </si>
  <si>
    <t>C-625</t>
  </si>
  <si>
    <t>Aparellaje de dispositivo de puesta a tierra en túnel</t>
  </si>
  <si>
    <t>C-631</t>
  </si>
  <si>
    <t>Aparellaje de pórtico de alimentación (ssee) y puesta en paralelo de 2 vías</t>
  </si>
  <si>
    <t>C-632</t>
  </si>
  <si>
    <t>Aparellaje de puesta en paralelo de dos vías, i. transversales</t>
  </si>
  <si>
    <t>6177</t>
  </si>
  <si>
    <t>C-633</t>
  </si>
  <si>
    <t>Aparellaje de pórtico de alimentación (ssee) y puesta en paralelo de 3 vías</t>
  </si>
  <si>
    <t>6178</t>
  </si>
  <si>
    <t>C-634</t>
  </si>
  <si>
    <t>C-640</t>
  </si>
  <si>
    <t>C-641</t>
  </si>
  <si>
    <t>Accionamiento y transmisión para seccionador en pórtico de FEEDERES</t>
  </si>
  <si>
    <t>C-642</t>
  </si>
  <si>
    <t>Accionamiento y transmisión para seccionador en TÚNEL</t>
  </si>
  <si>
    <t>6186</t>
  </si>
  <si>
    <t>C-643</t>
  </si>
  <si>
    <t>6187</t>
  </si>
  <si>
    <t>C-644</t>
  </si>
  <si>
    <t>Superficies equipotenciales en pórticos de PP (3m.)</t>
  </si>
  <si>
    <t>C-645</t>
  </si>
  <si>
    <t>Superficies equipotenciales en pórticos de ZN (5m)</t>
  </si>
  <si>
    <t>C-646</t>
  </si>
  <si>
    <t>C-647</t>
  </si>
  <si>
    <t>Detector de tensión de 25 kV</t>
  </si>
  <si>
    <t>6180</t>
  </si>
  <si>
    <t>C-700</t>
  </si>
  <si>
    <t>6181</t>
  </si>
  <si>
    <t>C-701</t>
  </si>
  <si>
    <t>6182</t>
  </si>
  <si>
    <t>C-702</t>
  </si>
  <si>
    <t>C-703</t>
  </si>
  <si>
    <t>C-704</t>
  </si>
  <si>
    <t>C-705</t>
  </si>
  <si>
    <t>C-706</t>
  </si>
  <si>
    <t>6183</t>
  </si>
  <si>
    <t>C-707</t>
  </si>
  <si>
    <t>C-708</t>
  </si>
  <si>
    <t>6184</t>
  </si>
  <si>
    <t>C-709</t>
  </si>
  <si>
    <t>C-710</t>
  </si>
  <si>
    <t>Aislamiento de sustentador en pasos superiores</t>
  </si>
  <si>
    <t>C-711B</t>
  </si>
  <si>
    <t>Aislamiento de feederes en pasos superiores</t>
  </si>
  <si>
    <t>C-712</t>
  </si>
  <si>
    <t>6185</t>
  </si>
  <si>
    <t>C-713</t>
  </si>
  <si>
    <t>C-714</t>
  </si>
  <si>
    <t>C-720d</t>
  </si>
  <si>
    <t>Viseras para pasos superiores ( 1 por vía)</t>
  </si>
  <si>
    <t>C-721d</t>
  </si>
  <si>
    <t>Pórtico para protección de catenaria en pasos a nivel</t>
  </si>
  <si>
    <t>C-722d</t>
  </si>
  <si>
    <t>Pantalla para postes en andén</t>
  </si>
  <si>
    <t>C-723d</t>
  </si>
  <si>
    <t>Manta aislante de 2x1m de 15 mm</t>
  </si>
  <si>
    <t>C-731d</t>
  </si>
  <si>
    <t>CR-B10</t>
  </si>
  <si>
    <t>Barra de 10 m de catenaria rígida</t>
  </si>
  <si>
    <t>CR-BS</t>
  </si>
  <si>
    <t>Barra de seccionamiento</t>
  </si>
  <si>
    <t>CR-BT</t>
  </si>
  <si>
    <t>Barra de transición</t>
  </si>
  <si>
    <t>CR-CONEX-2</t>
  </si>
  <si>
    <t>Conjunto de conexiones entre dos barras de catenaria rígida (solapes)</t>
  </si>
  <si>
    <t>CR-PF</t>
  </si>
  <si>
    <t>Conjunto de punto fijo para catenaria rígida.</t>
  </si>
  <si>
    <t>CR-S1</t>
  </si>
  <si>
    <t>Conjunto de suspensión para una vía de techo plano hasta 6,5 metros</t>
  </si>
  <si>
    <t>CAT.</t>
  </si>
  <si>
    <t>FOUNDATIONS</t>
  </si>
  <si>
    <t>POLES</t>
  </si>
  <si>
    <t>RAIL CAT.</t>
  </si>
  <si>
    <t>CANTILEVERS</t>
  </si>
  <si>
    <t>O.C.S</t>
  </si>
  <si>
    <t>FEEDER/RETURN</t>
  </si>
  <si>
    <t>PROTECTIONS</t>
  </si>
  <si>
    <t>AUXILIARES</t>
  </si>
  <si>
    <t>Código</t>
  </si>
  <si>
    <t>ARMADURAS</t>
  </si>
  <si>
    <t>ANCLAJES</t>
  </si>
  <si>
    <t>VIADUCTO</t>
  </si>
  <si>
    <t>MANUAL</t>
  </si>
  <si>
    <t>HEB-240L</t>
  </si>
  <si>
    <t>HEB-260L</t>
  </si>
  <si>
    <t>HEB-280L</t>
  </si>
  <si>
    <t>HEB-300L</t>
  </si>
  <si>
    <t>HEB-320L</t>
  </si>
  <si>
    <t>2HEB-320(A)</t>
  </si>
  <si>
    <t>2HEB-320L(PR)</t>
  </si>
  <si>
    <t>2HEB-550L(PR)</t>
  </si>
  <si>
    <t>HEB-320LL(P)</t>
  </si>
  <si>
    <t xml:space="preserve">SENALIZ. </t>
  </si>
  <si>
    <t>ANTIESCALADA</t>
  </si>
  <si>
    <t>FÓRMULA</t>
  </si>
  <si>
    <t>PORTALS</t>
  </si>
  <si>
    <t>OBSERV.</t>
  </si>
  <si>
    <t>PRA-9.11</t>
  </si>
  <si>
    <t>PRA-11.13</t>
  </si>
  <si>
    <t>B7</t>
  </si>
  <si>
    <t>SPR-20</t>
  </si>
  <si>
    <t>PRE-25.30</t>
  </si>
  <si>
    <t>PRE-30.35</t>
  </si>
  <si>
    <t>PRE-35.40</t>
  </si>
  <si>
    <t>PRE-40.45</t>
  </si>
  <si>
    <t>PRB-13.15</t>
  </si>
  <si>
    <t>PRB-15.17</t>
  </si>
  <si>
    <t>PRB-17.19</t>
  </si>
  <si>
    <t>PRC-19.21</t>
  </si>
  <si>
    <t>PRC-21.23</t>
  </si>
  <si>
    <t>PRD-23.25</t>
  </si>
  <si>
    <r>
      <t>Pórtico rígido de 9 a 11 m</t>
    </r>
    <r>
      <rPr>
        <sz val="11"/>
        <color indexed="10"/>
        <rFont val="ISOCPEUR"/>
        <family val="2"/>
      </rPr>
      <t xml:space="preserve"> </t>
    </r>
  </si>
  <si>
    <t>(2x)</t>
  </si>
  <si>
    <t>(/2)</t>
  </si>
  <si>
    <t>PRA-3</t>
  </si>
  <si>
    <t>PRA-5</t>
  </si>
  <si>
    <t>SILLETAS</t>
  </si>
  <si>
    <t>SUPL-5</t>
  </si>
  <si>
    <t>PÓRTICOS-F</t>
  </si>
  <si>
    <t xml:space="preserve">Suplemento para Tirante de HC </t>
  </si>
  <si>
    <t>Suplemento para Tirante de CR</t>
  </si>
  <si>
    <t>Suplemento para Tirante de Sust Y PF</t>
  </si>
  <si>
    <t>Suplemento para Tirante de  Feeder Positivo</t>
  </si>
  <si>
    <t>FP/Tunnel</t>
  </si>
  <si>
    <t>CP/Tunnel</t>
  </si>
  <si>
    <t>CP+AnMC / FP+AnMC</t>
  </si>
  <si>
    <t>C-277</t>
  </si>
  <si>
    <t>SOPORTES DE GIRO</t>
  </si>
  <si>
    <t>EMT-1P</t>
  </si>
  <si>
    <t>EMT-2P</t>
  </si>
  <si>
    <t>EMT-TP</t>
  </si>
  <si>
    <t>Soporte de giro de dos ménsulas en silleta de  túnel</t>
  </si>
  <si>
    <t>Soporte de giro de dos ménsulas en silleta de pórtico</t>
  </si>
  <si>
    <t xml:space="preserve">CHECK </t>
  </si>
  <si>
    <t>CP+AnMC*</t>
  </si>
  <si>
    <t>FP+AnMC*</t>
  </si>
  <si>
    <t>CP/TUNNEL</t>
  </si>
  <si>
    <t>FP/TUNNEL</t>
  </si>
  <si>
    <t>PKI</t>
  </si>
  <si>
    <t>PKF</t>
  </si>
  <si>
    <t>Nº CABLES</t>
  </si>
  <si>
    <t>CANTON 1</t>
  </si>
  <si>
    <t>CANTON 2</t>
  </si>
  <si>
    <t>CABLES</t>
  </si>
  <si>
    <t>CHECK</t>
  </si>
  <si>
    <t>CABLE COLECTOR AL-76</t>
  </si>
  <si>
    <t>TUNEL 2</t>
  </si>
  <si>
    <t>TUNEL 3</t>
  </si>
  <si>
    <t>TUNEL 4</t>
  </si>
  <si>
    <t>TOTAL VIADUCTO</t>
  </si>
  <si>
    <t>CANTONES DE CABLES LA 280</t>
  </si>
  <si>
    <t>Equipo tensorex Sencillo (1 solo tensorex)</t>
  </si>
  <si>
    <t>OCS Sidings</t>
  </si>
  <si>
    <t>*S/A*</t>
  </si>
  <si>
    <t>Conexión de cable colector L-76 a poste (en viaducto)</t>
  </si>
  <si>
    <t>PL*</t>
  </si>
  <si>
    <t>Cola de anclaje de cable de retorno LA-280 en poste (SENCILLA)</t>
  </si>
  <si>
    <t>2x</t>
  </si>
  <si>
    <t>Anclaje de cable de retorno LA-280 en túnel (SENCILLA)</t>
  </si>
  <si>
    <t>SS/EE</t>
  </si>
  <si>
    <t>IO*</t>
  </si>
  <si>
    <t>SECT-I</t>
  </si>
  <si>
    <t>SECT-I-ZN</t>
  </si>
  <si>
    <t>SECCIONADORES</t>
  </si>
  <si>
    <t>SEÑALIZACION (EQUIPOS), ZN, FIN DE CAT, ETC.</t>
  </si>
  <si>
    <t>PROTECCIONES</t>
  </si>
  <si>
    <t>SEÑALES</t>
  </si>
  <si>
    <t>APARELLAJES</t>
  </si>
  <si>
    <t>ACCIONAMIENTOS</t>
  </si>
  <si>
    <t>S.EQUIP.</t>
  </si>
  <si>
    <t>AUTOVALV.</t>
  </si>
  <si>
    <t>AnMP</t>
  </si>
  <si>
    <t>MP</t>
  </si>
  <si>
    <t>MP/Tunnel</t>
  </si>
  <si>
    <t>CP+AnMC / FP+AnMC / AnMP</t>
  </si>
  <si>
    <t>MP/TUNNEL</t>
  </si>
  <si>
    <t>Disc/IO</t>
  </si>
  <si>
    <t>Disc/NZ</t>
  </si>
  <si>
    <t>ED/T</t>
  </si>
  <si>
    <t>FS/PP-2</t>
  </si>
  <si>
    <t>Disc/t</t>
  </si>
  <si>
    <t>FS/1D</t>
  </si>
  <si>
    <t>.-Las cuentas de pp solo se hacen en v1</t>
  </si>
  <si>
    <t>PP-2</t>
  </si>
  <si>
    <t>DISC/NZ + DISC/IO</t>
  </si>
  <si>
    <t>FS-1</t>
  </si>
  <si>
    <t>FS-1d</t>
  </si>
  <si>
    <t>Aparellaje de pórtico de puesta en paralelo de 4 vías</t>
  </si>
  <si>
    <t>PP-4</t>
  </si>
  <si>
    <t>FS/PP-3</t>
  </si>
  <si>
    <t>S1T / S2T</t>
  </si>
  <si>
    <t>TOTAL CABLE LA-280:</t>
  </si>
  <si>
    <t>LONGITUD DEL TRAMO:</t>
  </si>
  <si>
    <t>Anchorages PK</t>
  </si>
  <si>
    <t>LEGEND</t>
  </si>
  <si>
    <t>CANTONES  LA 280</t>
  </si>
  <si>
    <t>Tunnel</t>
  </si>
  <si>
    <t>Overpass</t>
  </si>
  <si>
    <t>Bridge / Viaduct</t>
  </si>
  <si>
    <t>Underpass / Drainage Works</t>
  </si>
  <si>
    <t>Neutral Zone</t>
  </si>
  <si>
    <t>Overlap between sections</t>
  </si>
  <si>
    <t>SECTIONNING</t>
  </si>
  <si>
    <t>COLORS:</t>
  </si>
  <si>
    <t>A/S-Diag</t>
  </si>
  <si>
    <t>Overlap Anchorage</t>
  </si>
  <si>
    <t>Diagonal Anchorage</t>
  </si>
  <si>
    <t>Overlap Axis</t>
  </si>
  <si>
    <t>Overlap Semi-Axis</t>
  </si>
  <si>
    <t>Mid Point in tunnel</t>
  </si>
  <si>
    <t>Mid Point</t>
  </si>
  <si>
    <t>Mid Point Anchorage</t>
  </si>
  <si>
    <t>ANCHORAGES</t>
  </si>
  <si>
    <t>OCS Compensated Anchorage</t>
  </si>
  <si>
    <t>OCS Fixed Anchorage</t>
  </si>
  <si>
    <t>OCS Compensated Anchorage in tunnel</t>
  </si>
  <si>
    <t>OCS Fixed Anchorage in tunnel</t>
  </si>
  <si>
    <t>ANCHORAGE FOUNDATIONS</t>
  </si>
  <si>
    <t>POLE / SUPPORTS TYPE</t>
  </si>
  <si>
    <t>PH-XXX</t>
  </si>
  <si>
    <t>POLE FOUNDATION</t>
  </si>
  <si>
    <t>FEEDING</t>
  </si>
  <si>
    <t>xxx m.</t>
  </si>
  <si>
    <t>Earthing device in tunnel</t>
  </si>
  <si>
    <t>FS-1D</t>
  </si>
  <si>
    <t>PP-3</t>
  </si>
  <si>
    <t>Feeder supply (1 track)</t>
  </si>
  <si>
    <t>Feeder supply for depots</t>
  </si>
  <si>
    <t>Feeder supply &amp; paralleling post 2 tracks</t>
  </si>
  <si>
    <t>Feeder supply &amp; paralleling post 3 tracks</t>
  </si>
  <si>
    <t>Paralleling post 2 tracks</t>
  </si>
  <si>
    <t>Paralleling post 3 tracks</t>
  </si>
  <si>
    <t>Paralleling post 4 tracks</t>
  </si>
  <si>
    <t>STEADY ARMS TYPE</t>
  </si>
  <si>
    <t>Straight arm</t>
  </si>
  <si>
    <t>Polygonal arm</t>
  </si>
  <si>
    <t>Curve arm</t>
  </si>
  <si>
    <t>Special curve arm (circular St.)</t>
  </si>
  <si>
    <t>N.Z. Disconnector</t>
  </si>
  <si>
    <t>Insulated Overlap disconnector</t>
  </si>
  <si>
    <t>Tunnel disconnector</t>
  </si>
  <si>
    <t>Cantilever (Pull on)</t>
  </si>
  <si>
    <t>Cantilever (termination)</t>
  </si>
  <si>
    <t>Tunnel Cantilever (Pull on)</t>
  </si>
  <si>
    <t>Tunnel Cantilever (Push over)</t>
  </si>
  <si>
    <t>Tunnel Cantilever (termination)</t>
  </si>
  <si>
    <t>Portal Cantilever (Pull on)</t>
  </si>
  <si>
    <t>Portal Cantilever (Push over)</t>
  </si>
  <si>
    <t>Portal Cantilever (termination)</t>
  </si>
  <si>
    <t>Pole foundation</t>
  </si>
  <si>
    <t>Base for pole in viaduct</t>
  </si>
  <si>
    <t>OCS POLE</t>
  </si>
  <si>
    <t>Support for 1 cantilever in portal</t>
  </si>
  <si>
    <t>Support for 2 cantilever in portal</t>
  </si>
  <si>
    <t>Support for 1 cantilever in tunnel</t>
  </si>
  <si>
    <t>Support for 1 cantilever in tunnel (2x)</t>
  </si>
  <si>
    <t>Extension for 1 console in platform</t>
  </si>
  <si>
    <t>Switch Point 50</t>
  </si>
  <si>
    <t>Switch Point 90</t>
  </si>
  <si>
    <t>Feeder Anchor</t>
  </si>
  <si>
    <t>Feeder anchor in tunnel</t>
  </si>
  <si>
    <t>Return anchor in tunnel</t>
  </si>
  <si>
    <t>Return Anchor</t>
  </si>
  <si>
    <t>SEMI TENSION LENGTH</t>
  </si>
  <si>
    <t>Messenger and C.W, anchorage foundation</t>
  </si>
  <si>
    <t>Return, Feeder and Midpoint anchorage foundation</t>
  </si>
  <si>
    <t>Return, Feeder and Midpoint base in viaduct</t>
  </si>
  <si>
    <t>Messenger and C.W, anchorage base in viaduct</t>
  </si>
  <si>
    <t>PRx-()</t>
  </si>
  <si>
    <t>Portal type X (length in m)</t>
  </si>
  <si>
    <t>Cantilever (Push off)</t>
  </si>
  <si>
    <t>C-505b</t>
  </si>
  <si>
    <t>Silleta para feeder apoyado en cabeza de poste</t>
  </si>
  <si>
    <t>AnMC/Tunnel</t>
  </si>
  <si>
    <t>2HEB-240</t>
  </si>
  <si>
    <t>C6</t>
  </si>
  <si>
    <t>2HEB-260</t>
  </si>
  <si>
    <t>AnMP/Tunnel</t>
  </si>
  <si>
    <t>AnM/Tunnel</t>
  </si>
  <si>
    <t>FINISH T3: 43+945 / 43+960</t>
  </si>
  <si>
    <t>START B9: 43+985</t>
  </si>
  <si>
    <t>FINISH B9: 44+185</t>
  </si>
  <si>
    <t>START T3A: 44+205 44+220</t>
  </si>
  <si>
    <t>FINISH T3A: 45+025 45+060</t>
  </si>
  <si>
    <t>START B10: 45085</t>
  </si>
  <si>
    <t>FINISH B10: 46+085</t>
  </si>
  <si>
    <t>START B10B: 46+095</t>
  </si>
  <si>
    <t>FINISH B10B: 46+230</t>
  </si>
  <si>
    <t>START T4: 46+230</t>
  </si>
  <si>
    <t>HEB-260 (CP)</t>
  </si>
  <si>
    <t>HEB-280 (CP)</t>
  </si>
  <si>
    <t>HEB-300 (CP)</t>
  </si>
  <si>
    <t>Poste HEB-260 (CP)</t>
  </si>
  <si>
    <t>Poste 2HEB-240</t>
  </si>
  <si>
    <t>HEB-260 V</t>
  </si>
  <si>
    <t>Poste 2HEB-260</t>
  </si>
  <si>
    <t>HEB-280 V</t>
  </si>
  <si>
    <t>2HEB-260 V</t>
  </si>
  <si>
    <t>HEB-240 V</t>
  </si>
  <si>
    <t>HEB-300 V</t>
  </si>
  <si>
    <t>2HEB-240 V</t>
  </si>
  <si>
    <t>Poste 2HEB-240 V</t>
  </si>
  <si>
    <t>Poste 2HEB-260 V</t>
  </si>
  <si>
    <t>Poste HEB-260 V</t>
  </si>
  <si>
    <t>Poste HEB-280 V</t>
  </si>
  <si>
    <t>Poste HEB-300 V</t>
  </si>
  <si>
    <t>Poste HEB-280 (CP)</t>
  </si>
  <si>
    <t>Poste HEB-300 (CP)</t>
  </si>
  <si>
    <t>Poste HEB-240 V</t>
  </si>
  <si>
    <t>CP/TX</t>
  </si>
  <si>
    <t>Start HAUMA</t>
  </si>
  <si>
    <t>TURNOUT</t>
  </si>
  <si>
    <t>End HAUMA</t>
  </si>
  <si>
    <t>VIA 1</t>
  </si>
  <si>
    <t>VIA 2</t>
  </si>
  <si>
    <t>TOTAL COLECTOR TUNEL</t>
  </si>
  <si>
    <t>TUNEL 3A</t>
  </si>
  <si>
    <t>LONGITUD DE VIADUCTOS</t>
  </si>
  <si>
    <t>LONGITUD DE TUNEL</t>
  </si>
  <si>
    <t>VIADUCTO 8</t>
  </si>
  <si>
    <t>VIADUCTO 9</t>
  </si>
  <si>
    <t>VIADUCTO 10-10b</t>
  </si>
  <si>
    <t>C-203-CP</t>
  </si>
  <si>
    <t>Aislador de sección en catenaria de 25KV</t>
  </si>
  <si>
    <t>C-614</t>
  </si>
  <si>
    <t>Seccionador monopolar de AV apertura vertical</t>
  </si>
  <si>
    <t>C-630</t>
  </si>
  <si>
    <t>Aparellaje de seccionador de alimentacion para 1 via con cable desnudo.</t>
  </si>
  <si>
    <t>C-202-V</t>
  </si>
  <si>
    <t>C-203-VCP</t>
  </si>
  <si>
    <t>C-204-CP</t>
  </si>
  <si>
    <t>C-204-V</t>
  </si>
  <si>
    <t>C-204-VCP</t>
  </si>
  <si>
    <t>C-205-CP</t>
  </si>
  <si>
    <t>C-205-V</t>
  </si>
  <si>
    <t>C-205-VCP</t>
  </si>
  <si>
    <t>C-212</t>
  </si>
  <si>
    <t>C-213</t>
  </si>
  <si>
    <t>C-213-V</t>
  </si>
  <si>
    <t>C-214</t>
  </si>
  <si>
    <t>C-214-V</t>
  </si>
  <si>
    <t>C-215</t>
  </si>
  <si>
    <t>C-216</t>
  </si>
  <si>
    <t>C-217</t>
  </si>
  <si>
    <t>CONJUNTOS</t>
  </si>
  <si>
    <t>1-S.04</t>
  </si>
  <si>
    <t>1-S.05</t>
  </si>
  <si>
    <t>Placa de anclaje de tirante sencilla (pl-an)</t>
  </si>
  <si>
    <t>Placa de anclaje de tirante doble (pl-an2)</t>
  </si>
  <si>
    <t>C-203-V</t>
  </si>
  <si>
    <t>C-303/306/309</t>
  </si>
  <si>
    <t>Cable colector L-76</t>
  </si>
  <si>
    <t>Puesta a tierra de estructura en viaducto (Barandilla a poste)</t>
  </si>
  <si>
    <t>2-S.03E</t>
  </si>
  <si>
    <t>7-S.15</t>
  </si>
  <si>
    <t>7-S.16</t>
  </si>
  <si>
    <t>2-S.01a</t>
  </si>
  <si>
    <t>2-S.01b</t>
  </si>
  <si>
    <t>2-S.01c</t>
  </si>
  <si>
    <t>Poste Tipo HEB-220 de 8.2 m. de altura</t>
  </si>
  <si>
    <t>Poste Tipo HEB-220 de 8.2 m. de altura - viaducto</t>
  </si>
  <si>
    <t>Poste Tipo HEB-220 de 8.2 m. de altura - compensacion</t>
  </si>
  <si>
    <t>Poste Tipo HEB-220 de 8.2 m. de altura - viaducto y compensacion</t>
  </si>
  <si>
    <t>2-S.02c</t>
  </si>
  <si>
    <t>Poste Tipo HEB-240 de 8.2 m. de altura - viaducto</t>
  </si>
  <si>
    <t>Poste Tipo HEB-240 de 8.2 m. de altura - compensacion</t>
  </si>
  <si>
    <t>Poste Tipo HEB-240 de 8.2 m. de altura - viaducto y compensacion</t>
  </si>
  <si>
    <t>2-S.02a</t>
  </si>
  <si>
    <t>2-S.02b</t>
  </si>
  <si>
    <t>C-202-CP</t>
  </si>
  <si>
    <t>C-202-VCP</t>
  </si>
  <si>
    <t>Poste Tipo HEB-240 de 8.2 m. de altura</t>
  </si>
  <si>
    <t>Poste Tipo HEB-260 de 8.2 m. de altura</t>
  </si>
  <si>
    <t>2-S.03a</t>
  </si>
  <si>
    <t>2-S.03b</t>
  </si>
  <si>
    <t>Poste Tipo HEB-260 de 8.2 m. de altura - viaducto</t>
  </si>
  <si>
    <t>Poste Tipo HEB-260 de 8.2 m. de altura - compensacion</t>
  </si>
  <si>
    <t>Poste Tipo HEB-260 de 8.2 m. de altura - viaducto y compensacion</t>
  </si>
  <si>
    <t>2-S.03c</t>
  </si>
  <si>
    <t>Poste Tipo HEB-280 de 8.2 m. de altura</t>
  </si>
  <si>
    <t>Poste Tipo HEB-300 de 8.2 m. de altura</t>
  </si>
  <si>
    <t>Poste Tipo HEB-240 de 9.2 m. de altura</t>
  </si>
  <si>
    <t>Poste Tipo HEB-260 de 9.2 m. de altura</t>
  </si>
  <si>
    <t>Poste Tipo HEB-280 de 9.2 m. de altura</t>
  </si>
  <si>
    <t>Poste Tipo HEB-320 de 9.2 m. de altura</t>
  </si>
  <si>
    <t>Poste Especial 2HEB-240 DE S.E.  de 8.2 m. de altura</t>
  </si>
  <si>
    <t>Poste Especial 2HEB-260 DE S.E.  de 8.2 m. de altura</t>
  </si>
  <si>
    <t>2-S.02E</t>
  </si>
  <si>
    <t>2-S.04a</t>
  </si>
  <si>
    <t>2-S.04b</t>
  </si>
  <si>
    <t>Poste Tipo HEB-280 de 8.2 m. de altura - viaducto</t>
  </si>
  <si>
    <t>Poste Tipo HEB-280 de 8.2 m. de altura - compensacion</t>
  </si>
  <si>
    <t>Poste Tipo HEB-280 de 8.2 m. de altura - viaducto y compensacion</t>
  </si>
  <si>
    <t>2-S.05a</t>
  </si>
  <si>
    <t>2-S.05b</t>
  </si>
  <si>
    <t>2-S.04c</t>
  </si>
  <si>
    <t>2-S.05c</t>
  </si>
  <si>
    <t>Poste Tipo HEB-300 de 8.2 m. de altura - viaducto</t>
  </si>
  <si>
    <t>Poste Tipo HEB-300 de 8.2 m. de altura - compensacion</t>
  </si>
  <si>
    <t>Poste Tipo HEB-300 de 8.2 m. de altura - viaducto y compensacion</t>
  </si>
  <si>
    <t>Conjunto de tirante de anclaje. (GENÉRICO)</t>
  </si>
  <si>
    <t>2-S.24a</t>
  </si>
  <si>
    <t>Conjunto de tirante de anclaje. Tipo1</t>
  </si>
  <si>
    <t>Conjunto de tirante de anclaje. Tipo2</t>
  </si>
  <si>
    <t>2-S.24b</t>
  </si>
  <si>
    <t>Conjunto de ménsula dentro (genérico)</t>
  </si>
  <si>
    <t>3-S.01a</t>
  </si>
  <si>
    <t>3-S.01b</t>
  </si>
  <si>
    <t>3-S.01c</t>
  </si>
  <si>
    <t>Conjunto de ménsula dentro en trayecto</t>
  </si>
  <si>
    <t>Conjunto de ménsula dentro en pórtico</t>
  </si>
  <si>
    <t>Conjunto de ménsula fuera (genérico)</t>
  </si>
  <si>
    <t>Conjunto de ménsula fuera en trayecto</t>
  </si>
  <si>
    <t>Conjunto de ménsula fuera en pórtico</t>
  </si>
  <si>
    <t>C-311</t>
  </si>
  <si>
    <t>3-S.02a</t>
  </si>
  <si>
    <t>3-S.02b</t>
  </si>
  <si>
    <t>3-S.02c</t>
  </si>
  <si>
    <t>3-S.03a</t>
  </si>
  <si>
    <t>3-S.03b</t>
  </si>
  <si>
    <t>3-S.03c</t>
  </si>
  <si>
    <t>Conjunto de ménsula de cola elevada en trayecto</t>
  </si>
  <si>
    <t>Conjunto de ménsula de cola elevada en túnel</t>
  </si>
  <si>
    <t>Conjunto de ménsula de cola elevada en pórtico</t>
  </si>
  <si>
    <t>6-S.02a</t>
  </si>
  <si>
    <t>6-S.02b</t>
  </si>
  <si>
    <t>Conexión de seccionamiento</t>
  </si>
  <si>
    <t>Conexión de colas de l.aire</t>
  </si>
  <si>
    <t>Conexión de aguja p-90</t>
  </si>
  <si>
    <t>6-S.07a</t>
  </si>
  <si>
    <t>6-S.07b</t>
  </si>
  <si>
    <t>Seccionador monopolar de apertura en vacío, incluido el aparellaje EN TÚNEL</t>
  </si>
  <si>
    <t>6-S.10d</t>
  </si>
  <si>
    <t>7-S.07a</t>
  </si>
  <si>
    <t>7-S.07b</t>
  </si>
  <si>
    <t>7-S.07c</t>
  </si>
  <si>
    <t>7-S.07d</t>
  </si>
  <si>
    <t>Conexión en perfil de túnel (para anclaje compensado)</t>
  </si>
  <si>
    <t>Conexión en perfil de túnel (para anclaje sin compensar)</t>
  </si>
  <si>
    <t>Conexión en perfil de túnel (para punto fijo)</t>
  </si>
  <si>
    <t>Conexión en perfil de túnel (para barandilla)</t>
  </si>
  <si>
    <t>Superficie equipotencial de accionamiento en pórtico (3m)</t>
  </si>
  <si>
    <t>7-S.14a</t>
  </si>
  <si>
    <t>Superficie equipotencial de accionamiento en pórtico (5m)</t>
  </si>
  <si>
    <t>C-281 / C-282</t>
  </si>
  <si>
    <t>C-283 / C-284</t>
  </si>
  <si>
    <t xml:space="preserve">Pórtico de alimentación y pp para 2 vías, incluídos los 2 pórticos de 3m , los transversales y los seccionadores, n.i. los postes </t>
  </si>
  <si>
    <t>Puesta en paralelo de 2 vías (crucetas, seccionadores y cables transversales)</t>
  </si>
  <si>
    <t>Puesta en paralelo de 4 vías (crucetas, seccionadores y cables transversales)</t>
  </si>
  <si>
    <t>C-302;C-305;C-308</t>
  </si>
  <si>
    <t>C-130;C-131;C-132</t>
  </si>
  <si>
    <t>AnM/PL; AnMC/PL</t>
  </si>
  <si>
    <t>C-201-V</t>
  </si>
  <si>
    <t>C-201-CP</t>
  </si>
  <si>
    <t>C-201-VCP</t>
  </si>
  <si>
    <t>C-250;C-251;C-252</t>
  </si>
  <si>
    <t>C-253;C-254</t>
  </si>
  <si>
    <t>C-255;C-256;C-257</t>
  </si>
  <si>
    <t>C-259;C-260</t>
  </si>
  <si>
    <t>5-S.19b</t>
  </si>
  <si>
    <t>Silleta de suspensión de feeder de refuerzo en PR (lpn-60)</t>
  </si>
  <si>
    <t>Silleta de suspensión de feeder de refuerzo en PR (lpn-100)</t>
  </si>
  <si>
    <t>2-S.20a</t>
  </si>
  <si>
    <t>2-S.20b</t>
  </si>
  <si>
    <t>Soporte de longitud variable en PR-1 para una ménsula. Incluye una silleta, un jabalcón, los herrajes y la tornillería necesarios. (angular 60-80)</t>
  </si>
  <si>
    <t>Soporte de longitud variable en PR-2 a 4 para una ménsula. Angular 100</t>
  </si>
  <si>
    <t>Soporte de longitud variable en B-7 para una ménsula. Incluye una silleta, un jabalcón, los herrajes y la tornillería necesarios.</t>
  </si>
  <si>
    <t>2-S.21a</t>
  </si>
  <si>
    <t>2-S.21b</t>
  </si>
  <si>
    <t>Soporte de longitud variable en PR para dos ménsulas. Incluye una silleta, un jabalcón, los herrajes y la tornillería necesarios. (angular 60 a 80)</t>
  </si>
  <si>
    <t>Soporte de longitud variable en PR para dos ménsulas. Incluye una silleta, un jabalcón, los herrajes y la tornillería necesarios. (angular 100)</t>
  </si>
  <si>
    <t>Soporte de longitud variable en B-7 para dos ménsulas. Incluye una silleta, un jabalcón, los herrajes y la tornillería necesarios.</t>
  </si>
  <si>
    <t>C-711;C-711b</t>
  </si>
  <si>
    <t>7-S.17</t>
  </si>
  <si>
    <t>7-S.18</t>
  </si>
  <si>
    <t>7-S.19</t>
  </si>
  <si>
    <t>7-S.20</t>
  </si>
  <si>
    <t>7-S.21</t>
  </si>
  <si>
    <t>Señales de fin de catenaria, zona neutra etc.</t>
  </si>
  <si>
    <t>30-1.15</t>
  </si>
  <si>
    <t>30-1.16</t>
  </si>
  <si>
    <t>30-1.19</t>
  </si>
  <si>
    <t>30-1.20</t>
  </si>
  <si>
    <t>30-1.21</t>
  </si>
  <si>
    <t>30-1.23</t>
  </si>
  <si>
    <t>30-1.24</t>
  </si>
  <si>
    <t>31-1.01</t>
  </si>
  <si>
    <t>31-1.02</t>
  </si>
  <si>
    <t>31-1.03</t>
  </si>
  <si>
    <t>31-1.04</t>
  </si>
  <si>
    <t>31-1.05</t>
  </si>
  <si>
    <t>31-1.06</t>
  </si>
  <si>
    <t>31-1.07</t>
  </si>
  <si>
    <t>31-1.08</t>
  </si>
  <si>
    <t>31-1.09</t>
  </si>
  <si>
    <t>31-1.10</t>
  </si>
  <si>
    <t>31-1.11</t>
  </si>
  <si>
    <t>31-1.12</t>
  </si>
  <si>
    <t>31-1.13</t>
  </si>
  <si>
    <t>31-1.14</t>
  </si>
  <si>
    <t>31-1.15</t>
  </si>
  <si>
    <t>31-1.16</t>
  </si>
  <si>
    <t>31-1.17</t>
  </si>
  <si>
    <t>31-1.18</t>
  </si>
  <si>
    <t>31-1.19</t>
  </si>
  <si>
    <t>31-1.20</t>
  </si>
  <si>
    <t>32-1.01</t>
  </si>
  <si>
    <t>32-1.02</t>
  </si>
  <si>
    <t>32-1.03</t>
  </si>
  <si>
    <t>32-1.04</t>
  </si>
  <si>
    <t>32-1.05</t>
  </si>
  <si>
    <t>32-1.06</t>
  </si>
  <si>
    <t>32-1.07</t>
  </si>
  <si>
    <t>32-1.08</t>
  </si>
  <si>
    <t>32-1.09</t>
  </si>
  <si>
    <t>32-1.10</t>
  </si>
  <si>
    <t>32-1.11</t>
  </si>
  <si>
    <t>32-1.12</t>
  </si>
  <si>
    <t>32-1.13</t>
  </si>
  <si>
    <t>32-1.14</t>
  </si>
  <si>
    <t>32-1.15</t>
  </si>
  <si>
    <t>32-1.16</t>
  </si>
  <si>
    <t>32-1.17</t>
  </si>
  <si>
    <t>32-1.18</t>
  </si>
  <si>
    <t>32-1.19</t>
  </si>
  <si>
    <t>32-1.20</t>
  </si>
  <si>
    <t>32-1.21</t>
  </si>
  <si>
    <t>33-1.01</t>
  </si>
  <si>
    <t>33-1.02</t>
  </si>
  <si>
    <t>33-1.03</t>
  </si>
  <si>
    <t>33-1.04</t>
  </si>
  <si>
    <t>33-1.05</t>
  </si>
  <si>
    <t>33-1.06</t>
  </si>
  <si>
    <t>33-1.07</t>
  </si>
  <si>
    <t>33-1.08</t>
  </si>
  <si>
    <t>33-1.09</t>
  </si>
  <si>
    <t>33-1.10</t>
  </si>
  <si>
    <t>33-1.11</t>
  </si>
  <si>
    <t>33-1.12</t>
  </si>
  <si>
    <t>33-1.13</t>
  </si>
  <si>
    <t>33-1.14</t>
  </si>
  <si>
    <t>33-1.15</t>
  </si>
  <si>
    <t>33-1.16</t>
  </si>
  <si>
    <t>33-1.17</t>
  </si>
  <si>
    <t>33-1.18</t>
  </si>
  <si>
    <t>33-1.19</t>
  </si>
  <si>
    <t>33-1.20</t>
  </si>
  <si>
    <t>34-1.01</t>
  </si>
  <si>
    <t>34-1.02</t>
  </si>
  <si>
    <t>34-1.03</t>
  </si>
  <si>
    <t>34-1.04</t>
  </si>
  <si>
    <t>34-1.05</t>
  </si>
  <si>
    <t>34-1.06</t>
  </si>
  <si>
    <t>34-1.07</t>
  </si>
  <si>
    <t>34-1.08</t>
  </si>
  <si>
    <t>34-1.09</t>
  </si>
  <si>
    <t>34-1.10</t>
  </si>
  <si>
    <t>34-1.11</t>
  </si>
  <si>
    <t>34-1.12</t>
  </si>
  <si>
    <t>34-1.13</t>
  </si>
  <si>
    <t>34-1.14</t>
  </si>
  <si>
    <t>34-1.15</t>
  </si>
  <si>
    <t>34-1.16</t>
  </si>
  <si>
    <t>34-1.17</t>
  </si>
  <si>
    <t>34-1.18</t>
  </si>
  <si>
    <t>34-1.19</t>
  </si>
  <si>
    <t>34-1.20</t>
  </si>
  <si>
    <t>35-1.01</t>
  </si>
  <si>
    <t>35-1.02</t>
  </si>
  <si>
    <t>35-1.03</t>
  </si>
  <si>
    <t>35-1.04</t>
  </si>
  <si>
    <t>35-1.05</t>
  </si>
  <si>
    <t>35-1.06</t>
  </si>
  <si>
    <t>35-1.07</t>
  </si>
  <si>
    <t>35-1.08</t>
  </si>
  <si>
    <t>35-1.09</t>
  </si>
  <si>
    <t>35-1.10</t>
  </si>
  <si>
    <t>35-1.11</t>
  </si>
  <si>
    <t>35-1.12</t>
  </si>
  <si>
    <t>35-1.13</t>
  </si>
  <si>
    <t>35-1.14</t>
  </si>
  <si>
    <t>35-1.15</t>
  </si>
  <si>
    <t>35-1.16</t>
  </si>
  <si>
    <t>35-1.17</t>
  </si>
  <si>
    <t>35-1.18</t>
  </si>
  <si>
    <t>35-1.19</t>
  </si>
  <si>
    <t>35-1.20</t>
  </si>
  <si>
    <t>36-1.01</t>
  </si>
  <si>
    <t>36-1.02</t>
  </si>
  <si>
    <t>36-1.03</t>
  </si>
  <si>
    <t>36-1.04</t>
  </si>
  <si>
    <t>36-1.05</t>
  </si>
  <si>
    <t>36-1.06</t>
  </si>
  <si>
    <t>36-1.07</t>
  </si>
  <si>
    <t>36-1.08</t>
  </si>
  <si>
    <t>36-1.09</t>
  </si>
  <si>
    <t>36-1.10</t>
  </si>
  <si>
    <t>36-1.11</t>
  </si>
  <si>
    <t>36-1.12</t>
  </si>
  <si>
    <t>36-1.13</t>
  </si>
  <si>
    <t>36-1.14</t>
  </si>
  <si>
    <t>36-1.15</t>
  </si>
  <si>
    <t>36-1.16</t>
  </si>
  <si>
    <t>36-1.17</t>
  </si>
  <si>
    <t>36-1.18</t>
  </si>
  <si>
    <t>36-1.19</t>
  </si>
  <si>
    <t>36-1.20</t>
  </si>
  <si>
    <t>37-1.01</t>
  </si>
  <si>
    <t>37-1.02</t>
  </si>
  <si>
    <t>37-1.03</t>
  </si>
  <si>
    <t>37-1.04</t>
  </si>
  <si>
    <t>37-1.05</t>
  </si>
  <si>
    <t>37-1.06</t>
  </si>
  <si>
    <t>37-1.07</t>
  </si>
  <si>
    <t>37-1.08</t>
  </si>
  <si>
    <t>37-1.09</t>
  </si>
  <si>
    <t>37-1.10</t>
  </si>
  <si>
    <t>37-1.11</t>
  </si>
  <si>
    <t>37-1.12</t>
  </si>
  <si>
    <t>37-1.13</t>
  </si>
  <si>
    <t>37-1.14</t>
  </si>
  <si>
    <t>37-1.15</t>
  </si>
  <si>
    <t>37-1.16</t>
  </si>
  <si>
    <t>37-1.17</t>
  </si>
  <si>
    <t>37-1.18</t>
  </si>
  <si>
    <t>37-1.19</t>
  </si>
  <si>
    <t>37-1.20</t>
  </si>
  <si>
    <t>38-1.01</t>
  </si>
  <si>
    <t>38-1.02</t>
  </si>
  <si>
    <t>38-1.03</t>
  </si>
  <si>
    <t>38-1.04</t>
  </si>
  <si>
    <t>38-1.05</t>
  </si>
  <si>
    <t>38-1.06</t>
  </si>
  <si>
    <t>38-1.07</t>
  </si>
  <si>
    <t>38-1.08</t>
  </si>
  <si>
    <t>38-1.09</t>
  </si>
  <si>
    <t>38-1.10</t>
  </si>
  <si>
    <t>38-1.11</t>
  </si>
  <si>
    <t>38-1.12</t>
  </si>
  <si>
    <t>38-1.13</t>
  </si>
  <si>
    <t>38-1.14</t>
  </si>
  <si>
    <t>38-1.15</t>
  </si>
  <si>
    <t>38-1.16</t>
  </si>
  <si>
    <t>38-1.17</t>
  </si>
  <si>
    <t>38-1.18</t>
  </si>
  <si>
    <t>38-1.19</t>
  </si>
  <si>
    <t>38-1.20</t>
  </si>
  <si>
    <t>39-1.01</t>
  </si>
  <si>
    <t>39-1.02</t>
  </si>
  <si>
    <t>39-1.03</t>
  </si>
  <si>
    <t>39-1.04</t>
  </si>
  <si>
    <t>39-1.05</t>
  </si>
  <si>
    <t>39-1.06</t>
  </si>
  <si>
    <t>39-1.07</t>
  </si>
  <si>
    <t>39-1.08</t>
  </si>
  <si>
    <t>39-1.09</t>
  </si>
  <si>
    <t>39-1.10</t>
  </si>
  <si>
    <t>39-1.11</t>
  </si>
  <si>
    <t>39-1.12</t>
  </si>
  <si>
    <t>39-1.13</t>
  </si>
  <si>
    <t>39-1.14</t>
  </si>
  <si>
    <t>39-1.15</t>
  </si>
  <si>
    <t>39-1.16</t>
  </si>
  <si>
    <t>39-1.17</t>
  </si>
  <si>
    <t>39-1.18</t>
  </si>
  <si>
    <t>39-1.19</t>
  </si>
  <si>
    <t>39-1.20</t>
  </si>
  <si>
    <t>40-1.01</t>
  </si>
  <si>
    <t>40-1.02</t>
  </si>
  <si>
    <t>40-1.03</t>
  </si>
  <si>
    <t>40-1.04</t>
  </si>
  <si>
    <t>40-1.05</t>
  </si>
  <si>
    <t>40-1.06</t>
  </si>
  <si>
    <t>40-1.07</t>
  </si>
  <si>
    <t>40-1.08</t>
  </si>
  <si>
    <t>40-1.09</t>
  </si>
  <si>
    <t>40-1.10</t>
  </si>
  <si>
    <t>40-1.11</t>
  </si>
  <si>
    <t>40-1.12</t>
  </si>
  <si>
    <t>40-1.13</t>
  </si>
  <si>
    <t>40-1.14</t>
  </si>
  <si>
    <t>40-1.15</t>
  </si>
  <si>
    <t>40-1.16</t>
  </si>
  <si>
    <t>40-1.17</t>
  </si>
  <si>
    <t>40-1.18</t>
  </si>
  <si>
    <t>40-1.19</t>
  </si>
  <si>
    <t>40-1.20</t>
  </si>
  <si>
    <t>41-1.01</t>
  </si>
  <si>
    <t>41-1.02</t>
  </si>
  <si>
    <t>41-1.03</t>
  </si>
  <si>
    <t>41-1.04</t>
  </si>
  <si>
    <t>41-1.05</t>
  </si>
  <si>
    <t>41-1.06</t>
  </si>
  <si>
    <t>41-1.07</t>
  </si>
  <si>
    <t>41-1.08</t>
  </si>
  <si>
    <t>41-1.09</t>
  </si>
  <si>
    <t>41-1.10</t>
  </si>
  <si>
    <t>41-1.11</t>
  </si>
  <si>
    <t>41-1.12</t>
  </si>
  <si>
    <t>41-1.13</t>
  </si>
  <si>
    <t>41-1.14</t>
  </si>
  <si>
    <t>41-1.15</t>
  </si>
  <si>
    <t>41-1.16</t>
  </si>
  <si>
    <t>41-1.17</t>
  </si>
  <si>
    <t>41-1.18</t>
  </si>
  <si>
    <t>41-1.19</t>
  </si>
  <si>
    <t>41-1.20</t>
  </si>
  <si>
    <t>42-1.01</t>
  </si>
  <si>
    <t>42-1.02</t>
  </si>
  <si>
    <t>42-1.03</t>
  </si>
  <si>
    <t>42-1.04</t>
  </si>
  <si>
    <t>42-1.05</t>
  </si>
  <si>
    <t>42-1.06</t>
  </si>
  <si>
    <t>42-1.07</t>
  </si>
  <si>
    <t>42-1.08</t>
  </si>
  <si>
    <t>42-1.09</t>
  </si>
  <si>
    <t>42-1.10</t>
  </si>
  <si>
    <t>42-1.11</t>
  </si>
  <si>
    <t>42-1.12</t>
  </si>
  <si>
    <t>42-1.13</t>
  </si>
  <si>
    <t>42-1.14</t>
  </si>
  <si>
    <t>42-1.15</t>
  </si>
  <si>
    <t>42-1.16</t>
  </si>
  <si>
    <t>42-1.17</t>
  </si>
  <si>
    <t>42-1.18</t>
  </si>
  <si>
    <t>42-1.19</t>
  </si>
  <si>
    <t>42-1.20</t>
  </si>
  <si>
    <t>43-1.01</t>
  </si>
  <si>
    <t>43-1.02</t>
  </si>
  <si>
    <t>43-1.03</t>
  </si>
  <si>
    <t>43-1.04</t>
  </si>
  <si>
    <t>43-1.05</t>
  </si>
  <si>
    <t>43-1.06</t>
  </si>
  <si>
    <t>43-1.07</t>
  </si>
  <si>
    <t>43-1.08</t>
  </si>
  <si>
    <t>43-1.09</t>
  </si>
  <si>
    <t>43-1.10</t>
  </si>
  <si>
    <t>43-1.11</t>
  </si>
  <si>
    <t>43-1.12</t>
  </si>
  <si>
    <t>43-1.13</t>
  </si>
  <si>
    <t>43-1.14</t>
  </si>
  <si>
    <t>43-1.15</t>
  </si>
  <si>
    <t>43-1.16</t>
  </si>
  <si>
    <t>43-1.17</t>
  </si>
  <si>
    <t>43-1.18</t>
  </si>
  <si>
    <t>43-1.19</t>
  </si>
  <si>
    <t>43-1.20</t>
  </si>
  <si>
    <t>44-1.01</t>
  </si>
  <si>
    <t>44-1.02</t>
  </si>
  <si>
    <t>44-1.03</t>
  </si>
  <si>
    <t>44-1.04</t>
  </si>
  <si>
    <t>44-1.05</t>
  </si>
  <si>
    <t>44-1.06</t>
  </si>
  <si>
    <t>44-1.07</t>
  </si>
  <si>
    <t>44-1.08</t>
  </si>
  <si>
    <t>44-1.09</t>
  </si>
  <si>
    <t>44-1.10</t>
  </si>
  <si>
    <t>44-1.11</t>
  </si>
  <si>
    <t>44-1.12</t>
  </si>
  <si>
    <t>44-1.13</t>
  </si>
  <si>
    <t>44-1.14</t>
  </si>
  <si>
    <t>44-1.15</t>
  </si>
  <si>
    <t>44-1.16</t>
  </si>
  <si>
    <t>44-1.17</t>
  </si>
  <si>
    <t>44-1.18</t>
  </si>
  <si>
    <t>44-1.19</t>
  </si>
  <si>
    <t>44-1.20</t>
  </si>
  <si>
    <t>44-1.21</t>
  </si>
  <si>
    <t>44-1.22</t>
  </si>
  <si>
    <t>45-1.01</t>
  </si>
  <si>
    <t>45-1.02</t>
  </si>
  <si>
    <t>45-1.03</t>
  </si>
  <si>
    <t>45-1.04</t>
  </si>
  <si>
    <t>45-1.05</t>
  </si>
  <si>
    <t>45-1.06</t>
  </si>
  <si>
    <t>45-1.07</t>
  </si>
  <si>
    <t>45-1.08</t>
  </si>
  <si>
    <t>45-1.09</t>
  </si>
  <si>
    <t>45-1.10</t>
  </si>
  <si>
    <t>45-1.11</t>
  </si>
  <si>
    <t>45-1.12</t>
  </si>
  <si>
    <t>45-1.13</t>
  </si>
  <si>
    <t>45-1.14</t>
  </si>
  <si>
    <t>45-1.15</t>
  </si>
  <si>
    <t>45-1.16</t>
  </si>
  <si>
    <t>45-1.17</t>
  </si>
  <si>
    <t>45-1.18</t>
  </si>
  <si>
    <t>45-1.19</t>
  </si>
  <si>
    <t>45-1.20</t>
  </si>
  <si>
    <t>45-1.21</t>
  </si>
  <si>
    <t>46-1.01</t>
  </si>
  <si>
    <t>46-1.02</t>
  </si>
  <si>
    <t>46-1.03</t>
  </si>
  <si>
    <t>46-1.04</t>
  </si>
  <si>
    <t>46-1.05</t>
  </si>
  <si>
    <t>46-1.06</t>
  </si>
  <si>
    <t>46-1.07</t>
  </si>
  <si>
    <t>46-1.08</t>
  </si>
  <si>
    <t>46-1.09</t>
  </si>
  <si>
    <t>46-1.10</t>
  </si>
  <si>
    <t>46-1.11</t>
  </si>
  <si>
    <t>46-1.12</t>
  </si>
  <si>
    <t>46-1.13</t>
  </si>
  <si>
    <t>46-1.14</t>
  </si>
  <si>
    <t>46-1.15</t>
  </si>
  <si>
    <t>46-1.16</t>
  </si>
  <si>
    <t>46-1.17</t>
  </si>
  <si>
    <t>46-1.18</t>
  </si>
  <si>
    <t>46-1.19</t>
  </si>
  <si>
    <t>47-1.01</t>
  </si>
  <si>
    <t>47-1.02</t>
  </si>
  <si>
    <t>47-1.03</t>
  </si>
  <si>
    <t>47-1.04</t>
  </si>
  <si>
    <t>47-1.05</t>
  </si>
  <si>
    <t>47-1.06</t>
  </si>
  <si>
    <t>47-1.07</t>
  </si>
  <si>
    <t>47-1.08</t>
  </si>
  <si>
    <t>47-1.09</t>
  </si>
  <si>
    <t>47-1.10</t>
  </si>
  <si>
    <t>47-1.11</t>
  </si>
  <si>
    <t>47-1.12</t>
  </si>
  <si>
    <t>47-1.15</t>
  </si>
  <si>
    <t>47-1.18</t>
  </si>
  <si>
    <t>47-1.19</t>
  </si>
  <si>
    <t>47-1.20</t>
  </si>
  <si>
    <t>47-1.21</t>
  </si>
  <si>
    <t>47-1.22</t>
  </si>
  <si>
    <t>47-1.23</t>
  </si>
  <si>
    <t>47-1.24</t>
  </si>
  <si>
    <t>47-1.25</t>
  </si>
  <si>
    <t>48-1.02</t>
  </si>
  <si>
    <t>48-1.03</t>
  </si>
  <si>
    <t>48-1.04</t>
  </si>
  <si>
    <t>48-1.05</t>
  </si>
  <si>
    <t>48-1.06</t>
  </si>
  <si>
    <t>48-1.07</t>
  </si>
  <si>
    <t>48-1.08</t>
  </si>
  <si>
    <t>48-1.09</t>
  </si>
  <si>
    <t>48-1.10</t>
  </si>
  <si>
    <t>48-1.11</t>
  </si>
  <si>
    <t>48-1.12</t>
  </si>
  <si>
    <t>48-1.13</t>
  </si>
  <si>
    <t>30-2.15</t>
  </si>
  <si>
    <t>30-2.16</t>
  </si>
  <si>
    <t>30-2.17</t>
  </si>
  <si>
    <t>30-2.18</t>
  </si>
  <si>
    <t>30-2.20</t>
  </si>
  <si>
    <t>30-2.22</t>
  </si>
  <si>
    <t>30-2.23</t>
  </si>
  <si>
    <t>30-2.24</t>
  </si>
  <si>
    <t>31-2.01</t>
  </si>
  <si>
    <t>31-2.02</t>
  </si>
  <si>
    <t>31-2.03</t>
  </si>
  <si>
    <t>31-2.04</t>
  </si>
  <si>
    <t>31-2.05</t>
  </si>
  <si>
    <t>31-2.06</t>
  </si>
  <si>
    <t>31-2.07</t>
  </si>
  <si>
    <t>31-2.08</t>
  </si>
  <si>
    <t>31-2.09</t>
  </si>
  <si>
    <t>31-2.10</t>
  </si>
  <si>
    <t>31-2.11</t>
  </si>
  <si>
    <t>31-2.12</t>
  </si>
  <si>
    <t>31-2.13</t>
  </si>
  <si>
    <t>31-2.14</t>
  </si>
  <si>
    <t>31-2.15</t>
  </si>
  <si>
    <t>31-2.16</t>
  </si>
  <si>
    <t>31-2.17</t>
  </si>
  <si>
    <t>31-2.18</t>
  </si>
  <si>
    <t>31-2.19</t>
  </si>
  <si>
    <t>31-2.20</t>
  </si>
  <si>
    <t>32-2.01</t>
  </si>
  <si>
    <t>32-2.02</t>
  </si>
  <si>
    <t>32-2.03</t>
  </si>
  <si>
    <t>32-2.04</t>
  </si>
  <si>
    <t>32-2.05</t>
  </si>
  <si>
    <t>32-2.06</t>
  </si>
  <si>
    <t>32-2.07</t>
  </si>
  <si>
    <t>32-2.08</t>
  </si>
  <si>
    <t>32-2.09</t>
  </si>
  <si>
    <t>32-2.10</t>
  </si>
  <si>
    <t>32-2.11</t>
  </si>
  <si>
    <t>32-2.12</t>
  </si>
  <si>
    <t>32-2.13</t>
  </si>
  <si>
    <t>32-2.14</t>
  </si>
  <si>
    <t>32-2.15</t>
  </si>
  <si>
    <t>32-2.16</t>
  </si>
  <si>
    <t>32-2.17</t>
  </si>
  <si>
    <t>32-2.18</t>
  </si>
  <si>
    <t>32-2.19</t>
  </si>
  <si>
    <t>32-2.20</t>
  </si>
  <si>
    <t>32-2.21</t>
  </si>
  <si>
    <t>33-2.01</t>
  </si>
  <si>
    <t>33-2.02</t>
  </si>
  <si>
    <t>33-2.03</t>
  </si>
  <si>
    <t>33-2.04</t>
  </si>
  <si>
    <t>33-2.05</t>
  </si>
  <si>
    <t>33-2.06</t>
  </si>
  <si>
    <t>33-2.07</t>
  </si>
  <si>
    <t>33-2.08</t>
  </si>
  <si>
    <t>33-2.09</t>
  </si>
  <si>
    <t>33-2.10</t>
  </si>
  <si>
    <t>33-2.11</t>
  </si>
  <si>
    <t>33-2.12</t>
  </si>
  <si>
    <t>33-2.13</t>
  </si>
  <si>
    <t>33-2.14</t>
  </si>
  <si>
    <t>33-2.15</t>
  </si>
  <si>
    <t>33-2.16</t>
  </si>
  <si>
    <t>33-2.17</t>
  </si>
  <si>
    <t>33-2.18</t>
  </si>
  <si>
    <t>33-2.19</t>
  </si>
  <si>
    <t>33-2.20</t>
  </si>
  <si>
    <t>34-2.01</t>
  </si>
  <si>
    <t>34-2.02</t>
  </si>
  <si>
    <t>34-2.03</t>
  </si>
  <si>
    <t>34-2.04</t>
  </si>
  <si>
    <t>34-2.05</t>
  </si>
  <si>
    <t>34-2.06</t>
  </si>
  <si>
    <t>34-2.07</t>
  </si>
  <si>
    <t>34-2.08</t>
  </si>
  <si>
    <t>34-2.09</t>
  </si>
  <si>
    <t>34-2.10</t>
  </si>
  <si>
    <t>34-2.11</t>
  </si>
  <si>
    <t>34-2.12</t>
  </si>
  <si>
    <t>34-2.13</t>
  </si>
  <si>
    <t>34-2.14</t>
  </si>
  <si>
    <t>34-2.15</t>
  </si>
  <si>
    <t>34-2.16</t>
  </si>
  <si>
    <t>34-2.17</t>
  </si>
  <si>
    <t>34-2.18</t>
  </si>
  <si>
    <t>34-2.19</t>
  </si>
  <si>
    <t>34-2.20</t>
  </si>
  <si>
    <t>35-2.01</t>
  </si>
  <si>
    <t>35-2.02</t>
  </si>
  <si>
    <t>35-2.03</t>
  </si>
  <si>
    <t>35-2.04</t>
  </si>
  <si>
    <t>35-2.05</t>
  </si>
  <si>
    <t>35-2.06</t>
  </si>
  <si>
    <t>35-2.07</t>
  </si>
  <si>
    <t>35-2.08</t>
  </si>
  <si>
    <t>35-2.09</t>
  </si>
  <si>
    <t>35-2.10</t>
  </si>
  <si>
    <t>35-2.11</t>
  </si>
  <si>
    <t>35-2.12</t>
  </si>
  <si>
    <t>35-2.13</t>
  </si>
  <si>
    <t>35-2.14</t>
  </si>
  <si>
    <t>35-2.15</t>
  </si>
  <si>
    <t>35-2.16</t>
  </si>
  <si>
    <t>35-2.17</t>
  </si>
  <si>
    <t>35-2.18</t>
  </si>
  <si>
    <t>35-2.19</t>
  </si>
  <si>
    <t>35-2.20</t>
  </si>
  <si>
    <t>36-2.01</t>
  </si>
  <si>
    <t>36-2.02</t>
  </si>
  <si>
    <t>36-2.03</t>
  </si>
  <si>
    <t>36-2.04</t>
  </si>
  <si>
    <t>36-2.05</t>
  </si>
  <si>
    <t>36-2.06</t>
  </si>
  <si>
    <t>36-2.07</t>
  </si>
  <si>
    <t>36-2.08</t>
  </si>
  <si>
    <t>36-2.09</t>
  </si>
  <si>
    <t>36-2.10</t>
  </si>
  <si>
    <t>36-2.11</t>
  </si>
  <si>
    <t>36-2.12</t>
  </si>
  <si>
    <t>36-2.13</t>
  </si>
  <si>
    <t>36-2.14</t>
  </si>
  <si>
    <t>36-2.15</t>
  </si>
  <si>
    <t>36-2.16</t>
  </si>
  <si>
    <t>36-2.17</t>
  </si>
  <si>
    <t>36-2.18</t>
  </si>
  <si>
    <t>36-2.19</t>
  </si>
  <si>
    <t>36-2.20</t>
  </si>
  <si>
    <t>37-2.01</t>
  </si>
  <si>
    <t>37-2.02</t>
  </si>
  <si>
    <t>37-2.03</t>
  </si>
  <si>
    <t>37-2.04</t>
  </si>
  <si>
    <t>37-2.05</t>
  </si>
  <si>
    <t>37-2.06</t>
  </si>
  <si>
    <t>37-2.07</t>
  </si>
  <si>
    <t>37-2.08</t>
  </si>
  <si>
    <t>37-2.09</t>
  </si>
  <si>
    <t>37-2.10</t>
  </si>
  <si>
    <t>37-2.11</t>
  </si>
  <si>
    <t>37-2.12</t>
  </si>
  <si>
    <t>37-2.13</t>
  </si>
  <si>
    <t>37-2.14</t>
  </si>
  <si>
    <t>37-2.15</t>
  </si>
  <si>
    <t>37-2.16</t>
  </si>
  <si>
    <t>37-2.17</t>
  </si>
  <si>
    <t>37-2.18</t>
  </si>
  <si>
    <t>37-2.19</t>
  </si>
  <si>
    <t>37-2.20</t>
  </si>
  <si>
    <t>38-2.01</t>
  </si>
  <si>
    <t>38-2.02</t>
  </si>
  <si>
    <t>38-2.03</t>
  </si>
  <si>
    <t>38-2.04</t>
  </si>
  <si>
    <t>38-2.05</t>
  </si>
  <si>
    <t>38-2.06</t>
  </si>
  <si>
    <t>38-2.07</t>
  </si>
  <si>
    <t>38-2.08</t>
  </si>
  <si>
    <t>38-2.09</t>
  </si>
  <si>
    <t>38-2.10</t>
  </si>
  <si>
    <t>38-2.11</t>
  </si>
  <si>
    <t>38-2.12</t>
  </si>
  <si>
    <t>38-2.13</t>
  </si>
  <si>
    <t>38-2.14</t>
  </si>
  <si>
    <t>38-2.15</t>
  </si>
  <si>
    <t>38-2.16</t>
  </si>
  <si>
    <t>38-2.17</t>
  </si>
  <si>
    <t>38-2.18</t>
  </si>
  <si>
    <t>38-2.19</t>
  </si>
  <si>
    <t>38-2.20</t>
  </si>
  <si>
    <t>39-2.01</t>
  </si>
  <si>
    <t>39-2.02</t>
  </si>
  <si>
    <t>39-2.03</t>
  </si>
  <si>
    <t>39-2.04</t>
  </si>
  <si>
    <t>39-2.05</t>
  </si>
  <si>
    <t>39-2.06</t>
  </si>
  <si>
    <t>39-2.07</t>
  </si>
  <si>
    <t>39-2.08</t>
  </si>
  <si>
    <t>39-2.09</t>
  </si>
  <si>
    <t>39-2.10</t>
  </si>
  <si>
    <t>39-2.11</t>
  </si>
  <si>
    <t>39-2.12</t>
  </si>
  <si>
    <t>39-2.13</t>
  </si>
  <si>
    <t>39-2.14</t>
  </si>
  <si>
    <t>39-2.15</t>
  </si>
  <si>
    <t>39-2.16</t>
  </si>
  <si>
    <t>39-2.17</t>
  </si>
  <si>
    <t>39-2.18</t>
  </si>
  <si>
    <t>39-2.19</t>
  </si>
  <si>
    <t>39-2.20</t>
  </si>
  <si>
    <t>40-2.01</t>
  </si>
  <si>
    <t>40-2.02</t>
  </si>
  <si>
    <t>40-2.03</t>
  </si>
  <si>
    <t>40-2.04</t>
  </si>
  <si>
    <t>40-2.05</t>
  </si>
  <si>
    <t>40-2.06</t>
  </si>
  <si>
    <t>40-2.07</t>
  </si>
  <si>
    <t>40-2.08</t>
  </si>
  <si>
    <t>40-2.09</t>
  </si>
  <si>
    <t>40-2.10</t>
  </si>
  <si>
    <t>40-2.11</t>
  </si>
  <si>
    <t>40-2.12</t>
  </si>
  <si>
    <t>40-2.13</t>
  </si>
  <si>
    <t>40-2.14</t>
  </si>
  <si>
    <t>40-2.15</t>
  </si>
  <si>
    <t>40-2.16</t>
  </si>
  <si>
    <t>40-2.17</t>
  </si>
  <si>
    <t>40-2.18</t>
  </si>
  <si>
    <t>40-2.19</t>
  </si>
  <si>
    <t>40-2.20</t>
  </si>
  <si>
    <t>41-2.01</t>
  </si>
  <si>
    <t>41-2.02</t>
  </si>
  <si>
    <t>41-2.03</t>
  </si>
  <si>
    <t>41-2.04</t>
  </si>
  <si>
    <t>41-2.05</t>
  </si>
  <si>
    <t>41-2.06</t>
  </si>
  <si>
    <t>41-2.07</t>
  </si>
  <si>
    <t>41-2.08</t>
  </si>
  <si>
    <t>41-2.09</t>
  </si>
  <si>
    <t>41-2.10</t>
  </si>
  <si>
    <t>41-2.11</t>
  </si>
  <si>
    <t>41-2.12</t>
  </si>
  <si>
    <t>41-2.13</t>
  </si>
  <si>
    <t>41-2.14</t>
  </si>
  <si>
    <t>41-2.15</t>
  </si>
  <si>
    <t>41-2.16</t>
  </si>
  <si>
    <t>41-2.17</t>
  </si>
  <si>
    <t>41-2.18</t>
  </si>
  <si>
    <t>41-2.19</t>
  </si>
  <si>
    <t>41-2.20</t>
  </si>
  <si>
    <t>42-2.01</t>
  </si>
  <si>
    <t>42-2.02</t>
  </si>
  <si>
    <t>42-2.03</t>
  </si>
  <si>
    <t>42-2.04</t>
  </si>
  <si>
    <t>42-2.05</t>
  </si>
  <si>
    <t>42-2.06</t>
  </si>
  <si>
    <t>42-2.07</t>
  </si>
  <si>
    <t>42-2.08</t>
  </si>
  <si>
    <t>42-2.09</t>
  </si>
  <si>
    <t>42-2.10</t>
  </si>
  <si>
    <t>42-2.11</t>
  </si>
  <si>
    <t>42-2.12</t>
  </si>
  <si>
    <t>42-2.13</t>
  </si>
  <si>
    <t>42-2.14</t>
  </si>
  <si>
    <t>42-2.15</t>
  </si>
  <si>
    <t>42-2.16</t>
  </si>
  <si>
    <t>42-2.17</t>
  </si>
  <si>
    <t>42-2.18</t>
  </si>
  <si>
    <t>42-2.19</t>
  </si>
  <si>
    <t>42-2.20</t>
  </si>
  <si>
    <t>43-2.01</t>
  </si>
  <si>
    <t>43-2.02</t>
  </si>
  <si>
    <t>43-2.03</t>
  </si>
  <si>
    <t>43-2.04</t>
  </si>
  <si>
    <t>43-2.05</t>
  </si>
  <si>
    <t>43-2.06</t>
  </si>
  <si>
    <t>43-2.07</t>
  </si>
  <si>
    <t>43-2.08</t>
  </si>
  <si>
    <t>43-2.09</t>
  </si>
  <si>
    <t>43-2.10</t>
  </si>
  <si>
    <t>43-2.11</t>
  </si>
  <si>
    <t>43-2.12</t>
  </si>
  <si>
    <t>43-2.13</t>
  </si>
  <si>
    <t>43-2.14</t>
  </si>
  <si>
    <t>43-2.15</t>
  </si>
  <si>
    <t>43-2.16</t>
  </si>
  <si>
    <t>43-2.17</t>
  </si>
  <si>
    <t>43-2.18</t>
  </si>
  <si>
    <t>43-2.19</t>
  </si>
  <si>
    <t>43-2.20</t>
  </si>
  <si>
    <t>44-2.01</t>
  </si>
  <si>
    <t>44-2.02</t>
  </si>
  <si>
    <t>44-2.03</t>
  </si>
  <si>
    <t>44-2.04</t>
  </si>
  <si>
    <t>44-2.05</t>
  </si>
  <si>
    <t>44-2.06</t>
  </si>
  <si>
    <t>44-2.07</t>
  </si>
  <si>
    <t>44-2.08</t>
  </si>
  <si>
    <t>44-2.09</t>
  </si>
  <si>
    <t>44-2.10</t>
  </si>
  <si>
    <t>44-2.11</t>
  </si>
  <si>
    <t>44-2.12</t>
  </si>
  <si>
    <t>44-2.13</t>
  </si>
  <si>
    <t>44-2.14</t>
  </si>
  <si>
    <t>44-2.15</t>
  </si>
  <si>
    <t>44-2.16</t>
  </si>
  <si>
    <t>44-2.17</t>
  </si>
  <si>
    <t>44-2.18</t>
  </si>
  <si>
    <t>44-2.19</t>
  </si>
  <si>
    <t>44-2.20</t>
  </si>
  <si>
    <t>44-2.21</t>
  </si>
  <si>
    <t>45-2.01</t>
  </si>
  <si>
    <t>45-2.02</t>
  </si>
  <si>
    <t>45-2.03</t>
  </si>
  <si>
    <t>45-2.04</t>
  </si>
  <si>
    <t>45-2.05</t>
  </si>
  <si>
    <t>45-2.06</t>
  </si>
  <si>
    <t>45-2.07</t>
  </si>
  <si>
    <t>45-2.08</t>
  </si>
  <si>
    <t>45-2.09</t>
  </si>
  <si>
    <t>45-2.10</t>
  </si>
  <si>
    <t>45-2.11</t>
  </si>
  <si>
    <t>45-2.12</t>
  </si>
  <si>
    <t>45-2.13</t>
  </si>
  <si>
    <t>45-2.14</t>
  </si>
  <si>
    <t>45-2.15</t>
  </si>
  <si>
    <t>45-2.16</t>
  </si>
  <si>
    <t>45-2.17</t>
  </si>
  <si>
    <t>45-2.18</t>
  </si>
  <si>
    <t>45-2.19</t>
  </si>
  <si>
    <t>45-2.20</t>
  </si>
  <si>
    <t>45-2.21</t>
  </si>
  <si>
    <t>46-2.01</t>
  </si>
  <si>
    <t>46-2.02</t>
  </si>
  <si>
    <t>46-2.03</t>
  </si>
  <si>
    <t>46-2.04</t>
  </si>
  <si>
    <t>46-2.05</t>
  </si>
  <si>
    <t>46-2.06</t>
  </si>
  <si>
    <t>46-2.07</t>
  </si>
  <si>
    <t>46-2.08</t>
  </si>
  <si>
    <t>46-2.09</t>
  </si>
  <si>
    <t>46-2.10</t>
  </si>
  <si>
    <t>46-2.11</t>
  </si>
  <si>
    <t>46-2.12</t>
  </si>
  <si>
    <t>46-2.13</t>
  </si>
  <si>
    <t>46-2.14</t>
  </si>
  <si>
    <t>46-2.15</t>
  </si>
  <si>
    <t>46-2.16</t>
  </si>
  <si>
    <t>46-2.17</t>
  </si>
  <si>
    <t>46-2.18</t>
  </si>
  <si>
    <t>46-2.19</t>
  </si>
  <si>
    <t>46-2.20</t>
  </si>
  <si>
    <t>47-2.01</t>
  </si>
  <si>
    <t>47-2.02</t>
  </si>
  <si>
    <t>47-2.03</t>
  </si>
  <si>
    <t>47-2.04</t>
  </si>
  <si>
    <t>47-2.05</t>
  </si>
  <si>
    <t>47-2.06</t>
  </si>
  <si>
    <t>47-2.07</t>
  </si>
  <si>
    <t>47-2.08</t>
  </si>
  <si>
    <t>47-2.09</t>
  </si>
  <si>
    <t>47-2.10</t>
  </si>
  <si>
    <t>47-2.11</t>
  </si>
  <si>
    <t>47-2.12</t>
  </si>
  <si>
    <t>47-2.15</t>
  </si>
  <si>
    <t>47-2.18</t>
  </si>
  <si>
    <t>47-2.19</t>
  </si>
  <si>
    <t>47-2.20</t>
  </si>
  <si>
    <t>47-2.21</t>
  </si>
  <si>
    <t>47-2.22</t>
  </si>
  <si>
    <t>47-2.23</t>
  </si>
  <si>
    <t>48-2.01</t>
  </si>
  <si>
    <t>48-2.02</t>
  </si>
  <si>
    <t>48-2.03</t>
  </si>
  <si>
    <t>48-2.04</t>
  </si>
  <si>
    <t>48-2.05</t>
  </si>
  <si>
    <t>48-2.06</t>
  </si>
  <si>
    <t>48-2.07</t>
  </si>
  <si>
    <t>48-2.08</t>
  </si>
  <si>
    <t>48-2.09</t>
  </si>
  <si>
    <t>48-2.10</t>
  </si>
  <si>
    <t>48-2.11</t>
  </si>
  <si>
    <t>48-2.12</t>
  </si>
  <si>
    <t>48-2.13</t>
  </si>
  <si>
    <t>48-2.14</t>
  </si>
  <si>
    <t>47-3.24</t>
  </si>
  <si>
    <t>47-3.25</t>
  </si>
  <si>
    <t>48-3.01</t>
  </si>
  <si>
    <t>48-3.02</t>
  </si>
  <si>
    <t>48-3.03</t>
  </si>
  <si>
    <t>48-3.04</t>
  </si>
  <si>
    <t>48-3.05</t>
  </si>
  <si>
    <t>48-3.06</t>
  </si>
  <si>
    <t>48-3.07</t>
  </si>
  <si>
    <t>48-3.08</t>
  </si>
  <si>
    <t>48-3.09</t>
  </si>
  <si>
    <t>48-3.10</t>
  </si>
  <si>
    <t>48-3.11</t>
  </si>
  <si>
    <t>48-3.12</t>
  </si>
  <si>
    <t>48-3.13</t>
  </si>
  <si>
    <t>47-2.16</t>
  </si>
  <si>
    <t>TRACK 5</t>
  </si>
  <si>
    <t>TRACK 6</t>
  </si>
  <si>
    <t>Via 6</t>
  </si>
  <si>
    <t>Via 5</t>
  </si>
  <si>
    <t>AnRW</t>
  </si>
  <si>
    <t>AnFW</t>
  </si>
  <si>
    <t>AnFW/Tunnel</t>
  </si>
  <si>
    <t>AnRW/Tunnel</t>
  </si>
  <si>
    <t>RW1</t>
  </si>
  <si>
    <t>RW2</t>
  </si>
  <si>
    <t>RW1 / RW2 (2x)</t>
  </si>
  <si>
    <t>CONTROLES PARA COMPROBAR LOS RECUENTOS DE TRAYECTO</t>
  </si>
  <si>
    <t xml:space="preserve">Soporte en túnel para dos ménsula </t>
  </si>
  <si>
    <t>No multiplicado por 2</t>
  </si>
  <si>
    <t>Dividido entre 2</t>
  </si>
  <si>
    <t>P8</t>
  </si>
  <si>
    <t>P9</t>
  </si>
  <si>
    <t>Conjunto de armadura para cimentación C3(2) (2HEB-240) (GEWI 25)</t>
  </si>
  <si>
    <t>Conjunto de armadura para cimentación C6 (HEB-300/HEB-300L)  (GEWI 32)</t>
  </si>
  <si>
    <t>Conjunto de armadura para cimentación C7 (HEB-320/HEB-320L/HEB-320LL)  (GEWI 40)</t>
  </si>
  <si>
    <t>Conjunto de armadura para cimentación C8 (2HEB-320)  (GEWI 40)</t>
  </si>
  <si>
    <t>Conjunto de armadura para cimentación C9 (2.HEB-550)  (GEWI 40)</t>
  </si>
  <si>
    <t>Conjunto de armadura para cimentación C3 (HEB-240) (GEWI 25)</t>
  </si>
  <si>
    <t>Conjunto de armadura para cimentación C4 (HEB-260/HEB-260 (CP))  (GEWI 32)</t>
  </si>
  <si>
    <t>Conjunto de armadura para cimentación C5(HEB-280/HEB-280 (CP)/HEB-280L) (GEWI 32)</t>
  </si>
  <si>
    <t>Cylindrical Pole Foundation Anchor Bolts C3 (HEB-240) (GEWI 25)</t>
  </si>
  <si>
    <t>Cylindrical Pole Foundation Anchor Bolts C3(2) (2HEB-240) (GEWI 25)</t>
  </si>
  <si>
    <t>Cylindrical Pole Foundation Anchor Bolts C4 (HEB-260/HEB-260 (CP))  (GEWI 32)</t>
  </si>
  <si>
    <t>Cylindrical Pole Foundation Anchor Bolts C6 (HEB-300/HEB-300L)  (GEWI 32)</t>
  </si>
  <si>
    <t>Cylindrical Pole Foundation Anchor Bolts C7 (HEB-320/HEB-320L/HEB-320LL)  (GEWI 40)</t>
  </si>
  <si>
    <t>Prismatic Pole Foundation Anchor Bolts C8 (2HEB-320)  (GEWI 40)</t>
  </si>
  <si>
    <t>Prismatic Pole Foundation Anchor Bolts C9 (2.HEB-550)  (GEWI 40)</t>
  </si>
  <si>
    <t>Cylindrical Pole Foundation Anchor Bolts for double anchor (CW+MW)</t>
  </si>
  <si>
    <t>Cylindrical Pole Foundation Anchor Bolts for  Mesenger / Feeder / Return Wire</t>
  </si>
  <si>
    <t>Simple Spike Earth</t>
  </si>
  <si>
    <t>Pole Anchors in Underbridge (Viaduct) (HEB-220 to HEB-240)</t>
  </si>
  <si>
    <t>Pole Anchors in Underbridge (Viaduct)  (HEB-260 a HEB-300)</t>
  </si>
  <si>
    <t>Pole Anchors in Underbridge (Viaduct)  (HEB-320)</t>
  </si>
  <si>
    <t>Tie Anchor Plate for Underbridge (Viaduct) (i. PL-AN)</t>
  </si>
  <si>
    <t>Pole HEB-220</t>
  </si>
  <si>
    <t>Pole HEB-240</t>
  </si>
  <si>
    <t>Pole HEB-240 V</t>
  </si>
  <si>
    <t>Pole HEB-260</t>
  </si>
  <si>
    <t>Pole HEB-260 (CP)</t>
  </si>
  <si>
    <t>Pole HEB-260 V</t>
  </si>
  <si>
    <t>Pole HEB-280</t>
  </si>
  <si>
    <t>Pole HEB-280 (CP)</t>
  </si>
  <si>
    <t>Pole HEB-280 V</t>
  </si>
  <si>
    <t>Pole HEB-300</t>
  </si>
  <si>
    <t>Pole HEB-300 (CP)</t>
  </si>
  <si>
    <t>Pole HEB-300 V</t>
  </si>
  <si>
    <t>Pole HEB-240L</t>
  </si>
  <si>
    <t>Pole HEB-260L</t>
  </si>
  <si>
    <t>Pole HEB-280L</t>
  </si>
  <si>
    <t>Pole HEB-300L</t>
  </si>
  <si>
    <t>Pole HEB-320L</t>
  </si>
  <si>
    <t>Pole HEB-320LL(P)</t>
  </si>
  <si>
    <t>Pole 2HEB-240</t>
  </si>
  <si>
    <t>Pole 2HEB-240 V</t>
  </si>
  <si>
    <t>Pole 2HEB-260</t>
  </si>
  <si>
    <t>Pole 2HEB-260 V</t>
  </si>
  <si>
    <t>Pole 2HEB-320L(PR)</t>
  </si>
  <si>
    <t>Pole 2HEB-550L(PR)</t>
  </si>
  <si>
    <t>Pole HEB-320LL (11M) for Portals of Depots</t>
  </si>
  <si>
    <t>Pole 2HEB-320(A) de End of Line Anchor</t>
  </si>
  <si>
    <t>Pole Signal and Dead Dangerous Signal</t>
  </si>
  <si>
    <t>Anticlimbing Protection for pole in Station</t>
  </si>
  <si>
    <t xml:space="preserve">Portal Structure between 9 to 11 m </t>
  </si>
  <si>
    <t>Portal Structure between 11 to 13 m</t>
  </si>
  <si>
    <t>Portal Structure between 13 to 15 m</t>
  </si>
  <si>
    <t>Portal Structure between 15 to 17 m</t>
  </si>
  <si>
    <t>Portal Structure between 17 to 19 m</t>
  </si>
  <si>
    <t>Portal Structure between 19 to 21 m</t>
  </si>
  <si>
    <t>Portal Structure between 21 to 23 m</t>
  </si>
  <si>
    <t>Portal Structure between 23 to 25 m</t>
  </si>
  <si>
    <t>Portal Structure between 25 to 30 m</t>
  </si>
  <si>
    <t>Portal Structure between 30 to 35 m</t>
  </si>
  <si>
    <t>Portal Structure between 35 to 40 m</t>
  </si>
  <si>
    <t>Portal Structure between 40 to 45 m</t>
  </si>
  <si>
    <t>Semi-Portal B7</t>
  </si>
  <si>
    <t>Semi-Pórtal with anchor between 15m to 20m</t>
  </si>
  <si>
    <t>Support for cantilever in Semi-Portal B7</t>
  </si>
  <si>
    <t>Support for two cantilevers in Semi-Portal B7</t>
  </si>
  <si>
    <t>Support for cantilever in Tunnel</t>
  </si>
  <si>
    <t>Support for two cantilevers in Tunnel</t>
  </si>
  <si>
    <t>Extension Bracket  for Cantilever in Pole until 5m Axis Track Distance</t>
  </si>
  <si>
    <t>Tie Anchor</t>
  </si>
  <si>
    <t>CW Tie Anchor</t>
  </si>
  <si>
    <t>Return Wire Tie Anchor</t>
  </si>
  <si>
    <t>MW and Mid Point Extension Tie Anchor</t>
  </si>
  <si>
    <t xml:space="preserve">Feeder Wire Extension Tie Anchor </t>
  </si>
  <si>
    <t>Extension Tie Anchor in UnderBridge (Viaduct)</t>
  </si>
  <si>
    <t>Cantilever Pull-off in pole</t>
  </si>
  <si>
    <t>Cantilever Push-off in pole</t>
  </si>
  <si>
    <t>Termination Cantilever in pole</t>
  </si>
  <si>
    <t>Cantilever Pull-off in tunnel</t>
  </si>
  <si>
    <t>Cantilever Push-off in tunnel</t>
  </si>
  <si>
    <t>Termination Cantilever in tunnel</t>
  </si>
  <si>
    <t>Cantilever Pull-off in portal</t>
  </si>
  <si>
    <t>Cantilever Push-off in portal</t>
  </si>
  <si>
    <t>Termination Cantilever in portal</t>
  </si>
  <si>
    <t>Swivel Support for two or three cantilevers in pole</t>
  </si>
  <si>
    <t>Swivel Support for two or three cantilevers in tunnel</t>
  </si>
  <si>
    <t>Swivel Support for two or three cantilevers in portal</t>
  </si>
  <si>
    <t>Arm Variation for curves</t>
  </si>
  <si>
    <t>Arm Variation for small curves</t>
  </si>
  <si>
    <t>Arm Variation for insulated overlap axis</t>
  </si>
  <si>
    <t>Arm Variation for turnouts</t>
  </si>
  <si>
    <t>Km 1xBz-70+1x HC-120 Cu-Ag</t>
  </si>
  <si>
    <t>Equipotential Dropper Bz-10</t>
  </si>
  <si>
    <t>Equipotential Dropper Bz-10 for Stitch Wire</t>
  </si>
  <si>
    <t>Stitch wire Bz-25</t>
  </si>
  <si>
    <t>Catenary Anchor with Automatic Tension Device</t>
  </si>
  <si>
    <t>Catenary Anchor without Automatic Tension Device</t>
  </si>
  <si>
    <t>Tunnel Catenary Anchor with Automatic Tension Device</t>
  </si>
  <si>
    <t>Tunnel Catenary Anchor without Automatic Tension Device</t>
  </si>
  <si>
    <t>Tunnel Mid Point</t>
  </si>
  <si>
    <t>Tensorex Catenary Anchor</t>
  </si>
  <si>
    <t>Tensorex Catenary Anchor Support</t>
  </si>
  <si>
    <t>Catenary Anchor without Automatic Tension Device (depots)</t>
  </si>
  <si>
    <t>Catenary Anchor with Automatic Tension Device (depots)</t>
  </si>
  <si>
    <t>Equipotential Dropper Bz-10 (depots)</t>
  </si>
  <si>
    <t>Km 1xBz-70+1x HC-100 Cu-Ag (depots)</t>
  </si>
  <si>
    <t xml:space="preserve">Km Overhead Catenary Rigid </t>
  </si>
  <si>
    <t>Km LA-280 wire</t>
  </si>
  <si>
    <t>Km Cu-300 wire</t>
  </si>
  <si>
    <t>Transition Feeder LA-280 to cable incluido cola de anclaje de fn</t>
  </si>
  <si>
    <t>Support for suspension feeder at pole top</t>
  </si>
  <si>
    <t>Support for suspension feeder and support feeder at pole top</t>
  </si>
  <si>
    <t>Isolament for support feeder at pole top</t>
  </si>
  <si>
    <t>Isolament for suspension feeder LA-280 at support</t>
  </si>
  <si>
    <t>Isolament for "V" suspension feeder</t>
  </si>
  <si>
    <t>Isolament for support Feeder in Tunnel</t>
  </si>
  <si>
    <t>Support for Reinforcement Feeder in tunnel</t>
  </si>
  <si>
    <t>Support for two cantilevers in Portal Structure (LPN Section 60-80)</t>
  </si>
  <si>
    <t>Support for cantilever in Portal Structure (LPN Section 100)</t>
  </si>
  <si>
    <t>Support for two cantilevers in Portal Structure (LPN Section 100)</t>
  </si>
  <si>
    <t>Support for cantilever in Portal Structure (LPN Section 60-80)</t>
  </si>
  <si>
    <t>Support for suspension feeder in portal  LPN 100</t>
  </si>
  <si>
    <t>Support for suspension feeder in portal  LPN 60/80</t>
  </si>
  <si>
    <t>Support for suspension of 2 feeders in portal LPN 100</t>
  </si>
  <si>
    <t>Support for suspension of 2 feeders in portal LPN 60/80</t>
  </si>
  <si>
    <t>Km Earth wire L-76</t>
  </si>
  <si>
    <t>Km Earth wire Cu-50</t>
  </si>
  <si>
    <t>Conection Earth wire L-76 to pole (underbridge)</t>
  </si>
  <si>
    <t>Suspension return wire LA-280 at pole</t>
  </si>
  <si>
    <t>Reinforcement Feeder LA-280 Anchor</t>
  </si>
  <si>
    <t>Feeder Cu-300 Anchor</t>
  </si>
  <si>
    <t>Reinforcement Feeder LA-280 Anchor in Tunnel</t>
  </si>
  <si>
    <t>Return wire LA-280 Anchor (Single)</t>
  </si>
  <si>
    <t>Return wire LA-280 Anchor in tunnel (Single)</t>
  </si>
  <si>
    <t>Conection reinforcement feeder to catenary</t>
  </si>
  <si>
    <t>Turnover Connections (P90,P50,…)</t>
  </si>
  <si>
    <t>Overlap Connections</t>
  </si>
  <si>
    <t>Insulated Overlap Connections</t>
  </si>
  <si>
    <t>M Return wire to Tranformer Station</t>
  </si>
  <si>
    <t>Conexión de cable de retorno de SSEE, ZN o SP a los carriles</t>
  </si>
  <si>
    <t>Connection return wire TS, NZ or SP to tracks</t>
  </si>
  <si>
    <t>Intermediate Isolament in Messenger wire Bz-70</t>
  </si>
  <si>
    <t>Intermediate Isolament in Contact wire CW-120</t>
  </si>
  <si>
    <t>Intermediate Isolament in Feeder wire LA-280</t>
  </si>
  <si>
    <t>Pole HEB-280 V (CP)</t>
  </si>
  <si>
    <t>Pole HEB-300 V (CP)</t>
  </si>
  <si>
    <t>Pole HEB-260 V (CP)</t>
  </si>
  <si>
    <t>Poste HEB-300 V (CP)</t>
  </si>
  <si>
    <t>Poste HEB-280 V (CP)</t>
  </si>
  <si>
    <t>Poste HEB-260 V (CP)</t>
  </si>
  <si>
    <t>Section Insulator</t>
  </si>
  <si>
    <t>Disconnector 25 KV 2500 A</t>
  </si>
  <si>
    <t>Disconnector 3 colums 25 KV 2500 A</t>
  </si>
  <si>
    <t>Surge Arrester</t>
  </si>
  <si>
    <t>Voltage Detector</t>
  </si>
  <si>
    <t>Load Breaker 25 KV 2500 A with vacuun chamber</t>
  </si>
  <si>
    <t>Load Breaker 25 KV 2500 A with vacuun chamber with Earth Connection</t>
  </si>
  <si>
    <t>Connections of Disconnector  (without feeder)</t>
  </si>
  <si>
    <t>Connections of Disconnector  (with feeder)</t>
  </si>
  <si>
    <t>Connections of Disconnector in tunnel</t>
  </si>
  <si>
    <t>Connections of Earthing Device in tunnel</t>
  </si>
  <si>
    <t>Connections of Disconnector for feeder TS connection 1 track with cable</t>
  </si>
  <si>
    <t>Connections of Disconnector for feeder TS connection 1 track with wire</t>
  </si>
  <si>
    <t>Connections of TS feeding portal for 2 tracks</t>
  </si>
  <si>
    <t>Connections of TS feeding portal for 3 tracks</t>
  </si>
  <si>
    <t>Connections of paralelling portal for 2 tracks</t>
  </si>
  <si>
    <t>Connections of paralelling portal for 4 tracks</t>
  </si>
  <si>
    <t>Motor Drive and Transmission for Disconector/Load Breaker in pole</t>
  </si>
  <si>
    <t>Motor Drive and Transmission for Disconector/Load Breaker in portal</t>
  </si>
  <si>
    <t>Motor Drive and Transmission for Disconector/Load Breaker in tunnel</t>
  </si>
  <si>
    <t>Tracks Paralelling Connections</t>
  </si>
  <si>
    <t>Connections Pole to Tracks</t>
  </si>
  <si>
    <t>Connections Tunnel Cantilevers Support to Earthing Tunnel Net</t>
  </si>
  <si>
    <t>Connections Catenary Anchor (w Autom Device) in tunnel to Earthing Tunnel Net</t>
  </si>
  <si>
    <t>Connections Catenary Anchor (wout Autom Device) in tunnel to Earthing Tunnel Net</t>
  </si>
  <si>
    <t>Connections Mid point to Earthing Tunnel Net</t>
  </si>
  <si>
    <t>Connections Rail Tunnel to Earthing Tunnel Net</t>
  </si>
  <si>
    <t>Tracks Paralelling Connections in Tunnel</t>
  </si>
  <si>
    <t>Connections Viaduct Dilatation joints Bridgin</t>
  </si>
  <si>
    <t>Connections Pole to Earth Wire in underbridge</t>
  </si>
  <si>
    <t>Connections Earth Wire to rail</t>
  </si>
  <si>
    <t>Equipotential Surface for Pole</t>
  </si>
  <si>
    <t>Equipotential Surface for Portal 3m</t>
  </si>
  <si>
    <t>Equipotential Surface for Portal 5m</t>
  </si>
  <si>
    <t>Messenger isolement in Overbridges</t>
  </si>
  <si>
    <t>Feeder Isolement in Overbridges</t>
  </si>
  <si>
    <t xml:space="preserve">Connections Rail to Earthing Underbridge Net </t>
  </si>
  <si>
    <t>Connections Rail to Earthing Overbridge Net</t>
  </si>
  <si>
    <t>Connections Pole to Rail in plattform</t>
  </si>
  <si>
    <t>Portal for catenary protection in Level Crossing</t>
  </si>
  <si>
    <t>Protection for poles in platform</t>
  </si>
  <si>
    <t>Protection for Overbridges ( 1 for track)</t>
  </si>
  <si>
    <t>Isolated protection de 2x1m wide 15 mm</t>
  </si>
  <si>
    <t>SIGNALS NZ, Catenary End, …</t>
  </si>
  <si>
    <t>Bar 10 m Overhead Catenary Rigid</t>
  </si>
  <si>
    <t>Bar of Overlap OCR</t>
  </si>
  <si>
    <t>Connections between OCR Bars</t>
  </si>
  <si>
    <t>Mid Point for OCR</t>
  </si>
  <si>
    <t>Bar of Transition from Flexible OCS to OCR</t>
  </si>
  <si>
    <t>Support for OCR in Flat Roof</t>
  </si>
  <si>
    <t>HEB-300 V (CP)</t>
  </si>
  <si>
    <t>HEB-280 V (CP)</t>
  </si>
  <si>
    <t>HEB-260 V (CP)</t>
  </si>
  <si>
    <t>Description</t>
  </si>
  <si>
    <t>Cylindrical Pole Foundation Anchor Bolts C5 (HEB-280/HEB-280 (CP)/HEB-280L) (GEWI 32)</t>
  </si>
  <si>
    <t>DESCRIPTION</t>
  </si>
  <si>
    <t>1. FOUNDATION</t>
  </si>
  <si>
    <t>1-S. FOUNDATIONS- Materials supply</t>
  </si>
  <si>
    <t>Earthing rod assembly</t>
  </si>
  <si>
    <t>Tie rod anchoring plate on viaduct</t>
  </si>
  <si>
    <t>Single tie rod anchoring plate (pl-an)</t>
  </si>
  <si>
    <t>Double tie rod anchoring plate (pl-an2)</t>
  </si>
  <si>
    <t>Total Partial 1-S</t>
  </si>
  <si>
    <t>1-I. FOUNDATIONS - INSTALATION</t>
  </si>
  <si>
    <t>Cylindrical foundation for feeder wire, return wire and midpoint anchoring, including armor, concrete, formwork ... All necessary for full execution, executed from the track, in normal soil.</t>
  </si>
  <si>
    <t>Cylindrical foundation for contact wire and messenger wire anchoring, including armor, concrete, formwork ... All necessary for full execution, executed from the track, in normal soil.</t>
  </si>
  <si>
    <t>Mast anchor plate installation for mast in viaduct</t>
  </si>
  <si>
    <t>Tie rod anchoring plate in viaduct installacion</t>
  </si>
  <si>
    <t xml:space="preserve">
Supplement for foundation on rock with micro piles or rock drilling system for anchoring</t>
  </si>
  <si>
    <t>Total Partial 1-I</t>
  </si>
  <si>
    <t>TOTAL 1 FOUNDATION</t>
  </si>
  <si>
    <t>2 PORTALS, MAST AND SUPPORTS</t>
  </si>
  <si>
    <t>Portal type PR1 (&lt; 15 m lenght)</t>
  </si>
  <si>
    <t>Portal type PR2  ( 15 to 20 m lenght)</t>
  </si>
  <si>
    <t>Portal type PR3 (20 to 25 m lenght)</t>
  </si>
  <si>
    <t>Portal type PR4 (25 to 30 m lenght)</t>
  </si>
  <si>
    <t>Portal type PR5 (30 to 40 m lenght)</t>
  </si>
  <si>
    <t>Varible lenght support on B-7 for one cantilever.Included one support, strut tube, steelworks, nuts and bolt necessary.</t>
  </si>
  <si>
    <t>Variable lenght support on B-7 for two cantilevers. Include one support, strut tube, steelworks, nuts and bolts necessary.</t>
  </si>
  <si>
    <t>Tunnel support for one cantilever. Include support, two strut tubes, attachament elements to tunnels, steelsworks,nuts and bolts necessary.</t>
  </si>
  <si>
    <t>Tunnel support for two cantilevers. Include support, two strut tubes, attachment elements to tunnel, steelworks, nuts and bolts necessary.</t>
  </si>
  <si>
    <t>Tie rod equipment. (general)</t>
  </si>
  <si>
    <t>Tie rod equipment. Type 1</t>
  </si>
  <si>
    <t>Tie rod equipment. Type 2</t>
  </si>
  <si>
    <t>Total Partial 2-S</t>
  </si>
  <si>
    <t>3 OVERHEAD CATENARY SYSTEM EQUIPMENT</t>
  </si>
  <si>
    <t>3-S. CANTILEVERS EQUIPMENT - MATERIALS SUPPLY</t>
  </si>
  <si>
    <t>Pull-off cantilever equipment (general)</t>
  </si>
  <si>
    <t>Pull-off cantilever equipment in open line</t>
  </si>
  <si>
    <t>Pull-off cantilever equipment in tunnel</t>
  </si>
  <si>
    <t>Pull-off cantilever equipment in portal</t>
  </si>
  <si>
    <t>Push-off cantilever equipment (general)</t>
  </si>
  <si>
    <t>Push-off cantilever equipment in open line</t>
  </si>
  <si>
    <t>Push-off cantilever equipment in tunnel</t>
  </si>
  <si>
    <t>Push-off cantilever equipment in portal</t>
  </si>
  <si>
    <t>Termination cantilever equipment (general)</t>
  </si>
  <si>
    <t>Termination cantilever in open line</t>
  </si>
  <si>
    <t>Termination cantilever in tunnel</t>
  </si>
  <si>
    <t>Termination cantilever in portal</t>
  </si>
  <si>
    <t>Swivel for two or three cantilevers on support. Include steelworks, nuts and bolts necessary for the support attachment.</t>
  </si>
  <si>
    <t>Supplement for cantilevers (distance &lt; 5 m).</t>
  </si>
  <si>
    <t>Total Partial 3-S</t>
  </si>
  <si>
    <t>4 CATENARY</t>
  </si>
  <si>
    <t>4-S. CATENARY - MATERIALS SUPPLY</t>
  </si>
  <si>
    <t>Messenger wire Bz-70 and contact wire 120 Cu-Ag</t>
  </si>
  <si>
    <t>Equipotential dropper Bz-10</t>
  </si>
  <si>
    <t>Equipotential dropper Bz-10 for stitch wire</t>
  </si>
  <si>
    <t>Catenary anchor with automatic tensioning device</t>
  </si>
  <si>
    <t>Catenary anchor without automatic tensioning device</t>
  </si>
  <si>
    <t>Midpoint equipment</t>
  </si>
  <si>
    <t>Catenary anchor with automatic tensioning device in tunnel</t>
  </si>
  <si>
    <t>Catenary anchor without automatic tensioning device in tunnel</t>
  </si>
  <si>
    <t>Midpoint equipment in tunnel</t>
  </si>
  <si>
    <t>Tensorex equipment</t>
  </si>
  <si>
    <t>Total Partial 4-S</t>
  </si>
  <si>
    <t>5 FEEDERS AND RETURN WIRES</t>
  </si>
  <si>
    <t>5-S. FEEDERES AND RETURN WIRES - MATERIALS SUPPLY</t>
  </si>
  <si>
    <t>Return wire LA-280</t>
  </si>
  <si>
    <t>Feeder LA-280</t>
  </si>
  <si>
    <t>Feeder Cu-300</t>
  </si>
  <si>
    <t>Return wire anchor for one wire LA-280</t>
  </si>
  <si>
    <t>Return wire anchor for two wires LA-280</t>
  </si>
  <si>
    <t>Feeder anchor for one wire LA-280</t>
  </si>
  <si>
    <t>Feeder anchor for one wire Cu-300</t>
  </si>
  <si>
    <t>Return wire anchor for one wire LA-280 in tunnel</t>
  </si>
  <si>
    <t>Return wire anchor for two wires LA-280 in tunnel</t>
  </si>
  <si>
    <t>Feeder anchor for one wire LA-280 in tunnel</t>
  </si>
  <si>
    <t>Suspension for two return wire (LA-280) in tunnel</t>
  </si>
  <si>
    <t xml:space="preserve">Support for suspension feeder in portal  LPN 60/80 </t>
  </si>
  <si>
    <t>Total Partial 5-S</t>
  </si>
  <si>
    <t>6 FEEDERS- CONNECTIONS TO CATENARY AND SWITCHERS</t>
  </si>
  <si>
    <t>6-S. FEEDERS- CONNECTIONS TO CATENARY AND SWITCHERS - MATERIALS SUPPLY</t>
  </si>
  <si>
    <t>Substation return wire</t>
  </si>
  <si>
    <t>Overlap connection</t>
  </si>
  <si>
    <t xml:space="preserve">
Cable for feeding engines disconnectors</t>
  </si>
  <si>
    <t>Voltage detector</t>
  </si>
  <si>
    <t>Total Partial 6-S</t>
  </si>
  <si>
    <t>7 PROTECTIONS</t>
  </si>
  <si>
    <t>7-S. PROTECTIONS - MATERIALS SUPPLY</t>
  </si>
  <si>
    <t>Rail paralleling connections</t>
  </si>
  <si>
    <t>Support connection in tunnel</t>
  </si>
  <si>
    <t>Connection in tunnel(for automatic tensioning device anchor)</t>
  </si>
  <si>
    <t>Connection in tunnel (for fixed anchor)</t>
  </si>
  <si>
    <t>Connection in tunnel (for midpoint)</t>
  </si>
  <si>
    <t>Connection in tunner (for handrail)</t>
  </si>
  <si>
    <t>Connection in tunnel for 2 supports</t>
  </si>
  <si>
    <t>Return wire paralleling in tunnel with 2 connections to rail</t>
  </si>
  <si>
    <t>Expansion joint jumper</t>
  </si>
  <si>
    <t>Connection from earthing wire to rail</t>
  </si>
  <si>
    <t>Equipotential surface for worker operation on portal ( 3 m lenght)</t>
  </si>
  <si>
    <t>Equipotential surface for worker operation on portal ( 5 m lenght)</t>
  </si>
  <si>
    <t>Messenger wire and feeder isolement in overbridges and low clearance areas.</t>
  </si>
  <si>
    <t>Overbridge protection ( 1 per track)</t>
  </si>
  <si>
    <t>Portal for catenary protections in level crossing</t>
  </si>
  <si>
    <t>Blanket isolation of  2x1m with15 mm thickness</t>
  </si>
  <si>
    <t>Signals (catenary finish, neutral zone,... )</t>
  </si>
  <si>
    <t>Total Partial 7-S</t>
  </si>
  <si>
    <t>TOTAL CHAPTER  CATENARY</t>
  </si>
  <si>
    <t>Pole anchoring plate on viaduct</t>
  </si>
  <si>
    <t>Cylindrical foundation for C1 to C4 Pole, including armor, concrete, formwork ... All necessary for full execution from the track, in normal soil.</t>
  </si>
  <si>
    <t>Cylindrical foundation for C5 to C7 Pole, including armor, concrete, formwork ... All necessary for full execution from the track, in normal soil.</t>
  </si>
  <si>
    <t>Special foundation for 20 to 25 m Pole on gantry., including armor, concrete, formwork ... All necessary for full execution from the track, normal soil.</t>
  </si>
  <si>
    <t>Special foundation for 25 to 30 m Pole on gantry., including armor, concrete, formwork ... All necessary for full execution from the track, normal soil.</t>
  </si>
  <si>
    <t>Special foundation for 30 to 40 m Pole on gantry., including armor, concrete, formwork ... All necessary for full execution from the track, normal soil.</t>
  </si>
  <si>
    <t xml:space="preserve">
Supplement for foundation on rock with micro piles or rock drilling system for Pole Type C1 to C4</t>
  </si>
  <si>
    <t xml:space="preserve">
Supplement for foundation on rock with micro piles or rock drilling system for Pole Type C5 to C7</t>
  </si>
  <si>
    <t>2-S. PoleS, PORTALS AND ANCHORING SUPPORTS - MATERIALS SUPPLY</t>
  </si>
  <si>
    <t>Pole  HEB-220 (8.2 m. height)</t>
  </si>
  <si>
    <t>Pole HEB-220 (7,6 m height in viaduct)</t>
  </si>
  <si>
    <t>Pole HEB-220 (8.2 m with automatic tensioning device)</t>
  </si>
  <si>
    <t>Pole HEB-220 (7.6 m height in viaduct with automatic tensioning device)</t>
  </si>
  <si>
    <t>Pole HEB-240 (8.2 m height)</t>
  </si>
  <si>
    <t>Pole HEB-240 (7.6 m height in viaduct)</t>
  </si>
  <si>
    <t>Pole HEB-240 (8.2 m height with automatic tensioning device)</t>
  </si>
  <si>
    <t>Pole HEB-240 (7.6 m height in viaduct with automatic tensioning device)</t>
  </si>
  <si>
    <t>Pole 2HEB-240 (8.2 m height)</t>
  </si>
  <si>
    <t>Pole HEB-260 (8.2 m height)</t>
  </si>
  <si>
    <t>Pole HEB-260 (7.6 m height in viaduct)</t>
  </si>
  <si>
    <t>Pole HEB-260 (8.2 m height with automatic tensioning device)</t>
  </si>
  <si>
    <t>Pole HEB-260 (7.6 m height in viaduct with automatic tensioning device)</t>
  </si>
  <si>
    <t>Pole 2HEB-260 (8.2 m height)</t>
  </si>
  <si>
    <t>Pole HEB-280 (8.2 m height)</t>
  </si>
  <si>
    <t>Pole HEB-280 (7.6 m height in viaduct)</t>
  </si>
  <si>
    <t>Pole HEB-280 (8.2 m height with automatic tensioning device)</t>
  </si>
  <si>
    <t>Pole HEB-300 (8.2 m height)</t>
  </si>
  <si>
    <t>Pole HEB-300 (7.6 m height in viaduct)</t>
  </si>
  <si>
    <t>Pole HEB-300 de (8.2 m height with automatic tensioning device)</t>
  </si>
  <si>
    <t>Pole HEB-300 (7.6 m height in viaduct with automatic tensioning device)</t>
  </si>
  <si>
    <t>Pole HEB-240 (9.2 m height)</t>
  </si>
  <si>
    <t>Pole HEB-260 (9.2 m height)</t>
  </si>
  <si>
    <t>Pole HEB-280 (9.2 m height)</t>
  </si>
  <si>
    <t>Pole HEB-320 (9.2 m height)</t>
  </si>
  <si>
    <t>Pole 2HEB-320 (for anchoring on buffer stop)</t>
  </si>
  <si>
    <t>Pole  2HEB-320 for portal PR-3 / PR-4</t>
  </si>
  <si>
    <t>Pole 2HEB-550 for 40 m lenght portals</t>
  </si>
  <si>
    <t>Pole for special portals on substations</t>
  </si>
  <si>
    <t>Supplement for cantilever on Pole (&lt;5 m lenght)</t>
  </si>
  <si>
    <t>2-I. PoleES, PÓRTICOS Y SILLETAS DE ANCLAJE - INSTALACION</t>
  </si>
  <si>
    <t>Acopio, izado y nivelado de Polee HEB-220 a HEB-260</t>
  </si>
  <si>
    <t>Acopio, izado y nivelado de Polee HEB-280 a HEB-320</t>
  </si>
  <si>
    <t>Acopio, izado y nivelado de Polee Especial 2HEB-320 de anclaje en topera</t>
  </si>
  <si>
    <t>Acopio, izado y nivelado de Polee 2HEB-320 para pórticos PR-3 / PR-4</t>
  </si>
  <si>
    <t>Acopio, izado y nivelado de Polee 2HEB-550 para pórticos DE 40M</t>
  </si>
  <si>
    <t xml:space="preserve">Acopio, izado y nivelado de Polee de SSEE. </t>
  </si>
  <si>
    <t>Instalación de suplemento de ménsula (hasta 5m de gálibo) en Polee</t>
  </si>
  <si>
    <t>Colocación de bulón en Polee</t>
  </si>
  <si>
    <t>TOTAL 2 PoleES, PÓRTICOS Y SILLETAS</t>
  </si>
  <si>
    <t>Swivel for two or three cantilevers on Pole. Include steelworks,nuts and bolts necessary to Pole attachment.</t>
  </si>
  <si>
    <t>Suspension for one return wire (LA-280) on Pole</t>
  </si>
  <si>
    <t>Suspension for two return wire (LA-280) on Pole</t>
  </si>
  <si>
    <t>Acopio, tendido, tensado y regulado de un cable de retorno LA-280, incluyendo el montaje de la pinza de suspensión en Polee</t>
  </si>
  <si>
    <t>Acopio, tendido, tensado y regulado de dos cables de retorno LA-280, incluyendo el montaje de la pinza de suspensión en Polee</t>
  </si>
  <si>
    <t>Acopio, tendido, tensado y regulado de feeder de refuerzo,  incluyendo el montaje de la cadena de aisladores y pinza de suspensión en cruceta del Polee</t>
  </si>
  <si>
    <t>Instalación de Pórtico de alimentación para 2 cables de llegada, incluídos los 2 pórticos de 3m y los transversales, n.i. los Polees ni los seccionadores</t>
  </si>
  <si>
    <t>Instalación de Pórtico de alimentación para 4 cables de llegada, incluídos los 2 pórticos de 5m y los transversales, n.i. los Polees ni los seccionadores</t>
  </si>
  <si>
    <t>Earthing connection on viaduct (Handrail or Pole)</t>
  </si>
  <si>
    <t>Pole earthing on platform</t>
  </si>
  <si>
    <t>Rail to Pole connection</t>
  </si>
  <si>
    <t>Connection from Pole to earthing wire in viaduct</t>
  </si>
  <si>
    <t>Equipotential surface for worker operation on Pole</t>
  </si>
  <si>
    <t>Autovalve assembly, including fasteners to the Pole or gantry.</t>
  </si>
  <si>
    <t>Cover for Pole on platform</t>
  </si>
  <si>
    <t>Acopio y montaje de conexión de Polee a carril</t>
  </si>
  <si>
    <t>Acopio y montaje de conexión de Polee o anclaje a cable colector en viaducto</t>
  </si>
  <si>
    <t>Acopio y montaje de superficie equipotencial en Polee</t>
  </si>
  <si>
    <t>Variable lenght support on PR-1 for one cantilever. Included the support, strut tube, steelworks, nuts and bolts used. (LPN 60-80)</t>
  </si>
  <si>
    <t>Variable lenght support onPR-2 to 4 for one cantilever. (LPN 100)</t>
  </si>
  <si>
    <t>Variable lenght support on PR for two cantilevers.Include one support, strut tube, steelworks, nuts and bolt necessary. (LPN 60 to 80)</t>
  </si>
  <si>
    <t>Varible lenght support on PR for two cantilevers. Include one support, strut tube, steelworks, nuts and bolts necessary. (LPN 100)</t>
  </si>
  <si>
    <t>Isolated cable for 25/45 kV of Cu 300 mm2 section, included earthing connection and fasteners.</t>
  </si>
  <si>
    <t>km Isolated cable RHZ1FA3Z1-25/45 KV Cu 1x300 mm2 with unions</t>
  </si>
  <si>
    <t>Feeding Portal and Paralelling Portal for 2 tracks, including 2 portals of 3 m with disconectors</t>
  </si>
  <si>
    <t>Feeding Portal and Paralelling Portal for 3 tracks, including 2 portals of 3 m with disconectors</t>
  </si>
  <si>
    <t xml:space="preserve">Pórtico de alimentación y pp para 3 vías, incluídos los 2 pórticos de 5 m, los seccionadores y los transversales, n.i. los postes </t>
  </si>
  <si>
    <t>Paralelling Conection for 2 tracks, including supports, disconectors and wires</t>
  </si>
  <si>
    <t>Paralelling Conection for 4 tracks, including supports, disconectors and wires</t>
  </si>
  <si>
    <t>Armor earthing with overbridge</t>
  </si>
  <si>
    <t xml:space="preserve">DISC + 1xPP-2 + 5xPP-4 + 1xFS/PP-2 + 3xFS/PP-3 </t>
  </si>
  <si>
    <t>FS-1 + 2xFS/PP-2 + 2xFS/PP-3 + LoadB</t>
  </si>
  <si>
    <t>C-612;C-622</t>
  </si>
  <si>
    <t>SurgeA</t>
  </si>
  <si>
    <t>Load Breaker</t>
  </si>
  <si>
    <t>LoadB</t>
  </si>
  <si>
    <t>VoltageD</t>
  </si>
  <si>
    <t>SURVEY</t>
  </si>
  <si>
    <t>Other Pk</t>
  </si>
  <si>
    <t>Elevation CW</t>
  </si>
  <si>
    <t>Soil Found</t>
  </si>
  <si>
    <t>Embankment</t>
  </si>
  <si>
    <t>Depth Found</t>
  </si>
  <si>
    <t>Anchorage foundation</t>
  </si>
  <si>
    <t>1.6. Pórticos (m)</t>
  </si>
  <si>
    <t>Earthing device outside</t>
  </si>
  <si>
    <t>ED</t>
  </si>
  <si>
    <t>OCS Tensioning Anchorage</t>
  </si>
  <si>
    <t>Mid Point Anchorage in tunnel</t>
  </si>
  <si>
    <t>AnM/Tx</t>
  </si>
  <si>
    <t>Return, Feeder and Midpoint anchorage in tunnel</t>
  </si>
  <si>
    <t>Messenger and C.W, anchorage in tunnel</t>
  </si>
  <si>
    <t>Messenger and C.W, Tensorex anchorage</t>
  </si>
  <si>
    <t>Matrix Relation</t>
  </si>
  <si>
    <t>Initial PK</t>
  </si>
  <si>
    <t>Final Pk</t>
  </si>
  <si>
    <t>Clasification</t>
  </si>
  <si>
    <t>C2H-240</t>
  </si>
  <si>
    <t>PL;M3;M5;M6</t>
  </si>
  <si>
    <t>*0 V</t>
  </si>
  <si>
    <t>Indicar cada cola</t>
  </si>
  <si>
    <t>Messenger Wire</t>
  </si>
  <si>
    <t>Fixed Point</t>
  </si>
  <si>
    <t>Supplements</t>
  </si>
  <si>
    <t>Drune</t>
  </si>
  <si>
    <t>Edit by</t>
  </si>
  <si>
    <t>Start profile</t>
  </si>
  <si>
    <t>Start KP</t>
  </si>
  <si>
    <t>End profile</t>
  </si>
  <si>
    <t>End KP</t>
  </si>
  <si>
    <t>Length (m)</t>
  </si>
  <si>
    <t>length (m)</t>
  </si>
  <si>
    <t>Weigth (kg)</t>
  </si>
  <si>
    <t>Name</t>
  </si>
  <si>
    <t>Observations</t>
  </si>
  <si>
    <t>Date</t>
  </si>
  <si>
    <t>Contact Wire</t>
  </si>
  <si>
    <t>NOMBRE: EP - VIAS - MW - 000001</t>
  </si>
  <si>
    <t>DRUMS SECTION</t>
  </si>
  <si>
    <t>NOMBRE: EP - VIAS - CW - 000001</t>
  </si>
  <si>
    <t>Soil Classification</t>
  </si>
  <si>
    <t>PLAIN TERRAIN</t>
  </si>
  <si>
    <t>Type A</t>
  </si>
  <si>
    <t>Type B</t>
  </si>
  <si>
    <t>Type C</t>
  </si>
  <si>
    <t>Type D</t>
  </si>
  <si>
    <t>Type E</t>
  </si>
  <si>
    <t>Type F</t>
  </si>
  <si>
    <t>PT</t>
  </si>
  <si>
    <t>C2</t>
  </si>
  <si>
    <t>K</t>
  </si>
  <si>
    <t>C8</t>
  </si>
  <si>
    <t>EMBANKMENT</t>
  </si>
  <si>
    <t>Matrix</t>
  </si>
  <si>
    <t>=BUSCARV(C6;'Foundation Calculation'!$A$2:$C$12;3;1)</t>
  </si>
  <si>
    <t>=BUSCARV(C6;'Foundation Calculation'!$E$2:$G$12;3;1)</t>
  </si>
  <si>
    <t>=SI(AX6="PT";BUSCARV(M6;'Foundation Calculation'!$L$2:$R$15;BUSCARV(AW6;'Foundation Calculation'!$I$2:$J$8;2;FALSO);0);BUSCARV(M6;'Foundation Calculation'!$L$17:$R$29;BUSCARV(AW6;'Foundation Calculation'!$I$2:$J$8;2;FALSO);0))</t>
  </si>
  <si>
    <t>STRAIGH ARM PH</t>
  </si>
  <si>
    <t>CURVE ARM BC</t>
  </si>
  <si>
    <t>Description changes</t>
  </si>
  <si>
    <t>Nº Revision</t>
  </si>
  <si>
    <t>You must use these formula in row6 and column as you can see, AW, AW, AY</t>
  </si>
  <si>
    <t>You must use these formula in row6 and column as you can see, AC, AD, AE</t>
  </si>
  <si>
    <t>Information must be in order without gaps</t>
  </si>
  <si>
    <t>IMPORTANT: PUT IN ORDER KP, MAIN TRACKS, NOT MIX TRACKS, TURNOVERS IN OTHER DRUM</t>
  </si>
  <si>
    <t xml:space="preserve">CW DRUMS, 1 or + for Tensioning Length + 80 meters suplements (Max 2.000 kg - 1874 m) </t>
  </si>
  <si>
    <t>Suspensión de cable de retorno LA-280 en hastial de túnel</t>
  </si>
  <si>
    <t>Suspensión de cable de retorno LA-280 en silleta túnel</t>
  </si>
  <si>
    <t xml:space="preserve">RW1T-S o RW2T-SC / RW2T-S (2x) </t>
  </si>
  <si>
    <t>C-559b</t>
  </si>
  <si>
    <t>PH-Q</t>
  </si>
  <si>
    <t>PH-C</t>
  </si>
  <si>
    <t>Se pone 1 por cada cola</t>
  </si>
  <si>
    <t>Se pone 1 por cada 2 colas -- 2x</t>
  </si>
  <si>
    <t>Suspension for one return wire (LA-280) in tunnel in support</t>
  </si>
  <si>
    <t>Suspensión de un cable de retorno LA-280 en túnel en silleta</t>
  </si>
  <si>
    <t>Suspensión de un cable de retorno LA-280 en túnel en techo</t>
  </si>
  <si>
    <t>5-S.14b</t>
  </si>
  <si>
    <t>Suspension for one return wire (LA-280) in tunnel in ceiling</t>
  </si>
  <si>
    <t>ED/T + E/D</t>
  </si>
  <si>
    <t>Aparellaje de conjunto de seccionador monopolar  en poste (Sin feeder)</t>
  </si>
  <si>
    <t>Aparellaje para seccionador monopolar en poste con feeder</t>
  </si>
  <si>
    <t>C-626</t>
  </si>
  <si>
    <t xml:space="preserve">Aparellaje de conjunto de seccionador monopolar  y Earthing Device en mismo poste (Sin feeder) </t>
  </si>
  <si>
    <t>Seccionador monopolar de apertura en vacío y Equipo de puesta a tierra, incluido el aparellaje necesario para su conexionado  a la catenaria.</t>
  </si>
  <si>
    <t>6-S.07c</t>
  </si>
  <si>
    <t>Disconnector, Connections and transmission mortor drive   (without feeder)</t>
  </si>
  <si>
    <t>Disconnector, Connections and transmission mortor drive in tunnel</t>
  </si>
  <si>
    <t>Earthing device, Connections and transmission mortor drive   in tunnel</t>
  </si>
  <si>
    <t>Disconnector and Earthing Device in same pole, Connections and transmission mortor drive   (without feeder)</t>
  </si>
  <si>
    <t>Load Breaker with earth conection, Connections and transmission mortor drive</t>
  </si>
  <si>
    <t>Load Breaker, Connections and transmission mortor drive</t>
  </si>
  <si>
    <t>Equipo Puesta a tierra (Earthing device)</t>
  </si>
  <si>
    <t>Straigh Arm</t>
  </si>
  <si>
    <t>Curve Arm</t>
  </si>
  <si>
    <t>Angled Arm</t>
  </si>
  <si>
    <t>Angled Curve Arm</t>
  </si>
  <si>
    <t>PH</t>
  </si>
  <si>
    <t>BC</t>
  </si>
  <si>
    <t>POLIGONAL ARM PH-Q</t>
  </si>
  <si>
    <t>POLIGONAL ARM PH-C</t>
  </si>
  <si>
    <t>PH-Q-XXX</t>
  </si>
  <si>
    <t>PH-C-XXX</t>
  </si>
  <si>
    <t>Return Wire Support in pole</t>
  </si>
  <si>
    <t>2 Return Wire Support in pole</t>
  </si>
  <si>
    <t>Return Wire Support in support / ceiling</t>
  </si>
  <si>
    <t>2 Return Wire Support in support / ceiling</t>
  </si>
  <si>
    <t>RW1T-S/C</t>
  </si>
  <si>
    <t>RW2T-S/C/SC</t>
  </si>
  <si>
    <t>CONEXIONES</t>
  </si>
  <si>
    <t>SUSPENSIONES</t>
  </si>
  <si>
    <t>BRAZOS MENS</t>
  </si>
  <si>
    <t>Connections of Disconnector &amp; Earthing Device in same plo</t>
  </si>
  <si>
    <t>Earthing Device</t>
  </si>
  <si>
    <t>Suspension return wire LA-280 in support in tunnel</t>
  </si>
  <si>
    <t>Suspension return wire LA-280 in ceiling in tunnel</t>
  </si>
  <si>
    <t>RW1T-c o RW2T-SC/ RW2T-c (2x)</t>
  </si>
  <si>
    <t>T1: 30+715</t>
  </si>
  <si>
    <t>30-1.18</t>
  </si>
  <si>
    <t>B7-HAREL</t>
  </si>
  <si>
    <t>30-2.19</t>
  </si>
  <si>
    <t>30-2.21</t>
  </si>
  <si>
    <t>30-1.25</t>
  </si>
  <si>
    <t>B8: 32+087</t>
  </si>
  <si>
    <t>B8: 32+247</t>
  </si>
  <si>
    <t>33-1.21</t>
  </si>
  <si>
    <t>46-1.20</t>
  </si>
  <si>
    <t>AnM/TX</t>
  </si>
  <si>
    <t>47-1.13</t>
  </si>
  <si>
    <t>47-1.14</t>
  </si>
  <si>
    <t>47-1.16</t>
  </si>
  <si>
    <t>T2: 32+090</t>
  </si>
  <si>
    <t>B8: 32+105</t>
  </si>
  <si>
    <t>B8: 32+249</t>
  </si>
  <si>
    <t>T3: 32+310</t>
  </si>
  <si>
    <t>43-2.21</t>
  </si>
  <si>
    <t>START B10: 45+085</t>
  </si>
  <si>
    <t>47-2.13</t>
  </si>
  <si>
    <t>47-2.14</t>
  </si>
  <si>
    <t>30-2.25</t>
  </si>
  <si>
    <t>30-1.26</t>
  </si>
  <si>
    <t>FINISH T2: 32+075</t>
  </si>
  <si>
    <t>START T3: 32+325</t>
  </si>
  <si>
    <t>47-3.13</t>
  </si>
  <si>
    <t>47-3.14</t>
  </si>
  <si>
    <t>47-4.13</t>
  </si>
  <si>
    <t>47-4.14</t>
  </si>
  <si>
    <t>47-4.15</t>
  </si>
  <si>
    <t>RW2T-SC</t>
  </si>
  <si>
    <t>RW1T-C</t>
  </si>
  <si>
    <t>RW1T-S</t>
  </si>
  <si>
    <t>=SI(O(AT6&gt;8;AT6&lt;-8);"PH";SI(O(AT6&gt;5;AT6&lt;-5);"PH-Q";SI(O(AT6&gt;1;AT6&lt;-1);"PH-C")))</t>
  </si>
  <si>
    <t>PH-950</t>
  </si>
  <si>
    <t>PH-1000</t>
  </si>
  <si>
    <t>PH-1050</t>
  </si>
  <si>
    <t>PH-1100</t>
  </si>
  <si>
    <t>PH-1150</t>
  </si>
  <si>
    <t>PH-1200</t>
  </si>
  <si>
    <t>PH-1250</t>
  </si>
  <si>
    <t>PH-1300</t>
  </si>
  <si>
    <t>PH-1350</t>
  </si>
  <si>
    <t>PH-1400</t>
  </si>
  <si>
    <t>PH-1450</t>
  </si>
  <si>
    <t>PH-1500</t>
  </si>
  <si>
    <t>TOTAL COLECTOR VIADUCTO</t>
  </si>
  <si>
    <t>MW Drums, 2 or + Tensioning Length + Mid Points + 20 meters suplements (Max 1.800 Kg - 3020 m)</t>
  </si>
  <si>
    <t>Feeding Portal and Paralelling Portal for 3 m used without Transmission Mechanism</t>
  </si>
  <si>
    <t>Feeding Portal and Paralelling Portal for 5m used with Transmission Mechanism</t>
  </si>
  <si>
    <t>Feeding Portal and Paralelling Portal for 5m used without Transmission Mechanism</t>
  </si>
  <si>
    <t>Feeding Portal and Paralelling Portal for 3 m used with Transmission Mechanism</t>
  </si>
  <si>
    <t>Aparellaje para acometida de feeder en poste para 1 vía (i. conexiones paso aislado a desnudo.)</t>
  </si>
  <si>
    <t>Aparellaje para acometida de feeder a depot (i. conexiones paso aislado a desnudo con pat y bajada a tierra)</t>
  </si>
  <si>
    <t>Connections of Load Breaker with earth connection for feeder connection 1 track with cable</t>
  </si>
  <si>
    <t>C3 SLABTRACK</t>
  </si>
  <si>
    <t>C4 SLABTRACK</t>
  </si>
  <si>
    <t>Pole 2HEB-240 (7.6 m height in viaduct)</t>
  </si>
  <si>
    <t>Pole 2HEB-260 (7.6 m height in viaduct)</t>
  </si>
  <si>
    <t>Pole HEB-280 (7.6 m height in viaduct with automatic tensioning device)</t>
  </si>
  <si>
    <t>2-S.02f</t>
  </si>
  <si>
    <t>Poste Especial 2HEB-240 DE S.E.  de 7.6 m. de altura - viaducto</t>
  </si>
  <si>
    <t>2-S.03f</t>
  </si>
  <si>
    <t>Poste Especial 2HEB-260 DE S.E.  de 7.6 m. de altura - viaducto</t>
  </si>
  <si>
    <t>Semi Portal until 20m</t>
  </si>
  <si>
    <t>Semi Portal type B7</t>
  </si>
  <si>
    <t>Insulated Overlap</t>
  </si>
  <si>
    <t>IO</t>
  </si>
  <si>
    <t>48-2.15</t>
  </si>
  <si>
    <t>47-2.24</t>
  </si>
  <si>
    <t>47-4.24</t>
  </si>
  <si>
    <t>48-4.01</t>
  </si>
  <si>
    <t>48-4.02</t>
  </si>
  <si>
    <t>48-4.03</t>
  </si>
  <si>
    <t>48-4.04</t>
  </si>
  <si>
    <t>48-4.05</t>
  </si>
  <si>
    <t>48-4.06</t>
  </si>
  <si>
    <t>48-4.07</t>
  </si>
  <si>
    <t>48-4.08</t>
  </si>
  <si>
    <t>48-4.09</t>
  </si>
  <si>
    <t>48-4.10</t>
  </si>
  <si>
    <t>48-4.11</t>
  </si>
  <si>
    <t>48-4.12</t>
  </si>
  <si>
    <t>48-4.13</t>
  </si>
  <si>
    <t>48-4.14</t>
  </si>
  <si>
    <t>48-4.15</t>
  </si>
  <si>
    <t>A/S-Diag S/A</t>
  </si>
  <si>
    <t>ED/t</t>
  </si>
  <si>
    <t>OJO 4 ED en poste solos</t>
  </si>
  <si>
    <t>M3 Ø36</t>
  </si>
  <si>
    <t>M7 Ø36</t>
  </si>
  <si>
    <t>M8 Ø36</t>
  </si>
  <si>
    <t>M5 Ø42</t>
  </si>
  <si>
    <t>M6 Ø42</t>
  </si>
  <si>
    <t>M3*</t>
  </si>
  <si>
    <t>M5*</t>
  </si>
  <si>
    <t>M6*</t>
  </si>
  <si>
    <t>M7*</t>
  </si>
  <si>
    <t>M8*</t>
  </si>
  <si>
    <t>M3 Ø42</t>
  </si>
  <si>
    <t>M5 Ø36</t>
  </si>
  <si>
    <t>M6 Ø36</t>
  </si>
  <si>
    <t>2HEB-300 V (CP)</t>
  </si>
  <si>
    <t>2HEB-280 V</t>
  </si>
  <si>
    <t>HEB-360LL(B7)</t>
  </si>
  <si>
    <t>C-212-B7</t>
  </si>
  <si>
    <t>Poste HEB-360LL(B7)</t>
  </si>
  <si>
    <t>C-218-V</t>
  </si>
  <si>
    <t>Poste 2HEB-280 V</t>
  </si>
  <si>
    <t>C-219-VCP</t>
  </si>
  <si>
    <t>Poste 2HEB-300 V (CP)</t>
  </si>
  <si>
    <t>2-S.04d</t>
  </si>
  <si>
    <t>Poste Tipo 2HEB-280 de 7.6 m. de altura - viaducto</t>
  </si>
  <si>
    <t>Pole 2HEB-280 (7.6 m height in viaduct)</t>
  </si>
  <si>
    <t>2-S.05d</t>
  </si>
  <si>
    <t>Poste Tipo 2HEB-300 de 7.6 m. de altura - viaducto y compensacion</t>
  </si>
  <si>
    <t>Pole 2HEB-300 (7.6 m height in viaduct with automatic tensioning device)</t>
  </si>
  <si>
    <t>2-S.13b</t>
  </si>
  <si>
    <t>Poste Especial para B7</t>
  </si>
  <si>
    <t>Pole for special semi portals B7</t>
  </si>
  <si>
    <t>CALCULAR:</t>
  </si>
  <si>
    <t>CTRL+ALT+F9</t>
  </si>
  <si>
    <t>Pole HEB-360LL(B7)</t>
  </si>
  <si>
    <t>Pole 2HEB-280 V</t>
  </si>
  <si>
    <t>Pole 2HEB-300 V (CP)</t>
  </si>
  <si>
    <t>47-1.26</t>
  </si>
  <si>
    <t>47-1.27</t>
  </si>
  <si>
    <t>48-1.01</t>
  </si>
  <si>
    <t>P35</t>
  </si>
  <si>
    <t>47-2.25</t>
  </si>
  <si>
    <t>47-2.26</t>
  </si>
  <si>
    <t>47-3.15</t>
  </si>
  <si>
    <t>2HEB-300(CP) V</t>
  </si>
  <si>
    <t>Foundation for POLE HEB-240: C3 . Diameter= 0,75 m. Depth=3,4 m. GEWI= Ø25-L=2m . Nº=4 . Concrete=1,502 m3.</t>
  </si>
  <si>
    <t>C3R</t>
  </si>
  <si>
    <t>Foundation for POLE HEB-240: C3R . Diameter= 0,75 m. Depth=3,4 m. GEWI= Ø25-L=2m . Nº=4 . Long. Armor=8 Ø18 . Transv. Armor=13 Ø8 . Steel Weight =63,4 kg. Concrete=1,502 m3.</t>
  </si>
  <si>
    <t>C3RT</t>
  </si>
  <si>
    <t>Foundation for POLE HEB-240: C3RT . Diameter= 0,75 m. Depth=4,2 m. GEWI= Ø25-L=2m . Nº=4 . Long. Armor=8 Ø18 . Transv. Armor=16 Ø8 . Steel Weight =80,7 kg. Concrete=1,856 m3.</t>
  </si>
  <si>
    <t>Foundation for POLE HEB-260: C4 . Diameter= 0,75 m. Depth=3,4 m. GEWI= Ø32-L=2m . Nº=4 . Concrete=1,502 m3.</t>
  </si>
  <si>
    <t>C4R</t>
  </si>
  <si>
    <t>Foundation for POLE HEB-260: C4R . Diameter= 0,75 m. Depth=3,4 m. GEWI= Ø32-L=2m . Nº=4 . Long. Armor=8 Ø18 . Transv. Armor=13 Ø8 . Steel Weight =63,4 kg. Concrete=1,502 m3.</t>
  </si>
  <si>
    <t>C4RT</t>
  </si>
  <si>
    <t>Foundation for POLE HEB-260: C4RT . Diameter= 0,75 m. Depth=4,2 m. GEWI= Ø32-L=2m . Nº=4 . Long. Armor=8 Ø18 . Transv. Armor=16 Ø8 . Steel Weight =80,7 kg. Concrete=1,856 m3.</t>
  </si>
  <si>
    <t>Foundation for POLE HEB-280: C5 . Diameter= 1 m. Depth=3,3 m. GEWI= Ø32-L=2m . Nº=4 . Concrete=2,592 m3.</t>
  </si>
  <si>
    <t>C5R</t>
  </si>
  <si>
    <t>Foundation for POLE HEB-280: C5R . Diameter= 1 m. Depth=3,3 m. GEWI= Ø32-L=2m . Nº=4 . Long. Armor=10 Ø20 . Transv. Armor=13 Ø8 . Steel Weight =97,2 kg. Concrete=2,592 m3.</t>
  </si>
  <si>
    <t>C5RT</t>
  </si>
  <si>
    <t>Foundation for POLE HEB-280: C5RT . Diameter= 1 m. Depth=4,2 m. GEWI= Ø32-L=2m . Nº=4 . Long. Armor=10 Ø20 . Transv. Armor=16 Ø8 . Steel Weight =120,5 kg. Concrete=3,299 m3.</t>
  </si>
  <si>
    <t>Foundation for POLE HEB-300: C6 . Diameter= 1 m. Depth=3,4 m. GEWI= Ø40-L=2m . Nº=4 . Concrete=2,67 m3.</t>
  </si>
  <si>
    <t>C6R</t>
  </si>
  <si>
    <t>Foundation for POLE HEB-300: C6R . Diameter= 1 m. Depth=4,2 m. GEWI= Ø40-L=2m . Nº=4 . Long. Armor=10 Ø20 . Transv. Armor=16 Ø8 . Steel Weight =120,5 kg. Concrete=3,299 m3.</t>
  </si>
  <si>
    <t>C6RT</t>
  </si>
  <si>
    <t>Foundation for POLE HEB-300: C6RT . Diameter= 1 m. Depth=4,2 m. GEWI= Ø40-L=2m . Nº=4 . Long. Armor=10 Ø20 . Transv. Armor=16 Ø8 . Steel Weight =120,5 kg. Concrete=3,299 m3.</t>
  </si>
  <si>
    <t>Foundation: C2H-240 . Diameter= 1 m. Depth=3,4 m. GEWI= Ø25-L=2m . Nº=6 . Concrete=2,67 m3.</t>
  </si>
  <si>
    <t>C2H-240R</t>
  </si>
  <si>
    <t>Foundation: C2H-240R . Diameter= 1 m. Depth=4,2 m. GEWI= Ø25-L=2m . Nº=6 . Long. Armor=10 Ø20 . Transv. Armor=16 Ø8 . Steel Weight =120,5 kg. Concrete=3,299 m3.</t>
  </si>
  <si>
    <t>Foundation for POLE HEB-320: C7R . Diameter= 1 m. Depth=3,8 m. GEWI= Ø40-L=2m . Nº=4 . Concrete=2,985 m3.</t>
  </si>
  <si>
    <t>C7R</t>
  </si>
  <si>
    <t>Foundation for POLE HEB-320: C7R . Diameter= 1 m. Depth=3,8 m. GEWI= Ø40-L=2m . Nº=4 . Long. Armor=10 Ø20 . Transv. Armor=14 Ø8 . Steel Weight =106,8 kg. Concrete=2,985 m3.</t>
  </si>
  <si>
    <t>C7RT</t>
  </si>
  <si>
    <t>Foundation for POLE HEB-320: C7RT . Diameter= 1 m. Depth=4,8 m. GEWI= Ø40-L=2m . Nº=4 . Long. Armor=10 Ø20 . Transv. Armor=18 Ø8 . Steel Weight =139,7 kg. Concrete=3,77 m3.</t>
  </si>
  <si>
    <t>P8R</t>
  </si>
  <si>
    <t>Foundation for POLE 2HEB-320: P8R . Diameter= 0,75 m. Depth=5,5 m. GEWI= Ø36-L=1,15m . Steel Weight =634,67 kg. Concrete=7,596 m3.</t>
  </si>
  <si>
    <t>P9R</t>
  </si>
  <si>
    <t>Foundation for POLE 2HEB-550: P9R .</t>
  </si>
  <si>
    <t>Foundation: AnMC . Diameter= 0,75 m. Depth=2,5 m. GEWI= Ø16-L=2m . Nº=4 . Concrete=1,104 m3.</t>
  </si>
  <si>
    <t>AnMCR</t>
  </si>
  <si>
    <t>Foundation: AnMCRT . Diameter= 0,75 m. Depth=3,5 m. GEWI= Ø16-L=2m . Nº=4 . Long. Armor=8 Ø18 . Transv. Armor=16 Ø8 . Steel Weight =65,1 kg. Concrete=1,546 m3.</t>
  </si>
  <si>
    <t>Foundation: AnM . Diameter= 0,75 m. Depth=2,5 m. GEWI= Ø16-L=2m . Nº=4 . Concrete=1,104 m3.</t>
  </si>
  <si>
    <t>AnMR</t>
  </si>
  <si>
    <t>Foundation: AnMRT . Diameter= 0,75 m. Depth=3,5 m. GEWI= Ø16-L=2m . Nº=4 . Long. Armor=8 Ø18 . Transv. Armor=16 Ø8 . Steel Weight =65,1 kg. Concrete=1,546 m3.</t>
  </si>
  <si>
    <t>Conjunto de anclaje de poste en viaducto (HEB-220 a HEB-240) (taladrando el tablero)</t>
  </si>
  <si>
    <t xml:space="preserve">Conjunto de anclaje de poste en viaducto (HEB-260 a HEB-300) (taladrando el tablero) </t>
  </si>
  <si>
    <t xml:space="preserve">Conjunto de anclaje de poste en viaducto (HEB-320) (taladrando el tablero)  </t>
  </si>
  <si>
    <t>PL3</t>
  </si>
  <si>
    <t>Soporte para poste HEB-240 en viaducto existente, de acuerdo al plano GAS0164.</t>
  </si>
  <si>
    <t>GAS0164</t>
  </si>
  <si>
    <t>PL4</t>
  </si>
  <si>
    <t>Soporte para poste HEB-260 en viaducto existente, de acuerdo al plano GAS0164.</t>
  </si>
  <si>
    <t>VIADUCTO EXISTENTE</t>
  </si>
  <si>
    <t>PL5</t>
  </si>
  <si>
    <t>Soporte para poste HEB-280 en viaducto existente, de acuerdo al plano GAS0164.</t>
  </si>
  <si>
    <t>PL6</t>
  </si>
  <si>
    <t>Soporte para poste HEB-300 en viaducto existente, de acuerdo al plano GAS0164.</t>
  </si>
  <si>
    <t>PL2H240</t>
  </si>
  <si>
    <t>Soporte para poste 2xHEB-240 en viaducto existente, de acuerdo al plano GAS0164.</t>
  </si>
  <si>
    <t>PL2H280</t>
  </si>
  <si>
    <t>Soporte para poste 2xHEB-280 en viaducto existente, de acuerdo al plano GAS0164.</t>
  </si>
  <si>
    <t>PL2H300</t>
  </si>
  <si>
    <t>Soporte para poste 2xHEB-300 en viaducto existente, de acuerdo al plano GAS0164.</t>
  </si>
  <si>
    <t>Soporte para poste HEB-240 en muro existente.</t>
  </si>
  <si>
    <t>W4</t>
  </si>
  <si>
    <t>Soporte para poste HEB-260 en muro existente.</t>
  </si>
  <si>
    <t>W5</t>
  </si>
  <si>
    <t>Soporte para poste HEB-280 en muro existente.</t>
  </si>
  <si>
    <t>W6</t>
  </si>
  <si>
    <t>Soporte para poste 2HEB-240 en muro existente.</t>
  </si>
  <si>
    <t>POLES SUPPORTS IN WALLS</t>
  </si>
  <si>
    <t>WD3</t>
  </si>
  <si>
    <t>Soporte para poste HEB-240 en canaleta de drenaje existente.</t>
  </si>
  <si>
    <t>WD4</t>
  </si>
  <si>
    <t>Soporte para poste HEB-260 en canaleta de drenaje existente.</t>
  </si>
  <si>
    <t>WD5</t>
  </si>
  <si>
    <t>Soporte para poste HEB-280 en canaleta de drenaje existente.</t>
  </si>
  <si>
    <t>AnM/W; AnMCW</t>
  </si>
  <si>
    <t>Placa de anclaje para  tirante en muro existente.</t>
  </si>
  <si>
    <t>HEB-240 VL</t>
  </si>
  <si>
    <t>C-202-VL</t>
  </si>
  <si>
    <t>Poste HEB-240 VL</t>
  </si>
  <si>
    <t>Pole HEB-240 VL</t>
  </si>
  <si>
    <t>HEB-260 VL</t>
  </si>
  <si>
    <t>C-203-VL</t>
  </si>
  <si>
    <t>Poste HEB-260 VL</t>
  </si>
  <si>
    <t>Pole HEB-260 VL</t>
  </si>
  <si>
    <t>HEB-280 VL</t>
  </si>
  <si>
    <t>C-204-VL</t>
  </si>
  <si>
    <t>Poste HEB-280 VL</t>
  </si>
  <si>
    <t>Pole HEB-280 VL</t>
  </si>
  <si>
    <t>HEB-300 VL</t>
  </si>
  <si>
    <t>C-205-VL</t>
  </si>
  <si>
    <t>Poste HEB-300 VL</t>
  </si>
  <si>
    <t>2HEB-320L</t>
  </si>
  <si>
    <t>2HEB-550L</t>
  </si>
  <si>
    <t>2HEB-280 VL</t>
  </si>
  <si>
    <t>C-218-VL</t>
  </si>
  <si>
    <t>Poste 2HEB-280 VL</t>
  </si>
  <si>
    <t>Pole 2HEB-280 VL</t>
  </si>
  <si>
    <t>2HEB-300 VL</t>
  </si>
  <si>
    <t>C-219-VL</t>
  </si>
  <si>
    <t>Poste 2HEB-300 VL</t>
  </si>
  <si>
    <t>Pole 2HEB-300 VL</t>
  </si>
  <si>
    <t>PRC-21.22</t>
  </si>
  <si>
    <t>PRD-22.25</t>
  </si>
  <si>
    <t>PRE-30.34</t>
  </si>
  <si>
    <t>PRF-34.40</t>
  </si>
  <si>
    <t>PRF-40.45</t>
  </si>
  <si>
    <t>Soporte para una ménsula en Pórtico Rígido para pórtico tipo B/C</t>
  </si>
  <si>
    <t>Soporte para dos ménsulas en Pórtico Rígido para pórtico tipo B/C</t>
  </si>
  <si>
    <t>Soporte para una ménsula en Pórtico Rígido para pórtico tipo D</t>
  </si>
  <si>
    <t>Soporte para dos ménsulas en Pórtico Rígido para pórtico tipo D</t>
  </si>
  <si>
    <t>C-272b</t>
  </si>
  <si>
    <t>Soporte para una ménsula en Pórtico Rígido para pórtico tipo E</t>
  </si>
  <si>
    <t>C-273b</t>
  </si>
  <si>
    <t>Soporte para dos ménsulas en Pórtico Rígido para pórtico tipo E</t>
  </si>
  <si>
    <t>Soporte en túnel para dos ménsulas (2*)</t>
  </si>
  <si>
    <t>S1W</t>
  </si>
  <si>
    <t>S2W</t>
  </si>
  <si>
    <t>AnRW / AnRW2</t>
  </si>
  <si>
    <t>Equipo tensorex  (2 tensorex en BD)</t>
  </si>
  <si>
    <t>CP/TX-T</t>
  </si>
  <si>
    <t>CP/TX-W</t>
  </si>
  <si>
    <t>C-419</t>
  </si>
  <si>
    <t>Soporte para un equipo de tensorex sencillo en pared</t>
  </si>
  <si>
    <t>CP/TX-P</t>
  </si>
  <si>
    <t>C-420</t>
  </si>
  <si>
    <t>Soporte para un equipo de tensorex sencillo en poste</t>
  </si>
  <si>
    <t>(puntas de feeder) FS-1 + 2xFS/PP-2 + 2xFS/PP-3</t>
  </si>
  <si>
    <t>Aparellaje para acometida de feeder en poste para 1 vía (incluido paso aislado a desnudo)</t>
  </si>
  <si>
    <t>Aparellaje para acometida de feeder a depot (incluido paso aislado a desnudo con pat y bajada a tierra)</t>
  </si>
  <si>
    <t>Connections of Load Breaker with earth connection for feeder connection 1 track with cable ¿?</t>
  </si>
  <si>
    <t>95 o 150</t>
  </si>
  <si>
    <t>Poste Tipo HEB-220 de 7.6 m. de altura - viaducto</t>
  </si>
  <si>
    <t>Poste Tipo HEB-220 de 7.6 m. de altura - viaducto y compensacion</t>
  </si>
  <si>
    <t>Poste Tipo HEB-240 de 7.6 m. de altura - viaducto</t>
  </si>
  <si>
    <t>2-S.02a1</t>
  </si>
  <si>
    <t>Poste Tipo HEB-240 - VL en viaducto existente</t>
  </si>
  <si>
    <t>Pole HEB-240-VL in existing viaduct</t>
  </si>
  <si>
    <t>Poste Tipo HEB-240 de 7.6 m. de altura - viaducto y compensacion</t>
  </si>
  <si>
    <t>Pole 2HEB-240 (7.6 m height)</t>
  </si>
  <si>
    <t>Poste Tipo HEB-260 de 7.6 m. de altura - viaducto</t>
  </si>
  <si>
    <t>2-S.03a1</t>
  </si>
  <si>
    <t>Poste Tipo HEB-260 - VL en viaducto existente</t>
  </si>
  <si>
    <t>Pole HEB-260 VL in existing viaduct</t>
  </si>
  <si>
    <t>Poste Tipo HEB-260 de 7.6 m. de altura - viaducto y compensacion</t>
  </si>
  <si>
    <t>Pole 2HEB-260 (7.6 m height)</t>
  </si>
  <si>
    <t>Poste Tipo HEB-280 de 7.6 m. de altura - viaducto</t>
  </si>
  <si>
    <t>2-S.04a1</t>
  </si>
  <si>
    <t>Poste Tipo HEB-280 VL en viaducto existente</t>
  </si>
  <si>
    <t>Pole HEB-280 VL in existing viaduct</t>
  </si>
  <si>
    <t>Poste Tipo HEB-280 de 7.6 m. de altura - viaducto y compensacion</t>
  </si>
  <si>
    <t>Pole HEB-280 (8.2 m height in viaduct with automatic tensioning device)</t>
  </si>
  <si>
    <t>2-S.04d1</t>
  </si>
  <si>
    <t>Poste Tipo 2HEB-280 VL en viaducto existente</t>
  </si>
  <si>
    <t>Poste Tipo HEB-300 de 7.6 m. de altura - viaducto</t>
  </si>
  <si>
    <t>2-S.05a1</t>
  </si>
  <si>
    <t>Poste Tipo HEB-300 VL en viaducto existente</t>
  </si>
  <si>
    <t>Pole HEB-300 VL in existing viaduct</t>
  </si>
  <si>
    <t>Poste Tipo HEB-300 de 7.6 m. de altura - viaducto y compensacion</t>
  </si>
  <si>
    <t>2-S.05d1</t>
  </si>
  <si>
    <t>Poste Tipo 2HEB-300 VL en viaducto existente</t>
  </si>
  <si>
    <t>Pole 2HEB-300 VL in existing viaduct</t>
  </si>
  <si>
    <t>Poste Tipo HEB-240 de 9 a 10 m. de altura</t>
  </si>
  <si>
    <t>Poste Tipo HEB-260 de 9 a10 m. de altura</t>
  </si>
  <si>
    <t>Poste Tipo HEB-280 de 9 a 10 m. de altura</t>
  </si>
  <si>
    <t>Poste Tipo HEB-320 de 9 a10 m. de altura</t>
  </si>
  <si>
    <r>
      <t>Pórtico rígido tipo A (de 9 a 11 m)</t>
    </r>
    <r>
      <rPr>
        <sz val="11"/>
        <color indexed="10"/>
        <rFont val="ISOCPEUR"/>
        <family val="2"/>
      </rPr>
      <t xml:space="preserve"> </t>
    </r>
  </si>
  <si>
    <t xml:space="preserve">Portal type to (from 9 to 11 m) </t>
  </si>
  <si>
    <t>2-S.14b</t>
  </si>
  <si>
    <t>Pórtico rígido tipo A (de 11 a 13 m)</t>
  </si>
  <si>
    <t>Portal type to (from 11 to 13 m)</t>
  </si>
  <si>
    <t>2-S.14c</t>
  </si>
  <si>
    <t>Portico rígido tipo B (de 13 a 15 m)</t>
  </si>
  <si>
    <t>Portico rígido tipo B (from 13 to 15 m)</t>
  </si>
  <si>
    <t>ud</t>
  </si>
  <si>
    <t>Pórtico rígido tipo B (de 15 a 17 m)</t>
  </si>
  <si>
    <t>Portal type B (from 15 to 17 m)</t>
  </si>
  <si>
    <t>2-S.15b</t>
  </si>
  <si>
    <t>Pórtico rígido tipo B (de 17 a 19 m)</t>
  </si>
  <si>
    <t>Portal type B (from 17 to 19 m)</t>
  </si>
  <si>
    <t>Pórtico Rígido Tipo tipo C (de 19 a 21 m)</t>
  </si>
  <si>
    <t>Portal type tipo C (from 19 to 21 m)</t>
  </si>
  <si>
    <t>2-S.16b</t>
  </si>
  <si>
    <t>Pórtico Rígido Tipo C (de 21 a 23 m)</t>
  </si>
  <si>
    <t>Portal type C (from 21 to 23 m)</t>
  </si>
  <si>
    <t>2-S.16c</t>
  </si>
  <si>
    <t>Pórtico Rígido Tipo D (de 23 a 25 m)</t>
  </si>
  <si>
    <t>Portal type D (from 23 to 25 m)</t>
  </si>
  <si>
    <t>Pórtico Rígido Tipo E (de 25 a 30 m)</t>
  </si>
  <si>
    <t>Portal type E (from 25 to 30 m)</t>
  </si>
  <si>
    <t>Pórtico Rígido Tipo E (de 30 a 34m)</t>
  </si>
  <si>
    <t>Portal type E (from 30 to 34m)</t>
  </si>
  <si>
    <t>2-S.18b</t>
  </si>
  <si>
    <t>Pórtico Rígido Tipo F (de 34 a 40m)</t>
  </si>
  <si>
    <t>Portal type F (from 34 to 40m)</t>
  </si>
  <si>
    <t>2-S.18c</t>
  </si>
  <si>
    <t>Pórtico Rígido Tipo F (de 40 a 45m)</t>
  </si>
  <si>
    <t>Portal type F (from 40 to 45m)</t>
  </si>
  <si>
    <t>Soporte de longitud variable en PR-B/C para una ménsula. Incluye una silleta, un jabalcón, los herrajes y la tornillería necesarios. (angular 60-80)</t>
  </si>
  <si>
    <t>Variable lenght support on PR-B/C for one cantilever. Included the support, strut tube, steelworks, nuts and bolts used. (LPN 60-80)</t>
  </si>
  <si>
    <t>Soporte de longitud variable en PR-D para una ménsula. Angular 100</t>
  </si>
  <si>
    <t>Variable lenght support on PR-D to 4 for one cantilever. (LPN 100)</t>
  </si>
  <si>
    <t>2-S.20a1</t>
  </si>
  <si>
    <t>Soporte de longitud variable en PR-E para una ménsula. Angular 100</t>
  </si>
  <si>
    <t>Variable lenght support on PR-E to 4 for one cantilever. (LPN 100)</t>
  </si>
  <si>
    <t>Soporte de longitud variable en PR B/C para dos ménsulas. Incluye una silleta, un jabalcón, los herrajes y la tornillería necesarios. (angular 60 a 80)</t>
  </si>
  <si>
    <t>Variable lenght support on PR-B/C for two cantilevers.Include one support, strut tube, steelworks, nuts and bolt necessary. (LPN 60 to 80)</t>
  </si>
  <si>
    <t>Soporte de longitud variable en PR D para dos ménsulas. Incluye una silleta, un jabalcón, los herrajes y la tornillería necesarios. (angular 100)</t>
  </si>
  <si>
    <t>Varible lenght support on PR D for two cantilevers. Include one support, strut tube, steelworks, nuts and bolts necessary. (LPN 100)</t>
  </si>
  <si>
    <t>2-S.21a1</t>
  </si>
  <si>
    <t>Soporte de longitud variable en PR E para dos ménsulas. Incluye una silleta, un jabalcón, los herrajes y la tornillería necesarios. (angular 100)</t>
  </si>
  <si>
    <t>Varible lenght support on PR E for two cantilevers. Include one support, strut tube, steelworks, nuts and bolts necessary. (LPN 100)</t>
  </si>
  <si>
    <t>2-S.22b</t>
  </si>
  <si>
    <t>Soporte en muro para una ménsula. Incluye silleta, jabalcones, elementos de fijación a túnel, herrajes y tornillería necesarios.</t>
  </si>
  <si>
    <t>Wall support for two cantilevers. Include support, two strut tubes, attachment elements to tunnel, steelworks, nuts and bolts necessary.</t>
  </si>
  <si>
    <t>2-S.23b</t>
  </si>
  <si>
    <t>Soporte en muro para dos ménsulas. Incluye silleta,  jabalcones, elementos de fijación a túnel, herrajes y tornillería necesarios.</t>
  </si>
  <si>
    <t>2-I. POLES, PÓRTICOS Y SILLETAS DE ANCLAJE - INSTALACION</t>
  </si>
  <si>
    <t>Equipo Tensorex para compensación de catenaria formado por dos módulos de tensión automática sin contrapesos, incluidos aisladores, cables y piecerío necesario en TUNEL</t>
  </si>
  <si>
    <t>Tensorex equipment in tunnel</t>
  </si>
  <si>
    <t>4-S.11b</t>
  </si>
  <si>
    <t>Equipo Tensorex para compensación de catenaria formado por dos módulos de tensión automática sin contrapesos, incluidos aisladores, cables y piecerío necesario en MURO</t>
  </si>
  <si>
    <t>Tensorex equipment in WALL</t>
  </si>
  <si>
    <t>4-S.12</t>
  </si>
  <si>
    <t>Equipo Tensorex para compensación de catenaria formado por dos módulos de tensión automática sin contrapesos, incluidos aisladores, cables y piecerío necesario en POSTE</t>
  </si>
  <si>
    <t>Tensorex equipment in pole</t>
  </si>
  <si>
    <t>6-S.08a</t>
  </si>
  <si>
    <t>Seccionador monopolar de apertura encarga, incluido el aparellaje EN TÚNEL</t>
  </si>
  <si>
    <t>Load Breaker, Connections and transmission mortor drive in tunnel</t>
  </si>
  <si>
    <t>ED+Disc</t>
  </si>
  <si>
    <t>C-625a</t>
  </si>
  <si>
    <t>C-625b</t>
  </si>
  <si>
    <t xml:space="preserve">Aparellaje de  Earthing Device en poste (Sin feeder) </t>
  </si>
  <si>
    <t>6-S.07d</t>
  </si>
  <si>
    <t>Earthing device en poste, incluido el aparellaje necesario para su conexionado  a la catenaria.</t>
  </si>
  <si>
    <t>Seccionador monopolar de apertura en vacío y Earthing device en poste, incluido el aparellaje necesario para su conexionado  a la catenaria.</t>
  </si>
  <si>
    <t>LoadB/t</t>
  </si>
  <si>
    <t>TN3-TE1</t>
  </si>
  <si>
    <t>TN3-TE2</t>
  </si>
  <si>
    <t>TN3-T2</t>
  </si>
  <si>
    <t>TN3-T1</t>
  </si>
  <si>
    <t>TN3-TE3</t>
  </si>
  <si>
    <t>TN3-TE4</t>
  </si>
  <si>
    <t>TN3-T3</t>
  </si>
  <si>
    <t>TN3-T4</t>
  </si>
  <si>
    <t>TN3A-TE1</t>
  </si>
  <si>
    <t>TN3A-T1</t>
  </si>
  <si>
    <t>TN3A-TE2</t>
  </si>
  <si>
    <t>TN3A-T2</t>
  </si>
  <si>
    <t>TN4-TE2</t>
  </si>
  <si>
    <t>TN4-T2</t>
  </si>
  <si>
    <t>TN4-T1</t>
  </si>
  <si>
    <t>TN4-TE1</t>
  </si>
  <si>
    <t>BUMA-01</t>
  </si>
  <si>
    <t>BUMA-02</t>
  </si>
  <si>
    <t>BUMA-03</t>
  </si>
  <si>
    <t>BUMA-04</t>
  </si>
  <si>
    <t>BUMA-B01</t>
  </si>
  <si>
    <t>BUMA-05</t>
  </si>
  <si>
    <t>BUMA-06</t>
  </si>
  <si>
    <t>BUMA-TE04</t>
  </si>
  <si>
    <t>BUMA-TE03</t>
  </si>
  <si>
    <t>BUMA-TE02</t>
  </si>
  <si>
    <t>BUMA-TE01</t>
  </si>
  <si>
    <t>Disc/t + LoadB/t</t>
  </si>
  <si>
    <t>30-1.16B</t>
  </si>
  <si>
    <t>T2: 30+900</t>
  </si>
  <si>
    <t>30-2.23B</t>
  </si>
  <si>
    <t xml:space="preserve"> T2: 30+900</t>
  </si>
  <si>
    <t xml:space="preserve"> VoltageD</t>
  </si>
  <si>
    <t>PHQ-950</t>
  </si>
  <si>
    <t>PHQ-1150</t>
  </si>
  <si>
    <t>PHQ-1050</t>
  </si>
  <si>
    <t>Edited by</t>
  </si>
  <si>
    <t>JD</t>
  </si>
  <si>
    <t>Possible Signalling Interface Detected</t>
  </si>
  <si>
    <t>Not for construction</t>
  </si>
  <si>
    <t>Overhead Cable</t>
  </si>
  <si>
    <t>Sorted out by reducing gauge up to 2.90m</t>
  </si>
  <si>
    <t>Overpass / Overcrossing</t>
  </si>
  <si>
    <t xml:space="preserve">Station </t>
  </si>
  <si>
    <t>Special and particular solution to be applied</t>
  </si>
  <si>
    <t>Level crossing</t>
  </si>
  <si>
    <t>15kN mechanical Tension</t>
  </si>
  <si>
    <t>47-3.26</t>
  </si>
  <si>
    <t>47-3.27</t>
  </si>
  <si>
    <t>47-4.25</t>
  </si>
  <si>
    <t>47-4.26</t>
  </si>
  <si>
    <t>BUMA-07</t>
  </si>
  <si>
    <t>BUMA-08</t>
  </si>
  <si>
    <t>30-1.23B</t>
  </si>
  <si>
    <t>30-2.16B</t>
  </si>
  <si>
    <t>S-1T-H</t>
  </si>
  <si>
    <t>S-2T-H</t>
  </si>
  <si>
    <t>CP/TX*</t>
  </si>
  <si>
    <t>inf</t>
  </si>
  <si>
    <t>PHC-1150</t>
  </si>
  <si>
    <t>PHC-1250</t>
  </si>
  <si>
    <t>PHQ-1250</t>
  </si>
  <si>
    <t>PHQ-1350</t>
  </si>
  <si>
    <t>PHQ-1000</t>
  </si>
  <si>
    <t>PHQ-1100</t>
  </si>
  <si>
    <t>PHQ-1200</t>
  </si>
  <si>
    <t>PHQ-1300</t>
  </si>
  <si>
    <t>PHQ-1400</t>
  </si>
  <si>
    <t>PHQ-1450</t>
  </si>
  <si>
    <t>PHQ-2000</t>
  </si>
  <si>
    <t>PHC-950</t>
  </si>
  <si>
    <t>PHC-1000</t>
  </si>
  <si>
    <t>PHC-1050</t>
  </si>
  <si>
    <t>PHC-1100</t>
  </si>
  <si>
    <t>PHC-1200</t>
  </si>
  <si>
    <t>PHC-1300</t>
  </si>
  <si>
    <t>PHC-1350</t>
  </si>
  <si>
    <t>PHC-1400</t>
  </si>
  <si>
    <t>PHC-1450</t>
  </si>
  <si>
    <t>PHC-2000</t>
  </si>
  <si>
    <t>PHC-1500</t>
  </si>
  <si>
    <t>48-1-</t>
  </si>
  <si>
    <t>PHQ-1500</t>
  </si>
  <si>
    <t>COLORS</t>
  </si>
  <si>
    <t>Pole foundation Type CX</t>
  </si>
  <si>
    <t>CX</t>
  </si>
  <si>
    <t>(see drawing for types)</t>
  </si>
  <si>
    <t>(CX, CXR, CXRT)</t>
  </si>
  <si>
    <t>Pole foundation Type CX in L</t>
  </si>
  <si>
    <t>CX_L</t>
  </si>
  <si>
    <t>PLX</t>
  </si>
  <si>
    <t>Base for pole in wall</t>
  </si>
  <si>
    <t>WX</t>
  </si>
  <si>
    <t>Base for pole with drainage</t>
  </si>
  <si>
    <t>WDX</t>
  </si>
  <si>
    <t>Base for pole in Top wall</t>
  </si>
  <si>
    <t>WTX</t>
  </si>
  <si>
    <t>Portal type X (length between A &amp; B m)</t>
  </si>
  <si>
    <t>PRX-AA.BB</t>
  </si>
  <si>
    <t>Signal Interface/Reduce gauge up to 2,90m</t>
  </si>
  <si>
    <t>Tunnel disconector</t>
  </si>
  <si>
    <t>Disconnector</t>
  </si>
  <si>
    <t>Disc</t>
  </si>
  <si>
    <t>ANCHORAGE</t>
  </si>
  <si>
    <t>Parallel Load Breaker</t>
  </si>
  <si>
    <t>LoadB/PP</t>
  </si>
  <si>
    <t>OCS Tensioning Anchorage in pole</t>
  </si>
  <si>
    <t>OCS Tensioning Anchorage in tunnel</t>
  </si>
  <si>
    <t>OCS Tensioning Anchorage in wall</t>
  </si>
  <si>
    <t>Current Transformer</t>
  </si>
  <si>
    <t>CurrentT</t>
  </si>
  <si>
    <t>AnMC, AnMCR, AnMC-RT</t>
  </si>
  <si>
    <t>AnM, AnMR, AnM-RT</t>
  </si>
  <si>
    <t>PHQ-XXX</t>
  </si>
  <si>
    <t>PHC-XXX</t>
  </si>
  <si>
    <t>Messenger and C.W, anchorage found in L</t>
  </si>
  <si>
    <t>AnMC_L</t>
  </si>
  <si>
    <t>Return, Feeder and Midpoint anchorage found in L</t>
  </si>
  <si>
    <t>AnM_L</t>
  </si>
  <si>
    <t>Messenger and C.W, anchorage base in wall</t>
  </si>
  <si>
    <t>AnMC/W</t>
  </si>
  <si>
    <t>Return, Feeder and Midpoint base in wall</t>
  </si>
  <si>
    <t>AnM/W</t>
  </si>
  <si>
    <t>OCS Pole</t>
  </si>
  <si>
    <t>HEB-XXX</t>
  </si>
  <si>
    <t>Support for 2 cantilever in tunnel (2x)</t>
  </si>
  <si>
    <t>Support for 1 cantilever in wall</t>
  </si>
  <si>
    <t>S-1T-W</t>
  </si>
  <si>
    <t>Support for 2 cantilever in wall (2x)</t>
  </si>
  <si>
    <t>S-2T-W</t>
  </si>
  <si>
    <t>Support for 1 cantilever separated in wall</t>
  </si>
  <si>
    <t>S-1T-R</t>
  </si>
  <si>
    <t>Support for 2 cantilever separated in wall (2x)</t>
  </si>
  <si>
    <t>S-2T-R</t>
  </si>
  <si>
    <t>Support for 1 cantilever in wall in ARMOR TERRAIN</t>
  </si>
  <si>
    <t>HEB-XXX AT</t>
  </si>
  <si>
    <t>C-648</t>
  </si>
  <si>
    <t>6-S.13</t>
  </si>
  <si>
    <t>Equipamiento ZN con Aisladores de Seccion</t>
  </si>
  <si>
    <t>6-S.14</t>
  </si>
  <si>
    <t>Transformador de Intensidad</t>
  </si>
  <si>
    <t>Section Insulator Neutral Zone</t>
  </si>
  <si>
    <t>Th Span</t>
  </si>
  <si>
    <t>(láminas de aire) DISC/NZ + DISC/IO + DISC/PP</t>
  </si>
  <si>
    <t xml:space="preserve">(puestas en paralelo) LoadB/PP + 1xPP-2 + 5xPP-4 + 1xFS/PP-2 + 3xFS/PP-3 </t>
  </si>
  <si>
    <t>Seccionador monopolar vertical AV para túnel</t>
  </si>
  <si>
    <t>DISC/NZ + DISC/IO + DISC/PP</t>
  </si>
  <si>
    <t>Aparellaje de conjunto de seccionador monopolar  AV en poste (Sin feeder)</t>
  </si>
  <si>
    <t>DISC/IO-pr + DISC/PP-pr</t>
  </si>
  <si>
    <t>Aparellaje tipo de conjunto de seccionador monopolar  AV en portico Catenaria Estacion</t>
  </si>
  <si>
    <t>C-636</t>
  </si>
  <si>
    <t>Aparellaje de conjunto de seccionador monopolar  AC en poste (Sin feeder)</t>
  </si>
  <si>
    <t>LoadB/PP-pr</t>
  </si>
  <si>
    <t>C-637</t>
  </si>
  <si>
    <t>Aparellaje tipo de conjunto de seccionador monopolar  AC en portico Catenaria Estacion</t>
  </si>
  <si>
    <t>C-640b</t>
  </si>
  <si>
    <t>Accionamiento y transmisión para seccionador en portico Cat Estacion</t>
  </si>
  <si>
    <t xml:space="preserve"> LoadB + LoadB/t</t>
  </si>
  <si>
    <t>6-S.07e</t>
  </si>
  <si>
    <t>6-S.07f</t>
  </si>
  <si>
    <t>Seccionador monopolar de apertura en vacío en portico Catenaria, incluido el aparellaje necesario para su conexionado  a la catenaria.</t>
  </si>
  <si>
    <t>6-S.08b</t>
  </si>
  <si>
    <t>Seccionador monopolar de Apertura en Carga en poste, incluido el aparellaje necesario para su conexionado a la catenaria.</t>
  </si>
  <si>
    <t>Seccionador monopolar de Apertura en Carga en portico Catenaria, incluido el aparellaje necesario para su conexionado a la catenaria.</t>
  </si>
  <si>
    <t xml:space="preserve">Earthing Device in pole, Connections and transmission mortor drive </t>
  </si>
  <si>
    <t>Disconnector, Connections and transmission mortor drive in catenary portal  (without feeder)</t>
  </si>
  <si>
    <t>Disconnector, Connections and transmission mortor drive, transition cable</t>
  </si>
  <si>
    <t>Load Breaker, Connections and transmission mortor drive in pole</t>
  </si>
  <si>
    <t>Load Breaker, Connections and transmission mortor drive in catenary portal</t>
  </si>
  <si>
    <t>C-638</t>
  </si>
  <si>
    <t>RECUENTO DE CONJUNTOS y PIEZAS ESPECIALES DE CATENARIA</t>
  </si>
  <si>
    <t>T-2A-INT-2</t>
  </si>
  <si>
    <t>Tirante intermedio para anclajes de longitud 2 m</t>
  </si>
  <si>
    <t>AnRW2</t>
  </si>
  <si>
    <t>Rejilla-V</t>
  </si>
  <si>
    <t>Rejilla de CP en viaducto</t>
  </si>
  <si>
    <t>Rejilla en viaducto</t>
  </si>
  <si>
    <t>C-276-H</t>
  </si>
  <si>
    <t>C-276-W</t>
  </si>
  <si>
    <t>C-276-R</t>
  </si>
  <si>
    <t>2-S.22c</t>
  </si>
  <si>
    <t>Soporte en muro para una ménsula tipo R. Incluye silleta, jabalcones, elementos de fijación a túnel, herrajes y tornillería necesarios.</t>
  </si>
  <si>
    <t>2-S.23c</t>
  </si>
  <si>
    <t>Soporte en muro para dos ménsulas tipo R. Incluye silleta,  jabalcones, elementos de fijación a túnel, herrajes y tornillería necesarios.</t>
  </si>
  <si>
    <t>2-S.22d</t>
  </si>
  <si>
    <t>Soporte en muro para una ménsula tipo H. Incluye silleta, jabalcones, elementos de fijación a túnel, herrajes y tornillería necesarios.</t>
  </si>
  <si>
    <t>2-S.23d</t>
  </si>
  <si>
    <t>Soporte en muro para dos ménsulas tipo H. Incluye silleta,  jabalcones, elementos de fijación a túnel, herrajes y tornillería necesarios.</t>
  </si>
  <si>
    <t>Wall R support for one cantilevers. Include support,attachment elements to tunnel, steelworks, nuts and bolts necessary.</t>
  </si>
  <si>
    <t>Wall R support for two cantilevers. Include support, attachment elements to tunnel, steelworks, nuts and bolts necessary.</t>
  </si>
  <si>
    <t>Wall H support for one cantilevers. Include support, attachment elements to tunnel, steelworks, nuts and bolts necessary.</t>
  </si>
  <si>
    <t>Wall H support for two cantilevers. Include support, attachment elements to tunnel, steelworks, nuts and bolts necessary.</t>
  </si>
  <si>
    <t>Soporte en muro para una ménsula Tipo W</t>
  </si>
  <si>
    <t>Soporte en muro para dos ménsulas Tipo W (2*)</t>
  </si>
  <si>
    <t>Soporte en muro para una ménsula Tipo R</t>
  </si>
  <si>
    <t>Soporte en muro para dos ménsulas Tipo R (2*)</t>
  </si>
  <si>
    <t>Soporte en muro para una ménsula Tipo H</t>
  </si>
  <si>
    <t>Soporte en muro para dos ménsulas Tipo H (2*)</t>
  </si>
  <si>
    <t>SOP-TEN-X</t>
  </si>
  <si>
    <t>Soporte de tensorex en tunel doble</t>
  </si>
  <si>
    <t>Si no no tiene las mismas piezas en muro q en tunel ( en tunel solo varia soporte</t>
  </si>
  <si>
    <t>OJO CAMBIAR CP-TX-W por CP-TX-T en recuentos y considerar tornillos</t>
  </si>
  <si>
    <t>SOP-TEN</t>
  </si>
  <si>
    <t>Soporte de tensorex en tunel SENCILL0 (recuentos en CP-TX-T)</t>
  </si>
  <si>
    <t>BCE-1500</t>
  </si>
  <si>
    <t>BTC-2000</t>
  </si>
  <si>
    <t>LoadB/IO</t>
  </si>
  <si>
    <t>Disc/PP</t>
  </si>
  <si>
    <t>TN3-B01</t>
  </si>
  <si>
    <t>WL3</t>
  </si>
  <si>
    <t>WT4</t>
  </si>
  <si>
    <t>Original version</t>
  </si>
  <si>
    <t>Updated stagger Bridge 7 and OCS layout in Tunnel 4</t>
  </si>
  <si>
    <t>Updated the distribution of OCS support in Hauma station area to avoid more than 1 support in each tunnel ring according DRR T#1974</t>
  </si>
  <si>
    <t>Updated survey Hauma and Bridge 10</t>
  </si>
  <si>
    <t>Converted 4 section insulator in Hauma station by insulated overlap</t>
  </si>
  <si>
    <t>Include topography measurement</t>
  </si>
  <si>
    <t>SD</t>
  </si>
  <si>
    <t>TN4-TE3 47+724</t>
  </si>
  <si>
    <t>TN4-TE4 47+724</t>
  </si>
  <si>
    <t>Include TN4-TE3 and TN4-TE4 in KP47+724</t>
  </si>
  <si>
    <t>Tensorex equipment in profiles: 44-1.13, 44-2.13, 45-1.04, 45-2.04, 45-1.08, 45-2.08, 46-1.01, 46-2.01, 46-1.04, 46-2.04, 46-1.18 and 46-2.18</t>
  </si>
  <si>
    <t>Tensorex equipment in profiles: 44-1.13, 44-2.13, 45-1.04, 45-2.04, 
45-1.08, 45-2.08, 46-1.01, 46-2.01, 46-1.04, 46-2.04, 46-1.18 and 46-2.18</t>
  </si>
  <si>
    <t>Updated Contact Wire Height in profiles: 32-1.03, 32-2.10, 46-1.07 and 46-2.07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</si>
</sst>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0.0"/>
    <numFmt numFmtId="165" formatCode="0.000"/>
    <numFmt numFmtId="166" formatCode="0.0000"/>
    <numFmt numFmtId="167" formatCode="#\+##0"/>
    <numFmt numFmtId="168" formatCode="#\+##0.0"/>
    <numFmt numFmtId="169" formatCode="000\+000.00"/>
    <numFmt numFmtId="170" formatCode="##\+##0.0"/>
    <numFmt numFmtId="171" formatCode="00\+000.00"/>
    <numFmt numFmtId="172" formatCode="#,###&quot; m&quot;"/>
    <numFmt numFmtId="173" formatCode="#,###&quot; kg&quot;"/>
    <numFmt numFmtId="174" formatCode="&quot;€&quot;#,##0.00_);[Red]\(&quot;€&quot;#,##0.00\)"/>
    <numFmt numFmtId="175" formatCode="####\+##0.0"/>
    <numFmt numFmtId="176" formatCode="###\+##0.0"/>
  </numFmts>
  <fonts count="10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20"/>
      <name val="Arial"/>
      <family val="2"/>
    </font>
    <font>
      <b/>
      <sz val="14"/>
      <name val="Arial"/>
      <family val="2"/>
    </font>
    <font>
      <b/>
      <sz val="9"/>
      <color indexed="12"/>
      <name val="Weidemann Bk BT"/>
      <family val="1"/>
    </font>
    <font>
      <b/>
      <sz val="9"/>
      <name val="Weidemann Bk BT"/>
      <family val="1"/>
    </font>
    <font>
      <sz val="9"/>
      <name val="Weidemann Bk BT"/>
      <family val="1"/>
    </font>
    <font>
      <sz val="10"/>
      <name val="Weidemann Bk BT"/>
      <family val="1"/>
    </font>
    <font>
      <b/>
      <sz val="10"/>
      <name val="Weidemann Bk BT"/>
      <family val="1"/>
    </font>
    <font>
      <b/>
      <sz val="10"/>
      <color indexed="62"/>
      <name val="Weidemann Bk BT"/>
      <family val="1"/>
    </font>
    <font>
      <sz val="10"/>
      <name val="Weidemann Bk BT"/>
      <family val="1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color indexed="62"/>
      <name val="Mona Lisa Recut"/>
    </font>
    <font>
      <sz val="10"/>
      <name val="Mona Lisa Recut"/>
    </font>
    <font>
      <sz val="10"/>
      <color indexed="62"/>
      <name val="Weidemann Bk BT"/>
      <family val="1"/>
    </font>
    <font>
      <sz val="10"/>
      <color indexed="10"/>
      <name val="Weidemann Bk BT"/>
      <family val="1"/>
    </font>
    <font>
      <b/>
      <u/>
      <sz val="16"/>
      <color indexed="18"/>
      <name val="Stylus BT"/>
      <family val="2"/>
    </font>
    <font>
      <b/>
      <sz val="10"/>
      <name val="Stylus BT"/>
      <family val="2"/>
    </font>
    <font>
      <sz val="10"/>
      <color indexed="12"/>
      <name val="Arial"/>
      <family val="2"/>
    </font>
    <font>
      <sz val="10"/>
      <color indexed="14"/>
      <name val="Arial"/>
      <family val="2"/>
    </font>
    <font>
      <b/>
      <sz val="10"/>
      <color indexed="14"/>
      <name val="Arial"/>
      <family val="2"/>
    </font>
    <font>
      <sz val="10"/>
      <name val="Arial"/>
      <family val="2"/>
    </font>
    <font>
      <sz val="11"/>
      <color indexed="8"/>
      <name val="Futura Lt BT"/>
      <family val="2"/>
    </font>
    <font>
      <b/>
      <sz val="9"/>
      <color indexed="12"/>
      <name val="Futura Lt BT"/>
      <family val="2"/>
    </font>
    <font>
      <b/>
      <sz val="9"/>
      <name val="Futura Lt BT"/>
      <family val="2"/>
    </font>
    <font>
      <b/>
      <sz val="9"/>
      <color indexed="9"/>
      <name val="Futura Lt BT"/>
      <family val="2"/>
    </font>
    <font>
      <sz val="9"/>
      <name val="Futura Lt BT"/>
      <family val="2"/>
    </font>
    <font>
      <sz val="10"/>
      <name val="Futura Lt BT"/>
      <family val="2"/>
    </font>
    <font>
      <b/>
      <sz val="10"/>
      <name val="Futura Lt BT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name val="Cambria"/>
      <family val="1"/>
    </font>
    <font>
      <b/>
      <sz val="18"/>
      <color indexed="62"/>
      <name val="Cambria"/>
      <family val="2"/>
    </font>
    <font>
      <sz val="9"/>
      <name val="Arial"/>
      <family val="2"/>
    </font>
    <font>
      <b/>
      <sz val="9"/>
      <name val="Arial"/>
      <family val="2"/>
    </font>
    <font>
      <sz val="9"/>
      <name val="Arial (WC)"/>
      <family val="2"/>
      <charset val="204"/>
    </font>
    <font>
      <b/>
      <u/>
      <sz val="10"/>
      <name val="Arial"/>
      <family val="2"/>
    </font>
    <font>
      <sz val="10"/>
      <color indexed="8"/>
      <name val="Arial"/>
      <family val="2"/>
    </font>
    <font>
      <sz val="10"/>
      <name val="ISOCPEUR"/>
      <family val="2"/>
    </font>
    <font>
      <b/>
      <sz val="10"/>
      <name val="ISOCPEUR"/>
      <family val="2"/>
    </font>
    <font>
      <sz val="11"/>
      <name val="ISOCPEUR"/>
      <family val="2"/>
    </font>
    <font>
      <sz val="11"/>
      <color indexed="10"/>
      <name val="ISOCPEUR"/>
      <family val="2"/>
    </font>
    <font>
      <i/>
      <sz val="10"/>
      <name val="ISOCPEUR"/>
      <family val="2"/>
    </font>
    <font>
      <sz val="11"/>
      <color indexed="8"/>
      <name val="ISOCPEUR"/>
      <family val="2"/>
    </font>
    <font>
      <b/>
      <sz val="14"/>
      <color indexed="48"/>
      <name val="ISOCPEUR"/>
      <family val="2"/>
    </font>
    <font>
      <b/>
      <i/>
      <sz val="10"/>
      <name val="ISOCPEUR"/>
      <family val="2"/>
    </font>
    <font>
      <b/>
      <sz val="11"/>
      <color indexed="8"/>
      <name val="ISOCPEUR"/>
      <family val="2"/>
    </font>
    <font>
      <i/>
      <sz val="11"/>
      <color indexed="8"/>
      <name val="ISOCPEUR"/>
      <family val="2"/>
    </font>
    <font>
      <i/>
      <u/>
      <sz val="11"/>
      <color indexed="8"/>
      <name val="ISOCPEUR"/>
      <family val="2"/>
    </font>
    <font>
      <b/>
      <i/>
      <sz val="11"/>
      <color indexed="8"/>
      <name val="ISOCPEUR"/>
      <family val="2"/>
    </font>
    <font>
      <i/>
      <u/>
      <sz val="11"/>
      <name val="ISOCPEUR"/>
      <family val="2"/>
    </font>
    <font>
      <b/>
      <sz val="11"/>
      <color rgb="FFFF0000"/>
      <name val="ISOCPEUR"/>
      <family val="2"/>
    </font>
    <font>
      <sz val="11"/>
      <color rgb="FFFF0000"/>
      <name val="ISOCPEUR"/>
      <family val="2"/>
    </font>
    <font>
      <b/>
      <sz val="11"/>
      <color rgb="FF002060"/>
      <name val="ISOCPEUR"/>
      <family val="2"/>
    </font>
    <font>
      <b/>
      <i/>
      <u/>
      <sz val="11"/>
      <color theme="0"/>
      <name val="ISOCPEUR"/>
      <family val="2"/>
    </font>
    <font>
      <i/>
      <sz val="9"/>
      <name val="Futura Lt BT"/>
      <family val="2"/>
    </font>
    <font>
      <u/>
      <sz val="10"/>
      <name val="Arial"/>
      <family val="2"/>
    </font>
    <font>
      <sz val="11"/>
      <color rgb="FFFF0000"/>
      <name val="Calibri"/>
      <family val="2"/>
    </font>
    <font>
      <i/>
      <sz val="10"/>
      <color indexed="8"/>
      <name val="ISOCPEUR"/>
      <family val="2"/>
    </font>
    <font>
      <b/>
      <sz val="18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sz val="11"/>
      <name val="Arial"/>
      <family val="2"/>
    </font>
    <font>
      <b/>
      <i/>
      <u/>
      <sz val="14"/>
      <name val="Arial"/>
      <family val="2"/>
    </font>
    <font>
      <b/>
      <u/>
      <sz val="11"/>
      <name val="Arial"/>
      <family val="2"/>
    </font>
    <font>
      <b/>
      <sz val="11"/>
      <color indexed="18"/>
      <name val="Arial"/>
      <family val="2"/>
    </font>
    <font>
      <i/>
      <sz val="11"/>
      <color indexed="12"/>
      <name val="Arial"/>
      <family val="2"/>
    </font>
    <font>
      <sz val="11"/>
      <color indexed="12"/>
      <name val="Arial"/>
      <family val="2"/>
    </font>
    <font>
      <sz val="10"/>
      <color indexed="10"/>
      <name val="Arial"/>
      <family val="2"/>
    </font>
    <font>
      <sz val="8"/>
      <color indexed="8"/>
      <name val="ISOCPEUR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i/>
      <sz val="11"/>
      <name val="ISOCPEUR"/>
      <family val="2"/>
    </font>
    <font>
      <sz val="11"/>
      <color theme="0"/>
      <name val="ISOCPEUR"/>
      <family val="2"/>
    </font>
    <font>
      <i/>
      <sz val="9"/>
      <color theme="5"/>
      <name val="Futura Lt B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name val="Arial"/>
      <family val="2"/>
    </font>
    <font>
      <i/>
      <sz val="12"/>
      <name val="Arial"/>
      <family val="2"/>
    </font>
    <font>
      <i/>
      <strike/>
      <sz val="9"/>
      <name val="Cambria"/>
      <family val="1"/>
    </font>
    <font>
      <strike/>
      <sz val="9"/>
      <name val="Cambria"/>
      <family val="1"/>
    </font>
    <font>
      <strike/>
      <sz val="10"/>
      <name val="Cambria"/>
      <family val="1"/>
    </font>
  </fonts>
  <fills count="75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5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62"/>
      </patternFill>
    </fill>
    <fill>
      <patternFill patternType="solid">
        <fgColor indexed="4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rgb="FFFFC000"/>
        </stop>
        <stop position="1">
          <color rgb="FF00B050"/>
        </stop>
      </gradientFill>
    </fill>
  </fills>
  <borders count="1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1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18"/>
      </bottom>
      <diagonal/>
    </border>
    <border>
      <left/>
      <right style="thin">
        <color indexed="64"/>
      </right>
      <top style="thin">
        <color indexed="64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2"/>
      </left>
      <right/>
      <top style="thin">
        <color indexed="64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indexed="64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22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thin">
        <color indexed="22"/>
      </top>
      <bottom/>
      <diagonal/>
    </border>
  </borders>
  <cellStyleXfs count="1037">
    <xf numFmtId="0" fontId="0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2" borderId="0" applyNumberFormat="0" applyBorder="0" applyAlignment="0" applyProtection="0"/>
    <xf numFmtId="0" fontId="13" fillId="5" borderId="0" applyNumberFormat="0" applyBorder="0" applyAlignment="0" applyProtection="0"/>
    <xf numFmtId="0" fontId="13" fillId="3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2" borderId="0" applyNumberFormat="0" applyBorder="0" applyAlignment="0" applyProtection="0"/>
    <xf numFmtId="0" fontId="13" fillId="10" borderId="0" applyNumberFormat="0" applyBorder="0" applyAlignment="0" applyProtection="0"/>
    <xf numFmtId="0" fontId="13" fillId="11" borderId="0" applyNumberFormat="0" applyBorder="0" applyAlignment="0" applyProtection="0"/>
    <xf numFmtId="0" fontId="13" fillId="2" borderId="0" applyNumberFormat="0" applyBorder="0" applyAlignment="0" applyProtection="0"/>
    <xf numFmtId="0" fontId="13" fillId="12" borderId="0" applyNumberFormat="0" applyBorder="0" applyAlignment="0" applyProtection="0"/>
    <xf numFmtId="0" fontId="13" fillId="3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6" borderId="0" applyNumberFormat="0" applyBorder="0" applyAlignment="0" applyProtection="0"/>
    <xf numFmtId="0" fontId="14" fillId="15" borderId="0" applyNumberFormat="0" applyBorder="0" applyAlignment="0" applyProtection="0"/>
    <xf numFmtId="0" fontId="14" fillId="3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7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5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15" borderId="0" applyNumberFormat="0" applyBorder="0" applyAlignment="0" applyProtection="0"/>
    <xf numFmtId="0" fontId="14" fillId="23" borderId="0" applyNumberFormat="0" applyBorder="0" applyAlignment="0" applyProtection="0"/>
    <xf numFmtId="0" fontId="21" fillId="7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4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6" fillId="2" borderId="1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17" fillId="16" borderId="2" applyNumberFormat="0" applyAlignment="0" applyProtection="0"/>
    <xf numFmtId="0" fontId="17" fillId="16" borderId="2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21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15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14" fillId="23" borderId="0" applyNumberFormat="0" applyBorder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44" fontId="1" fillId="0" borderId="0" applyFont="0" applyFill="0" applyBorder="0" applyAlignment="0" applyProtection="0"/>
    <xf numFmtId="44" fontId="40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15" fillId="8" borderId="0" applyNumberFormat="0" applyBorder="0" applyAlignment="0" applyProtection="0"/>
    <xf numFmtId="0" fontId="15" fillId="8" borderId="0" applyNumberFormat="0" applyBorder="0" applyAlignment="0" applyProtection="0"/>
    <xf numFmtId="0" fontId="48" fillId="0" borderId="5" applyNumberFormat="0" applyFill="0" applyAlignment="0" applyProtection="0"/>
    <xf numFmtId="0" fontId="48" fillId="0" borderId="5" applyNumberFormat="0" applyFill="0" applyAlignment="0" applyProtection="0"/>
    <xf numFmtId="0" fontId="49" fillId="0" borderId="6" applyNumberFormat="0" applyFill="0" applyAlignment="0" applyProtection="0"/>
    <xf numFmtId="0" fontId="50" fillId="0" borderId="7" applyNumberFormat="0" applyFill="0" applyAlignment="0" applyProtection="0"/>
    <xf numFmtId="0" fontId="50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1" fillId="7" borderId="0" applyNumberFormat="0" applyBorder="0" applyAlignment="0" applyProtection="0"/>
    <xf numFmtId="0" fontId="20" fillId="3" borderId="1" applyNumberFormat="0" applyAlignment="0" applyProtection="0"/>
    <xf numFmtId="0" fontId="20" fillId="3" borderId="1" applyNumberFormat="0" applyAlignment="0" applyProtection="0"/>
    <xf numFmtId="0" fontId="18" fillId="0" borderId="3" applyNumberFormat="0" applyFill="0" applyAlignment="0" applyProtection="0"/>
    <xf numFmtId="0" fontId="18" fillId="0" borderId="3" applyNumberFormat="0" applyFill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22" fillId="11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12" fillId="0" borderId="0"/>
    <xf numFmtId="0" fontId="51" fillId="0" borderId="0"/>
    <xf numFmtId="0" fontId="12" fillId="0" borderId="0"/>
    <xf numFmtId="0" fontId="12" fillId="0" borderId="0"/>
    <xf numFmtId="0" fontId="51" fillId="0" borderId="0"/>
    <xf numFmtId="0" fontId="51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57" fillId="0" borderId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12" fillId="4" borderId="8" applyNumberFormat="0" applyFont="0" applyAlignment="0" applyProtection="0"/>
    <xf numFmtId="0" fontId="51" fillId="4" borderId="9" applyNumberFormat="0" applyFont="0" applyAlignment="0" applyProtection="0"/>
    <xf numFmtId="0" fontId="51" fillId="4" borderId="9" applyNumberFormat="0" applyFont="0" applyAlignment="0" applyProtection="0"/>
    <xf numFmtId="0" fontId="23" fillId="24" borderId="10" applyNumberFormat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51" fillId="0" borderId="0" applyFont="0" applyFill="0" applyBorder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3" fillId="2" borderId="10" applyNumberFormat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7" fillId="0" borderId="4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8" fillId="0" borderId="6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19" fillId="0" borderId="11" applyNumberFormat="0" applyFill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9" fillId="0" borderId="12" applyNumberFormat="0" applyFill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0" fontId="1" fillId="4" borderId="8" applyNumberFormat="0" applyFon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457">
    <xf numFmtId="0" fontId="0" fillId="0" borderId="0" xfId="0"/>
    <xf numFmtId="0" fontId="0" fillId="0" borderId="0" xfId="0" applyAlignment="1">
      <alignment horizontal="center"/>
    </xf>
    <xf numFmtId="0" fontId="2" fillId="26" borderId="13" xfId="0" applyFont="1" applyFill="1" applyBorder="1" applyAlignment="1">
      <alignment horizontal="center" vertical="center" wrapText="1"/>
    </xf>
    <xf numFmtId="0" fontId="2" fillId="28" borderId="13" xfId="0" applyFont="1" applyFill="1" applyBorder="1" applyAlignment="1">
      <alignment horizontal="center" vertical="center" wrapText="1"/>
    </xf>
    <xf numFmtId="0" fontId="2" fillId="29" borderId="13" xfId="0" applyFont="1" applyFill="1" applyBorder="1" applyAlignment="1">
      <alignment horizontal="center"/>
    </xf>
    <xf numFmtId="0" fontId="2" fillId="29" borderId="14" xfId="0" applyFont="1" applyFill="1" applyBorder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8" fillId="0" borderId="16" xfId="696" applyFont="1" applyBorder="1" applyAlignment="1">
      <alignment horizontal="center" vertical="center" wrapText="1"/>
    </xf>
    <xf numFmtId="4" fontId="8" fillId="0" borderId="20" xfId="696" applyNumberFormat="1" applyFont="1" applyBorder="1" applyAlignment="1">
      <alignment horizontal="center" vertical="center" wrapText="1"/>
    </xf>
    <xf numFmtId="0" fontId="11" fillId="0" borderId="0" xfId="0" applyFont="1"/>
    <xf numFmtId="0" fontId="31" fillId="0" borderId="0" xfId="0" applyFont="1" applyAlignment="1">
      <alignment horizontal="center"/>
    </xf>
    <xf numFmtId="0" fontId="32" fillId="0" borderId="0" xfId="0" applyFont="1"/>
    <xf numFmtId="0" fontId="33" fillId="0" borderId="22" xfId="0" applyFont="1" applyBorder="1" applyAlignment="1">
      <alignment horizontal="center"/>
    </xf>
    <xf numFmtId="1" fontId="33" fillId="0" borderId="23" xfId="0" applyNumberFormat="1" applyFont="1" applyBorder="1" applyAlignment="1">
      <alignment horizontal="center"/>
    </xf>
    <xf numFmtId="1" fontId="33" fillId="0" borderId="20" xfId="0" applyNumberFormat="1" applyFont="1" applyBorder="1" applyAlignment="1">
      <alignment horizontal="center"/>
    </xf>
    <xf numFmtId="165" fontId="33" fillId="0" borderId="20" xfId="0" applyNumberFormat="1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3" fillId="0" borderId="0" xfId="0" applyFont="1" applyAlignment="1">
      <alignment horizontal="center"/>
    </xf>
    <xf numFmtId="1" fontId="33" fillId="30" borderId="20" xfId="0" applyNumberFormat="1" applyFont="1" applyFill="1" applyBorder="1" applyAlignment="1">
      <alignment horizontal="center"/>
    </xf>
    <xf numFmtId="166" fontId="33" fillId="30" borderId="20" xfId="0" applyNumberFormat="1" applyFont="1" applyFill="1" applyBorder="1" applyAlignment="1">
      <alignment horizontal="center"/>
    </xf>
    <xf numFmtId="0" fontId="33" fillId="30" borderId="20" xfId="0" applyFont="1" applyFill="1" applyBorder="1" applyAlignment="1">
      <alignment horizontal="center"/>
    </xf>
    <xf numFmtId="1" fontId="33" fillId="31" borderId="23" xfId="0" applyNumberFormat="1" applyFont="1" applyFill="1" applyBorder="1" applyAlignment="1">
      <alignment horizontal="center"/>
    </xf>
    <xf numFmtId="165" fontId="33" fillId="0" borderId="19" xfId="0" applyNumberFormat="1" applyFont="1" applyBorder="1" applyAlignment="1">
      <alignment horizontal="center"/>
    </xf>
    <xf numFmtId="165" fontId="33" fillId="0" borderId="23" xfId="0" applyNumberFormat="1" applyFont="1" applyBorder="1" applyAlignment="1">
      <alignment horizontal="center"/>
    </xf>
    <xf numFmtId="0" fontId="11" fillId="0" borderId="24" xfId="0" applyFont="1" applyBorder="1"/>
    <xf numFmtId="0" fontId="33" fillId="0" borderId="19" xfId="0" applyFont="1" applyBorder="1" applyAlignment="1">
      <alignment horizontal="center"/>
    </xf>
    <xf numFmtId="0" fontId="11" fillId="0" borderId="25" xfId="0" applyFont="1" applyBorder="1"/>
    <xf numFmtId="0" fontId="11" fillId="32" borderId="26" xfId="0" applyFont="1" applyFill="1" applyBorder="1" applyAlignment="1">
      <alignment horizontal="left" indent="1"/>
    </xf>
    <xf numFmtId="0" fontId="11" fillId="0" borderId="24" xfId="0" applyFont="1" applyBorder="1" applyAlignment="1">
      <alignment horizontal="left" indent="2"/>
    </xf>
    <xf numFmtId="0" fontId="11" fillId="0" borderId="24" xfId="0" applyFont="1" applyBorder="1" applyAlignment="1">
      <alignment horizontal="left" indent="4"/>
    </xf>
    <xf numFmtId="0" fontId="11" fillId="0" borderId="24" xfId="0" applyFont="1" applyBorder="1" applyAlignment="1">
      <alignment horizontal="left" indent="1"/>
    </xf>
    <xf numFmtId="0" fontId="11" fillId="0" borderId="26" xfId="0" applyFont="1" applyBorder="1" applyAlignment="1">
      <alignment horizontal="left" indent="2"/>
    </xf>
    <xf numFmtId="0" fontId="11" fillId="0" borderId="26" xfId="0" applyFont="1" applyBorder="1" applyAlignment="1">
      <alignment horizontal="left" indent="1"/>
    </xf>
    <xf numFmtId="0" fontId="11" fillId="0" borderId="25" xfId="0" applyFont="1" applyBorder="1" applyAlignment="1">
      <alignment horizontal="left" indent="2"/>
    </xf>
    <xf numFmtId="0" fontId="11" fillId="0" borderId="27" xfId="0" applyFont="1" applyBorder="1" applyAlignment="1">
      <alignment horizontal="left" indent="2"/>
    </xf>
    <xf numFmtId="0" fontId="33" fillId="0" borderId="28" xfId="0" applyFont="1" applyBorder="1" applyAlignment="1">
      <alignment horizontal="center"/>
    </xf>
    <xf numFmtId="1" fontId="33" fillId="0" borderId="19" xfId="0" applyNumberFormat="1" applyFont="1" applyBorder="1" applyAlignment="1">
      <alignment horizontal="center"/>
    </xf>
    <xf numFmtId="1" fontId="33" fillId="30" borderId="29" xfId="0" applyNumberFormat="1" applyFont="1" applyFill="1" applyBorder="1" applyAlignment="1">
      <alignment horizontal="center"/>
    </xf>
    <xf numFmtId="165" fontId="33" fillId="0" borderId="29" xfId="0" applyNumberFormat="1" applyFont="1" applyBorder="1" applyAlignment="1">
      <alignment horizontal="center"/>
    </xf>
    <xf numFmtId="166" fontId="33" fillId="30" borderId="29" xfId="0" applyNumberFormat="1" applyFont="1" applyFill="1" applyBorder="1" applyAlignment="1">
      <alignment horizontal="center"/>
    </xf>
    <xf numFmtId="1" fontId="33" fillId="0" borderId="29" xfId="0" applyNumberFormat="1" applyFont="1" applyBorder="1" applyAlignment="1">
      <alignment horizontal="center"/>
    </xf>
    <xf numFmtId="0" fontId="33" fillId="30" borderId="29" xfId="0" applyFont="1" applyFill="1" applyBorder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36" fillId="0" borderId="0" xfId="0" applyFont="1" applyAlignment="1">
      <alignment horizontal="left"/>
    </xf>
    <xf numFmtId="0" fontId="37" fillId="0" borderId="0" xfId="0" applyFont="1" applyAlignment="1">
      <alignment horizontal="center"/>
    </xf>
    <xf numFmtId="164" fontId="37" fillId="0" borderId="0" xfId="0" applyNumberFormat="1" applyFont="1" applyAlignment="1">
      <alignment horizontal="center"/>
    </xf>
    <xf numFmtId="0" fontId="38" fillId="0" borderId="0" xfId="0" applyFont="1" applyAlignment="1">
      <alignment horizontal="center"/>
    </xf>
    <xf numFmtId="1" fontId="38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 applyAlignment="1" applyProtection="1">
      <alignment horizontal="center"/>
      <protection locked="0"/>
    </xf>
    <xf numFmtId="0" fontId="38" fillId="0" borderId="0" xfId="0" applyFont="1"/>
    <xf numFmtId="164" fontId="39" fillId="0" borderId="0" xfId="0" applyNumberFormat="1" applyFont="1" applyAlignment="1">
      <alignment horizontal="center"/>
    </xf>
    <xf numFmtId="0" fontId="45" fillId="0" borderId="16" xfId="696" applyFont="1" applyBorder="1" applyAlignment="1">
      <alignment horizontal="left" vertical="center" wrapText="1" indent="1"/>
    </xf>
    <xf numFmtId="0" fontId="2" fillId="0" borderId="20" xfId="0" applyFon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0" fontId="53" fillId="0" borderId="0" xfId="0" applyFont="1"/>
    <xf numFmtId="0" fontId="55" fillId="0" borderId="0" xfId="0" applyFont="1"/>
    <xf numFmtId="0" fontId="0" fillId="0" borderId="35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29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8" fillId="0" borderId="0" xfId="0" applyFont="1" applyAlignment="1">
      <alignment horizontal="left" vertical="center" indent="1"/>
    </xf>
    <xf numFmtId="0" fontId="59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0" xfId="0" applyFont="1" applyAlignment="1">
      <alignment vertical="center"/>
    </xf>
    <xf numFmtId="0" fontId="62" fillId="0" borderId="0" xfId="0" applyFont="1" applyAlignment="1">
      <alignment horizontal="left" vertical="center" indent="1"/>
    </xf>
    <xf numFmtId="0" fontId="63" fillId="0" borderId="8" xfId="697" applyFont="1" applyBorder="1" applyAlignment="1">
      <alignment horizontal="center" wrapText="1"/>
    </xf>
    <xf numFmtId="0" fontId="58" fillId="0" borderId="0" xfId="0" applyFont="1" applyAlignment="1">
      <alignment horizontal="left" vertical="center" indent="2"/>
    </xf>
    <xf numFmtId="0" fontId="59" fillId="43" borderId="20" xfId="0" applyFont="1" applyFill="1" applyBorder="1" applyAlignment="1">
      <alignment horizontal="center" vertical="center"/>
    </xf>
    <xf numFmtId="0" fontId="64" fillId="0" borderId="0" xfId="0" applyFont="1" applyAlignment="1">
      <alignment horizontal="left" vertical="center" indent="1"/>
    </xf>
    <xf numFmtId="0" fontId="59" fillId="43" borderId="20" xfId="0" applyFont="1" applyFill="1" applyBorder="1" applyAlignment="1">
      <alignment horizontal="left" vertical="center" indent="1"/>
    </xf>
    <xf numFmtId="0" fontId="59" fillId="43" borderId="20" xfId="0" applyFont="1" applyFill="1" applyBorder="1" applyAlignment="1">
      <alignment horizontal="left" vertical="center" indent="2"/>
    </xf>
    <xf numFmtId="0" fontId="65" fillId="0" borderId="0" xfId="0" applyFont="1" applyAlignment="1">
      <alignment horizontal="left" vertical="center" indent="1"/>
    </xf>
    <xf numFmtId="0" fontId="59" fillId="0" borderId="0" xfId="0" applyFont="1" applyAlignment="1">
      <alignment vertical="center"/>
    </xf>
    <xf numFmtId="0" fontId="63" fillId="0" borderId="41" xfId="697" applyFont="1" applyBorder="1" applyAlignment="1">
      <alignment horizontal="center" wrapText="1"/>
    </xf>
    <xf numFmtId="0" fontId="63" fillId="0" borderId="42" xfId="697" applyFont="1" applyBorder="1" applyAlignment="1">
      <alignment horizontal="center" wrapText="1"/>
    </xf>
    <xf numFmtId="0" fontId="63" fillId="0" borderId="43" xfId="697" applyFont="1" applyBorder="1" applyAlignment="1">
      <alignment horizontal="center" wrapText="1"/>
    </xf>
    <xf numFmtId="0" fontId="66" fillId="43" borderId="44" xfId="697" applyFont="1" applyFill="1" applyBorder="1" applyAlignment="1">
      <alignment horizontal="center" wrapText="1"/>
    </xf>
    <xf numFmtId="0" fontId="63" fillId="0" borderId="45" xfId="697" applyFont="1" applyBorder="1" applyAlignment="1">
      <alignment horizontal="left" wrapText="1" indent="1"/>
    </xf>
    <xf numFmtId="0" fontId="63" fillId="0" borderId="46" xfId="697" applyFont="1" applyBorder="1" applyAlignment="1">
      <alignment horizontal="center" wrapText="1"/>
    </xf>
    <xf numFmtId="0" fontId="63" fillId="0" borderId="47" xfId="697" applyFont="1" applyBorder="1" applyAlignment="1">
      <alignment horizontal="left" wrapText="1" indent="1"/>
    </xf>
    <xf numFmtId="0" fontId="63" fillId="0" borderId="48" xfId="697" applyFont="1" applyBorder="1" applyAlignment="1">
      <alignment horizontal="center" wrapText="1"/>
    </xf>
    <xf numFmtId="0" fontId="63" fillId="0" borderId="49" xfId="697" applyFont="1" applyBorder="1" applyAlignment="1">
      <alignment horizontal="center" wrapText="1"/>
    </xf>
    <xf numFmtId="0" fontId="63" fillId="0" borderId="50" xfId="697" applyFont="1" applyBorder="1" applyAlignment="1">
      <alignment horizontal="left" wrapText="1" indent="1"/>
    </xf>
    <xf numFmtId="0" fontId="58" fillId="0" borderId="51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19" xfId="0" applyFont="1" applyBorder="1" applyAlignment="1">
      <alignment horizontal="center" vertical="center"/>
    </xf>
    <xf numFmtId="0" fontId="58" fillId="0" borderId="17" xfId="0" applyFont="1" applyBorder="1" applyAlignment="1">
      <alignment horizontal="center" vertical="center"/>
    </xf>
    <xf numFmtId="0" fontId="58" fillId="0" borderId="16" xfId="0" applyFont="1" applyBorder="1" applyAlignment="1">
      <alignment horizontal="center" vertical="center"/>
    </xf>
    <xf numFmtId="0" fontId="59" fillId="0" borderId="22" xfId="0" applyFont="1" applyBorder="1" applyAlignment="1">
      <alignment horizontal="center" vertical="center"/>
    </xf>
    <xf numFmtId="0" fontId="59" fillId="0" borderId="23" xfId="0" applyFont="1" applyBorder="1" applyAlignment="1">
      <alignment horizontal="center" vertical="center"/>
    </xf>
    <xf numFmtId="0" fontId="59" fillId="0" borderId="30" xfId="0" applyFont="1" applyBorder="1" applyAlignment="1">
      <alignment horizontal="center" vertical="center"/>
    </xf>
    <xf numFmtId="0" fontId="63" fillId="0" borderId="44" xfId="697" applyFont="1" applyBorder="1" applyAlignment="1">
      <alignment horizontal="center" wrapText="1"/>
    </xf>
    <xf numFmtId="0" fontId="58" fillId="0" borderId="25" xfId="0" applyFont="1" applyBorder="1" applyAlignment="1">
      <alignment horizontal="center" vertical="center"/>
    </xf>
    <xf numFmtId="0" fontId="58" fillId="0" borderId="24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63" fillId="0" borderId="52" xfId="697" applyFont="1" applyBorder="1" applyAlignment="1">
      <alignment horizontal="left" wrapText="1" indent="1"/>
    </xf>
    <xf numFmtId="0" fontId="63" fillId="0" borderId="53" xfId="697" applyFont="1" applyBorder="1" applyAlignment="1">
      <alignment horizontal="left" wrapText="1" indent="1"/>
    </xf>
    <xf numFmtId="0" fontId="63" fillId="0" borderId="54" xfId="697" applyFont="1" applyBorder="1" applyAlignment="1">
      <alignment horizontal="left" wrapText="1" indent="1"/>
    </xf>
    <xf numFmtId="0" fontId="63" fillId="0" borderId="55" xfId="697" applyFont="1" applyBorder="1" applyAlignment="1">
      <alignment horizontal="center" wrapText="1"/>
    </xf>
    <xf numFmtId="0" fontId="63" fillId="0" borderId="56" xfId="697" applyFont="1" applyBorder="1" applyAlignment="1">
      <alignment horizontal="left" wrapText="1" indent="1"/>
    </xf>
    <xf numFmtId="0" fontId="63" fillId="0" borderId="57" xfId="697" applyFont="1" applyBorder="1" applyAlignment="1">
      <alignment horizontal="center" wrapText="1"/>
    </xf>
    <xf numFmtId="0" fontId="63" fillId="0" borderId="58" xfId="697" applyFont="1" applyBorder="1" applyAlignment="1">
      <alignment horizontal="center" wrapText="1"/>
    </xf>
    <xf numFmtId="0" fontId="63" fillId="0" borderId="59" xfId="697" applyFont="1" applyBorder="1" applyAlignment="1">
      <alignment horizontal="center" wrapText="1"/>
    </xf>
    <xf numFmtId="0" fontId="63" fillId="0" borderId="42" xfId="697" applyFont="1" applyBorder="1" applyAlignment="1">
      <alignment horizontal="center" vertical="center" wrapText="1"/>
    </xf>
    <xf numFmtId="0" fontId="62" fillId="0" borderId="0" xfId="0" applyFont="1" applyAlignment="1">
      <alignment horizontal="left" vertical="center"/>
    </xf>
    <xf numFmtId="0" fontId="63" fillId="0" borderId="52" xfId="697" applyFont="1" applyBorder="1" applyAlignment="1">
      <alignment horizontal="left" vertical="center" wrapText="1" indent="1"/>
    </xf>
    <xf numFmtId="0" fontId="63" fillId="44" borderId="27" xfId="697" applyFont="1" applyFill="1" applyBorder="1" applyAlignment="1">
      <alignment horizontal="center" wrapText="1"/>
    </xf>
    <xf numFmtId="0" fontId="59" fillId="44" borderId="23" xfId="0" applyFont="1" applyFill="1" applyBorder="1" applyAlignment="1">
      <alignment horizontal="center" vertical="center"/>
    </xf>
    <xf numFmtId="0" fontId="58" fillId="44" borderId="0" xfId="0" applyFont="1" applyFill="1" applyAlignment="1">
      <alignment horizontal="center" vertical="center"/>
    </xf>
    <xf numFmtId="0" fontId="58" fillId="44" borderId="19" xfId="0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0" fontId="63" fillId="44" borderId="25" xfId="697" applyFont="1" applyFill="1" applyBorder="1" applyAlignment="1">
      <alignment horizontal="center" wrapText="1"/>
    </xf>
    <xf numFmtId="0" fontId="63" fillId="44" borderId="28" xfId="697" applyFont="1" applyFill="1" applyBorder="1" applyAlignment="1">
      <alignment horizontal="left" wrapText="1" indent="1"/>
    </xf>
    <xf numFmtId="0" fontId="67" fillId="44" borderId="24" xfId="697" applyFont="1" applyFill="1" applyBorder="1" applyAlignment="1">
      <alignment horizontal="center" wrapText="1"/>
    </xf>
    <xf numFmtId="0" fontId="67" fillId="44" borderId="19" xfId="697" applyFont="1" applyFill="1" applyBorder="1" applyAlignment="1">
      <alignment horizontal="left" wrapText="1" indent="1"/>
    </xf>
    <xf numFmtId="0" fontId="63" fillId="44" borderId="24" xfId="697" applyFont="1" applyFill="1" applyBorder="1" applyAlignment="1">
      <alignment horizontal="center" wrapText="1"/>
    </xf>
    <xf numFmtId="0" fontId="63" fillId="44" borderId="19" xfId="697" applyFont="1" applyFill="1" applyBorder="1" applyAlignment="1">
      <alignment horizontal="left" wrapText="1" indent="1"/>
    </xf>
    <xf numFmtId="0" fontId="63" fillId="44" borderId="16" xfId="697" applyFont="1" applyFill="1" applyBorder="1" applyAlignment="1">
      <alignment horizontal="left" wrapText="1" indent="1"/>
    </xf>
    <xf numFmtId="0" fontId="63" fillId="0" borderId="60" xfId="697" applyFont="1" applyBorder="1" applyAlignment="1">
      <alignment horizontal="center" wrapText="1"/>
    </xf>
    <xf numFmtId="0" fontId="63" fillId="0" borderId="61" xfId="697" applyFont="1" applyBorder="1" applyAlignment="1">
      <alignment horizontal="center" wrapText="1"/>
    </xf>
    <xf numFmtId="0" fontId="63" fillId="0" borderId="62" xfId="697" applyFont="1" applyBorder="1" applyAlignment="1">
      <alignment horizontal="center" wrapText="1"/>
    </xf>
    <xf numFmtId="0" fontId="68" fillId="45" borderId="8" xfId="697" quotePrefix="1" applyFont="1" applyFill="1" applyBorder="1" applyAlignment="1">
      <alignment horizontal="left" wrapText="1" indent="1"/>
    </xf>
    <xf numFmtId="0" fontId="63" fillId="45" borderId="47" xfId="697" applyFont="1" applyFill="1" applyBorder="1" applyAlignment="1">
      <alignment horizontal="left" wrapText="1" indent="1"/>
    </xf>
    <xf numFmtId="0" fontId="59" fillId="45" borderId="23" xfId="0" applyFont="1" applyFill="1" applyBorder="1" applyAlignment="1">
      <alignment horizontal="center" vertical="center"/>
    </xf>
    <xf numFmtId="0" fontId="58" fillId="45" borderId="0" xfId="0" applyFont="1" applyFill="1" applyAlignment="1">
      <alignment horizontal="center" vertical="center"/>
    </xf>
    <xf numFmtId="0" fontId="58" fillId="45" borderId="19" xfId="0" applyFont="1" applyFill="1" applyBorder="1" applyAlignment="1">
      <alignment horizontal="center" vertical="center"/>
    </xf>
    <xf numFmtId="0" fontId="63" fillId="45" borderId="62" xfId="697" applyFont="1" applyFill="1" applyBorder="1" applyAlignment="1">
      <alignment horizontal="center" wrapText="1"/>
    </xf>
    <xf numFmtId="0" fontId="68" fillId="44" borderId="24" xfId="697" applyFont="1" applyFill="1" applyBorder="1" applyAlignment="1">
      <alignment horizontal="center" wrapText="1"/>
    </xf>
    <xf numFmtId="0" fontId="59" fillId="44" borderId="22" xfId="0" applyFont="1" applyFill="1" applyBorder="1" applyAlignment="1">
      <alignment horizontal="center" vertical="center"/>
    </xf>
    <xf numFmtId="0" fontId="65" fillId="44" borderId="23" xfId="0" applyFont="1" applyFill="1" applyBorder="1" applyAlignment="1">
      <alignment horizontal="center" vertical="center"/>
    </xf>
    <xf numFmtId="0" fontId="59" fillId="44" borderId="30" xfId="0" applyFont="1" applyFill="1" applyBorder="1" applyAlignment="1">
      <alignment horizontal="center" vertical="center"/>
    </xf>
    <xf numFmtId="0" fontId="66" fillId="43" borderId="58" xfId="697" applyFont="1" applyFill="1" applyBorder="1" applyAlignment="1">
      <alignment horizontal="center" wrapText="1"/>
    </xf>
    <xf numFmtId="0" fontId="63" fillId="0" borderId="55" xfId="697" applyFont="1" applyBorder="1" applyAlignment="1">
      <alignment horizontal="left" wrapText="1" indent="1"/>
    </xf>
    <xf numFmtId="0" fontId="63" fillId="0" borderId="61" xfId="697" applyFont="1" applyBorder="1" applyAlignment="1">
      <alignment horizontal="left" wrapText="1" indent="1"/>
    </xf>
    <xf numFmtId="0" fontId="63" fillId="0" borderId="63" xfId="697" applyFont="1" applyBorder="1" applyAlignment="1">
      <alignment horizontal="left" wrapText="1" indent="1"/>
    </xf>
    <xf numFmtId="0" fontId="63" fillId="0" borderId="63" xfId="697" applyFont="1" applyBorder="1" applyAlignment="1">
      <alignment horizontal="center" wrapText="1"/>
    </xf>
    <xf numFmtId="0" fontId="63" fillId="0" borderId="62" xfId="697" applyFont="1" applyBorder="1" applyAlignment="1">
      <alignment horizontal="left" wrapText="1" indent="1"/>
    </xf>
    <xf numFmtId="0" fontId="68" fillId="45" borderId="60" xfId="697" quotePrefix="1" applyFont="1" applyFill="1" applyBorder="1" applyAlignment="1">
      <alignment horizontal="left" wrapText="1" indent="1"/>
    </xf>
    <xf numFmtId="0" fontId="63" fillId="45" borderId="60" xfId="697" applyFont="1" applyFill="1" applyBorder="1" applyAlignment="1">
      <alignment horizontal="center" wrapText="1"/>
    </xf>
    <xf numFmtId="0" fontId="66" fillId="43" borderId="20" xfId="697" applyFont="1" applyFill="1" applyBorder="1" applyAlignment="1">
      <alignment horizontal="center" wrapText="1"/>
    </xf>
    <xf numFmtId="0" fontId="66" fillId="0" borderId="59" xfId="697" applyFont="1" applyBorder="1" applyAlignment="1">
      <alignment horizontal="center" wrapText="1"/>
    </xf>
    <xf numFmtId="0" fontId="66" fillId="0" borderId="46" xfId="697" applyFont="1" applyBorder="1" applyAlignment="1">
      <alignment horizontal="center" wrapText="1"/>
    </xf>
    <xf numFmtId="0" fontId="63" fillId="45" borderId="8" xfId="697" applyFont="1" applyFill="1" applyBorder="1" applyAlignment="1">
      <alignment horizontal="center" wrapText="1"/>
    </xf>
    <xf numFmtId="0" fontId="63" fillId="45" borderId="49" xfId="697" applyFont="1" applyFill="1" applyBorder="1" applyAlignment="1">
      <alignment horizontal="center" wrapText="1"/>
    </xf>
    <xf numFmtId="0" fontId="68" fillId="45" borderId="58" xfId="697" quotePrefix="1" applyFont="1" applyFill="1" applyBorder="1" applyAlignment="1">
      <alignment horizontal="left" wrapText="1" indent="1"/>
    </xf>
    <xf numFmtId="0" fontId="63" fillId="45" borderId="59" xfId="697" applyFont="1" applyFill="1" applyBorder="1" applyAlignment="1">
      <alignment horizontal="center" wrapText="1"/>
    </xf>
    <xf numFmtId="0" fontId="72" fillId="0" borderId="44" xfId="697" applyFont="1" applyBorder="1" applyAlignment="1">
      <alignment horizontal="center" wrapText="1"/>
    </xf>
    <xf numFmtId="0" fontId="72" fillId="0" borderId="46" xfId="697" applyFont="1" applyBorder="1" applyAlignment="1">
      <alignment horizontal="center" wrapText="1"/>
    </xf>
    <xf numFmtId="0" fontId="63" fillId="46" borderId="46" xfId="697" applyFont="1" applyFill="1" applyBorder="1" applyAlignment="1">
      <alignment horizontal="center" wrapText="1"/>
    </xf>
    <xf numFmtId="0" fontId="63" fillId="46" borderId="48" xfId="697" applyFont="1" applyFill="1" applyBorder="1" applyAlignment="1">
      <alignment horizontal="center" wrapText="1"/>
    </xf>
    <xf numFmtId="0" fontId="63" fillId="46" borderId="58" xfId="697" applyFont="1" applyFill="1" applyBorder="1" applyAlignment="1">
      <alignment horizontal="center" wrapText="1"/>
    </xf>
    <xf numFmtId="0" fontId="63" fillId="46" borderId="59" xfId="697" applyFont="1" applyFill="1" applyBorder="1" applyAlignment="1">
      <alignment horizontal="center" wrapText="1"/>
    </xf>
    <xf numFmtId="0" fontId="73" fillId="0" borderId="60" xfId="697" applyFont="1" applyBorder="1" applyAlignment="1">
      <alignment horizontal="center" wrapText="1"/>
    </xf>
    <xf numFmtId="0" fontId="73" fillId="0" borderId="58" xfId="697" applyFont="1" applyBorder="1" applyAlignment="1">
      <alignment horizontal="center" wrapText="1"/>
    </xf>
    <xf numFmtId="0" fontId="66" fillId="0" borderId="60" xfId="697" applyFont="1" applyBorder="1" applyAlignment="1">
      <alignment horizontal="center" wrapText="1"/>
    </xf>
    <xf numFmtId="0" fontId="66" fillId="0" borderId="64" xfId="697" applyFont="1" applyBorder="1" applyAlignment="1">
      <alignment horizontal="center" wrapText="1"/>
    </xf>
    <xf numFmtId="0" fontId="66" fillId="0" borderId="65" xfId="697" applyFont="1" applyBorder="1" applyAlignment="1">
      <alignment horizontal="center" wrapText="1"/>
    </xf>
    <xf numFmtId="0" fontId="66" fillId="0" borderId="66" xfId="697" applyFont="1" applyBorder="1" applyAlignment="1">
      <alignment horizontal="center" wrapText="1"/>
    </xf>
    <xf numFmtId="0" fontId="66" fillId="0" borderId="48" xfId="697" applyFont="1" applyBorder="1" applyAlignment="1">
      <alignment horizontal="center" wrapText="1"/>
    </xf>
    <xf numFmtId="0" fontId="71" fillId="0" borderId="67" xfId="697" applyFont="1" applyBorder="1" applyAlignment="1">
      <alignment horizontal="center" wrapText="1"/>
    </xf>
    <xf numFmtId="0" fontId="63" fillId="0" borderId="54" xfId="697" applyFont="1" applyBorder="1" applyAlignment="1">
      <alignment horizontal="center" wrapText="1"/>
    </xf>
    <xf numFmtId="0" fontId="66" fillId="46" borderId="58" xfId="697" applyFont="1" applyFill="1" applyBorder="1" applyAlignment="1">
      <alignment horizontal="center" wrapText="1"/>
    </xf>
    <xf numFmtId="0" fontId="66" fillId="46" borderId="44" xfId="697" applyFont="1" applyFill="1" applyBorder="1" applyAlignment="1">
      <alignment horizontal="center" wrapText="1"/>
    </xf>
    <xf numFmtId="0" fontId="66" fillId="46" borderId="26" xfId="697" applyFont="1" applyFill="1" applyBorder="1" applyAlignment="1">
      <alignment horizontal="center" wrapText="1"/>
    </xf>
    <xf numFmtId="0" fontId="66" fillId="46" borderId="68" xfId="697" applyFont="1" applyFill="1" applyBorder="1" applyAlignment="1">
      <alignment horizontal="center" wrapText="1"/>
    </xf>
    <xf numFmtId="0" fontId="66" fillId="0" borderId="65" xfId="697" applyFont="1" applyBorder="1" applyAlignment="1">
      <alignment horizontal="center" vertical="center" wrapText="1"/>
    </xf>
    <xf numFmtId="0" fontId="63" fillId="47" borderId="58" xfId="697" applyFont="1" applyFill="1" applyBorder="1" applyAlignment="1">
      <alignment horizontal="center" vertical="center" wrapText="1"/>
    </xf>
    <xf numFmtId="0" fontId="63" fillId="0" borderId="43" xfId="697" applyFont="1" applyBorder="1" applyAlignment="1">
      <alignment horizontal="center" vertical="center" wrapText="1"/>
    </xf>
    <xf numFmtId="0" fontId="66" fillId="0" borderId="66" xfId="697" applyFont="1" applyBorder="1" applyAlignment="1">
      <alignment horizontal="center" vertical="center" wrapText="1"/>
    </xf>
    <xf numFmtId="0" fontId="63" fillId="47" borderId="60" xfId="697" applyFont="1" applyFill="1" applyBorder="1" applyAlignment="1">
      <alignment horizontal="center" vertical="center" wrapText="1"/>
    </xf>
    <xf numFmtId="0" fontId="63" fillId="0" borderId="8" xfId="697" applyFont="1" applyBorder="1" applyAlignment="1">
      <alignment horizontal="center" vertical="center" wrapText="1"/>
    </xf>
    <xf numFmtId="0" fontId="63" fillId="0" borderId="55" xfId="697" applyFont="1" applyBorder="1" applyAlignment="1">
      <alignment horizontal="left" vertical="center" wrapText="1" indent="1"/>
    </xf>
    <xf numFmtId="0" fontId="63" fillId="0" borderId="53" xfId="697" applyFont="1" applyBorder="1" applyAlignment="1">
      <alignment horizontal="left" vertical="center" wrapText="1" indent="1"/>
    </xf>
    <xf numFmtId="0" fontId="66" fillId="47" borderId="64" xfId="697" applyFont="1" applyFill="1" applyBorder="1" applyAlignment="1">
      <alignment horizontal="center" wrapText="1"/>
    </xf>
    <xf numFmtId="0" fontId="58" fillId="0" borderId="0" xfId="0" quotePrefix="1" applyFont="1" applyAlignment="1">
      <alignment horizontal="center" vertical="center" wrapText="1"/>
    </xf>
    <xf numFmtId="0" fontId="63" fillId="0" borderId="69" xfId="697" applyFont="1" applyBorder="1" applyAlignment="1">
      <alignment horizontal="left" wrapText="1" indent="1"/>
    </xf>
    <xf numFmtId="0" fontId="60" fillId="0" borderId="55" xfId="697" applyFont="1" applyBorder="1" applyAlignment="1">
      <alignment horizontal="left" wrapText="1" indent="1"/>
    </xf>
    <xf numFmtId="0" fontId="60" fillId="0" borderId="54" xfId="697" applyFont="1" applyBorder="1" applyAlignment="1">
      <alignment horizontal="left" wrapText="1" indent="1"/>
    </xf>
    <xf numFmtId="0" fontId="68" fillId="45" borderId="68" xfId="697" quotePrefix="1" applyFont="1" applyFill="1" applyBorder="1" applyAlignment="1">
      <alignment horizontal="left" wrapText="1" indent="1"/>
    </xf>
    <xf numFmtId="0" fontId="63" fillId="45" borderId="66" xfId="697" applyFont="1" applyFill="1" applyBorder="1" applyAlignment="1">
      <alignment horizontal="center" wrapText="1"/>
    </xf>
    <xf numFmtId="0" fontId="68" fillId="45" borderId="64" xfId="697" quotePrefix="1" applyFont="1" applyFill="1" applyBorder="1" applyAlignment="1">
      <alignment horizontal="left" wrapText="1" indent="1"/>
    </xf>
    <xf numFmtId="0" fontId="60" fillId="0" borderId="67" xfId="697" applyFont="1" applyBorder="1" applyAlignment="1">
      <alignment horizontal="left" wrapText="1" indent="1"/>
    </xf>
    <xf numFmtId="0" fontId="63" fillId="0" borderId="70" xfId="697" applyFont="1" applyBorder="1" applyAlignment="1">
      <alignment horizontal="left" wrapText="1" indent="1"/>
    </xf>
    <xf numFmtId="0" fontId="63" fillId="0" borderId="20" xfId="697" applyFont="1" applyBorder="1" applyAlignment="1">
      <alignment horizontal="center" wrapText="1"/>
    </xf>
    <xf numFmtId="0" fontId="63" fillId="48" borderId="53" xfId="697" applyFont="1" applyFill="1" applyBorder="1" applyAlignment="1">
      <alignment horizontal="left" wrapText="1" indent="1"/>
    </xf>
    <xf numFmtId="0" fontId="63" fillId="48" borderId="54" xfId="697" applyFont="1" applyFill="1" applyBorder="1" applyAlignment="1">
      <alignment horizontal="left" wrapText="1" indent="1"/>
    </xf>
    <xf numFmtId="0" fontId="66" fillId="48" borderId="60" xfId="697" applyFont="1" applyFill="1" applyBorder="1" applyAlignment="1">
      <alignment horizontal="center" wrapText="1"/>
    </xf>
    <xf numFmtId="0" fontId="66" fillId="44" borderId="58" xfId="697" applyFont="1" applyFill="1" applyBorder="1" applyAlignment="1">
      <alignment horizontal="center" wrapText="1"/>
    </xf>
    <xf numFmtId="0" fontId="58" fillId="44" borderId="25" xfId="0" applyFont="1" applyFill="1" applyBorder="1" applyAlignment="1">
      <alignment horizontal="center" vertical="center"/>
    </xf>
    <xf numFmtId="0" fontId="58" fillId="44" borderId="51" xfId="0" applyFont="1" applyFill="1" applyBorder="1" applyAlignment="1">
      <alignment horizontal="center" vertical="center"/>
    </xf>
    <xf numFmtId="0" fontId="58" fillId="44" borderId="28" xfId="0" applyFont="1" applyFill="1" applyBorder="1" applyAlignment="1">
      <alignment horizontal="center" vertical="center"/>
    </xf>
    <xf numFmtId="0" fontId="69" fillId="44" borderId="60" xfId="697" applyFont="1" applyFill="1" applyBorder="1" applyAlignment="1">
      <alignment horizontal="center" wrapText="1"/>
    </xf>
    <xf numFmtId="0" fontId="62" fillId="44" borderId="24" xfId="0" applyFont="1" applyFill="1" applyBorder="1" applyAlignment="1">
      <alignment horizontal="center" vertical="center"/>
    </xf>
    <xf numFmtId="0" fontId="62" fillId="44" borderId="0" xfId="0" applyFont="1" applyFill="1" applyAlignment="1">
      <alignment horizontal="center" vertical="center"/>
    </xf>
    <xf numFmtId="0" fontId="62" fillId="44" borderId="19" xfId="0" applyFont="1" applyFill="1" applyBorder="1" applyAlignment="1">
      <alignment horizontal="center" vertical="center"/>
    </xf>
    <xf numFmtId="0" fontId="73" fillId="44" borderId="60" xfId="697" applyFont="1" applyFill="1" applyBorder="1" applyAlignment="1">
      <alignment horizontal="center" wrapText="1"/>
    </xf>
    <xf numFmtId="0" fontId="58" fillId="44" borderId="24" xfId="0" applyFont="1" applyFill="1" applyBorder="1" applyAlignment="1">
      <alignment horizontal="center" vertical="center"/>
    </xf>
    <xf numFmtId="0" fontId="73" fillId="44" borderId="59" xfId="697" applyFont="1" applyFill="1" applyBorder="1" applyAlignment="1">
      <alignment horizontal="center" wrapText="1"/>
    </xf>
    <xf numFmtId="0" fontId="58" fillId="44" borderId="17" xfId="0" applyFont="1" applyFill="1" applyBorder="1" applyAlignment="1">
      <alignment horizontal="center" vertical="center"/>
    </xf>
    <xf numFmtId="0" fontId="58" fillId="44" borderId="16" xfId="0" applyFont="1" applyFill="1" applyBorder="1" applyAlignment="1">
      <alignment horizontal="center" vertical="center"/>
    </xf>
    <xf numFmtId="0" fontId="73" fillId="45" borderId="60" xfId="697" applyFont="1" applyFill="1" applyBorder="1" applyAlignment="1">
      <alignment horizontal="center" wrapText="1"/>
    </xf>
    <xf numFmtId="0" fontId="66" fillId="45" borderId="66" xfId="697" applyFont="1" applyFill="1" applyBorder="1" applyAlignment="1">
      <alignment horizontal="center" wrapText="1"/>
    </xf>
    <xf numFmtId="0" fontId="63" fillId="45" borderId="53" xfId="697" applyFont="1" applyFill="1" applyBorder="1" applyAlignment="1">
      <alignment horizontal="left" wrapText="1" indent="1"/>
    </xf>
    <xf numFmtId="0" fontId="66" fillId="45" borderId="46" xfId="697" applyFont="1" applyFill="1" applyBorder="1" applyAlignment="1">
      <alignment horizontal="center" wrapText="1"/>
    </xf>
    <xf numFmtId="0" fontId="74" fillId="49" borderId="20" xfId="697" quotePrefix="1" applyFont="1" applyFill="1" applyBorder="1" applyAlignment="1">
      <alignment horizontal="left" wrapText="1" indent="1"/>
    </xf>
    <xf numFmtId="0" fontId="58" fillId="45" borderId="24" xfId="0" applyFont="1" applyFill="1" applyBorder="1" applyAlignment="1">
      <alignment horizontal="center" vertical="center"/>
    </xf>
    <xf numFmtId="0" fontId="66" fillId="45" borderId="48" xfId="697" applyFont="1" applyFill="1" applyBorder="1" applyAlignment="1">
      <alignment horizontal="center" wrapText="1"/>
    </xf>
    <xf numFmtId="0" fontId="63" fillId="45" borderId="54" xfId="697" applyFont="1" applyFill="1" applyBorder="1" applyAlignment="1">
      <alignment horizontal="left" wrapText="1" indent="1"/>
    </xf>
    <xf numFmtId="0" fontId="59" fillId="45" borderId="30" xfId="0" applyFont="1" applyFill="1" applyBorder="1" applyAlignment="1">
      <alignment horizontal="center" vertical="center"/>
    </xf>
    <xf numFmtId="0" fontId="58" fillId="45" borderId="27" xfId="0" applyFont="1" applyFill="1" applyBorder="1" applyAlignment="1">
      <alignment horizontal="center" vertical="center"/>
    </xf>
    <xf numFmtId="0" fontId="58" fillId="45" borderId="17" xfId="0" applyFont="1" applyFill="1" applyBorder="1" applyAlignment="1">
      <alignment horizontal="center" vertical="center"/>
    </xf>
    <xf numFmtId="0" fontId="58" fillId="45" borderId="16" xfId="0" applyFont="1" applyFill="1" applyBorder="1" applyAlignment="1">
      <alignment horizontal="center" vertical="center"/>
    </xf>
    <xf numFmtId="0" fontId="63" fillId="45" borderId="52" xfId="697" applyFont="1" applyFill="1" applyBorder="1" applyAlignment="1">
      <alignment horizontal="left" wrapText="1" indent="1"/>
    </xf>
    <xf numFmtId="0" fontId="63" fillId="45" borderId="42" xfId="697" applyFont="1" applyFill="1" applyBorder="1" applyAlignment="1">
      <alignment horizontal="center" wrapText="1"/>
    </xf>
    <xf numFmtId="0" fontId="59" fillId="45" borderId="22" xfId="0" applyFont="1" applyFill="1" applyBorder="1" applyAlignment="1">
      <alignment horizontal="center" vertical="center"/>
    </xf>
    <xf numFmtId="0" fontId="58" fillId="45" borderId="51" xfId="0" applyFont="1" applyFill="1" applyBorder="1" applyAlignment="1">
      <alignment horizontal="center" vertical="center"/>
    </xf>
    <xf numFmtId="0" fontId="58" fillId="45" borderId="28" xfId="0" applyFont="1" applyFill="1" applyBorder="1" applyAlignment="1">
      <alignment horizontal="center" vertical="center"/>
    </xf>
    <xf numFmtId="0" fontId="66" fillId="45" borderId="58" xfId="697" applyFont="1" applyFill="1" applyBorder="1" applyAlignment="1">
      <alignment horizontal="center" wrapText="1"/>
    </xf>
    <xf numFmtId="0" fontId="66" fillId="45" borderId="60" xfId="697" applyFont="1" applyFill="1" applyBorder="1" applyAlignment="1">
      <alignment horizontal="center" wrapText="1"/>
    </xf>
    <xf numFmtId="0" fontId="66" fillId="45" borderId="59" xfId="697" applyFont="1" applyFill="1" applyBorder="1" applyAlignment="1">
      <alignment horizontal="center" wrapText="1"/>
    </xf>
    <xf numFmtId="0" fontId="70" fillId="45" borderId="71" xfId="697" quotePrefix="1" applyFont="1" applyFill="1" applyBorder="1" applyAlignment="1">
      <alignment horizontal="left" wrapText="1" indent="2"/>
    </xf>
    <xf numFmtId="0" fontId="60" fillId="45" borderId="67" xfId="697" applyFont="1" applyFill="1" applyBorder="1" applyAlignment="1">
      <alignment horizontal="left" wrapText="1" indent="1"/>
    </xf>
    <xf numFmtId="0" fontId="70" fillId="45" borderId="72" xfId="697" quotePrefix="1" applyFont="1" applyFill="1" applyBorder="1" applyAlignment="1">
      <alignment horizontal="left" wrapText="1" indent="2"/>
    </xf>
    <xf numFmtId="0" fontId="63" fillId="48" borderId="55" xfId="697" applyFont="1" applyFill="1" applyBorder="1" applyAlignment="1">
      <alignment horizontal="left" wrapText="1" indent="1"/>
    </xf>
    <xf numFmtId="0" fontId="68" fillId="45" borderId="71" xfId="697" quotePrefix="1" applyFont="1" applyFill="1" applyBorder="1" applyAlignment="1">
      <alignment horizontal="left" wrapText="1" indent="1"/>
    </xf>
    <xf numFmtId="0" fontId="63" fillId="45" borderId="67" xfId="697" applyFont="1" applyFill="1" applyBorder="1" applyAlignment="1">
      <alignment horizontal="center" wrapText="1"/>
    </xf>
    <xf numFmtId="0" fontId="68" fillId="45" borderId="67" xfId="697" quotePrefix="1" applyFont="1" applyFill="1" applyBorder="1" applyAlignment="1">
      <alignment horizontal="left" wrapText="1" indent="1"/>
    </xf>
    <xf numFmtId="0" fontId="63" fillId="45" borderId="72" xfId="697" applyFont="1" applyFill="1" applyBorder="1" applyAlignment="1">
      <alignment horizontal="center" wrapText="1"/>
    </xf>
    <xf numFmtId="0" fontId="66" fillId="0" borderId="73" xfId="697" applyFont="1" applyBorder="1" applyAlignment="1">
      <alignment horizontal="center" wrapText="1"/>
    </xf>
    <xf numFmtId="0" fontId="66" fillId="43" borderId="74" xfId="697" applyFont="1" applyFill="1" applyBorder="1" applyAlignment="1">
      <alignment horizontal="center" wrapText="1"/>
    </xf>
    <xf numFmtId="0" fontId="63" fillId="50" borderId="43" xfId="697" applyFont="1" applyFill="1" applyBorder="1" applyAlignment="1">
      <alignment horizontal="center" wrapText="1"/>
    </xf>
    <xf numFmtId="0" fontId="59" fillId="50" borderId="23" xfId="0" applyFont="1" applyFill="1" applyBorder="1" applyAlignment="1">
      <alignment horizontal="center" vertical="center"/>
    </xf>
    <xf numFmtId="0" fontId="58" fillId="50" borderId="24" xfId="0" applyFont="1" applyFill="1" applyBorder="1" applyAlignment="1">
      <alignment horizontal="center" vertical="center"/>
    </xf>
    <xf numFmtId="0" fontId="58" fillId="50" borderId="0" xfId="0" applyFont="1" applyFill="1" applyAlignment="1">
      <alignment horizontal="center" vertical="center"/>
    </xf>
    <xf numFmtId="0" fontId="58" fillId="50" borderId="19" xfId="0" applyFont="1" applyFill="1" applyBorder="1" applyAlignment="1">
      <alignment horizontal="center" vertical="center"/>
    </xf>
    <xf numFmtId="0" fontId="66" fillId="50" borderId="66" xfId="697" applyFont="1" applyFill="1" applyBorder="1" applyAlignment="1">
      <alignment horizontal="center" wrapText="1"/>
    </xf>
    <xf numFmtId="0" fontId="63" fillId="50" borderId="8" xfId="697" applyFont="1" applyFill="1" applyBorder="1" applyAlignment="1">
      <alignment horizontal="center" wrapText="1"/>
    </xf>
    <xf numFmtId="0" fontId="66" fillId="50" borderId="64" xfId="697" applyFont="1" applyFill="1" applyBorder="1" applyAlignment="1">
      <alignment horizontal="center" wrapText="1"/>
    </xf>
    <xf numFmtId="0" fontId="63" fillId="50" borderId="49" xfId="697" applyFont="1" applyFill="1" applyBorder="1" applyAlignment="1">
      <alignment horizontal="center" wrapText="1"/>
    </xf>
    <xf numFmtId="0" fontId="59" fillId="50" borderId="30" xfId="0" applyFont="1" applyFill="1" applyBorder="1" applyAlignment="1">
      <alignment horizontal="center" vertical="center"/>
    </xf>
    <xf numFmtId="0" fontId="58" fillId="50" borderId="27" xfId="0" applyFont="1" applyFill="1" applyBorder="1" applyAlignment="1">
      <alignment horizontal="center" vertical="center"/>
    </xf>
    <xf numFmtId="0" fontId="58" fillId="50" borderId="17" xfId="0" applyFont="1" applyFill="1" applyBorder="1" applyAlignment="1">
      <alignment horizontal="center" vertical="center"/>
    </xf>
    <xf numFmtId="0" fontId="58" fillId="50" borderId="16" xfId="0" applyFont="1" applyFill="1" applyBorder="1" applyAlignment="1">
      <alignment horizontal="center" vertical="center"/>
    </xf>
    <xf numFmtId="0" fontId="66" fillId="0" borderId="75" xfId="697" applyFont="1" applyBorder="1" applyAlignment="1">
      <alignment horizontal="center" wrapText="1"/>
    </xf>
    <xf numFmtId="0" fontId="63" fillId="0" borderId="61" xfId="697" applyFont="1" applyBorder="1" applyAlignment="1">
      <alignment horizontal="center" vertical="center" wrapText="1"/>
    </xf>
    <xf numFmtId="0" fontId="66" fillId="43" borderId="20" xfId="697" applyFont="1" applyFill="1" applyBorder="1" applyAlignment="1">
      <alignment horizontal="center" vertical="center" wrapText="1"/>
    </xf>
    <xf numFmtId="0" fontId="63" fillId="50" borderId="53" xfId="697" applyFont="1" applyFill="1" applyBorder="1" applyAlignment="1">
      <alignment horizontal="left" wrapText="1" indent="1"/>
    </xf>
    <xf numFmtId="0" fontId="66" fillId="43" borderId="22" xfId="697" applyFont="1" applyFill="1" applyBorder="1" applyAlignment="1">
      <alignment horizontal="center" wrapText="1"/>
    </xf>
    <xf numFmtId="0" fontId="63" fillId="0" borderId="76" xfId="697" applyFont="1" applyBorder="1" applyAlignment="1">
      <alignment horizontal="left" wrapText="1" indent="1"/>
    </xf>
    <xf numFmtId="0" fontId="58" fillId="50" borderId="26" xfId="0" applyFont="1" applyFill="1" applyBorder="1" applyAlignment="1">
      <alignment vertical="center"/>
    </xf>
    <xf numFmtId="0" fontId="63" fillId="50" borderId="77" xfId="697" applyFont="1" applyFill="1" applyBorder="1" applyAlignment="1">
      <alignment horizontal="center" wrapText="1"/>
    </xf>
    <xf numFmtId="0" fontId="63" fillId="50" borderId="78" xfId="697" applyFont="1" applyFill="1" applyBorder="1" applyAlignment="1">
      <alignment horizontal="left" wrapText="1" indent="1"/>
    </xf>
    <xf numFmtId="0" fontId="63" fillId="50" borderId="79" xfId="697" applyFont="1" applyFill="1" applyBorder="1" applyAlignment="1">
      <alignment horizontal="center" wrapText="1"/>
    </xf>
    <xf numFmtId="0" fontId="59" fillId="50" borderId="20" xfId="0" applyFont="1" applyFill="1" applyBorder="1" applyAlignment="1">
      <alignment horizontal="center" vertical="center"/>
    </xf>
    <xf numFmtId="0" fontId="58" fillId="50" borderId="80" xfId="0" applyFont="1" applyFill="1" applyBorder="1" applyAlignment="1">
      <alignment horizontal="center" vertical="center"/>
    </xf>
    <xf numFmtId="0" fontId="58" fillId="50" borderId="29" xfId="0" applyFont="1" applyFill="1" applyBorder="1" applyAlignment="1">
      <alignment horizontal="center" vertical="center"/>
    </xf>
    <xf numFmtId="0" fontId="66" fillId="50" borderId="46" xfId="697" applyFont="1" applyFill="1" applyBorder="1" applyAlignment="1">
      <alignment horizontal="center" wrapText="1"/>
    </xf>
    <xf numFmtId="0" fontId="72" fillId="0" borderId="8" xfId="697" applyFont="1" applyBorder="1" applyAlignment="1">
      <alignment horizontal="center" wrapText="1"/>
    </xf>
    <xf numFmtId="0" fontId="66" fillId="50" borderId="48" xfId="697" applyFont="1" applyFill="1" applyBorder="1" applyAlignment="1">
      <alignment horizontal="center" wrapText="1"/>
    </xf>
    <xf numFmtId="0" fontId="63" fillId="50" borderId="54" xfId="697" applyFont="1" applyFill="1" applyBorder="1" applyAlignment="1">
      <alignment horizontal="left" wrapText="1" indent="1"/>
    </xf>
    <xf numFmtId="0" fontId="66" fillId="43" borderId="23" xfId="697" applyFont="1" applyFill="1" applyBorder="1" applyAlignment="1">
      <alignment horizontal="center" wrapText="1"/>
    </xf>
    <xf numFmtId="0" fontId="66" fillId="0" borderId="44" xfId="697" applyFont="1" applyBorder="1" applyAlignment="1">
      <alignment horizontal="center" wrapText="1"/>
    </xf>
    <xf numFmtId="0" fontId="72" fillId="0" borderId="42" xfId="697" applyFont="1" applyBorder="1" applyAlignment="1">
      <alignment horizontal="center" wrapText="1"/>
    </xf>
    <xf numFmtId="0" fontId="66" fillId="43" borderId="68" xfId="697" applyFont="1" applyFill="1" applyBorder="1" applyAlignment="1">
      <alignment horizontal="center" wrapText="1"/>
    </xf>
    <xf numFmtId="0" fontId="68" fillId="50" borderId="71" xfId="697" quotePrefix="1" applyFont="1" applyFill="1" applyBorder="1" applyAlignment="1">
      <alignment horizontal="left" wrapText="1" indent="1"/>
    </xf>
    <xf numFmtId="0" fontId="70" fillId="50" borderId="71" xfId="697" quotePrefix="1" applyFont="1" applyFill="1" applyBorder="1" applyAlignment="1">
      <alignment horizontal="left" wrapText="1" indent="2"/>
    </xf>
    <xf numFmtId="0" fontId="63" fillId="50" borderId="71" xfId="697" applyFont="1" applyFill="1" applyBorder="1" applyAlignment="1">
      <alignment horizontal="left" wrapText="1" indent="1"/>
    </xf>
    <xf numFmtId="0" fontId="63" fillId="50" borderId="81" xfId="697" applyFont="1" applyFill="1" applyBorder="1" applyAlignment="1">
      <alignment horizontal="center" wrapText="1"/>
    </xf>
    <xf numFmtId="0" fontId="63" fillId="50" borderId="67" xfId="697" applyFont="1" applyFill="1" applyBorder="1" applyAlignment="1">
      <alignment horizontal="center" wrapText="1"/>
    </xf>
    <xf numFmtId="0" fontId="60" fillId="50" borderId="67" xfId="697" applyFont="1" applyFill="1" applyBorder="1" applyAlignment="1">
      <alignment horizontal="left" wrapText="1" indent="1"/>
    </xf>
    <xf numFmtId="0" fontId="63" fillId="50" borderId="67" xfId="697" applyFont="1" applyFill="1" applyBorder="1" applyAlignment="1">
      <alignment horizontal="left" wrapText="1" indent="1"/>
    </xf>
    <xf numFmtId="0" fontId="63" fillId="50" borderId="82" xfId="697" applyFont="1" applyFill="1" applyBorder="1" applyAlignment="1">
      <alignment horizontal="center" wrapText="1"/>
    </xf>
    <xf numFmtId="0" fontId="63" fillId="50" borderId="72" xfId="697" applyFont="1" applyFill="1" applyBorder="1" applyAlignment="1">
      <alignment horizontal="center" wrapText="1"/>
    </xf>
    <xf numFmtId="0" fontId="60" fillId="50" borderId="72" xfId="697" applyFont="1" applyFill="1" applyBorder="1" applyAlignment="1">
      <alignment horizontal="left" wrapText="1" indent="1"/>
    </xf>
    <xf numFmtId="0" fontId="63" fillId="50" borderId="72" xfId="697" applyFont="1" applyFill="1" applyBorder="1" applyAlignment="1">
      <alignment horizontal="left" wrapText="1" indent="1"/>
    </xf>
    <xf numFmtId="0" fontId="63" fillId="50" borderId="83" xfId="697" applyFont="1" applyFill="1" applyBorder="1" applyAlignment="1">
      <alignment horizontal="center" wrapText="1"/>
    </xf>
    <xf numFmtId="0" fontId="74" fillId="49" borderId="26" xfId="697" quotePrefix="1" applyFont="1" applyFill="1" applyBorder="1" applyAlignment="1">
      <alignment horizontal="left" wrapText="1" indent="1"/>
    </xf>
    <xf numFmtId="0" fontId="63" fillId="0" borderId="84" xfId="697" applyFont="1" applyBorder="1" applyAlignment="1">
      <alignment horizontal="left" wrapText="1" indent="1"/>
    </xf>
    <xf numFmtId="0" fontId="63" fillId="0" borderId="85" xfId="697" applyFont="1" applyBorder="1" applyAlignment="1">
      <alignment horizontal="left" wrapText="1" indent="1"/>
    </xf>
    <xf numFmtId="0" fontId="60" fillId="0" borderId="25" xfId="697" applyFont="1" applyBorder="1" applyAlignment="1">
      <alignment horizontal="left" wrapText="1" indent="1"/>
    </xf>
    <xf numFmtId="0" fontId="74" fillId="0" borderId="24" xfId="697" quotePrefix="1" applyFont="1" applyBorder="1" applyAlignment="1">
      <alignment horizontal="left" wrapText="1" indent="2"/>
    </xf>
    <xf numFmtId="0" fontId="60" fillId="0" borderId="27" xfId="697" applyFont="1" applyBorder="1" applyAlignment="1">
      <alignment horizontal="left" wrapText="1" indent="1"/>
    </xf>
    <xf numFmtId="0" fontId="70" fillId="45" borderId="68" xfId="697" quotePrefix="1" applyFont="1" applyFill="1" applyBorder="1" applyAlignment="1">
      <alignment horizontal="left" wrapText="1" indent="2"/>
    </xf>
    <xf numFmtId="0" fontId="63" fillId="45" borderId="61" xfId="697" applyFont="1" applyFill="1" applyBorder="1" applyAlignment="1">
      <alignment horizontal="left" wrapText="1" indent="1"/>
    </xf>
    <xf numFmtId="0" fontId="60" fillId="45" borderId="66" xfId="697" applyFont="1" applyFill="1" applyBorder="1" applyAlignment="1">
      <alignment horizontal="left" wrapText="1" indent="1"/>
    </xf>
    <xf numFmtId="0" fontId="63" fillId="45" borderId="62" xfId="697" applyFont="1" applyFill="1" applyBorder="1" applyAlignment="1">
      <alignment horizontal="left" wrapText="1" indent="1"/>
    </xf>
    <xf numFmtId="0" fontId="70" fillId="45" borderId="66" xfId="697" quotePrefix="1" applyFont="1" applyFill="1" applyBorder="1" applyAlignment="1">
      <alignment horizontal="left" wrapText="1" indent="2"/>
    </xf>
    <xf numFmtId="0" fontId="60" fillId="45" borderId="64" xfId="697" applyFont="1" applyFill="1" applyBorder="1" applyAlignment="1">
      <alignment horizontal="left" wrapText="1" indent="1"/>
    </xf>
    <xf numFmtId="0" fontId="63" fillId="45" borderId="63" xfId="697" applyFont="1" applyFill="1" applyBorder="1" applyAlignment="1">
      <alignment horizontal="left" wrapText="1" indent="1"/>
    </xf>
    <xf numFmtId="0" fontId="60" fillId="0" borderId="80" xfId="697" applyFont="1" applyBorder="1" applyAlignment="1">
      <alignment horizontal="left" wrapText="1" indent="1"/>
    </xf>
    <xf numFmtId="0" fontId="60" fillId="44" borderId="25" xfId="697" applyFont="1" applyFill="1" applyBorder="1" applyAlignment="1">
      <alignment horizontal="left" wrapText="1" indent="1"/>
    </xf>
    <xf numFmtId="0" fontId="70" fillId="44" borderId="24" xfId="697" applyFont="1" applyFill="1" applyBorder="1" applyAlignment="1">
      <alignment horizontal="left" wrapText="1" indent="1"/>
    </xf>
    <xf numFmtId="0" fontId="60" fillId="44" borderId="24" xfId="697" applyFont="1" applyFill="1" applyBorder="1" applyAlignment="1">
      <alignment horizontal="left" wrapText="1" indent="1"/>
    </xf>
    <xf numFmtId="0" fontId="60" fillId="44" borderId="27" xfId="697" applyFont="1" applyFill="1" applyBorder="1" applyAlignment="1">
      <alignment horizontal="left" wrapText="1" indent="1"/>
    </xf>
    <xf numFmtId="0" fontId="60" fillId="0" borderId="68" xfId="697" applyFont="1" applyBorder="1" applyAlignment="1">
      <alignment horizontal="left" wrapText="1" indent="1"/>
    </xf>
    <xf numFmtId="0" fontId="60" fillId="0" borderId="66" xfId="697" applyFont="1" applyBorder="1" applyAlignment="1">
      <alignment horizontal="left" wrapText="1" indent="1"/>
    </xf>
    <xf numFmtId="0" fontId="60" fillId="0" borderId="64" xfId="697" applyFont="1" applyBorder="1" applyAlignment="1">
      <alignment horizontal="left" wrapText="1" indent="1"/>
    </xf>
    <xf numFmtId="0" fontId="60" fillId="0" borderId="52" xfId="697" applyFont="1" applyBorder="1" applyAlignment="1">
      <alignment horizontal="left" wrapText="1" indent="1"/>
    </xf>
    <xf numFmtId="0" fontId="60" fillId="0" borderId="76" xfId="697" applyFont="1" applyBorder="1" applyAlignment="1">
      <alignment horizontal="left" wrapText="1" indent="1"/>
    </xf>
    <xf numFmtId="0" fontId="60" fillId="0" borderId="68" xfId="697" applyFont="1" applyBorder="1" applyAlignment="1">
      <alignment horizontal="left" vertical="center" wrapText="1" indent="1"/>
    </xf>
    <xf numFmtId="0" fontId="63" fillId="0" borderId="84" xfId="697" applyFont="1" applyBorder="1" applyAlignment="1">
      <alignment horizontal="left" vertical="center" wrapText="1" indent="1"/>
    </xf>
    <xf numFmtId="0" fontId="60" fillId="0" borderId="66" xfId="697" applyFont="1" applyBorder="1" applyAlignment="1">
      <alignment horizontal="left" vertical="center" wrapText="1" indent="1"/>
    </xf>
    <xf numFmtId="0" fontId="63" fillId="0" borderId="62" xfId="697" applyFont="1" applyBorder="1" applyAlignment="1">
      <alignment horizontal="left" vertical="center" wrapText="1" indent="1"/>
    </xf>
    <xf numFmtId="0" fontId="60" fillId="0" borderId="53" xfId="697" applyFont="1" applyBorder="1" applyAlignment="1">
      <alignment horizontal="left" wrapText="1" indent="1"/>
    </xf>
    <xf numFmtId="0" fontId="70" fillId="45" borderId="67" xfId="697" quotePrefix="1" applyFont="1" applyFill="1" applyBorder="1" applyAlignment="1">
      <alignment horizontal="left" wrapText="1" indent="2"/>
    </xf>
    <xf numFmtId="0" fontId="60" fillId="45" borderId="72" xfId="697" applyFont="1" applyFill="1" applyBorder="1" applyAlignment="1">
      <alignment horizontal="left" wrapText="1" indent="1"/>
    </xf>
    <xf numFmtId="0" fontId="63" fillId="50" borderId="62" xfId="697" applyFont="1" applyFill="1" applyBorder="1" applyAlignment="1">
      <alignment horizontal="left" wrapText="1" indent="1"/>
    </xf>
    <xf numFmtId="0" fontId="60" fillId="50" borderId="54" xfId="697" applyFont="1" applyFill="1" applyBorder="1" applyAlignment="1">
      <alignment horizontal="left" wrapText="1" indent="1"/>
    </xf>
    <xf numFmtId="0" fontId="63" fillId="50" borderId="63" xfId="697" applyFont="1" applyFill="1" applyBorder="1" applyAlignment="1">
      <alignment horizontal="left" wrapText="1" indent="1"/>
    </xf>
    <xf numFmtId="0" fontId="60" fillId="0" borderId="52" xfId="697" applyFont="1" applyBorder="1" applyAlignment="1">
      <alignment horizontal="left" vertical="center" wrapText="1" indent="1"/>
    </xf>
    <xf numFmtId="0" fontId="60" fillId="50" borderId="78" xfId="697" applyFont="1" applyFill="1" applyBorder="1" applyAlignment="1">
      <alignment horizontal="left" wrapText="1" indent="1"/>
    </xf>
    <xf numFmtId="0" fontId="63" fillId="50" borderId="77" xfId="697" applyFont="1" applyFill="1" applyBorder="1" applyAlignment="1">
      <alignment horizontal="left" wrapText="1" indent="1"/>
    </xf>
    <xf numFmtId="0" fontId="60" fillId="0" borderId="70" xfId="697" applyFont="1" applyBorder="1" applyAlignment="1">
      <alignment horizontal="left" wrapText="1" indent="1"/>
    </xf>
    <xf numFmtId="0" fontId="60" fillId="50" borderId="53" xfId="697" applyFont="1" applyFill="1" applyBorder="1" applyAlignment="1">
      <alignment horizontal="left" wrapText="1" indent="1"/>
    </xf>
    <xf numFmtId="0" fontId="60" fillId="0" borderId="55" xfId="697" applyFont="1" applyBorder="1" applyAlignment="1">
      <alignment horizontal="left" vertical="center" wrapText="1" indent="1"/>
    </xf>
    <xf numFmtId="0" fontId="60" fillId="0" borderId="86" xfId="697" applyFont="1" applyBorder="1" applyAlignment="1">
      <alignment horizontal="left" vertical="center" wrapText="1" indent="1"/>
    </xf>
    <xf numFmtId="0" fontId="63" fillId="44" borderId="51" xfId="697" applyFont="1" applyFill="1" applyBorder="1" applyAlignment="1">
      <alignment horizontal="left" wrapText="1" indent="1"/>
    </xf>
    <xf numFmtId="0" fontId="67" fillId="44" borderId="0" xfId="697" applyFont="1" applyFill="1" applyAlignment="1">
      <alignment horizontal="left" wrapText="1" indent="1"/>
    </xf>
    <xf numFmtId="0" fontId="63" fillId="44" borderId="0" xfId="697" applyFont="1" applyFill="1" applyAlignment="1">
      <alignment horizontal="left" wrapText="1" indent="1"/>
    </xf>
    <xf numFmtId="0" fontId="63" fillId="44" borderId="17" xfId="697" applyFont="1" applyFill="1" applyBorder="1" applyAlignment="1">
      <alignment horizontal="left" wrapText="1" indent="1"/>
    </xf>
    <xf numFmtId="0" fontId="74" fillId="0" borderId="25" xfId="697" quotePrefix="1" applyFont="1" applyBorder="1" applyAlignment="1">
      <alignment horizontal="left" wrapText="1" indent="2"/>
    </xf>
    <xf numFmtId="0" fontId="60" fillId="50" borderId="87" xfId="697" applyFont="1" applyFill="1" applyBorder="1" applyAlignment="1">
      <alignment horizontal="left" wrapText="1" indent="1"/>
    </xf>
    <xf numFmtId="0" fontId="63" fillId="50" borderId="88" xfId="697" applyFont="1" applyFill="1" applyBorder="1" applyAlignment="1">
      <alignment horizontal="left" wrapText="1" indent="1"/>
    </xf>
    <xf numFmtId="0" fontId="60" fillId="0" borderId="87" xfId="697" applyFont="1" applyBorder="1" applyAlignment="1">
      <alignment horizontal="left" wrapText="1" indent="1"/>
    </xf>
    <xf numFmtId="0" fontId="63" fillId="0" borderId="88" xfId="697" applyFont="1" applyBorder="1" applyAlignment="1">
      <alignment horizontal="left" wrapText="1" indent="1"/>
    </xf>
    <xf numFmtId="0" fontId="63" fillId="0" borderId="53" xfId="697" applyFont="1" applyBorder="1" applyAlignment="1">
      <alignment horizontal="center" wrapText="1"/>
    </xf>
    <xf numFmtId="0" fontId="60" fillId="0" borderId="72" xfId="697" applyFont="1" applyBorder="1" applyAlignment="1">
      <alignment horizontal="left" wrapText="1" indent="1"/>
    </xf>
    <xf numFmtId="0" fontId="63" fillId="0" borderId="45" xfId="697" applyFont="1" applyBorder="1" applyAlignment="1">
      <alignment horizontal="center" wrapText="1"/>
    </xf>
    <xf numFmtId="0" fontId="63" fillId="0" borderId="47" xfId="697" applyFont="1" applyBorder="1" applyAlignment="1">
      <alignment horizontal="center" wrapText="1"/>
    </xf>
    <xf numFmtId="0" fontId="63" fillId="0" borderId="50" xfId="697" applyFont="1" applyBorder="1" applyAlignment="1">
      <alignment horizontal="center" wrapText="1"/>
    </xf>
    <xf numFmtId="0" fontId="58" fillId="0" borderId="51" xfId="0" applyFont="1" applyBorder="1" applyAlignment="1">
      <alignment vertical="center"/>
    </xf>
    <xf numFmtId="0" fontId="63" fillId="0" borderId="0" xfId="697" applyFont="1" applyAlignment="1">
      <alignment horizontal="center" wrapText="1"/>
    </xf>
    <xf numFmtId="0" fontId="60" fillId="0" borderId="0" xfId="697" applyFont="1" applyAlignment="1">
      <alignment horizontal="left" wrapText="1" indent="1"/>
    </xf>
    <xf numFmtId="0" fontId="66" fillId="0" borderId="0" xfId="697" applyFont="1" applyAlignment="1">
      <alignment horizontal="center" wrapText="1"/>
    </xf>
    <xf numFmtId="0" fontId="58" fillId="0" borderId="71" xfId="0" applyFont="1" applyBorder="1" applyAlignment="1">
      <alignment vertical="center"/>
    </xf>
    <xf numFmtId="0" fontId="60" fillId="0" borderId="71" xfId="697" applyFont="1" applyBorder="1" applyAlignment="1">
      <alignment horizontal="left" wrapText="1" indent="1"/>
    </xf>
    <xf numFmtId="0" fontId="66" fillId="43" borderId="22" xfId="697" applyFont="1" applyFill="1" applyBorder="1" applyAlignment="1">
      <alignment horizontal="center" vertical="center" wrapText="1"/>
    </xf>
    <xf numFmtId="0" fontId="63" fillId="0" borderId="61" xfId="697" applyFont="1" applyBorder="1" applyAlignment="1">
      <alignment horizontal="left" vertical="center" wrapText="1" indent="1"/>
    </xf>
    <xf numFmtId="0" fontId="60" fillId="0" borderId="0" xfId="0" applyFont="1" applyAlignment="1">
      <alignment horizontal="left" indent="1"/>
    </xf>
    <xf numFmtId="0" fontId="63" fillId="51" borderId="49" xfId="697" applyFont="1" applyFill="1" applyBorder="1" applyAlignment="1">
      <alignment horizontal="center" wrapText="1"/>
    </xf>
    <xf numFmtId="0" fontId="60" fillId="51" borderId="54" xfId="697" applyFont="1" applyFill="1" applyBorder="1" applyAlignment="1">
      <alignment horizontal="left" wrapText="1" indent="1"/>
    </xf>
    <xf numFmtId="0" fontId="63" fillId="51" borderId="63" xfId="697" applyFont="1" applyFill="1" applyBorder="1" applyAlignment="1">
      <alignment horizontal="left" wrapText="1" indent="1"/>
    </xf>
    <xf numFmtId="0" fontId="63" fillId="51" borderId="54" xfId="697" applyFont="1" applyFill="1" applyBorder="1" applyAlignment="1">
      <alignment horizontal="left" wrapText="1" indent="1"/>
    </xf>
    <xf numFmtId="0" fontId="59" fillId="51" borderId="30" xfId="0" applyFont="1" applyFill="1" applyBorder="1" applyAlignment="1">
      <alignment horizontal="center" vertical="center"/>
    </xf>
    <xf numFmtId="0" fontId="58" fillId="51" borderId="17" xfId="0" applyFont="1" applyFill="1" applyBorder="1" applyAlignment="1">
      <alignment horizontal="center" vertical="center"/>
    </xf>
    <xf numFmtId="0" fontId="58" fillId="51" borderId="16" xfId="0" applyFont="1" applyFill="1" applyBorder="1" applyAlignment="1">
      <alignment horizontal="center" vertical="center"/>
    </xf>
    <xf numFmtId="0" fontId="66" fillId="51" borderId="46" xfId="697" applyFont="1" applyFill="1" applyBorder="1" applyAlignment="1">
      <alignment horizontal="center" wrapText="1"/>
    </xf>
    <xf numFmtId="0" fontId="63" fillId="51" borderId="8" xfId="697" applyFont="1" applyFill="1" applyBorder="1" applyAlignment="1">
      <alignment horizontal="center" wrapText="1"/>
    </xf>
    <xf numFmtId="0" fontId="66" fillId="0" borderId="94" xfId="697" applyFont="1" applyBorder="1" applyAlignment="1">
      <alignment horizontal="center" wrapText="1"/>
    </xf>
    <xf numFmtId="0" fontId="63" fillId="0" borderId="94" xfId="697" applyFont="1" applyBorder="1" applyAlignment="1">
      <alignment horizontal="center" wrapText="1"/>
    </xf>
    <xf numFmtId="0" fontId="63" fillId="0" borderId="95" xfId="697" applyFont="1" applyBorder="1" applyAlignment="1">
      <alignment horizontal="left" wrapText="1" indent="1"/>
    </xf>
    <xf numFmtId="0" fontId="63" fillId="0" borderId="73" xfId="697" applyFont="1" applyBorder="1" applyAlignment="1">
      <alignment horizontal="center" wrapText="1"/>
    </xf>
    <xf numFmtId="0" fontId="66" fillId="0" borderId="96" xfId="697" applyFont="1" applyBorder="1" applyAlignment="1">
      <alignment horizontal="center" wrapText="1"/>
    </xf>
    <xf numFmtId="0" fontId="63" fillId="0" borderId="96" xfId="697" applyFont="1" applyBorder="1" applyAlignment="1">
      <alignment horizontal="center" wrapText="1"/>
    </xf>
    <xf numFmtId="0" fontId="60" fillId="0" borderId="65" xfId="697" applyFont="1" applyBorder="1" applyAlignment="1">
      <alignment horizontal="left" wrapText="1" indent="1"/>
    </xf>
    <xf numFmtId="0" fontId="63" fillId="0" borderId="97" xfId="697" applyFont="1" applyBorder="1" applyAlignment="1">
      <alignment horizontal="left" wrapText="1" indent="1"/>
    </xf>
    <xf numFmtId="0" fontId="63" fillId="0" borderId="75" xfId="697" applyFont="1" applyBorder="1" applyAlignment="1">
      <alignment horizontal="center" wrapText="1"/>
    </xf>
    <xf numFmtId="0" fontId="62" fillId="0" borderId="0" xfId="0" applyFont="1" applyAlignment="1">
      <alignment horizontal="center" vertical="center"/>
    </xf>
    <xf numFmtId="2" fontId="59" fillId="0" borderId="22" xfId="0" applyNumberFormat="1" applyFont="1" applyBorder="1" applyAlignment="1">
      <alignment horizontal="center" vertical="center"/>
    </xf>
    <xf numFmtId="164" fontId="58" fillId="0" borderId="51" xfId="0" applyNumberFormat="1" applyFont="1" applyBorder="1" applyAlignment="1">
      <alignment horizontal="center" vertical="center"/>
    </xf>
    <xf numFmtId="164" fontId="58" fillId="0" borderId="28" xfId="0" applyNumberFormat="1" applyFont="1" applyBorder="1" applyAlignment="1">
      <alignment horizontal="center" vertical="center"/>
    </xf>
    <xf numFmtId="0" fontId="60" fillId="0" borderId="86" xfId="697" applyFont="1" applyBorder="1" applyAlignment="1">
      <alignment horizontal="left" wrapText="1" indent="1"/>
    </xf>
    <xf numFmtId="0" fontId="66" fillId="0" borderId="24" xfId="697" applyFont="1" applyBorder="1" applyAlignment="1">
      <alignment horizontal="center" wrapText="1"/>
    </xf>
    <xf numFmtId="0" fontId="63" fillId="0" borderId="98" xfId="697" applyFont="1" applyBorder="1" applyAlignment="1">
      <alignment horizontal="center" wrapText="1"/>
    </xf>
    <xf numFmtId="0" fontId="43" fillId="0" borderId="16" xfId="696" applyFont="1" applyBorder="1" applyAlignment="1">
      <alignment horizontal="center" vertical="center" wrapText="1"/>
    </xf>
    <xf numFmtId="0" fontId="44" fillId="0" borderId="16" xfId="696" applyFont="1" applyBorder="1" applyAlignment="1">
      <alignment horizontal="center" vertical="center" wrapText="1"/>
    </xf>
    <xf numFmtId="0" fontId="6" fillId="0" borderId="16" xfId="696" applyFont="1" applyBorder="1" applyAlignment="1">
      <alignment horizontal="center" vertical="center" wrapText="1"/>
    </xf>
    <xf numFmtId="0" fontId="44" fillId="0" borderId="16" xfId="696" applyFont="1" applyBorder="1" applyAlignment="1">
      <alignment horizontal="left" vertical="center" wrapText="1" indent="1"/>
    </xf>
    <xf numFmtId="0" fontId="43" fillId="0" borderId="16" xfId="696" applyFont="1" applyBorder="1" applyAlignment="1">
      <alignment horizontal="left" vertical="center" wrapText="1" indent="1"/>
    </xf>
    <xf numFmtId="0" fontId="45" fillId="0" borderId="16" xfId="696" applyFont="1" applyBorder="1" applyAlignment="1">
      <alignment horizontal="center" vertical="center" wrapText="1"/>
    </xf>
    <xf numFmtId="0" fontId="7" fillId="0" borderId="16" xfId="696" applyFont="1" applyBorder="1" applyAlignment="1">
      <alignment horizontal="center" vertical="center" wrapText="1"/>
    </xf>
    <xf numFmtId="0" fontId="43" fillId="0" borderId="20" xfId="696" applyFont="1" applyBorder="1" applyAlignment="1">
      <alignment horizontal="center" vertical="center" wrapText="1"/>
    </xf>
    <xf numFmtId="0" fontId="46" fillId="0" borderId="16" xfId="696" applyFont="1" applyBorder="1" applyAlignment="1">
      <alignment horizontal="center" vertical="center" wrapText="1"/>
    </xf>
    <xf numFmtId="4" fontId="8" fillId="0" borderId="16" xfId="696" applyNumberFormat="1" applyFont="1" applyBorder="1" applyAlignment="1">
      <alignment horizontal="center" vertical="center" wrapText="1"/>
    </xf>
    <xf numFmtId="0" fontId="46" fillId="0" borderId="20" xfId="696" applyFont="1" applyBorder="1" applyAlignment="1">
      <alignment horizontal="center" vertical="center" wrapText="1"/>
    </xf>
    <xf numFmtId="4" fontId="8" fillId="0" borderId="0" xfId="696" applyNumberFormat="1" applyFont="1" applyAlignment="1">
      <alignment horizontal="center" vertical="center" wrapText="1"/>
    </xf>
    <xf numFmtId="0" fontId="47" fillId="0" borderId="16" xfId="696" applyFont="1" applyBorder="1" applyAlignment="1">
      <alignment horizontal="center" vertical="center" wrapText="1"/>
    </xf>
    <xf numFmtId="4" fontId="9" fillId="0" borderId="18" xfId="696" applyNumberFormat="1" applyFont="1" applyBorder="1" applyAlignment="1">
      <alignment horizontal="center" vertical="center" wrapText="1"/>
    </xf>
    <xf numFmtId="0" fontId="47" fillId="0" borderId="20" xfId="696" applyFont="1" applyBorder="1" applyAlignment="1">
      <alignment horizontal="center" vertical="center" wrapText="1"/>
    </xf>
    <xf numFmtId="0" fontId="9" fillId="0" borderId="16" xfId="696" applyFont="1" applyBorder="1" applyAlignment="1">
      <alignment horizontal="center" vertical="center" wrapText="1"/>
    </xf>
    <xf numFmtId="0" fontId="45" fillId="0" borderId="20" xfId="696" applyFont="1" applyBorder="1" applyAlignment="1">
      <alignment horizontal="center" vertical="center" wrapText="1"/>
    </xf>
    <xf numFmtId="4" fontId="34" fillId="0" borderId="19" xfId="696" applyNumberFormat="1" applyFont="1" applyBorder="1" applyAlignment="1">
      <alignment horizontal="center" vertical="center" wrapText="1"/>
    </xf>
    <xf numFmtId="4" fontId="8" fillId="0" borderId="19" xfId="696" applyNumberFormat="1" applyFont="1" applyBorder="1" applyAlignment="1">
      <alignment horizontal="center" vertical="center" wrapText="1"/>
    </xf>
    <xf numFmtId="4" fontId="9" fillId="0" borderId="13" xfId="696" applyNumberFormat="1" applyFont="1" applyBorder="1" applyAlignment="1">
      <alignment horizontal="center" vertical="center" wrapText="1"/>
    </xf>
    <xf numFmtId="165" fontId="46" fillId="0" borderId="16" xfId="696" applyNumberFormat="1" applyFont="1" applyBorder="1" applyAlignment="1">
      <alignment horizontal="center" vertical="center" wrapText="1"/>
    </xf>
    <xf numFmtId="1" fontId="46" fillId="0" borderId="16" xfId="696" applyNumberFormat="1" applyFont="1" applyBorder="1" applyAlignment="1">
      <alignment horizontal="center" vertical="center" wrapText="1"/>
    </xf>
    <xf numFmtId="0" fontId="45" fillId="0" borderId="21" xfId="696" applyFont="1" applyBorder="1" applyAlignment="1">
      <alignment horizontal="center" vertical="center" wrapText="1"/>
    </xf>
    <xf numFmtId="2" fontId="46" fillId="0" borderId="16" xfId="696" applyNumberFormat="1" applyFont="1" applyBorder="1" applyAlignment="1">
      <alignment horizontal="center" vertical="center" wrapText="1"/>
    </xf>
    <xf numFmtId="0" fontId="45" fillId="0" borderId="19" xfId="696" applyFont="1" applyBorder="1" applyAlignment="1">
      <alignment horizontal="center" vertical="center" wrapText="1"/>
    </xf>
    <xf numFmtId="0" fontId="45" fillId="0" borderId="33" xfId="696" applyFont="1" applyBorder="1" applyAlignment="1">
      <alignment horizontal="center" vertical="center" wrapText="1"/>
    </xf>
    <xf numFmtId="0" fontId="8" fillId="0" borderId="19" xfId="696" applyFont="1" applyBorder="1" applyAlignment="1">
      <alignment horizontal="center" vertical="center" wrapText="1"/>
    </xf>
    <xf numFmtId="0" fontId="45" fillId="0" borderId="28" xfId="696" applyFont="1" applyBorder="1" applyAlignment="1">
      <alignment horizontal="center" vertical="center" wrapText="1"/>
    </xf>
    <xf numFmtId="0" fontId="45" fillId="0" borderId="29" xfId="696" applyFont="1" applyBorder="1" applyAlignment="1">
      <alignment horizontal="center" vertical="center" wrapText="1"/>
    </xf>
    <xf numFmtId="8" fontId="10" fillId="0" borderId="13" xfId="696" applyNumberFormat="1" applyFont="1" applyBorder="1" applyAlignment="1">
      <alignment horizontal="center" vertical="center" wrapText="1"/>
    </xf>
    <xf numFmtId="0" fontId="42" fillId="0" borderId="16" xfId="696" applyFont="1" applyBorder="1" applyAlignment="1">
      <alignment horizontal="left" vertical="center" wrapText="1" indent="1"/>
    </xf>
    <xf numFmtId="0" fontId="45" fillId="0" borderId="20" xfId="696" applyFont="1" applyBorder="1" applyAlignment="1">
      <alignment horizontal="left" vertical="center" wrapText="1" indent="1"/>
    </xf>
    <xf numFmtId="0" fontId="45" fillId="0" borderId="21" xfId="696" applyFont="1" applyBorder="1" applyAlignment="1">
      <alignment horizontal="left" vertical="center" wrapText="1" indent="1"/>
    </xf>
    <xf numFmtId="0" fontId="45" fillId="0" borderId="19" xfId="696" applyFont="1" applyBorder="1" applyAlignment="1">
      <alignment horizontal="left" vertical="center" wrapText="1" indent="1"/>
    </xf>
    <xf numFmtId="0" fontId="45" fillId="0" borderId="33" xfId="696" applyFont="1" applyBorder="1" applyAlignment="1">
      <alignment horizontal="left" vertical="center" wrapText="1" indent="1"/>
    </xf>
    <xf numFmtId="0" fontId="42" fillId="0" borderId="29" xfId="696" applyFont="1" applyBorder="1" applyAlignment="1">
      <alignment horizontal="left" vertical="center" wrapText="1" indent="1"/>
    </xf>
    <xf numFmtId="0" fontId="45" fillId="47" borderId="16" xfId="696" applyFont="1" applyFill="1" applyBorder="1" applyAlignment="1">
      <alignment horizontal="center" vertical="center" wrapText="1"/>
    </xf>
    <xf numFmtId="0" fontId="45" fillId="47" borderId="16" xfId="696" applyFont="1" applyFill="1" applyBorder="1" applyAlignment="1">
      <alignment horizontal="left" vertical="center" wrapText="1" indent="1"/>
    </xf>
    <xf numFmtId="164" fontId="46" fillId="0" borderId="20" xfId="696" applyNumberFormat="1" applyFont="1" applyBorder="1" applyAlignment="1">
      <alignment horizontal="center" vertical="center" wrapText="1"/>
    </xf>
    <xf numFmtId="0" fontId="46" fillId="47" borderId="16" xfId="696" applyFont="1" applyFill="1" applyBorder="1" applyAlignment="1">
      <alignment horizontal="left" vertical="center" wrapText="1" indent="1"/>
    </xf>
    <xf numFmtId="0" fontId="6" fillId="0" borderId="16" xfId="696" applyFont="1" applyBorder="1" applyAlignment="1">
      <alignment horizontal="left" vertical="center" wrapText="1"/>
    </xf>
    <xf numFmtId="0" fontId="7" fillId="0" borderId="16" xfId="696" applyFont="1" applyBorder="1" applyAlignment="1">
      <alignment horizontal="left" vertical="center" wrapText="1"/>
    </xf>
    <xf numFmtId="0" fontId="8" fillId="0" borderId="16" xfId="696" applyFont="1" applyBorder="1" applyAlignment="1">
      <alignment horizontal="left" vertical="center" wrapText="1"/>
    </xf>
    <xf numFmtId="0" fontId="8" fillId="0" borderId="26" xfId="696" applyFont="1" applyBorder="1" applyAlignment="1">
      <alignment horizontal="left" vertical="center" wrapText="1"/>
    </xf>
    <xf numFmtId="0" fontId="8" fillId="0" borderId="20" xfId="696" applyFont="1" applyBorder="1" applyAlignment="1">
      <alignment horizontal="left" vertical="center" wrapText="1"/>
    </xf>
    <xf numFmtId="0" fontId="9" fillId="0" borderId="17" xfId="696" applyFont="1" applyBorder="1" applyAlignment="1">
      <alignment horizontal="left" vertical="center" wrapText="1"/>
    </xf>
    <xf numFmtId="0" fontId="9" fillId="0" borderId="16" xfId="696" applyFont="1" applyBorder="1" applyAlignment="1">
      <alignment horizontal="left" vertical="center" wrapText="1"/>
    </xf>
    <xf numFmtId="4" fontId="8" fillId="0" borderId="16" xfId="696" applyNumberFormat="1" applyFont="1" applyBorder="1" applyAlignment="1">
      <alignment horizontal="left" vertical="center" wrapText="1"/>
    </xf>
    <xf numFmtId="0" fontId="8" fillId="0" borderId="17" xfId="696" applyFont="1" applyBorder="1" applyAlignment="1">
      <alignment horizontal="left" vertical="center" wrapText="1"/>
    </xf>
    <xf numFmtId="0" fontId="34" fillId="0" borderId="16" xfId="696" applyFont="1" applyBorder="1" applyAlignment="1">
      <alignment horizontal="left" vertical="center" wrapText="1"/>
    </xf>
    <xf numFmtId="0" fontId="8" fillId="0" borderId="21" xfId="696" applyFont="1" applyBorder="1" applyAlignment="1">
      <alignment horizontal="left" vertical="center" wrapText="1"/>
    </xf>
    <xf numFmtId="0" fontId="8" fillId="0" borderId="19" xfId="696" applyFont="1" applyBorder="1" applyAlignment="1">
      <alignment horizontal="left" vertical="center" wrapText="1"/>
    </xf>
    <xf numFmtId="4" fontId="8" fillId="0" borderId="21" xfId="696" applyNumberFormat="1" applyFont="1" applyBorder="1" applyAlignment="1">
      <alignment horizontal="left" vertical="center" wrapText="1"/>
    </xf>
    <xf numFmtId="0" fontId="35" fillId="0" borderId="80" xfId="696" applyFont="1" applyBorder="1" applyAlignment="1">
      <alignment horizontal="left" vertical="center" wrapText="1"/>
    </xf>
    <xf numFmtId="0" fontId="35" fillId="0" borderId="29" xfId="696" applyFont="1" applyBorder="1" applyAlignment="1">
      <alignment horizontal="left" vertical="center" wrapText="1"/>
    </xf>
    <xf numFmtId="0" fontId="13" fillId="0" borderId="0" xfId="696" applyAlignment="1">
      <alignment vertical="center" wrapText="1"/>
    </xf>
    <xf numFmtId="0" fontId="41" fillId="0" borderId="80" xfId="696" applyFont="1" applyBorder="1" applyAlignment="1">
      <alignment vertical="center" wrapText="1"/>
    </xf>
    <xf numFmtId="0" fontId="13" fillId="0" borderId="0" xfId="696" applyAlignment="1">
      <alignment horizontal="left" vertical="center" wrapText="1"/>
    </xf>
    <xf numFmtId="0" fontId="41" fillId="0" borderId="0" xfId="696" applyFont="1" applyAlignment="1">
      <alignment vertical="center" wrapText="1"/>
    </xf>
    <xf numFmtId="0" fontId="24" fillId="0" borderId="0" xfId="696" applyFont="1" applyAlignment="1">
      <alignment vertical="center" wrapText="1"/>
    </xf>
    <xf numFmtId="0" fontId="41" fillId="0" borderId="0" xfId="696" applyFont="1" applyAlignment="1">
      <alignment wrapText="1"/>
    </xf>
    <xf numFmtId="0" fontId="13" fillId="0" borderId="0" xfId="696" applyAlignment="1">
      <alignment wrapText="1"/>
    </xf>
    <xf numFmtId="0" fontId="35" fillId="0" borderId="80" xfId="696" applyFont="1" applyBorder="1" applyAlignment="1">
      <alignment horizontal="left" vertical="center" wrapText="1" indent="1"/>
    </xf>
    <xf numFmtId="0" fontId="41" fillId="0" borderId="80" xfId="696" applyFont="1" applyBorder="1" applyAlignment="1">
      <alignment horizontal="left" vertical="center" wrapText="1" indent="1"/>
    </xf>
    <xf numFmtId="0" fontId="41" fillId="0" borderId="0" xfId="696" applyFont="1" applyAlignment="1">
      <alignment horizontal="left" vertical="center" wrapText="1" indent="1"/>
    </xf>
    <xf numFmtId="0" fontId="41" fillId="0" borderId="0" xfId="696" applyFont="1" applyAlignment="1">
      <alignment horizontal="left" wrapText="1" indent="1"/>
    </xf>
    <xf numFmtId="0" fontId="35" fillId="0" borderId="26" xfId="696" applyFont="1" applyBorder="1" applyAlignment="1">
      <alignment horizontal="left" vertical="center" wrapText="1" indent="2"/>
    </xf>
    <xf numFmtId="0" fontId="41" fillId="0" borderId="26" xfId="696" applyFont="1" applyBorder="1" applyAlignment="1">
      <alignment horizontal="left" vertical="center" wrapText="1" indent="2"/>
    </xf>
    <xf numFmtId="0" fontId="43" fillId="0" borderId="30" xfId="696" applyFont="1" applyBorder="1" applyAlignment="1">
      <alignment horizontal="left" vertical="center" wrapText="1" indent="2"/>
    </xf>
    <xf numFmtId="0" fontId="45" fillId="0" borderId="30" xfId="696" applyFont="1" applyBorder="1" applyAlignment="1">
      <alignment horizontal="left" vertical="center" wrapText="1" indent="2"/>
    </xf>
    <xf numFmtId="0" fontId="45" fillId="0" borderId="20" xfId="696" applyFont="1" applyBorder="1" applyAlignment="1">
      <alignment horizontal="left" vertical="center" wrapText="1" indent="2"/>
    </xf>
    <xf numFmtId="0" fontId="75" fillId="47" borderId="30" xfId="696" applyFont="1" applyFill="1" applyBorder="1" applyAlignment="1">
      <alignment horizontal="left" vertical="center" wrapText="1" indent="2"/>
    </xf>
    <xf numFmtId="0" fontId="45" fillId="0" borderId="32" xfId="696" applyFont="1" applyBorder="1" applyAlignment="1">
      <alignment horizontal="left" vertical="center" wrapText="1" indent="2"/>
    </xf>
    <xf numFmtId="0" fontId="45" fillId="0" borderId="23" xfId="696" applyFont="1" applyBorder="1" applyAlignment="1">
      <alignment horizontal="left" vertical="center" wrapText="1" indent="2"/>
    </xf>
    <xf numFmtId="0" fontId="45" fillId="0" borderId="22" xfId="696" applyFont="1" applyBorder="1" applyAlignment="1">
      <alignment horizontal="left" vertical="center" wrapText="1" indent="2"/>
    </xf>
    <xf numFmtId="0" fontId="45" fillId="47" borderId="20" xfId="696" applyFont="1" applyFill="1" applyBorder="1" applyAlignment="1">
      <alignment horizontal="left" vertical="center" wrapText="1" indent="2"/>
    </xf>
    <xf numFmtId="0" fontId="41" fillId="0" borderId="0" xfId="696" applyFont="1" applyAlignment="1">
      <alignment horizontal="left" vertical="center" wrapText="1" indent="2"/>
    </xf>
    <xf numFmtId="0" fontId="41" fillId="0" borderId="0" xfId="696" applyFont="1" applyAlignment="1">
      <alignment horizontal="left" wrapText="1" indent="2"/>
    </xf>
    <xf numFmtId="0" fontId="42" fillId="54" borderId="112" xfId="696" applyFont="1" applyFill="1" applyBorder="1" applyAlignment="1">
      <alignment horizontal="left" vertical="center" wrapText="1" indent="2"/>
    </xf>
    <xf numFmtId="0" fontId="42" fillId="54" borderId="111" xfId="696" applyFont="1" applyFill="1" applyBorder="1" applyAlignment="1">
      <alignment horizontal="center" vertical="center" wrapText="1"/>
    </xf>
    <xf numFmtId="0" fontId="42" fillId="54" borderId="111" xfId="696" applyFont="1" applyFill="1" applyBorder="1" applyAlignment="1">
      <alignment horizontal="left" vertical="center" wrapText="1" indent="1"/>
    </xf>
    <xf numFmtId="0" fontId="5" fillId="54" borderId="15" xfId="696" applyFont="1" applyFill="1" applyBorder="1" applyAlignment="1">
      <alignment horizontal="left" vertical="center" wrapText="1"/>
    </xf>
    <xf numFmtId="0" fontId="5" fillId="54" borderId="15" xfId="696" applyFont="1" applyFill="1" applyBorder="1" applyAlignment="1">
      <alignment horizontal="center" vertical="center" wrapText="1"/>
    </xf>
    <xf numFmtId="0" fontId="42" fillId="54" borderId="15" xfId="696" applyFont="1" applyFill="1" applyBorder="1" applyAlignment="1">
      <alignment horizontal="center" vertical="center" wrapText="1"/>
    </xf>
    <xf numFmtId="0" fontId="46" fillId="47" borderId="20" xfId="696" applyFont="1" applyFill="1" applyBorder="1" applyAlignment="1">
      <alignment horizontal="center" vertical="center" wrapText="1"/>
    </xf>
    <xf numFmtId="1" fontId="46" fillId="47" borderId="16" xfId="696" applyNumberFormat="1" applyFont="1" applyFill="1" applyBorder="1" applyAlignment="1">
      <alignment horizontal="center" vertical="center" wrapText="1"/>
    </xf>
    <xf numFmtId="0" fontId="45" fillId="47" borderId="30" xfId="696" applyFont="1" applyFill="1" applyBorder="1" applyAlignment="1">
      <alignment horizontal="left" vertical="center" wrapText="1" indent="2"/>
    </xf>
    <xf numFmtId="4" fontId="8" fillId="47" borderId="16" xfId="696" applyNumberFormat="1" applyFont="1" applyFill="1" applyBorder="1" applyAlignment="1">
      <alignment horizontal="left" vertical="center" wrapText="1"/>
    </xf>
    <xf numFmtId="4" fontId="8" fillId="47" borderId="16" xfId="696" applyNumberFormat="1" applyFont="1" applyFill="1" applyBorder="1" applyAlignment="1">
      <alignment horizontal="center" vertical="center" wrapText="1"/>
    </xf>
    <xf numFmtId="1" fontId="46" fillId="52" borderId="16" xfId="696" applyNumberFormat="1" applyFont="1" applyFill="1" applyBorder="1" applyAlignment="1">
      <alignment horizontal="center" vertical="center" wrapText="1"/>
    </xf>
    <xf numFmtId="0" fontId="8" fillId="0" borderId="29" xfId="696" applyFont="1" applyBorder="1" applyAlignment="1">
      <alignment horizontal="left" vertical="center" wrapText="1"/>
    </xf>
    <xf numFmtId="0" fontId="8" fillId="0" borderId="29" xfId="696" applyFont="1" applyBorder="1" applyAlignment="1">
      <alignment horizontal="center" vertical="center" wrapText="1"/>
    </xf>
    <xf numFmtId="1" fontId="46" fillId="0" borderId="29" xfId="696" applyNumberFormat="1" applyFont="1" applyBorder="1" applyAlignment="1">
      <alignment horizontal="center" vertical="center" wrapText="1"/>
    </xf>
    <xf numFmtId="0" fontId="45" fillId="0" borderId="29" xfId="696" applyFont="1" applyBorder="1" applyAlignment="1">
      <alignment horizontal="left" vertical="center" wrapText="1" indent="1"/>
    </xf>
    <xf numFmtId="4" fontId="8" fillId="0" borderId="29" xfId="696" applyNumberFormat="1" applyFont="1" applyBorder="1" applyAlignment="1">
      <alignment horizontal="left" vertical="center" wrapText="1"/>
    </xf>
    <xf numFmtId="4" fontId="8" fillId="0" borderId="29" xfId="696" applyNumberFormat="1" applyFont="1" applyBorder="1" applyAlignment="1">
      <alignment horizontal="center" vertical="center" wrapText="1"/>
    </xf>
    <xf numFmtId="165" fontId="46" fillId="0" borderId="29" xfId="696" applyNumberFormat="1" applyFont="1" applyBorder="1" applyAlignment="1">
      <alignment horizontal="center" vertical="center" wrapText="1"/>
    </xf>
    <xf numFmtId="0" fontId="9" fillId="0" borderId="80" xfId="696" applyFont="1" applyBorder="1" applyAlignment="1">
      <alignment horizontal="left" vertical="center" wrapText="1"/>
    </xf>
    <xf numFmtId="4" fontId="9" fillId="0" borderId="113" xfId="696" applyNumberFormat="1" applyFont="1" applyBorder="1" applyAlignment="1">
      <alignment horizontal="center" vertical="center" wrapText="1"/>
    </xf>
    <xf numFmtId="0" fontId="43" fillId="0" borderId="29" xfId="696" applyFont="1" applyBorder="1" applyAlignment="1">
      <alignment horizontal="left" vertical="center" wrapText="1" indent="1"/>
    </xf>
    <xf numFmtId="0" fontId="46" fillId="52" borderId="20" xfId="696" applyFont="1" applyFill="1" applyBorder="1" applyAlignment="1">
      <alignment horizontal="center" vertical="center" wrapText="1"/>
    </xf>
    <xf numFmtId="0" fontId="46" fillId="47" borderId="16" xfId="696" applyFont="1" applyFill="1" applyBorder="1" applyAlignment="1">
      <alignment horizontal="center" vertical="center" wrapText="1"/>
    </xf>
    <xf numFmtId="0" fontId="8" fillId="47" borderId="17" xfId="696" applyFont="1" applyFill="1" applyBorder="1" applyAlignment="1">
      <alignment horizontal="left" vertical="center" wrapText="1"/>
    </xf>
    <xf numFmtId="4" fontId="8" fillId="47" borderId="0" xfId="696" applyNumberFormat="1" applyFont="1" applyFill="1" applyAlignment="1">
      <alignment horizontal="center" vertical="center" wrapText="1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 applyProtection="1">
      <alignment horizontal="center"/>
      <protection locked="0"/>
    </xf>
    <xf numFmtId="164" fontId="1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169" fontId="1" fillId="0" borderId="0" xfId="0" applyNumberFormat="1" applyFont="1" applyAlignment="1" applyProtection="1">
      <alignment horizontal="center"/>
      <protection locked="0"/>
    </xf>
    <xf numFmtId="164" fontId="1" fillId="0" borderId="0" xfId="0" applyNumberFormat="1" applyFont="1"/>
    <xf numFmtId="0" fontId="1" fillId="0" borderId="0" xfId="0" applyFont="1" applyProtection="1">
      <protection locked="0"/>
    </xf>
    <xf numFmtId="0" fontId="37" fillId="0" borderId="0" xfId="0" applyFont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>
      <alignment horizontal="center"/>
    </xf>
    <xf numFmtId="164" fontId="33" fillId="0" borderId="23" xfId="0" applyNumberFormat="1" applyFont="1" applyBorder="1" applyAlignment="1">
      <alignment horizontal="center"/>
    </xf>
    <xf numFmtId="0" fontId="13" fillId="0" borderId="0" xfId="696" applyAlignment="1">
      <alignment horizontal="left" vertical="center" wrapText="1" indent="1"/>
    </xf>
    <xf numFmtId="0" fontId="77" fillId="0" borderId="0" xfId="696" applyFont="1" applyAlignment="1">
      <alignment horizontal="left" vertical="center" wrapText="1" indent="1"/>
    </xf>
    <xf numFmtId="0" fontId="24" fillId="0" borderId="0" xfId="696" applyFont="1" applyAlignment="1">
      <alignment horizontal="left" vertical="center" wrapText="1" indent="1"/>
    </xf>
    <xf numFmtId="0" fontId="13" fillId="0" borderId="0" xfId="696" applyAlignment="1">
      <alignment horizontal="left" wrapText="1" indent="1"/>
    </xf>
    <xf numFmtId="0" fontId="73" fillId="44" borderId="94" xfId="697" applyFont="1" applyFill="1" applyBorder="1" applyAlignment="1">
      <alignment horizontal="center" wrapText="1"/>
    </xf>
    <xf numFmtId="0" fontId="73" fillId="44" borderId="96" xfId="697" applyFont="1" applyFill="1" applyBorder="1" applyAlignment="1">
      <alignment horizontal="center" wrapText="1"/>
    </xf>
    <xf numFmtId="0" fontId="63" fillId="0" borderId="45" xfId="697" applyFont="1" applyBorder="1" applyAlignment="1">
      <alignment horizontal="left" indent="1"/>
    </xf>
    <xf numFmtId="0" fontId="63" fillId="0" borderId="47" xfId="697" applyFont="1" applyBorder="1" applyAlignment="1">
      <alignment horizontal="left" indent="1"/>
    </xf>
    <xf numFmtId="0" fontId="72" fillId="0" borderId="54" xfId="697" applyFont="1" applyBorder="1" applyAlignment="1">
      <alignment horizontal="left" wrapText="1" indent="1"/>
    </xf>
    <xf numFmtId="0" fontId="2" fillId="26" borderId="34" xfId="0" applyFont="1" applyFill="1" applyBorder="1" applyAlignment="1">
      <alignment horizontal="center" vertical="center" wrapText="1"/>
    </xf>
    <xf numFmtId="0" fontId="2" fillId="28" borderId="34" xfId="0" applyFont="1" applyFill="1" applyBorder="1" applyAlignment="1">
      <alignment horizontal="center" vertical="center" wrapText="1"/>
    </xf>
    <xf numFmtId="0" fontId="0" fillId="53" borderId="0" xfId="0" applyFill="1" applyAlignment="1">
      <alignment horizontal="center"/>
    </xf>
    <xf numFmtId="167" fontId="1" fillId="0" borderId="0" xfId="0" applyNumberFormat="1" applyFont="1" applyAlignment="1" applyProtection="1">
      <alignment horizontal="center"/>
      <protection locked="0"/>
    </xf>
    <xf numFmtId="170" fontId="1" fillId="0" borderId="0" xfId="0" applyNumberFormat="1" applyFont="1" applyAlignment="1" applyProtection="1">
      <alignment horizontal="center"/>
      <protection locked="0"/>
    </xf>
    <xf numFmtId="169" fontId="2" fillId="0" borderId="0" xfId="0" applyNumberFormat="1" applyFont="1" applyAlignment="1" applyProtection="1">
      <alignment horizontal="center"/>
      <protection locked="0"/>
    </xf>
    <xf numFmtId="170" fontId="1" fillId="0" borderId="0" xfId="0" applyNumberFormat="1" applyFont="1" applyAlignment="1">
      <alignment horizontal="center"/>
    </xf>
    <xf numFmtId="168" fontId="1" fillId="0" borderId="0" xfId="0" applyNumberFormat="1" applyFont="1" applyAlignment="1" applyProtection="1">
      <alignment horizontal="center"/>
      <protection locked="0"/>
    </xf>
    <xf numFmtId="168" fontId="1" fillId="0" borderId="0" xfId="0" applyNumberFormat="1" applyFont="1" applyAlignment="1">
      <alignment horizontal="center"/>
    </xf>
    <xf numFmtId="0" fontId="2" fillId="27" borderId="101" xfId="0" applyFont="1" applyFill="1" applyBorder="1" applyAlignment="1">
      <alignment horizontal="center"/>
    </xf>
    <xf numFmtId="0" fontId="2" fillId="27" borderId="115" xfId="0" applyFont="1" applyFill="1" applyBorder="1" applyAlignment="1">
      <alignment horizontal="center"/>
    </xf>
    <xf numFmtId="171" fontId="1" fillId="0" borderId="0" xfId="0" applyNumberFormat="1" applyFont="1" applyAlignment="1" applyProtection="1">
      <alignment horizontal="center"/>
      <protection locked="0"/>
    </xf>
    <xf numFmtId="0" fontId="2" fillId="29" borderId="101" xfId="0" applyFont="1" applyFill="1" applyBorder="1" applyAlignment="1">
      <alignment horizontal="center"/>
    </xf>
    <xf numFmtId="0" fontId="2" fillId="29" borderId="115" xfId="0" applyFont="1" applyFill="1" applyBorder="1" applyAlignment="1">
      <alignment horizontal="center"/>
    </xf>
    <xf numFmtId="0" fontId="80" fillId="51" borderId="92" xfId="0" applyFont="1" applyFill="1" applyBorder="1" applyAlignment="1">
      <alignment horizontal="center" vertical="center"/>
    </xf>
    <xf numFmtId="0" fontId="80" fillId="0" borderId="0" xfId="0" applyFont="1" applyAlignment="1">
      <alignment horizontal="center" vertical="center"/>
    </xf>
    <xf numFmtId="0" fontId="80" fillId="51" borderId="39" xfId="0" applyFont="1" applyFill="1" applyBorder="1" applyAlignment="1">
      <alignment horizontal="center" vertical="center"/>
    </xf>
    <xf numFmtId="0" fontId="80" fillId="0" borderId="0" xfId="0" applyFont="1" applyAlignment="1" applyProtection="1">
      <alignment horizontal="center" vertical="center" wrapText="1"/>
      <protection locked="0"/>
    </xf>
    <xf numFmtId="0" fontId="81" fillId="48" borderId="17" xfId="0" applyFont="1" applyFill="1" applyBorder="1" applyAlignment="1" applyProtection="1">
      <alignment horizontal="center"/>
      <protection locked="0"/>
    </xf>
    <xf numFmtId="0" fontId="81" fillId="48" borderId="17" xfId="0" applyFont="1" applyFill="1" applyBorder="1" applyAlignment="1" applyProtection="1">
      <alignment horizontal="right" indent="1"/>
      <protection locked="0"/>
    </xf>
    <xf numFmtId="0" fontId="82" fillId="0" borderId="0" xfId="0" applyFont="1" applyProtection="1">
      <protection locked="0"/>
    </xf>
    <xf numFmtId="0" fontId="82" fillId="0" borderId="0" xfId="0" applyFont="1" applyAlignment="1" applyProtection="1">
      <alignment horizontal="left" indent="1"/>
      <protection locked="0"/>
    </xf>
    <xf numFmtId="0" fontId="82" fillId="0" borderId="0" xfId="0" applyFont="1" applyAlignment="1" applyProtection="1">
      <alignment horizontal="right" indent="1"/>
      <protection locked="0"/>
    </xf>
    <xf numFmtId="167" fontId="80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80" fillId="35" borderId="13" xfId="0" applyFont="1" applyFill="1" applyBorder="1" applyAlignment="1" applyProtection="1">
      <alignment horizontal="center" vertical="center"/>
      <protection locked="0"/>
    </xf>
    <xf numFmtId="164" fontId="80" fillId="35" borderId="39" xfId="0" applyNumberFormat="1" applyFont="1" applyFill="1" applyBorder="1" applyAlignment="1" applyProtection="1">
      <alignment horizontal="center" vertical="center" wrapText="1"/>
      <protection locked="0"/>
    </xf>
    <xf numFmtId="164" fontId="80" fillId="35" borderId="13" xfId="0" applyNumberFormat="1" applyFont="1" applyFill="1" applyBorder="1" applyAlignment="1" applyProtection="1">
      <alignment horizontal="center" vertical="center" wrapText="1"/>
      <protection locked="0"/>
    </xf>
    <xf numFmtId="1" fontId="80" fillId="35" borderId="13" xfId="0" applyNumberFormat="1" applyFont="1" applyFill="1" applyBorder="1" applyAlignment="1" applyProtection="1">
      <alignment horizontal="center" vertical="center" wrapText="1"/>
      <protection locked="0"/>
    </xf>
    <xf numFmtId="1" fontId="80" fillId="35" borderId="13" xfId="0" applyNumberFormat="1" applyFont="1" applyFill="1" applyBorder="1" applyAlignment="1" applyProtection="1">
      <alignment horizontal="center" vertical="center"/>
      <protection locked="0"/>
    </xf>
    <xf numFmtId="170" fontId="80" fillId="35" borderId="13" xfId="0" applyNumberFormat="1" applyFont="1" applyFill="1" applyBorder="1" applyAlignment="1" applyProtection="1">
      <alignment horizontal="center" vertical="center" wrapText="1"/>
      <protection locked="0"/>
    </xf>
    <xf numFmtId="0" fontId="80" fillId="35" borderId="13" xfId="0" applyFont="1" applyFill="1" applyBorder="1" applyAlignment="1" applyProtection="1">
      <alignment horizontal="center" vertical="center" wrapText="1"/>
      <protection locked="0"/>
    </xf>
    <xf numFmtId="0" fontId="80" fillId="35" borderId="13" xfId="0" applyFont="1" applyFill="1" applyBorder="1" applyAlignment="1" applyProtection="1">
      <alignment horizontal="center" vertical="center" wrapText="1" shrinkToFit="1"/>
      <protection locked="0"/>
    </xf>
    <xf numFmtId="0" fontId="80" fillId="35" borderId="34" xfId="0" applyFont="1" applyFill="1" applyBorder="1" applyAlignment="1" applyProtection="1">
      <alignment horizontal="center" vertical="center" wrapText="1"/>
      <protection locked="0"/>
    </xf>
    <xf numFmtId="0" fontId="80" fillId="0" borderId="0" xfId="0" applyFont="1" applyAlignment="1" applyProtection="1">
      <alignment vertical="center" wrapText="1"/>
      <protection locked="0"/>
    </xf>
    <xf numFmtId="167" fontId="82" fillId="0" borderId="0" xfId="0" applyNumberFormat="1" applyFont="1" applyAlignment="1" applyProtection="1">
      <alignment horizontal="center"/>
      <protection locked="0"/>
    </xf>
    <xf numFmtId="0" fontId="82" fillId="0" borderId="0" xfId="0" applyFont="1" applyAlignment="1" applyProtection="1">
      <alignment horizontal="center"/>
      <protection locked="0"/>
    </xf>
    <xf numFmtId="1" fontId="82" fillId="0" borderId="0" xfId="0" applyNumberFormat="1" applyFont="1" applyAlignment="1" applyProtection="1">
      <alignment horizontal="center"/>
      <protection locked="0"/>
    </xf>
    <xf numFmtId="170" fontId="82" fillId="0" borderId="0" xfId="0" applyNumberFormat="1" applyFont="1" applyAlignment="1" applyProtection="1">
      <alignment horizontal="center"/>
      <protection locked="0"/>
    </xf>
    <xf numFmtId="0" fontId="80" fillId="38" borderId="13" xfId="0" applyFont="1" applyFill="1" applyBorder="1" applyAlignment="1" applyProtection="1">
      <alignment horizontal="center"/>
      <protection locked="0"/>
    </xf>
    <xf numFmtId="0" fontId="80" fillId="0" borderId="91" xfId="0" applyFont="1" applyBorder="1" applyAlignment="1">
      <alignment horizontal="left" vertical="center" indent="1"/>
    </xf>
    <xf numFmtId="0" fontId="80" fillId="0" borderId="92" xfId="0" applyFont="1" applyBorder="1" applyAlignment="1">
      <alignment horizontal="center" vertical="center"/>
    </xf>
    <xf numFmtId="1" fontId="82" fillId="0" borderId="0" xfId="0" applyNumberFormat="1" applyFont="1" applyAlignment="1">
      <alignment horizontal="center"/>
    </xf>
    <xf numFmtId="0" fontId="80" fillId="51" borderId="40" xfId="0" applyFont="1" applyFill="1" applyBorder="1" applyAlignment="1">
      <alignment horizontal="center" vertical="center"/>
    </xf>
    <xf numFmtId="0" fontId="80" fillId="0" borderId="89" xfId="0" applyFont="1" applyBorder="1" applyAlignment="1">
      <alignment horizontal="left" indent="1"/>
    </xf>
    <xf numFmtId="0" fontId="82" fillId="39" borderId="93" xfId="0" applyFont="1" applyFill="1" applyBorder="1"/>
    <xf numFmtId="0" fontId="82" fillId="0" borderId="0" xfId="0" applyFont="1"/>
    <xf numFmtId="0" fontId="80" fillId="0" borderId="40" xfId="0" applyFont="1" applyBorder="1" applyAlignment="1">
      <alignment horizontal="center"/>
    </xf>
    <xf numFmtId="0" fontId="82" fillId="26" borderId="93" xfId="0" applyFont="1" applyFill="1" applyBorder="1"/>
    <xf numFmtId="0" fontId="82" fillId="48" borderId="0" xfId="0" applyFont="1" applyFill="1" applyAlignment="1" applyProtection="1">
      <alignment horizontal="left" indent="1"/>
      <protection locked="0"/>
    </xf>
    <xf numFmtId="0" fontId="82" fillId="48" borderId="0" xfId="0" applyFont="1" applyFill="1" applyAlignment="1" applyProtection="1">
      <alignment horizontal="center"/>
      <protection locked="0"/>
    </xf>
    <xf numFmtId="0" fontId="84" fillId="48" borderId="0" xfId="0" applyFont="1" applyFill="1" applyAlignment="1" applyProtection="1">
      <alignment horizontal="right" indent="1"/>
      <protection locked="0"/>
    </xf>
    <xf numFmtId="0" fontId="82" fillId="32" borderId="93" xfId="0" applyFont="1" applyFill="1" applyBorder="1"/>
    <xf numFmtId="0" fontId="82" fillId="0" borderId="40" xfId="0" applyFont="1" applyBorder="1"/>
    <xf numFmtId="0" fontId="80" fillId="0" borderId="0" xfId="0" applyFont="1" applyAlignment="1">
      <alignment horizontal="center"/>
    </xf>
    <xf numFmtId="167" fontId="82" fillId="0" borderId="17" xfId="0" applyNumberFormat="1" applyFont="1" applyBorder="1" applyAlignment="1" applyProtection="1">
      <alignment horizontal="center"/>
      <protection locked="0"/>
    </xf>
    <xf numFmtId="0" fontId="82" fillId="0" borderId="17" xfId="0" applyFont="1" applyBorder="1" applyAlignment="1" applyProtection="1">
      <alignment horizontal="center"/>
      <protection locked="0"/>
    </xf>
    <xf numFmtId="0" fontId="82" fillId="0" borderId="17" xfId="0" applyFont="1" applyBorder="1" applyAlignment="1" applyProtection="1">
      <alignment horizontal="right" indent="1"/>
      <protection locked="0"/>
    </xf>
    <xf numFmtId="0" fontId="80" fillId="48" borderId="0" xfId="0" applyFont="1" applyFill="1" applyAlignment="1" applyProtection="1">
      <alignment horizontal="right" indent="1"/>
      <protection locked="0"/>
    </xf>
    <xf numFmtId="0" fontId="82" fillId="0" borderId="40" xfId="0" applyFont="1" applyBorder="1" applyProtection="1">
      <protection locked="0"/>
    </xf>
    <xf numFmtId="0" fontId="82" fillId="0" borderId="90" xfId="0" applyFont="1" applyBorder="1" applyProtection="1">
      <protection locked="0"/>
    </xf>
    <xf numFmtId="0" fontId="82" fillId="0" borderId="114" xfId="0" applyFont="1" applyBorder="1" applyProtection="1">
      <protection locked="0"/>
    </xf>
    <xf numFmtId="0" fontId="82" fillId="0" borderId="90" xfId="0" applyFont="1" applyBorder="1" applyAlignment="1" applyProtection="1">
      <alignment horizontal="left" indent="1"/>
      <protection locked="0"/>
    </xf>
    <xf numFmtId="0" fontId="81" fillId="0" borderId="114" xfId="0" applyFont="1" applyBorder="1" applyProtection="1">
      <protection locked="0"/>
    </xf>
    <xf numFmtId="0" fontId="81" fillId="0" borderId="0" xfId="0" applyFont="1" applyProtection="1">
      <protection locked="0"/>
    </xf>
    <xf numFmtId="1" fontId="82" fillId="0" borderId="0" xfId="0" applyNumberFormat="1" applyFont="1" applyAlignment="1" applyProtection="1">
      <alignment horizontal="left" indent="1"/>
      <protection locked="0"/>
    </xf>
    <xf numFmtId="49" fontId="82" fillId="0" borderId="0" xfId="0" applyNumberFormat="1" applyFont="1" applyAlignment="1">
      <alignment horizontal="center"/>
    </xf>
    <xf numFmtId="0" fontId="82" fillId="0" borderId="0" xfId="0" applyFont="1" applyAlignment="1">
      <alignment horizontal="center"/>
    </xf>
    <xf numFmtId="170" fontId="82" fillId="0" borderId="0" xfId="0" applyNumberFormat="1" applyFont="1" applyAlignment="1">
      <alignment horizontal="center"/>
    </xf>
    <xf numFmtId="1" fontId="80" fillId="0" borderId="0" xfId="0" applyNumberFormat="1" applyFont="1" applyAlignment="1">
      <alignment horizontal="center"/>
    </xf>
    <xf numFmtId="49" fontId="80" fillId="0" borderId="0" xfId="0" applyNumberFormat="1" applyFont="1" applyAlignment="1">
      <alignment horizontal="left"/>
    </xf>
    <xf numFmtId="49" fontId="82" fillId="0" borderId="0" xfId="0" applyNumberFormat="1" applyFont="1" applyAlignment="1" applyProtection="1">
      <alignment horizontal="center"/>
      <protection locked="0"/>
    </xf>
    <xf numFmtId="1" fontId="82" fillId="0" borderId="17" xfId="0" applyNumberFormat="1" applyFont="1" applyBorder="1" applyAlignment="1" applyProtection="1">
      <alignment horizontal="center"/>
      <protection locked="0"/>
    </xf>
    <xf numFmtId="0" fontId="82" fillId="0" borderId="17" xfId="0" applyFont="1" applyBorder="1" applyProtection="1">
      <protection locked="0"/>
    </xf>
    <xf numFmtId="170" fontId="82" fillId="0" borderId="17" xfId="0" applyNumberFormat="1" applyFont="1" applyBorder="1" applyAlignment="1">
      <alignment horizontal="center"/>
    </xf>
    <xf numFmtId="0" fontId="80" fillId="36" borderId="13" xfId="0" applyFont="1" applyFill="1" applyBorder="1" applyAlignment="1" applyProtection="1">
      <alignment horizontal="center" vertical="center" wrapText="1"/>
      <protection locked="0"/>
    </xf>
    <xf numFmtId="167" fontId="80" fillId="36" borderId="13" xfId="0" applyNumberFormat="1" applyFont="1" applyFill="1" applyBorder="1" applyAlignment="1" applyProtection="1">
      <alignment horizontal="center" vertical="center" wrapText="1"/>
      <protection locked="0"/>
    </xf>
    <xf numFmtId="164" fontId="80" fillId="36" borderId="39" xfId="0" applyNumberFormat="1" applyFont="1" applyFill="1" applyBorder="1" applyAlignment="1" applyProtection="1">
      <alignment horizontal="center" vertical="center" wrapText="1"/>
      <protection locked="0"/>
    </xf>
    <xf numFmtId="164" fontId="80" fillId="36" borderId="13" xfId="0" applyNumberFormat="1" applyFont="1" applyFill="1" applyBorder="1" applyAlignment="1" applyProtection="1">
      <alignment horizontal="center" vertical="center" wrapText="1"/>
      <protection locked="0"/>
    </xf>
    <xf numFmtId="3" fontId="80" fillId="36" borderId="13" xfId="0" applyNumberFormat="1" applyFont="1" applyFill="1" applyBorder="1" applyAlignment="1" applyProtection="1">
      <alignment horizontal="center" vertical="center" wrapText="1"/>
      <protection locked="0"/>
    </xf>
    <xf numFmtId="168" fontId="80" fillId="36" borderId="13" xfId="0" applyNumberFormat="1" applyFont="1" applyFill="1" applyBorder="1" applyAlignment="1" applyProtection="1">
      <alignment horizontal="center" vertical="center" wrapText="1"/>
      <protection locked="0"/>
    </xf>
    <xf numFmtId="0" fontId="80" fillId="36" borderId="13" xfId="0" applyFont="1" applyFill="1" applyBorder="1" applyAlignment="1" applyProtection="1">
      <alignment horizontal="center" vertical="center" wrapText="1" shrinkToFit="1"/>
      <protection locked="0"/>
    </xf>
    <xf numFmtId="168" fontId="82" fillId="0" borderId="0" xfId="0" applyNumberFormat="1" applyFont="1" applyAlignment="1" applyProtection="1">
      <alignment horizontal="center"/>
      <protection locked="0"/>
    </xf>
    <xf numFmtId="3" fontId="82" fillId="0" borderId="0" xfId="0" applyNumberFormat="1" applyFont="1" applyAlignment="1" applyProtection="1">
      <alignment horizontal="center"/>
      <protection locked="0"/>
    </xf>
    <xf numFmtId="0" fontId="80" fillId="37" borderId="101" xfId="0" applyFont="1" applyFill="1" applyBorder="1" applyAlignment="1" applyProtection="1">
      <alignment horizontal="center"/>
      <protection locked="0"/>
    </xf>
    <xf numFmtId="168" fontId="82" fillId="0" borderId="0" xfId="0" applyNumberFormat="1" applyFont="1" applyAlignment="1">
      <alignment horizontal="center"/>
    </xf>
    <xf numFmtId="168" fontId="82" fillId="0" borderId="17" xfId="0" applyNumberFormat="1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33" borderId="101" xfId="0" applyFont="1" applyFill="1" applyBorder="1" applyAlignment="1">
      <alignment horizontal="center"/>
    </xf>
    <xf numFmtId="3" fontId="1" fillId="0" borderId="0" xfId="0" applyNumberFormat="1" applyFont="1" applyAlignment="1" applyProtection="1">
      <alignment horizontal="center"/>
      <protection locked="0"/>
    </xf>
    <xf numFmtId="165" fontId="2" fillId="0" borderId="0" xfId="0" applyNumberFormat="1" applyFont="1" applyAlignment="1">
      <alignment horizontal="center"/>
    </xf>
    <xf numFmtId="3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85" fillId="0" borderId="0" xfId="0" applyFont="1" applyAlignment="1">
      <alignment horizontal="center"/>
    </xf>
    <xf numFmtId="0" fontId="86" fillId="0" borderId="0" xfId="0" applyFont="1" applyProtection="1">
      <protection locked="0"/>
    </xf>
    <xf numFmtId="0" fontId="87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169" fontId="1" fillId="0" borderId="0" xfId="0" applyNumberFormat="1" applyFont="1"/>
    <xf numFmtId="0" fontId="8" fillId="0" borderId="24" xfId="0" applyFont="1" applyBorder="1" applyAlignment="1">
      <alignment horizontal="left" indent="2"/>
    </xf>
    <xf numFmtId="0" fontId="13" fillId="0" borderId="0" xfId="696" applyAlignment="1" applyProtection="1">
      <alignment vertical="center" wrapText="1"/>
      <protection locked="0"/>
    </xf>
    <xf numFmtId="0" fontId="41" fillId="0" borderId="0" xfId="696" applyFont="1" applyAlignment="1" applyProtection="1">
      <alignment vertical="center" wrapText="1"/>
      <protection locked="0"/>
    </xf>
    <xf numFmtId="0" fontId="42" fillId="54" borderId="15" xfId="696" applyFont="1" applyFill="1" applyBorder="1" applyAlignment="1" applyProtection="1">
      <alignment horizontal="center" vertical="center" wrapText="1"/>
      <protection locked="0"/>
    </xf>
    <xf numFmtId="0" fontId="44" fillId="0" borderId="16" xfId="696" applyFont="1" applyBorder="1" applyAlignment="1" applyProtection="1">
      <alignment horizontal="center" vertical="center" wrapText="1"/>
      <protection locked="0"/>
    </xf>
    <xf numFmtId="0" fontId="43" fillId="0" borderId="16" xfId="696" applyFont="1" applyBorder="1" applyAlignment="1" applyProtection="1">
      <alignment horizontal="center" vertical="center" wrapText="1"/>
      <protection locked="0"/>
    </xf>
    <xf numFmtId="0" fontId="45" fillId="0" borderId="16" xfId="696" applyFont="1" applyBorder="1" applyAlignment="1" applyProtection="1">
      <alignment horizontal="center" vertical="center" wrapText="1"/>
      <protection locked="0"/>
    </xf>
    <xf numFmtId="0" fontId="43" fillId="0" borderId="20" xfId="696" applyFont="1" applyBorder="1" applyAlignment="1" applyProtection="1">
      <alignment horizontal="center" vertical="center" wrapText="1"/>
      <protection locked="0"/>
    </xf>
    <xf numFmtId="0" fontId="46" fillId="0" borderId="20" xfId="696" applyFont="1" applyBorder="1" applyAlignment="1" applyProtection="1">
      <alignment horizontal="center" vertical="center" wrapText="1"/>
      <protection locked="0"/>
    </xf>
    <xf numFmtId="0" fontId="47" fillId="0" borderId="20" xfId="696" applyFont="1" applyBorder="1" applyAlignment="1" applyProtection="1">
      <alignment horizontal="center" vertical="center" wrapText="1"/>
      <protection locked="0"/>
    </xf>
    <xf numFmtId="0" fontId="47" fillId="0" borderId="16" xfId="696" applyFont="1" applyBorder="1" applyAlignment="1" applyProtection="1">
      <alignment horizontal="center" vertical="center" wrapText="1"/>
      <protection locked="0"/>
    </xf>
    <xf numFmtId="0" fontId="46" fillId="0" borderId="16" xfId="696" applyFont="1" applyBorder="1" applyAlignment="1" applyProtection="1">
      <alignment horizontal="center" vertical="center" wrapText="1"/>
      <protection locked="0"/>
    </xf>
    <xf numFmtId="0" fontId="46" fillId="47" borderId="20" xfId="696" applyFont="1" applyFill="1" applyBorder="1" applyAlignment="1" applyProtection="1">
      <alignment horizontal="center" vertical="center" wrapText="1"/>
      <protection locked="0"/>
    </xf>
    <xf numFmtId="164" fontId="46" fillId="0" borderId="20" xfId="696" applyNumberFormat="1" applyFont="1" applyBorder="1" applyAlignment="1" applyProtection="1">
      <alignment horizontal="center" vertical="center" wrapText="1"/>
      <protection locked="0"/>
    </xf>
    <xf numFmtId="165" fontId="46" fillId="0" borderId="16" xfId="696" applyNumberFormat="1" applyFont="1" applyBorder="1" applyAlignment="1" applyProtection="1">
      <alignment horizontal="center" vertical="center" wrapText="1"/>
      <protection locked="0"/>
    </xf>
    <xf numFmtId="1" fontId="46" fillId="0" borderId="16" xfId="696" applyNumberFormat="1" applyFont="1" applyBorder="1" applyAlignment="1" applyProtection="1">
      <alignment horizontal="center" vertical="center" wrapText="1"/>
      <protection locked="0"/>
    </xf>
    <xf numFmtId="1" fontId="46" fillId="47" borderId="16" xfId="696" applyNumberFormat="1" applyFont="1" applyFill="1" applyBorder="1" applyAlignment="1" applyProtection="1">
      <alignment horizontal="center" vertical="center" wrapText="1"/>
      <protection locked="0"/>
    </xf>
    <xf numFmtId="1" fontId="46" fillId="0" borderId="29" xfId="696" applyNumberFormat="1" applyFont="1" applyBorder="1" applyAlignment="1" applyProtection="1">
      <alignment horizontal="center" vertical="center" wrapText="1"/>
      <protection locked="0"/>
    </xf>
    <xf numFmtId="165" fontId="46" fillId="0" borderId="29" xfId="696" applyNumberFormat="1" applyFont="1" applyBorder="1" applyAlignment="1" applyProtection="1">
      <alignment horizontal="center" vertical="center" wrapText="1"/>
      <protection locked="0"/>
    </xf>
    <xf numFmtId="0" fontId="41" fillId="0" borderId="0" xfId="696" applyFont="1" applyAlignment="1" applyProtection="1">
      <alignment wrapText="1"/>
      <protection locked="0"/>
    </xf>
    <xf numFmtId="0" fontId="89" fillId="47" borderId="60" xfId="697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0" fillId="55" borderId="99" xfId="0" applyFont="1" applyFill="1" applyBorder="1" applyAlignment="1">
      <alignment horizontal="center" vertical="center"/>
    </xf>
    <xf numFmtId="0" fontId="90" fillId="56" borderId="104" xfId="0" applyFont="1" applyFill="1" applyBorder="1" applyAlignment="1">
      <alignment horizontal="center" vertical="center" wrapText="1"/>
    </xf>
    <xf numFmtId="0" fontId="0" fillId="57" borderId="35" xfId="0" applyFill="1" applyBorder="1" applyAlignment="1">
      <alignment horizontal="center" vertical="center"/>
    </xf>
    <xf numFmtId="0" fontId="0" fillId="57" borderId="102" xfId="0" applyFill="1" applyBorder="1" applyAlignment="1">
      <alignment horizontal="center" vertical="center"/>
    </xf>
    <xf numFmtId="172" fontId="0" fillId="0" borderId="103" xfId="0" applyNumberFormat="1" applyBorder="1" applyAlignment="1">
      <alignment horizontal="center" vertical="center"/>
    </xf>
    <xf numFmtId="0" fontId="0" fillId="57" borderId="36" xfId="0" applyFill="1" applyBorder="1" applyAlignment="1">
      <alignment horizontal="center" vertical="center"/>
    </xf>
    <xf numFmtId="172" fontId="0" fillId="0" borderId="105" xfId="0" applyNumberFormat="1" applyBorder="1" applyAlignment="1">
      <alignment horizontal="center" vertical="center"/>
    </xf>
    <xf numFmtId="14" fontId="0" fillId="0" borderId="103" xfId="0" applyNumberFormat="1" applyBorder="1" applyAlignment="1">
      <alignment horizontal="center" vertical="center"/>
    </xf>
    <xf numFmtId="0" fontId="0" fillId="57" borderId="37" xfId="0" applyFill="1" applyBorder="1" applyAlignment="1">
      <alignment horizontal="center" vertical="center"/>
    </xf>
    <xf numFmtId="0" fontId="0" fillId="57" borderId="20" xfId="0" applyFill="1" applyBorder="1" applyAlignment="1">
      <alignment horizontal="center" vertical="center"/>
    </xf>
    <xf numFmtId="172" fontId="0" fillId="0" borderId="93" xfId="0" applyNumberFormat="1" applyBorder="1" applyAlignment="1">
      <alignment horizontal="center" vertical="center"/>
    </xf>
    <xf numFmtId="0" fontId="0" fillId="57" borderId="29" xfId="0" applyFill="1" applyBorder="1" applyAlignment="1">
      <alignment horizontal="center" vertical="center"/>
    </xf>
    <xf numFmtId="172" fontId="0" fillId="0" borderId="26" xfId="0" applyNumberFormat="1" applyBorder="1" applyAlignment="1">
      <alignment horizontal="center" vertical="center"/>
    </xf>
    <xf numFmtId="14" fontId="0" fillId="0" borderId="93" xfId="0" applyNumberFormat="1" applyBorder="1" applyAlignment="1">
      <alignment horizontal="center" vertical="center"/>
    </xf>
    <xf numFmtId="172" fontId="0" fillId="0" borderId="116" xfId="0" applyNumberFormat="1" applyBorder="1" applyAlignment="1">
      <alignment horizontal="center" vertical="center"/>
    </xf>
    <xf numFmtId="172" fontId="91" fillId="58" borderId="35" xfId="0" applyNumberFormat="1" applyFont="1" applyFill="1" applyBorder="1" applyAlignment="1">
      <alignment horizontal="center" vertical="center"/>
    </xf>
    <xf numFmtId="173" fontId="91" fillId="58" borderId="102" xfId="0" applyNumberFormat="1" applyFont="1" applyFill="1" applyBorder="1" applyAlignment="1">
      <alignment horizontal="center" vertical="center"/>
    </xf>
    <xf numFmtId="0" fontId="91" fillId="58" borderId="103" xfId="0" applyFont="1" applyFill="1" applyBorder="1" applyAlignment="1">
      <alignment horizontal="center" vertical="center"/>
    </xf>
    <xf numFmtId="0" fontId="91" fillId="58" borderId="106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72" fontId="0" fillId="0" borderId="120" xfId="0" applyNumberFormat="1" applyBorder="1" applyAlignment="1">
      <alignment horizontal="center" vertical="center"/>
    </xf>
    <xf numFmtId="172" fontId="91" fillId="58" borderId="37" xfId="0" applyNumberFormat="1" applyFont="1" applyFill="1" applyBorder="1" applyAlignment="1">
      <alignment horizontal="center" vertical="center"/>
    </xf>
    <xf numFmtId="173" fontId="91" fillId="58" borderId="20" xfId="0" applyNumberFormat="1" applyFont="1" applyFill="1" applyBorder="1" applyAlignment="1">
      <alignment horizontal="center" vertical="center"/>
    </xf>
    <xf numFmtId="0" fontId="91" fillId="58" borderId="93" xfId="0" applyFont="1" applyFill="1" applyBorder="1" applyAlignment="1">
      <alignment horizontal="center" vertical="center"/>
    </xf>
    <xf numFmtId="0" fontId="91" fillId="58" borderId="80" xfId="0" applyFont="1" applyFill="1" applyBorder="1" applyAlignment="1">
      <alignment horizontal="center" vertical="center"/>
    </xf>
    <xf numFmtId="0" fontId="0" fillId="57" borderId="38" xfId="0" applyFill="1" applyBorder="1" applyAlignment="1">
      <alignment horizontal="center" vertical="center"/>
    </xf>
    <xf numFmtId="0" fontId="0" fillId="57" borderId="31" xfId="0" applyFill="1" applyBorder="1" applyAlignment="1">
      <alignment horizontal="center" vertical="center"/>
    </xf>
    <xf numFmtId="172" fontId="0" fillId="0" borderId="104" xfId="0" applyNumberFormat="1" applyBorder="1" applyAlignment="1">
      <alignment horizontal="center" vertical="center"/>
    </xf>
    <xf numFmtId="172" fontId="0" fillId="0" borderId="121" xfId="0" applyNumberFormat="1" applyBorder="1" applyAlignment="1">
      <alignment horizontal="center" vertical="center"/>
    </xf>
    <xf numFmtId="172" fontId="91" fillId="58" borderId="38" xfId="0" applyNumberFormat="1" applyFont="1" applyFill="1" applyBorder="1" applyAlignment="1">
      <alignment horizontal="center" vertical="center"/>
    </xf>
    <xf numFmtId="173" fontId="91" fillId="58" borderId="31" xfId="0" applyNumberFormat="1" applyFont="1" applyFill="1" applyBorder="1" applyAlignment="1">
      <alignment horizontal="center" vertical="center"/>
    </xf>
    <xf numFmtId="0" fontId="91" fillId="58" borderId="104" xfId="0" applyFont="1" applyFill="1" applyBorder="1" applyAlignment="1">
      <alignment horizontal="center" vertical="center"/>
    </xf>
    <xf numFmtId="0" fontId="91" fillId="58" borderId="119" xfId="0" applyFont="1" applyFill="1" applyBorder="1" applyAlignment="1">
      <alignment horizontal="center" vertical="center"/>
    </xf>
    <xf numFmtId="14" fontId="0" fillId="0" borderId="104" xfId="0" applyNumberFormat="1" applyBorder="1" applyAlignment="1">
      <alignment horizontal="center" vertical="center"/>
    </xf>
    <xf numFmtId="0" fontId="90" fillId="56" borderId="38" xfId="0" applyFont="1" applyFill="1" applyBorder="1" applyAlignment="1">
      <alignment horizontal="center" vertical="center" wrapText="1"/>
    </xf>
    <xf numFmtId="0" fontId="90" fillId="56" borderId="31" xfId="0" applyFont="1" applyFill="1" applyBorder="1" applyAlignment="1">
      <alignment horizontal="center" vertical="center" wrapText="1"/>
    </xf>
    <xf numFmtId="0" fontId="90" fillId="56" borderId="10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90" fillId="56" borderId="119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quotePrefix="1" applyAlignment="1">
      <alignment horizontal="left" vertical="center"/>
    </xf>
    <xf numFmtId="0" fontId="1" fillId="0" borderId="0" xfId="0" quotePrefix="1" applyFont="1"/>
    <xf numFmtId="0" fontId="53" fillId="0" borderId="0" xfId="911" applyFont="1"/>
    <xf numFmtId="0" fontId="1" fillId="0" borderId="0" xfId="911"/>
    <xf numFmtId="0" fontId="54" fillId="0" borderId="13" xfId="911" applyFont="1" applyBorder="1" applyAlignment="1">
      <alignment horizontal="center"/>
    </xf>
    <xf numFmtId="0" fontId="53" fillId="0" borderId="30" xfId="911" applyFont="1" applyBorder="1" applyAlignment="1">
      <alignment horizontal="center"/>
    </xf>
    <xf numFmtId="0" fontId="53" fillId="0" borderId="0" xfId="911" applyFont="1" applyAlignment="1">
      <alignment horizontal="center"/>
    </xf>
    <xf numFmtId="0" fontId="53" fillId="0" borderId="0" xfId="0" quotePrefix="1" applyFont="1"/>
    <xf numFmtId="0" fontId="0" fillId="53" borderId="0" xfId="0" applyFill="1"/>
    <xf numFmtId="0" fontId="82" fillId="53" borderId="0" xfId="0" applyFont="1" applyFill="1"/>
    <xf numFmtId="0" fontId="82" fillId="53" borderId="0" xfId="0" applyFont="1" applyFill="1" applyAlignment="1">
      <alignment horizontal="center"/>
    </xf>
    <xf numFmtId="0" fontId="82" fillId="53" borderId="0" xfId="0" applyFont="1" applyFill="1" applyAlignment="1">
      <alignment horizontal="left"/>
    </xf>
    <xf numFmtId="0" fontId="63" fillId="0" borderId="87" xfId="697" applyFont="1" applyBorder="1" applyAlignment="1">
      <alignment horizontal="left" wrapText="1" indent="1"/>
    </xf>
    <xf numFmtId="0" fontId="53" fillId="0" borderId="20" xfId="911" applyFont="1" applyBorder="1"/>
    <xf numFmtId="0" fontId="82" fillId="0" borderId="89" xfId="0" applyFont="1" applyBorder="1" applyProtection="1">
      <protection locked="0"/>
    </xf>
    <xf numFmtId="0" fontId="63" fillId="44" borderId="22" xfId="697" applyFont="1" applyFill="1" applyBorder="1" applyAlignment="1">
      <alignment horizontal="center" wrapText="1"/>
    </xf>
    <xf numFmtId="0" fontId="63" fillId="44" borderId="30" xfId="697" applyFont="1" applyFill="1" applyBorder="1" applyAlignment="1">
      <alignment horizontal="center" wrapText="1"/>
    </xf>
    <xf numFmtId="0" fontId="66" fillId="48" borderId="122" xfId="697" applyFont="1" applyFill="1" applyBorder="1" applyAlignment="1">
      <alignment horizontal="center" wrapText="1"/>
    </xf>
    <xf numFmtId="0" fontId="1" fillId="0" borderId="0" xfId="901" applyAlignment="1" applyProtection="1">
      <alignment horizontal="center"/>
      <protection locked="0"/>
    </xf>
    <xf numFmtId="167" fontId="1" fillId="0" borderId="0" xfId="0" applyNumberFormat="1" applyFont="1" applyAlignment="1" applyProtection="1">
      <alignment horizontal="left"/>
      <protection locked="0"/>
    </xf>
    <xf numFmtId="167" fontId="2" fillId="0" borderId="0" xfId="0" applyNumberFormat="1" applyFont="1" applyAlignment="1" applyProtection="1">
      <alignment horizontal="center"/>
      <protection locked="0"/>
    </xf>
    <xf numFmtId="49" fontId="1" fillId="0" borderId="0" xfId="0" quotePrefix="1" applyNumberFormat="1" applyFont="1" applyAlignment="1">
      <alignment horizontal="center"/>
    </xf>
    <xf numFmtId="0" fontId="82" fillId="0" borderId="91" xfId="0" applyFont="1" applyBorder="1" applyAlignment="1" applyProtection="1">
      <alignment horizontal="left" indent="1"/>
      <protection locked="0"/>
    </xf>
    <xf numFmtId="167" fontId="82" fillId="0" borderId="115" xfId="0" applyNumberFormat="1" applyFont="1" applyBorder="1" applyAlignment="1" applyProtection="1">
      <alignment horizontal="center"/>
      <protection locked="0"/>
    </xf>
    <xf numFmtId="0" fontId="82" fillId="0" borderId="115" xfId="0" applyFont="1" applyBorder="1" applyAlignment="1" applyProtection="1">
      <alignment horizontal="center"/>
      <protection locked="0"/>
    </xf>
    <xf numFmtId="0" fontId="82" fillId="0" borderId="92" xfId="0" applyFont="1" applyBorder="1" applyAlignment="1" applyProtection="1">
      <alignment horizontal="right" indent="1"/>
      <protection locked="0"/>
    </xf>
    <xf numFmtId="0" fontId="82" fillId="0" borderId="89" xfId="0" applyFont="1" applyBorder="1" applyAlignment="1" applyProtection="1">
      <alignment horizontal="left" indent="1"/>
      <protection locked="0"/>
    </xf>
    <xf numFmtId="0" fontId="82" fillId="0" borderId="40" xfId="0" applyFont="1" applyBorder="1" applyAlignment="1" applyProtection="1">
      <alignment horizontal="right" indent="1"/>
      <protection locked="0"/>
    </xf>
    <xf numFmtId="0" fontId="82" fillId="0" borderId="89" xfId="0" applyFont="1" applyBorder="1" applyAlignment="1" applyProtection="1">
      <alignment horizontal="right" indent="1"/>
      <protection locked="0"/>
    </xf>
    <xf numFmtId="0" fontId="82" fillId="48" borderId="89" xfId="0" applyFont="1" applyFill="1" applyBorder="1" applyAlignment="1" applyProtection="1">
      <alignment horizontal="left" indent="1"/>
      <protection locked="0"/>
    </xf>
    <xf numFmtId="0" fontId="82" fillId="48" borderId="90" xfId="0" applyFont="1" applyFill="1" applyBorder="1" applyAlignment="1" applyProtection="1">
      <alignment horizontal="left" indent="1"/>
      <protection locked="0"/>
    </xf>
    <xf numFmtId="0" fontId="82" fillId="48" borderId="108" xfId="0" applyFont="1" applyFill="1" applyBorder="1" applyAlignment="1" applyProtection="1">
      <alignment horizontal="center"/>
      <protection locked="0"/>
    </xf>
    <xf numFmtId="0" fontId="82" fillId="0" borderId="123" xfId="0" applyFont="1" applyBorder="1" applyAlignment="1" applyProtection="1">
      <alignment horizontal="right" indent="1"/>
      <protection locked="0"/>
    </xf>
    <xf numFmtId="0" fontId="80" fillId="48" borderId="40" xfId="0" applyFont="1" applyFill="1" applyBorder="1" applyAlignment="1" applyProtection="1">
      <alignment horizontal="right" indent="1"/>
      <protection locked="0"/>
    </xf>
    <xf numFmtId="0" fontId="82" fillId="42" borderId="93" xfId="0" applyFont="1" applyFill="1" applyBorder="1"/>
    <xf numFmtId="0" fontId="80" fillId="38" borderId="101" xfId="0" applyFont="1" applyFill="1" applyBorder="1" applyAlignment="1" applyProtection="1">
      <alignment horizontal="center"/>
      <protection locked="0"/>
    </xf>
    <xf numFmtId="167" fontId="82" fillId="0" borderId="20" xfId="0" applyNumberFormat="1" applyFont="1" applyBorder="1" applyAlignment="1" applyProtection="1">
      <alignment horizontal="center"/>
      <protection locked="0"/>
    </xf>
    <xf numFmtId="0" fontId="82" fillId="0" borderId="20" xfId="0" applyFont="1" applyBorder="1" applyAlignment="1" applyProtection="1">
      <alignment horizontal="center"/>
      <protection locked="0"/>
    </xf>
    <xf numFmtId="1" fontId="82" fillId="0" borderId="20" xfId="0" applyNumberFormat="1" applyFont="1" applyBorder="1" applyAlignment="1" applyProtection="1">
      <alignment horizontal="center"/>
      <protection locked="0"/>
    </xf>
    <xf numFmtId="1" fontId="82" fillId="0" borderId="20" xfId="0" applyNumberFormat="1" applyFont="1" applyBorder="1" applyAlignment="1">
      <alignment horizontal="center"/>
    </xf>
    <xf numFmtId="170" fontId="82" fillId="0" borderId="20" xfId="0" applyNumberFormat="1" applyFont="1" applyBorder="1" applyAlignment="1" applyProtection="1">
      <alignment horizontal="center"/>
      <protection locked="0"/>
    </xf>
    <xf numFmtId="2" fontId="82" fillId="0" borderId="20" xfId="0" applyNumberFormat="1" applyFont="1" applyBorder="1" applyAlignment="1" applyProtection="1">
      <alignment horizontal="center"/>
      <protection locked="0"/>
    </xf>
    <xf numFmtId="167" fontId="1" fillId="0" borderId="20" xfId="0" applyNumberFormat="1" applyFont="1" applyBorder="1" applyAlignment="1" applyProtection="1">
      <alignment horizontal="center"/>
      <protection locked="0"/>
    </xf>
    <xf numFmtId="49" fontId="1" fillId="0" borderId="20" xfId="0" quotePrefix="1" applyNumberFormat="1" applyFont="1" applyBorder="1" applyAlignment="1" applyProtection="1">
      <alignment horizontal="center"/>
      <protection locked="0"/>
    </xf>
    <xf numFmtId="169" fontId="1" fillId="0" borderId="20" xfId="0" applyNumberFormat="1" applyFont="1" applyBorder="1" applyAlignment="1" applyProtection="1">
      <alignment horizontal="center"/>
      <protection locked="0"/>
    </xf>
    <xf numFmtId="0" fontId="1" fillId="0" borderId="20" xfId="0" applyFont="1" applyBorder="1" applyAlignment="1" applyProtection="1">
      <alignment horizontal="center"/>
      <protection locked="0"/>
    </xf>
    <xf numFmtId="1" fontId="1" fillId="0" borderId="20" xfId="0" applyNumberFormat="1" applyFont="1" applyBorder="1" applyAlignment="1" applyProtection="1">
      <alignment horizontal="center"/>
      <protection locked="0"/>
    </xf>
    <xf numFmtId="164" fontId="1" fillId="0" borderId="20" xfId="0" applyNumberFormat="1" applyFont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1" fontId="1" fillId="0" borderId="20" xfId="0" applyNumberFormat="1" applyFont="1" applyBorder="1" applyAlignment="1">
      <alignment horizontal="center"/>
    </xf>
    <xf numFmtId="170" fontId="1" fillId="0" borderId="20" xfId="0" applyNumberFormat="1" applyFont="1" applyBorder="1" applyAlignment="1" applyProtection="1">
      <alignment horizontal="center"/>
      <protection locked="0"/>
    </xf>
    <xf numFmtId="0" fontId="2" fillId="0" borderId="20" xfId="0" applyFont="1" applyBorder="1" applyAlignment="1" applyProtection="1">
      <alignment horizontal="center"/>
      <protection locked="0"/>
    </xf>
    <xf numFmtId="2" fontId="1" fillId="0" borderId="20" xfId="0" applyNumberFormat="1" applyFont="1" applyBorder="1" applyAlignment="1" applyProtection="1">
      <alignment horizontal="center"/>
      <protection locked="0"/>
    </xf>
    <xf numFmtId="49" fontId="1" fillId="0" borderId="20" xfId="0" applyNumberFormat="1" applyFont="1" applyBorder="1" applyAlignment="1" applyProtection="1">
      <alignment horizontal="center"/>
      <protection locked="0"/>
    </xf>
    <xf numFmtId="49" fontId="1" fillId="0" borderId="20" xfId="0" quotePrefix="1" applyNumberFormat="1" applyFont="1" applyBorder="1" applyAlignment="1">
      <alignment horizontal="center"/>
    </xf>
    <xf numFmtId="170" fontId="1" fillId="0" borderId="20" xfId="0" applyNumberFormat="1" applyFont="1" applyBorder="1" applyAlignment="1">
      <alignment horizontal="center"/>
    </xf>
    <xf numFmtId="169" fontId="1" fillId="0" borderId="20" xfId="0" quotePrefix="1" applyNumberFormat="1" applyFont="1" applyBorder="1" applyAlignment="1" applyProtection="1">
      <alignment horizontal="center"/>
      <protection locked="0"/>
    </xf>
    <xf numFmtId="167" fontId="1" fillId="59" borderId="20" xfId="0" applyNumberFormat="1" applyFont="1" applyFill="1" applyBorder="1" applyAlignment="1" applyProtection="1">
      <alignment horizontal="center"/>
      <protection locked="0"/>
    </xf>
    <xf numFmtId="49" fontId="1" fillId="59" borderId="20" xfId="0" applyNumberFormat="1" applyFont="1" applyFill="1" applyBorder="1" applyAlignment="1" applyProtection="1">
      <alignment horizontal="center"/>
      <protection locked="0"/>
    </xf>
    <xf numFmtId="169" fontId="1" fillId="59" borderId="20" xfId="0" applyNumberFormat="1" applyFont="1" applyFill="1" applyBorder="1" applyAlignment="1" applyProtection="1">
      <alignment horizontal="center"/>
      <protection locked="0"/>
    </xf>
    <xf numFmtId="0" fontId="1" fillId="59" borderId="20" xfId="0" applyFont="1" applyFill="1" applyBorder="1" applyAlignment="1" applyProtection="1">
      <alignment horizontal="center"/>
      <protection locked="0"/>
    </xf>
    <xf numFmtId="1" fontId="1" fillId="59" borderId="20" xfId="0" applyNumberFormat="1" applyFont="1" applyFill="1" applyBorder="1" applyAlignment="1" applyProtection="1">
      <alignment horizontal="center"/>
      <protection locked="0"/>
    </xf>
    <xf numFmtId="164" fontId="1" fillId="59" borderId="20" xfId="0" applyNumberFormat="1" applyFont="1" applyFill="1" applyBorder="1" applyAlignment="1" applyProtection="1">
      <alignment horizontal="center"/>
      <protection locked="0"/>
    </xf>
    <xf numFmtId="1" fontId="1" fillId="59" borderId="20" xfId="0" applyNumberFormat="1" applyFont="1" applyFill="1" applyBorder="1" applyAlignment="1">
      <alignment horizontal="center"/>
    </xf>
    <xf numFmtId="170" fontId="1" fillId="59" borderId="20" xfId="0" applyNumberFormat="1" applyFont="1" applyFill="1" applyBorder="1" applyAlignment="1" applyProtection="1">
      <alignment horizontal="center"/>
      <protection locked="0"/>
    </xf>
    <xf numFmtId="2" fontId="1" fillId="59" borderId="20" xfId="0" applyNumberFormat="1" applyFont="1" applyFill="1" applyBorder="1" applyAlignment="1" applyProtection="1">
      <alignment horizontal="center"/>
      <protection locked="0"/>
    </xf>
    <xf numFmtId="49" fontId="1" fillId="59" borderId="20" xfId="0" quotePrefix="1" applyNumberFormat="1" applyFont="1" applyFill="1" applyBorder="1" applyAlignment="1" applyProtection="1">
      <alignment horizontal="center"/>
      <protection locked="0"/>
    </xf>
    <xf numFmtId="0" fontId="1" fillId="59" borderId="20" xfId="0" applyFont="1" applyFill="1" applyBorder="1" applyAlignment="1">
      <alignment horizontal="center"/>
    </xf>
    <xf numFmtId="170" fontId="1" fillId="59" borderId="20" xfId="0" applyNumberFormat="1" applyFont="1" applyFill="1" applyBorder="1" applyAlignment="1">
      <alignment horizontal="center"/>
    </xf>
    <xf numFmtId="169" fontId="1" fillId="59" borderId="20" xfId="0" quotePrefix="1" applyNumberFormat="1" applyFont="1" applyFill="1" applyBorder="1" applyAlignment="1" applyProtection="1">
      <alignment horizontal="center"/>
      <protection locked="0"/>
    </xf>
    <xf numFmtId="164" fontId="1" fillId="59" borderId="20" xfId="0" applyNumberFormat="1" applyFont="1" applyFill="1" applyBorder="1" applyAlignment="1">
      <alignment horizontal="center"/>
    </xf>
    <xf numFmtId="0" fontId="1" fillId="59" borderId="20" xfId="901" applyFill="1" applyBorder="1" applyAlignment="1" applyProtection="1">
      <alignment horizontal="center"/>
      <protection locked="0"/>
    </xf>
    <xf numFmtId="0" fontId="2" fillId="59" borderId="20" xfId="0" applyFont="1" applyFill="1" applyBorder="1" applyAlignment="1" applyProtection="1">
      <alignment horizontal="center"/>
      <protection locked="0"/>
    </xf>
    <xf numFmtId="0" fontId="1" fillId="59" borderId="20" xfId="0" quotePrefix="1" applyFont="1" applyFill="1" applyBorder="1" applyAlignment="1" applyProtection="1">
      <alignment horizontal="center"/>
      <protection locked="0"/>
    </xf>
    <xf numFmtId="169" fontId="2" fillId="59" borderId="20" xfId="0" applyNumberFormat="1" applyFont="1" applyFill="1" applyBorder="1" applyAlignment="1" applyProtection="1">
      <alignment horizontal="center"/>
      <protection locked="0"/>
    </xf>
    <xf numFmtId="0" fontId="82" fillId="59" borderId="20" xfId="0" quotePrefix="1" applyFont="1" applyFill="1" applyBorder="1" applyAlignment="1" applyProtection="1">
      <alignment horizontal="center"/>
      <protection locked="0"/>
    </xf>
    <xf numFmtId="49" fontId="1" fillId="59" borderId="20" xfId="0" applyNumberFormat="1" applyFont="1" applyFill="1" applyBorder="1" applyAlignment="1">
      <alignment horizontal="center"/>
    </xf>
    <xf numFmtId="170" fontId="82" fillId="59" borderId="20" xfId="0" applyNumberFormat="1" applyFont="1" applyFill="1" applyBorder="1" applyAlignment="1" applyProtection="1">
      <alignment horizontal="center"/>
      <protection locked="0"/>
    </xf>
    <xf numFmtId="1" fontId="82" fillId="59" borderId="20" xfId="0" applyNumberFormat="1" applyFont="1" applyFill="1" applyBorder="1" applyAlignment="1" applyProtection="1">
      <alignment horizontal="center"/>
      <protection locked="0"/>
    </xf>
    <xf numFmtId="0" fontId="2" fillId="59" borderId="20" xfId="0" applyFont="1" applyFill="1" applyBorder="1" applyAlignment="1">
      <alignment horizontal="center"/>
    </xf>
    <xf numFmtId="2" fontId="1" fillId="59" borderId="20" xfId="0" applyNumberFormat="1" applyFont="1" applyFill="1" applyBorder="1" applyAlignment="1">
      <alignment horizontal="center"/>
    </xf>
    <xf numFmtId="0" fontId="76" fillId="59" borderId="20" xfId="0" applyFont="1" applyFill="1" applyBorder="1" applyAlignment="1" applyProtection="1">
      <alignment horizontal="center"/>
      <protection locked="0"/>
    </xf>
    <xf numFmtId="49" fontId="1" fillId="59" borderId="20" xfId="0" quotePrefix="1" applyNumberFormat="1" applyFont="1" applyFill="1" applyBorder="1" applyAlignment="1">
      <alignment horizontal="center"/>
    </xf>
    <xf numFmtId="167" fontId="1" fillId="59" borderId="20" xfId="0" applyNumberFormat="1" applyFont="1" applyFill="1" applyBorder="1" applyAlignment="1" applyProtection="1">
      <alignment horizontal="left"/>
      <protection locked="0"/>
    </xf>
    <xf numFmtId="167" fontId="1" fillId="56" borderId="20" xfId="0" applyNumberFormat="1" applyFont="1" applyFill="1" applyBorder="1" applyAlignment="1" applyProtection="1">
      <alignment horizontal="center"/>
      <protection locked="0"/>
    </xf>
    <xf numFmtId="49" fontId="1" fillId="56" borderId="20" xfId="0" applyNumberFormat="1" applyFont="1" applyFill="1" applyBorder="1" applyAlignment="1" applyProtection="1">
      <alignment horizontal="center"/>
      <protection locked="0"/>
    </xf>
    <xf numFmtId="169" fontId="1" fillId="56" borderId="20" xfId="0" applyNumberFormat="1" applyFont="1" applyFill="1" applyBorder="1" applyAlignment="1" applyProtection="1">
      <alignment horizontal="center"/>
      <protection locked="0"/>
    </xf>
    <xf numFmtId="0" fontId="1" fillId="56" borderId="20" xfId="0" applyFont="1" applyFill="1" applyBorder="1" applyAlignment="1" applyProtection="1">
      <alignment horizontal="center"/>
      <protection locked="0"/>
    </xf>
    <xf numFmtId="1" fontId="1" fillId="56" borderId="20" xfId="0" applyNumberFormat="1" applyFont="1" applyFill="1" applyBorder="1" applyAlignment="1" applyProtection="1">
      <alignment horizontal="center"/>
      <protection locked="0"/>
    </xf>
    <xf numFmtId="164" fontId="1" fillId="56" borderId="20" xfId="0" applyNumberFormat="1" applyFont="1" applyFill="1" applyBorder="1" applyAlignment="1" applyProtection="1">
      <alignment horizontal="center"/>
      <protection locked="0"/>
    </xf>
    <xf numFmtId="0" fontId="1" fillId="56" borderId="20" xfId="0" applyFont="1" applyFill="1" applyBorder="1" applyAlignment="1">
      <alignment horizontal="center"/>
    </xf>
    <xf numFmtId="1" fontId="1" fillId="56" borderId="20" xfId="0" applyNumberFormat="1" applyFont="1" applyFill="1" applyBorder="1" applyAlignment="1">
      <alignment horizontal="center"/>
    </xf>
    <xf numFmtId="170" fontId="1" fillId="56" borderId="20" xfId="0" applyNumberFormat="1" applyFont="1" applyFill="1" applyBorder="1" applyAlignment="1" applyProtection="1">
      <alignment horizontal="center"/>
      <protection locked="0"/>
    </xf>
    <xf numFmtId="2" fontId="1" fillId="56" borderId="20" xfId="0" applyNumberFormat="1" applyFont="1" applyFill="1" applyBorder="1" applyAlignment="1" applyProtection="1">
      <alignment horizontal="center"/>
      <protection locked="0"/>
    </xf>
    <xf numFmtId="0" fontId="0" fillId="56" borderId="20" xfId="0" quotePrefix="1" applyFill="1" applyBorder="1" applyAlignment="1">
      <alignment horizontal="center" vertical="center"/>
    </xf>
    <xf numFmtId="0" fontId="1" fillId="56" borderId="20" xfId="0" quotePrefix="1" applyFont="1" applyFill="1" applyBorder="1" applyAlignment="1">
      <alignment horizontal="center"/>
    </xf>
    <xf numFmtId="0" fontId="0" fillId="56" borderId="20" xfId="0" applyFill="1" applyBorder="1"/>
    <xf numFmtId="0" fontId="82" fillId="56" borderId="20" xfId="0" applyFont="1" applyFill="1" applyBorder="1" applyAlignment="1" applyProtection="1">
      <alignment horizontal="center"/>
      <protection locked="0"/>
    </xf>
    <xf numFmtId="168" fontId="82" fillId="0" borderId="20" xfId="0" applyNumberFormat="1" applyFont="1" applyBorder="1" applyAlignment="1" applyProtection="1">
      <alignment horizontal="center"/>
      <protection locked="0"/>
    </xf>
    <xf numFmtId="3" fontId="82" fillId="0" borderId="20" xfId="0" applyNumberFormat="1" applyFont="1" applyBorder="1" applyAlignment="1" applyProtection="1">
      <alignment horizontal="center"/>
      <protection locked="0"/>
    </xf>
    <xf numFmtId="164" fontId="82" fillId="0" borderId="20" xfId="0" applyNumberFormat="1" applyFont="1" applyBorder="1" applyAlignment="1" applyProtection="1">
      <alignment horizontal="center"/>
      <protection locked="0"/>
    </xf>
    <xf numFmtId="168" fontId="1" fillId="0" borderId="20" xfId="0" applyNumberFormat="1" applyFont="1" applyBorder="1" applyAlignment="1">
      <alignment horizontal="center"/>
    </xf>
    <xf numFmtId="168" fontId="1" fillId="56" borderId="20" xfId="0" applyNumberFormat="1" applyFont="1" applyFill="1" applyBorder="1" applyAlignment="1" applyProtection="1">
      <alignment horizontal="center"/>
      <protection locked="0"/>
    </xf>
    <xf numFmtId="168" fontId="1" fillId="59" borderId="20" xfId="0" applyNumberFormat="1" applyFont="1" applyFill="1" applyBorder="1" applyAlignment="1">
      <alignment horizontal="center"/>
    </xf>
    <xf numFmtId="168" fontId="1" fillId="59" borderId="20" xfId="0" applyNumberFormat="1" applyFont="1" applyFill="1" applyBorder="1" applyAlignment="1" applyProtection="1">
      <alignment horizontal="center"/>
      <protection locked="0"/>
    </xf>
    <xf numFmtId="168" fontId="82" fillId="59" borderId="20" xfId="0" applyNumberFormat="1" applyFont="1" applyFill="1" applyBorder="1" applyAlignment="1" applyProtection="1">
      <alignment horizontal="center"/>
      <protection locked="0"/>
    </xf>
    <xf numFmtId="0" fontId="82" fillId="59" borderId="20" xfId="0" applyFont="1" applyFill="1" applyBorder="1" applyProtection="1">
      <protection locked="0"/>
    </xf>
    <xf numFmtId="167" fontId="1" fillId="60" borderId="20" xfId="0" applyNumberFormat="1" applyFont="1" applyFill="1" applyBorder="1" applyAlignment="1" applyProtection="1">
      <alignment horizontal="center"/>
      <protection locked="0"/>
    </xf>
    <xf numFmtId="49" fontId="1" fillId="60" borderId="20" xfId="0" applyNumberFormat="1" applyFont="1" applyFill="1" applyBorder="1" applyAlignment="1">
      <alignment horizontal="center"/>
    </xf>
    <xf numFmtId="169" fontId="1" fillId="60" borderId="20" xfId="0" applyNumberFormat="1" applyFont="1" applyFill="1" applyBorder="1" applyAlignment="1" applyProtection="1">
      <alignment horizontal="center"/>
      <protection locked="0"/>
    </xf>
    <xf numFmtId="0" fontId="1" fillId="60" borderId="20" xfId="0" applyFont="1" applyFill="1" applyBorder="1" applyAlignment="1" applyProtection="1">
      <alignment horizontal="center"/>
      <protection locked="0"/>
    </xf>
    <xf numFmtId="1" fontId="1" fillId="60" borderId="20" xfId="0" applyNumberFormat="1" applyFont="1" applyFill="1" applyBorder="1" applyAlignment="1" applyProtection="1">
      <alignment horizontal="center"/>
      <protection locked="0"/>
    </xf>
    <xf numFmtId="164" fontId="1" fillId="60" borderId="20" xfId="0" applyNumberFormat="1" applyFont="1" applyFill="1" applyBorder="1" applyAlignment="1" applyProtection="1">
      <alignment horizontal="center"/>
      <protection locked="0"/>
    </xf>
    <xf numFmtId="0" fontId="1" fillId="60" borderId="20" xfId="0" applyFont="1" applyFill="1" applyBorder="1" applyAlignment="1">
      <alignment horizontal="center"/>
    </xf>
    <xf numFmtId="168" fontId="1" fillId="60" borderId="20" xfId="0" applyNumberFormat="1" applyFont="1" applyFill="1" applyBorder="1" applyAlignment="1">
      <alignment horizontal="center"/>
    </xf>
    <xf numFmtId="2" fontId="1" fillId="60" borderId="20" xfId="0" applyNumberFormat="1" applyFont="1" applyFill="1" applyBorder="1" applyAlignment="1" applyProtection="1">
      <alignment horizontal="center"/>
      <protection locked="0"/>
    </xf>
    <xf numFmtId="1" fontId="1" fillId="60" borderId="20" xfId="0" applyNumberFormat="1" applyFont="1" applyFill="1" applyBorder="1" applyAlignment="1">
      <alignment horizontal="center"/>
    </xf>
    <xf numFmtId="0" fontId="2" fillId="60" borderId="20" xfId="0" applyFont="1" applyFill="1" applyBorder="1" applyAlignment="1">
      <alignment horizontal="center"/>
    </xf>
    <xf numFmtId="49" fontId="1" fillId="60" borderId="20" xfId="0" applyNumberFormat="1" applyFont="1" applyFill="1" applyBorder="1" applyAlignment="1" applyProtection="1">
      <alignment horizontal="center"/>
      <protection locked="0"/>
    </xf>
    <xf numFmtId="170" fontId="1" fillId="60" borderId="20" xfId="0" applyNumberFormat="1" applyFont="1" applyFill="1" applyBorder="1" applyAlignment="1" applyProtection="1">
      <alignment horizontal="center"/>
      <protection locked="0"/>
    </xf>
    <xf numFmtId="49" fontId="1" fillId="60" borderId="20" xfId="0" quotePrefix="1" applyNumberFormat="1" applyFont="1" applyFill="1" applyBorder="1" applyAlignment="1" applyProtection="1">
      <alignment horizontal="center"/>
      <protection locked="0"/>
    </xf>
    <xf numFmtId="2" fontId="1" fillId="60" borderId="20" xfId="0" applyNumberFormat="1" applyFont="1" applyFill="1" applyBorder="1" applyAlignment="1">
      <alignment horizontal="center"/>
    </xf>
    <xf numFmtId="0" fontId="2" fillId="60" borderId="20" xfId="0" applyFont="1" applyFill="1" applyBorder="1" applyAlignment="1" applyProtection="1">
      <alignment horizontal="center"/>
      <protection locked="0"/>
    </xf>
    <xf numFmtId="167" fontId="82" fillId="60" borderId="20" xfId="0" applyNumberFormat="1" applyFont="1" applyFill="1" applyBorder="1" applyAlignment="1" applyProtection="1">
      <alignment horizontal="center"/>
      <protection locked="0"/>
    </xf>
    <xf numFmtId="170" fontId="1" fillId="60" borderId="20" xfId="0" applyNumberFormat="1" applyFont="1" applyFill="1" applyBorder="1" applyAlignment="1">
      <alignment horizontal="center"/>
    </xf>
    <xf numFmtId="169" fontId="1" fillId="60" borderId="20" xfId="0" quotePrefix="1" applyNumberFormat="1" applyFont="1" applyFill="1" applyBorder="1" applyAlignment="1" applyProtection="1">
      <alignment horizontal="center"/>
      <protection locked="0"/>
    </xf>
    <xf numFmtId="168" fontId="82" fillId="60" borderId="20" xfId="0" applyNumberFormat="1" applyFont="1" applyFill="1" applyBorder="1" applyAlignment="1" applyProtection="1">
      <alignment horizontal="center"/>
      <protection locked="0"/>
    </xf>
    <xf numFmtId="2" fontId="1" fillId="0" borderId="0" xfId="0" applyNumberFormat="1" applyFont="1" applyAlignment="1">
      <alignment horizontal="center"/>
    </xf>
    <xf numFmtId="3" fontId="1" fillId="59" borderId="20" xfId="0" applyNumberFormat="1" applyFont="1" applyFill="1" applyBorder="1" applyAlignment="1" applyProtection="1">
      <alignment horizontal="center"/>
      <protection locked="0"/>
    </xf>
    <xf numFmtId="0" fontId="1" fillId="59" borderId="20" xfId="0" applyFont="1" applyFill="1" applyBorder="1"/>
    <xf numFmtId="171" fontId="1" fillId="59" borderId="20" xfId="0" applyNumberFormat="1" applyFont="1" applyFill="1" applyBorder="1" applyAlignment="1" applyProtection="1">
      <alignment horizontal="center"/>
      <protection locked="0"/>
    </xf>
    <xf numFmtId="1" fontId="1" fillId="59" borderId="20" xfId="0" applyNumberFormat="1" applyFont="1" applyFill="1" applyBorder="1"/>
    <xf numFmtId="0" fontId="2" fillId="62" borderId="13" xfId="0" applyFont="1" applyFill="1" applyBorder="1" applyAlignment="1">
      <alignment horizontal="center" vertical="center" wrapText="1"/>
    </xf>
    <xf numFmtId="0" fontId="2" fillId="62" borderId="34" xfId="0" applyFont="1" applyFill="1" applyBorder="1" applyAlignment="1">
      <alignment horizontal="center" vertical="center" wrapText="1"/>
    </xf>
    <xf numFmtId="0" fontId="2" fillId="56" borderId="13" xfId="0" applyFont="1" applyFill="1" applyBorder="1" applyAlignment="1">
      <alignment horizontal="center" vertical="center" wrapText="1"/>
    </xf>
    <xf numFmtId="0" fontId="2" fillId="56" borderId="34" xfId="0" applyFont="1" applyFill="1" applyBorder="1" applyAlignment="1">
      <alignment horizontal="center" vertical="center" wrapText="1"/>
    </xf>
    <xf numFmtId="0" fontId="2" fillId="43" borderId="13" xfId="0" applyFont="1" applyFill="1" applyBorder="1" applyAlignment="1">
      <alignment horizontal="center"/>
    </xf>
    <xf numFmtId="0" fontId="2" fillId="43" borderId="14" xfId="0" applyFont="1" applyFill="1" applyBorder="1" applyAlignment="1">
      <alignment horizontal="center"/>
    </xf>
    <xf numFmtId="0" fontId="79" fillId="51" borderId="91" xfId="797" applyFont="1" applyFill="1" applyBorder="1" applyAlignment="1">
      <alignment horizontal="center" vertical="center"/>
    </xf>
    <xf numFmtId="0" fontId="79" fillId="51" borderId="34" xfId="797" applyFont="1" applyFill="1" applyBorder="1" applyAlignment="1">
      <alignment horizontal="center" vertical="center"/>
    </xf>
    <xf numFmtId="0" fontId="83" fillId="51" borderId="89" xfId="797" applyFont="1" applyFill="1" applyBorder="1" applyAlignment="1">
      <alignment horizontal="left" vertical="center" indent="1"/>
    </xf>
    <xf numFmtId="0" fontId="82" fillId="63" borderId="93" xfId="0" applyFont="1" applyFill="1" applyBorder="1"/>
    <xf numFmtId="0" fontId="82" fillId="59" borderId="93" xfId="0" applyFont="1" applyFill="1" applyBorder="1"/>
    <xf numFmtId="2" fontId="84" fillId="48" borderId="0" xfId="0" applyNumberFormat="1" applyFont="1" applyFill="1" applyAlignment="1" applyProtection="1">
      <alignment horizontal="right" indent="1"/>
      <protection locked="0"/>
    </xf>
    <xf numFmtId="0" fontId="58" fillId="53" borderId="25" xfId="0" applyFont="1" applyFill="1" applyBorder="1" applyAlignment="1">
      <alignment horizontal="center" vertical="center"/>
    </xf>
    <xf numFmtId="0" fontId="58" fillId="53" borderId="51" xfId="0" applyFont="1" applyFill="1" applyBorder="1" applyAlignment="1">
      <alignment horizontal="center" vertical="center"/>
    </xf>
    <xf numFmtId="0" fontId="58" fillId="53" borderId="27" xfId="0" applyFont="1" applyFill="1" applyBorder="1" applyAlignment="1">
      <alignment horizontal="center" vertical="center"/>
    </xf>
    <xf numFmtId="0" fontId="58" fillId="53" borderId="17" xfId="0" applyFont="1" applyFill="1" applyBorder="1" applyAlignment="1">
      <alignment horizontal="center" vertical="center"/>
    </xf>
    <xf numFmtId="0" fontId="58" fillId="53" borderId="0" xfId="0" applyFont="1" applyFill="1" applyAlignment="1">
      <alignment horizontal="center" vertical="center"/>
    </xf>
    <xf numFmtId="0" fontId="63" fillId="53" borderId="8" xfId="697" applyFont="1" applyFill="1" applyBorder="1" applyAlignment="1">
      <alignment horizontal="center" wrapText="1"/>
    </xf>
    <xf numFmtId="0" fontId="80" fillId="36" borderId="34" xfId="0" applyFont="1" applyFill="1" applyBorder="1" applyAlignment="1" applyProtection="1">
      <alignment horizontal="center" vertical="center" wrapText="1"/>
      <protection locked="0"/>
    </xf>
    <xf numFmtId="0" fontId="58" fillId="0" borderId="20" xfId="0" applyFont="1" applyBorder="1" applyAlignment="1">
      <alignment horizontal="center" vertical="center"/>
    </xf>
    <xf numFmtId="0" fontId="63" fillId="0" borderId="124" xfId="697" applyFont="1" applyBorder="1" applyAlignment="1">
      <alignment horizontal="left" wrapText="1" indent="1"/>
    </xf>
    <xf numFmtId="0" fontId="58" fillId="64" borderId="0" xfId="0" applyFont="1" applyFill="1" applyAlignment="1">
      <alignment horizontal="center" vertical="center"/>
    </xf>
    <xf numFmtId="0" fontId="92" fillId="53" borderId="0" xfId="696" applyFont="1" applyFill="1" applyAlignment="1">
      <alignment horizontal="left" vertical="center" wrapText="1" indent="1"/>
    </xf>
    <xf numFmtId="0" fontId="58" fillId="64" borderId="24" xfId="0" applyFont="1" applyFill="1" applyBorder="1" applyAlignment="1">
      <alignment horizontal="center" vertical="center"/>
    </xf>
    <xf numFmtId="0" fontId="64" fillId="0" borderId="0" xfId="901" applyFont="1" applyAlignment="1">
      <alignment horizontal="left" vertical="center"/>
    </xf>
    <xf numFmtId="0" fontId="58" fillId="0" borderId="0" xfId="901" applyFont="1" applyAlignment="1">
      <alignment horizontal="left" vertical="center" indent="1"/>
    </xf>
    <xf numFmtId="0" fontId="59" fillId="0" borderId="0" xfId="901" applyFont="1" applyAlignment="1">
      <alignment horizontal="center" vertical="center"/>
    </xf>
    <xf numFmtId="0" fontId="58" fillId="0" borderId="0" xfId="901" applyFont="1" applyAlignment="1">
      <alignment horizontal="center" vertical="center"/>
    </xf>
    <xf numFmtId="0" fontId="58" fillId="0" borderId="0" xfId="901" applyFont="1" applyAlignment="1">
      <alignment vertical="center"/>
    </xf>
    <xf numFmtId="0" fontId="62" fillId="0" borderId="0" xfId="901" applyFont="1" applyAlignment="1">
      <alignment horizontal="left" vertical="center"/>
    </xf>
    <xf numFmtId="0" fontId="58" fillId="0" borderId="0" xfId="901" applyFont="1" applyAlignment="1">
      <alignment horizontal="left" vertical="center"/>
    </xf>
    <xf numFmtId="0" fontId="59" fillId="43" borderId="20" xfId="901" applyFont="1" applyFill="1" applyBorder="1" applyAlignment="1">
      <alignment horizontal="center" vertical="center"/>
    </xf>
    <xf numFmtId="0" fontId="59" fillId="43" borderId="20" xfId="901" applyFont="1" applyFill="1" applyBorder="1" applyAlignment="1">
      <alignment horizontal="left" vertical="center" indent="1"/>
    </xf>
    <xf numFmtId="0" fontId="59" fillId="0" borderId="0" xfId="901" applyFont="1" applyAlignment="1">
      <alignment vertical="center"/>
    </xf>
    <xf numFmtId="0" fontId="59" fillId="43" borderId="20" xfId="901" applyFont="1" applyFill="1" applyBorder="1" applyAlignment="1">
      <alignment horizontal="left" vertical="center"/>
    </xf>
    <xf numFmtId="0" fontId="63" fillId="0" borderId="20" xfId="697" applyFont="1" applyBorder="1" applyAlignment="1">
      <alignment horizontal="center" vertical="center" wrapText="1"/>
    </xf>
    <xf numFmtId="0" fontId="60" fillId="0" borderId="20" xfId="697" applyFont="1" applyBorder="1" applyAlignment="1">
      <alignment horizontal="left" vertical="center" wrapText="1" indent="1"/>
    </xf>
    <xf numFmtId="0" fontId="63" fillId="0" borderId="69" xfId="697" applyFont="1" applyBorder="1" applyAlignment="1">
      <alignment horizontal="left" vertical="center" wrapText="1" indent="1"/>
    </xf>
    <xf numFmtId="0" fontId="63" fillId="0" borderId="56" xfId="697" applyFont="1" applyBorder="1" applyAlignment="1">
      <alignment horizontal="left" vertical="center" wrapText="1" indent="1"/>
    </xf>
    <xf numFmtId="0" fontId="63" fillId="0" borderId="125" xfId="697" applyFont="1" applyBorder="1" applyAlignment="1">
      <alignment horizontal="center" vertical="center" wrapText="1"/>
    </xf>
    <xf numFmtId="0" fontId="59" fillId="0" borderId="20" xfId="901" applyFont="1" applyBorder="1" applyAlignment="1">
      <alignment horizontal="center" vertical="center"/>
    </xf>
    <xf numFmtId="0" fontId="58" fillId="0" borderId="80" xfId="901" applyFont="1" applyBorder="1" applyAlignment="1">
      <alignment horizontal="center" vertical="center"/>
    </xf>
    <xf numFmtId="0" fontId="58" fillId="0" borderId="29" xfId="901" applyFont="1" applyBorder="1" applyAlignment="1">
      <alignment horizontal="center" vertical="center"/>
    </xf>
    <xf numFmtId="0" fontId="63" fillId="0" borderId="56" xfId="697" applyFont="1" applyBorder="1" applyAlignment="1">
      <alignment horizontal="left" vertical="center" wrapText="1"/>
    </xf>
    <xf numFmtId="0" fontId="66" fillId="44" borderId="68" xfId="697" applyFont="1" applyFill="1" applyBorder="1" applyAlignment="1">
      <alignment horizontal="center" vertical="center" wrapText="1"/>
    </xf>
    <xf numFmtId="0" fontId="63" fillId="44" borderId="22" xfId="697" applyFont="1" applyFill="1" applyBorder="1" applyAlignment="1">
      <alignment horizontal="center" vertical="center" wrapText="1"/>
    </xf>
    <xf numFmtId="0" fontId="60" fillId="65" borderId="126" xfId="697" applyFont="1" applyFill="1" applyBorder="1" applyAlignment="1">
      <alignment horizontal="left" vertical="center" wrapText="1" indent="1"/>
    </xf>
    <xf numFmtId="0" fontId="60" fillId="65" borderId="126" xfId="697" applyFont="1" applyFill="1" applyBorder="1" applyAlignment="1">
      <alignment horizontal="center" vertical="center" wrapText="1"/>
    </xf>
    <xf numFmtId="0" fontId="65" fillId="65" borderId="126" xfId="901" applyFont="1" applyFill="1" applyBorder="1" applyAlignment="1">
      <alignment horizontal="center" vertical="center"/>
    </xf>
    <xf numFmtId="0" fontId="62" fillId="65" borderId="127" xfId="901" applyFont="1" applyFill="1" applyBorder="1" applyAlignment="1">
      <alignment horizontal="center" vertical="center"/>
    </xf>
    <xf numFmtId="0" fontId="58" fillId="65" borderId="128" xfId="901" applyFont="1" applyFill="1" applyBorder="1" applyAlignment="1">
      <alignment horizontal="center" vertical="center"/>
    </xf>
    <xf numFmtId="0" fontId="58" fillId="65" borderId="129" xfId="901" applyFont="1" applyFill="1" applyBorder="1" applyAlignment="1">
      <alignment horizontal="center" vertical="center"/>
    </xf>
    <xf numFmtId="0" fontId="63" fillId="44" borderId="28" xfId="697" applyFont="1" applyFill="1" applyBorder="1" applyAlignment="1">
      <alignment horizontal="left" vertical="center" wrapText="1"/>
    </xf>
    <xf numFmtId="0" fontId="69" fillId="44" borderId="66" xfId="697" applyFont="1" applyFill="1" applyBorder="1" applyAlignment="1">
      <alignment horizontal="center" vertical="center" wrapText="1"/>
    </xf>
    <xf numFmtId="0" fontId="67" fillId="44" borderId="23" xfId="697" applyFont="1" applyFill="1" applyBorder="1" applyAlignment="1">
      <alignment horizontal="center" vertical="center" wrapText="1"/>
    </xf>
    <xf numFmtId="0" fontId="60" fillId="65" borderId="130" xfId="697" applyFont="1" applyFill="1" applyBorder="1" applyAlignment="1">
      <alignment horizontal="left" vertical="center" wrapText="1" indent="1"/>
    </xf>
    <xf numFmtId="0" fontId="93" fillId="65" borderId="130" xfId="697" applyFont="1" applyFill="1" applyBorder="1" applyAlignment="1">
      <alignment horizontal="center" vertical="center" wrapText="1"/>
    </xf>
    <xf numFmtId="0" fontId="65" fillId="65" borderId="130" xfId="901" applyFont="1" applyFill="1" applyBorder="1" applyAlignment="1">
      <alignment horizontal="center" vertical="center"/>
    </xf>
    <xf numFmtId="0" fontId="62" fillId="65" borderId="131" xfId="901" applyFont="1" applyFill="1" applyBorder="1" applyAlignment="1">
      <alignment horizontal="center" vertical="center"/>
    </xf>
    <xf numFmtId="0" fontId="62" fillId="65" borderId="132" xfId="901" applyFont="1" applyFill="1" applyBorder="1" applyAlignment="1">
      <alignment horizontal="center" vertical="center"/>
    </xf>
    <xf numFmtId="0" fontId="62" fillId="65" borderId="133" xfId="901" applyFont="1" applyFill="1" applyBorder="1" applyAlignment="1">
      <alignment horizontal="center" vertical="center"/>
    </xf>
    <xf numFmtId="0" fontId="62" fillId="0" borderId="0" xfId="901" applyFont="1" applyAlignment="1">
      <alignment vertical="center"/>
    </xf>
    <xf numFmtId="0" fontId="67" fillId="44" borderId="19" xfId="697" applyFont="1" applyFill="1" applyBorder="1" applyAlignment="1">
      <alignment horizontal="left" vertical="center" wrapText="1"/>
    </xf>
    <xf numFmtId="0" fontId="73" fillId="44" borderId="86" xfId="697" applyFont="1" applyFill="1" applyBorder="1" applyAlignment="1">
      <alignment horizontal="center" vertical="center" wrapText="1"/>
    </xf>
    <xf numFmtId="0" fontId="68" fillId="44" borderId="23" xfId="697" applyFont="1" applyFill="1" applyBorder="1" applyAlignment="1">
      <alignment horizontal="center" vertical="center" wrapText="1"/>
    </xf>
    <xf numFmtId="0" fontId="93" fillId="65" borderId="130" xfId="697" applyFont="1" applyFill="1" applyBorder="1" applyAlignment="1">
      <alignment horizontal="left" vertical="center" wrapText="1" indent="1"/>
    </xf>
    <xf numFmtId="0" fontId="70" fillId="65" borderId="130" xfId="697" applyFont="1" applyFill="1" applyBorder="1" applyAlignment="1">
      <alignment horizontal="center" vertical="center" wrapText="1"/>
    </xf>
    <xf numFmtId="0" fontId="58" fillId="65" borderId="131" xfId="901" applyFont="1" applyFill="1" applyBorder="1" applyAlignment="1">
      <alignment horizontal="center" vertical="center"/>
    </xf>
    <xf numFmtId="0" fontId="58" fillId="65" borderId="132" xfId="901" applyFont="1" applyFill="1" applyBorder="1" applyAlignment="1">
      <alignment horizontal="center" vertical="center"/>
    </xf>
    <xf numFmtId="0" fontId="58" fillId="65" borderId="133" xfId="901" applyFont="1" applyFill="1" applyBorder="1" applyAlignment="1">
      <alignment horizontal="center" vertical="center"/>
    </xf>
    <xf numFmtId="0" fontId="63" fillId="44" borderId="19" xfId="697" applyFont="1" applyFill="1" applyBorder="1" applyAlignment="1">
      <alignment horizontal="left" vertical="center" wrapText="1"/>
    </xf>
    <xf numFmtId="0" fontId="73" fillId="66" borderId="24" xfId="697" applyFont="1" applyFill="1" applyBorder="1" applyAlignment="1">
      <alignment horizontal="center" vertical="center" wrapText="1"/>
    </xf>
    <xf numFmtId="0" fontId="68" fillId="66" borderId="23" xfId="697" applyFont="1" applyFill="1" applyBorder="1" applyAlignment="1">
      <alignment horizontal="center" vertical="center" wrapText="1"/>
    </xf>
    <xf numFmtId="0" fontId="73" fillId="44" borderId="24" xfId="697" applyFont="1" applyFill="1" applyBorder="1" applyAlignment="1">
      <alignment horizontal="center" vertical="center" wrapText="1"/>
    </xf>
    <xf numFmtId="0" fontId="73" fillId="66" borderId="65" xfId="697" applyFont="1" applyFill="1" applyBorder="1" applyAlignment="1">
      <alignment horizontal="center" vertical="center" wrapText="1"/>
    </xf>
    <xf numFmtId="0" fontId="63" fillId="66" borderId="23" xfId="697" applyFont="1" applyFill="1" applyBorder="1" applyAlignment="1">
      <alignment horizontal="center" vertical="center" wrapText="1"/>
    </xf>
    <xf numFmtId="0" fontId="60" fillId="65" borderId="130" xfId="697" applyFont="1" applyFill="1" applyBorder="1" applyAlignment="1">
      <alignment horizontal="center" vertical="center" wrapText="1"/>
    </xf>
    <xf numFmtId="0" fontId="59" fillId="65" borderId="130" xfId="901" applyFont="1" applyFill="1" applyBorder="1" applyAlignment="1">
      <alignment horizontal="center" vertical="center"/>
    </xf>
    <xf numFmtId="0" fontId="58" fillId="0" borderId="20" xfId="901" applyFont="1" applyBorder="1" applyAlignment="1">
      <alignment vertical="center"/>
    </xf>
    <xf numFmtId="0" fontId="63" fillId="44" borderId="51" xfId="697" applyFont="1" applyFill="1" applyBorder="1" applyAlignment="1">
      <alignment horizontal="left" vertical="center" wrapText="1"/>
    </xf>
    <xf numFmtId="0" fontId="63" fillId="44" borderId="23" xfId="697" applyFont="1" applyFill="1" applyBorder="1" applyAlignment="1">
      <alignment horizontal="center" vertical="center" wrapText="1"/>
    </xf>
    <xf numFmtId="0" fontId="63" fillId="44" borderId="0" xfId="697" applyFont="1" applyFill="1" applyAlignment="1">
      <alignment horizontal="left" vertical="center" wrapText="1"/>
    </xf>
    <xf numFmtId="0" fontId="63" fillId="44" borderId="30" xfId="697" applyFont="1" applyFill="1" applyBorder="1" applyAlignment="1">
      <alignment horizontal="center" vertical="center" wrapText="1"/>
    </xf>
    <xf numFmtId="0" fontId="60" fillId="65" borderId="134" xfId="697" applyFont="1" applyFill="1" applyBorder="1" applyAlignment="1">
      <alignment horizontal="left" vertical="center" wrapText="1" indent="1"/>
    </xf>
    <xf numFmtId="0" fontId="60" fillId="65" borderId="134" xfId="697" applyFont="1" applyFill="1" applyBorder="1" applyAlignment="1">
      <alignment horizontal="center" vertical="center" wrapText="1"/>
    </xf>
    <xf numFmtId="0" fontId="59" fillId="65" borderId="134" xfId="901" applyFont="1" applyFill="1" applyBorder="1" applyAlignment="1">
      <alignment horizontal="center" vertical="center"/>
    </xf>
    <xf numFmtId="0" fontId="58" fillId="65" borderId="135" xfId="901" applyFont="1" applyFill="1" applyBorder="1" applyAlignment="1">
      <alignment horizontal="center" vertical="center"/>
    </xf>
    <xf numFmtId="0" fontId="58" fillId="65" borderId="136" xfId="901" applyFont="1" applyFill="1" applyBorder="1" applyAlignment="1">
      <alignment horizontal="center" vertical="center"/>
    </xf>
    <xf numFmtId="0" fontId="63" fillId="44" borderId="17" xfId="697" applyFont="1" applyFill="1" applyBorder="1" applyAlignment="1">
      <alignment horizontal="left" vertical="center" wrapText="1"/>
    </xf>
    <xf numFmtId="0" fontId="60" fillId="50" borderId="126" xfId="697" applyFont="1" applyFill="1" applyBorder="1" applyAlignment="1">
      <alignment horizontal="left" vertical="center" wrapText="1" indent="1"/>
    </xf>
    <xf numFmtId="0" fontId="63" fillId="50" borderId="126" xfId="697" applyFont="1" applyFill="1" applyBorder="1" applyAlignment="1">
      <alignment horizontal="left" vertical="center" wrapText="1" indent="1"/>
    </xf>
    <xf numFmtId="0" fontId="63" fillId="50" borderId="126" xfId="697" applyFont="1" applyFill="1" applyBorder="1" applyAlignment="1">
      <alignment horizontal="center" vertical="center" wrapText="1"/>
    </xf>
    <xf numFmtId="0" fontId="59" fillId="50" borderId="126" xfId="901" applyFont="1" applyFill="1" applyBorder="1" applyAlignment="1">
      <alignment horizontal="center" vertical="center"/>
    </xf>
    <xf numFmtId="0" fontId="58" fillId="50" borderId="128" xfId="901" applyFont="1" applyFill="1" applyBorder="1" applyAlignment="1">
      <alignment horizontal="center" vertical="center"/>
    </xf>
    <xf numFmtId="0" fontId="58" fillId="50" borderId="129" xfId="901" applyFont="1" applyFill="1" applyBorder="1" applyAlignment="1">
      <alignment horizontal="center" vertical="center"/>
    </xf>
    <xf numFmtId="0" fontId="58" fillId="0" borderId="20" xfId="901" applyFont="1" applyBorder="1" applyAlignment="1">
      <alignment horizontal="center" vertical="center"/>
    </xf>
    <xf numFmtId="0" fontId="1" fillId="0" borderId="0" xfId="901" applyAlignment="1">
      <alignment vertical="center"/>
    </xf>
    <xf numFmtId="0" fontId="63" fillId="0" borderId="45" xfId="697" applyFont="1" applyBorder="1" applyAlignment="1">
      <alignment horizontal="left" vertical="center" wrapText="1"/>
    </xf>
    <xf numFmtId="0" fontId="70" fillId="50" borderId="130" xfId="697" quotePrefix="1" applyFont="1" applyFill="1" applyBorder="1" applyAlignment="1">
      <alignment horizontal="left" vertical="center" wrapText="1" indent="1"/>
    </xf>
    <xf numFmtId="0" fontId="63" fillId="50" borderId="130" xfId="697" applyFont="1" applyFill="1" applyBorder="1" applyAlignment="1">
      <alignment horizontal="left" vertical="center" wrapText="1" indent="1"/>
    </xf>
    <xf numFmtId="0" fontId="68" fillId="50" borderId="130" xfId="697" quotePrefix="1" applyFont="1" applyFill="1" applyBorder="1" applyAlignment="1">
      <alignment horizontal="left" vertical="center" wrapText="1"/>
    </xf>
    <xf numFmtId="0" fontId="59" fillId="50" borderId="130" xfId="901" applyFont="1" applyFill="1" applyBorder="1" applyAlignment="1">
      <alignment horizontal="center" vertical="center"/>
    </xf>
    <xf numFmtId="0" fontId="58" fillId="50" borderId="132" xfId="901" applyFont="1" applyFill="1" applyBorder="1" applyAlignment="1">
      <alignment horizontal="center" vertical="center"/>
    </xf>
    <xf numFmtId="0" fontId="58" fillId="50" borderId="133" xfId="901" applyFont="1" applyFill="1" applyBorder="1" applyAlignment="1">
      <alignment horizontal="center" vertical="center"/>
    </xf>
    <xf numFmtId="0" fontId="63" fillId="45" borderId="47" xfId="697" applyFont="1" applyFill="1" applyBorder="1" applyAlignment="1">
      <alignment horizontal="left" vertical="center" wrapText="1"/>
    </xf>
    <xf numFmtId="0" fontId="60" fillId="50" borderId="134" xfId="697" applyFont="1" applyFill="1" applyBorder="1" applyAlignment="1">
      <alignment horizontal="left" vertical="center" wrapText="1" indent="1"/>
    </xf>
    <xf numFmtId="0" fontId="63" fillId="50" borderId="134" xfId="697" applyFont="1" applyFill="1" applyBorder="1" applyAlignment="1">
      <alignment horizontal="left" vertical="center" wrapText="1" indent="1"/>
    </xf>
    <xf numFmtId="0" fontId="63" fillId="50" borderId="134" xfId="697" applyFont="1" applyFill="1" applyBorder="1" applyAlignment="1">
      <alignment horizontal="center" vertical="center" wrapText="1"/>
    </xf>
    <xf numFmtId="0" fontId="59" fillId="50" borderId="134" xfId="901" applyFont="1" applyFill="1" applyBorder="1" applyAlignment="1">
      <alignment horizontal="center" vertical="center"/>
    </xf>
    <xf numFmtId="0" fontId="58" fillId="50" borderId="135" xfId="901" applyFont="1" applyFill="1" applyBorder="1" applyAlignment="1">
      <alignment horizontal="center" vertical="center"/>
    </xf>
    <xf numFmtId="0" fontId="58" fillId="50" borderId="136" xfId="901" applyFont="1" applyFill="1" applyBorder="1" applyAlignment="1">
      <alignment horizontal="center" vertical="center"/>
    </xf>
    <xf numFmtId="0" fontId="60" fillId="50" borderId="68" xfId="697" applyFont="1" applyFill="1" applyBorder="1" applyAlignment="1">
      <alignment horizontal="left" vertical="center" wrapText="1"/>
    </xf>
    <xf numFmtId="0" fontId="60" fillId="50" borderId="58" xfId="697" applyFont="1" applyFill="1" applyBorder="1" applyAlignment="1">
      <alignment horizontal="left" vertical="center" wrapText="1"/>
    </xf>
    <xf numFmtId="0" fontId="60" fillId="50" borderId="137" xfId="697" applyFont="1" applyFill="1" applyBorder="1" applyAlignment="1">
      <alignment horizontal="left" vertical="center" wrapText="1" indent="1"/>
    </xf>
    <xf numFmtId="0" fontId="63" fillId="50" borderId="137" xfId="697" applyFont="1" applyFill="1" applyBorder="1" applyAlignment="1">
      <alignment horizontal="left" vertical="center" wrapText="1" indent="1"/>
    </xf>
    <xf numFmtId="0" fontId="63" fillId="50" borderId="137" xfId="697" applyFont="1" applyFill="1" applyBorder="1" applyAlignment="1">
      <alignment horizontal="center" vertical="center" wrapText="1"/>
    </xf>
    <xf numFmtId="0" fontId="59" fillId="50" borderId="137" xfId="901" applyFont="1" applyFill="1" applyBorder="1" applyAlignment="1">
      <alignment horizontal="center" vertical="center"/>
    </xf>
    <xf numFmtId="0" fontId="58" fillId="50" borderId="138" xfId="901" applyFont="1" applyFill="1" applyBorder="1" applyAlignment="1">
      <alignment horizontal="center" vertical="center"/>
    </xf>
    <xf numFmtId="0" fontId="58" fillId="50" borderId="139" xfId="901" applyFont="1" applyFill="1" applyBorder="1" applyAlignment="1">
      <alignment horizontal="center" vertical="center"/>
    </xf>
    <xf numFmtId="0" fontId="60" fillId="50" borderId="65" xfId="697" applyFont="1" applyFill="1" applyBorder="1" applyAlignment="1">
      <alignment horizontal="left" vertical="center" wrapText="1"/>
    </xf>
    <xf numFmtId="0" fontId="60" fillId="50" borderId="96" xfId="697" applyFont="1" applyFill="1" applyBorder="1" applyAlignment="1">
      <alignment horizontal="left" vertical="center" wrapText="1"/>
    </xf>
    <xf numFmtId="0" fontId="60" fillId="50" borderId="130" xfId="697" applyFont="1" applyFill="1" applyBorder="1" applyAlignment="1">
      <alignment horizontal="left" vertical="center" wrapText="1" indent="1"/>
    </xf>
    <xf numFmtId="0" fontId="63" fillId="50" borderId="130" xfId="697" applyFont="1" applyFill="1" applyBorder="1" applyAlignment="1">
      <alignment horizontal="center" vertical="center" wrapText="1"/>
    </xf>
    <xf numFmtId="0" fontId="60" fillId="50" borderId="24" xfId="697" applyFont="1" applyFill="1" applyBorder="1" applyAlignment="1">
      <alignment horizontal="left" vertical="center" wrapText="1"/>
    </xf>
    <xf numFmtId="0" fontId="60" fillId="50" borderId="23" xfId="697" applyFont="1" applyFill="1" applyBorder="1" applyAlignment="1">
      <alignment horizontal="left" vertical="center" wrapText="1"/>
    </xf>
    <xf numFmtId="0" fontId="60" fillId="50" borderId="27" xfId="697" applyFont="1" applyFill="1" applyBorder="1" applyAlignment="1">
      <alignment horizontal="left" vertical="center" wrapText="1"/>
    </xf>
    <xf numFmtId="0" fontId="60" fillId="50" borderId="30" xfId="697" applyFont="1" applyFill="1" applyBorder="1" applyAlignment="1">
      <alignment horizontal="left" vertical="center" wrapText="1"/>
    </xf>
    <xf numFmtId="0" fontId="63" fillId="0" borderId="47" xfId="697" applyFont="1" applyBorder="1" applyAlignment="1">
      <alignment horizontal="left" vertical="center" wrapText="1"/>
    </xf>
    <xf numFmtId="0" fontId="60" fillId="44" borderId="65" xfId="697" applyFont="1" applyFill="1" applyBorder="1" applyAlignment="1">
      <alignment horizontal="left" vertical="center" wrapText="1"/>
    </xf>
    <xf numFmtId="0" fontId="60" fillId="44" borderId="96" xfId="697" applyFont="1" applyFill="1" applyBorder="1" applyAlignment="1">
      <alignment horizontal="left" vertical="center" wrapText="1"/>
    </xf>
    <xf numFmtId="0" fontId="60" fillId="44" borderId="126" xfId="697" applyFont="1" applyFill="1" applyBorder="1" applyAlignment="1">
      <alignment horizontal="left" vertical="center" wrapText="1" indent="1"/>
    </xf>
    <xf numFmtId="0" fontId="63" fillId="44" borderId="126" xfId="697" applyFont="1" applyFill="1" applyBorder="1" applyAlignment="1">
      <alignment horizontal="left" vertical="center" wrapText="1" indent="1"/>
    </xf>
    <xf numFmtId="0" fontId="63" fillId="44" borderId="126" xfId="697" applyFont="1" applyFill="1" applyBorder="1" applyAlignment="1">
      <alignment horizontal="center" vertical="center" wrapText="1"/>
    </xf>
    <xf numFmtId="0" fontId="59" fillId="44" borderId="126" xfId="901" applyFont="1" applyFill="1" applyBorder="1" applyAlignment="1">
      <alignment horizontal="center" vertical="center"/>
    </xf>
    <xf numFmtId="0" fontId="58" fillId="44" borderId="128" xfId="901" applyFont="1" applyFill="1" applyBorder="1" applyAlignment="1">
      <alignment horizontal="center" vertical="center"/>
    </xf>
    <xf numFmtId="0" fontId="58" fillId="44" borderId="129" xfId="901" applyFont="1" applyFill="1" applyBorder="1" applyAlignment="1">
      <alignment horizontal="center" vertical="center"/>
    </xf>
    <xf numFmtId="0" fontId="60" fillId="44" borderId="130" xfId="697" applyFont="1" applyFill="1" applyBorder="1" applyAlignment="1">
      <alignment horizontal="left" vertical="center" wrapText="1" indent="1"/>
    </xf>
    <xf numFmtId="0" fontId="63" fillId="44" borderId="130" xfId="697" applyFont="1" applyFill="1" applyBorder="1" applyAlignment="1">
      <alignment horizontal="left" vertical="center" wrapText="1" indent="1"/>
    </xf>
    <xf numFmtId="0" fontId="63" fillId="44" borderId="130" xfId="697" applyFont="1" applyFill="1" applyBorder="1" applyAlignment="1">
      <alignment horizontal="center" vertical="center" wrapText="1"/>
    </xf>
    <xf numFmtId="0" fontId="59" fillId="44" borderId="130" xfId="901" applyFont="1" applyFill="1" applyBorder="1" applyAlignment="1">
      <alignment horizontal="center" vertical="center"/>
    </xf>
    <xf numFmtId="0" fontId="58" fillId="44" borderId="132" xfId="901" applyFont="1" applyFill="1" applyBorder="1" applyAlignment="1">
      <alignment horizontal="center" vertical="center"/>
    </xf>
    <xf numFmtId="0" fontId="58" fillId="44" borderId="133" xfId="901" applyFont="1" applyFill="1" applyBorder="1" applyAlignment="1">
      <alignment horizontal="center" vertical="center"/>
    </xf>
    <xf numFmtId="0" fontId="94" fillId="52" borderId="58" xfId="697" applyFont="1" applyFill="1" applyBorder="1" applyAlignment="1">
      <alignment horizontal="left" vertical="center" wrapText="1" indent="1"/>
    </xf>
    <xf numFmtId="0" fontId="60" fillId="44" borderId="24" xfId="697" applyFont="1" applyFill="1" applyBorder="1" applyAlignment="1">
      <alignment horizontal="left" vertical="center" wrapText="1"/>
    </xf>
    <xf numFmtId="0" fontId="60" fillId="44" borderId="23" xfId="697" applyFont="1" applyFill="1" applyBorder="1" applyAlignment="1">
      <alignment horizontal="left" vertical="center" wrapText="1"/>
    </xf>
    <xf numFmtId="0" fontId="60" fillId="44" borderId="26" xfId="697" applyFont="1" applyFill="1" applyBorder="1" applyAlignment="1">
      <alignment horizontal="left" vertical="center" wrapText="1"/>
    </xf>
    <xf numFmtId="0" fontId="60" fillId="44" borderId="20" xfId="697" applyFont="1" applyFill="1" applyBorder="1" applyAlignment="1">
      <alignment horizontal="left" vertical="center" wrapText="1"/>
    </xf>
    <xf numFmtId="0" fontId="60" fillId="44" borderId="134" xfId="697" applyFont="1" applyFill="1" applyBorder="1" applyAlignment="1">
      <alignment horizontal="left" vertical="center" wrapText="1" indent="1"/>
    </xf>
    <xf numFmtId="0" fontId="63" fillId="44" borderId="134" xfId="697" applyFont="1" applyFill="1" applyBorder="1" applyAlignment="1">
      <alignment horizontal="left" vertical="center" wrapText="1" indent="1"/>
    </xf>
    <xf numFmtId="0" fontId="63" fillId="44" borderId="134" xfId="697" applyFont="1" applyFill="1" applyBorder="1" applyAlignment="1">
      <alignment horizontal="center" vertical="center" wrapText="1"/>
    </xf>
    <xf numFmtId="0" fontId="58" fillId="44" borderId="135" xfId="901" applyFont="1" applyFill="1" applyBorder="1" applyAlignment="1">
      <alignment horizontal="center" vertical="center"/>
    </xf>
    <xf numFmtId="0" fontId="58" fillId="44" borderId="136" xfId="901" applyFont="1" applyFill="1" applyBorder="1" applyAlignment="1">
      <alignment horizontal="center" vertical="center"/>
    </xf>
    <xf numFmtId="0" fontId="66" fillId="43" borderId="68" xfId="697" applyFont="1" applyFill="1" applyBorder="1" applyAlignment="1">
      <alignment horizontal="center" vertical="center" wrapText="1"/>
    </xf>
    <xf numFmtId="0" fontId="63" fillId="0" borderId="58" xfId="697" applyFont="1" applyBorder="1" applyAlignment="1">
      <alignment horizontal="center" vertical="center" wrapText="1"/>
    </xf>
    <xf numFmtId="0" fontId="60" fillId="0" borderId="58" xfId="697" applyFont="1" applyBorder="1" applyAlignment="1">
      <alignment horizontal="left" vertical="center" wrapText="1" indent="1"/>
    </xf>
    <xf numFmtId="0" fontId="63" fillId="0" borderId="58" xfId="697" applyFont="1" applyBorder="1" applyAlignment="1">
      <alignment horizontal="left" vertical="center" wrapText="1" indent="1"/>
    </xf>
    <xf numFmtId="0" fontId="59" fillId="0" borderId="22" xfId="901" applyFont="1" applyBorder="1" applyAlignment="1">
      <alignment horizontal="center" vertical="center"/>
    </xf>
    <xf numFmtId="0" fontId="58" fillId="0" borderId="51" xfId="901" applyFont="1" applyBorder="1" applyAlignment="1">
      <alignment horizontal="center" vertical="center"/>
    </xf>
    <xf numFmtId="0" fontId="58" fillId="0" borderId="28" xfId="901" applyFont="1" applyBorder="1" applyAlignment="1">
      <alignment horizontal="center" vertical="center"/>
    </xf>
    <xf numFmtId="0" fontId="63" fillId="0" borderId="60" xfId="697" applyFont="1" applyBorder="1" applyAlignment="1">
      <alignment horizontal="center" vertical="center" wrapText="1"/>
    </xf>
    <xf numFmtId="0" fontId="60" fillId="64" borderId="60" xfId="697" applyFont="1" applyFill="1" applyBorder="1" applyAlignment="1">
      <alignment horizontal="left" vertical="center" wrapText="1" indent="1"/>
    </xf>
    <xf numFmtId="0" fontId="63" fillId="64" borderId="60" xfId="697" applyFont="1" applyFill="1" applyBorder="1" applyAlignment="1">
      <alignment horizontal="left" vertical="center" wrapText="1" indent="1"/>
    </xf>
    <xf numFmtId="0" fontId="63" fillId="64" borderId="60" xfId="697" applyFont="1" applyFill="1" applyBorder="1" applyAlignment="1">
      <alignment horizontal="center" vertical="center" wrapText="1"/>
    </xf>
    <xf numFmtId="0" fontId="59" fillId="64" borderId="23" xfId="901" applyFont="1" applyFill="1" applyBorder="1" applyAlignment="1">
      <alignment horizontal="center" vertical="center"/>
    </xf>
    <xf numFmtId="0" fontId="58" fillId="64" borderId="0" xfId="901" applyFont="1" applyFill="1" applyAlignment="1">
      <alignment horizontal="center" vertical="center"/>
    </xf>
    <xf numFmtId="0" fontId="58" fillId="64" borderId="19" xfId="901" applyFont="1" applyFill="1" applyBorder="1" applyAlignment="1">
      <alignment horizontal="center" vertical="center"/>
    </xf>
    <xf numFmtId="0" fontId="58" fillId="0" borderId="27" xfId="901" applyFont="1" applyBorder="1" applyAlignment="1">
      <alignment horizontal="center" vertical="center"/>
    </xf>
    <xf numFmtId="0" fontId="58" fillId="0" borderId="17" xfId="901" applyFont="1" applyBorder="1" applyAlignment="1">
      <alignment horizontal="center" vertical="center"/>
    </xf>
    <xf numFmtId="0" fontId="58" fillId="0" borderId="16" xfId="901" applyFont="1" applyBorder="1" applyAlignment="1">
      <alignment horizontal="center" vertical="center"/>
    </xf>
    <xf numFmtId="0" fontId="63" fillId="64" borderId="47" xfId="697" applyFont="1" applyFill="1" applyBorder="1" applyAlignment="1">
      <alignment horizontal="left" vertical="center" wrapText="1"/>
    </xf>
    <xf numFmtId="0" fontId="60" fillId="53" borderId="60" xfId="697" applyFont="1" applyFill="1" applyBorder="1" applyAlignment="1">
      <alignment horizontal="left" vertical="center" wrapText="1" indent="1"/>
    </xf>
    <xf numFmtId="0" fontId="63" fillId="53" borderId="60" xfId="697" applyFont="1" applyFill="1" applyBorder="1" applyAlignment="1">
      <alignment horizontal="left" vertical="center" wrapText="1" indent="1"/>
    </xf>
    <xf numFmtId="0" fontId="63" fillId="53" borderId="60" xfId="697" applyFont="1" applyFill="1" applyBorder="1" applyAlignment="1">
      <alignment horizontal="center" vertical="center" wrapText="1"/>
    </xf>
    <xf numFmtId="0" fontId="59" fillId="53" borderId="23" xfId="901" applyFont="1" applyFill="1" applyBorder="1" applyAlignment="1">
      <alignment horizontal="center" vertical="center"/>
    </xf>
    <xf numFmtId="0" fontId="58" fillId="53" borderId="0" xfId="901" applyFont="1" applyFill="1" applyAlignment="1">
      <alignment horizontal="center" vertical="center"/>
    </xf>
    <xf numFmtId="0" fontId="58" fillId="53" borderId="19" xfId="901" applyFont="1" applyFill="1" applyBorder="1" applyAlignment="1">
      <alignment horizontal="center" vertical="center"/>
    </xf>
    <xf numFmtId="0" fontId="58" fillId="0" borderId="25" xfId="901" applyFont="1" applyBorder="1" applyAlignment="1">
      <alignment horizontal="center" vertical="center"/>
    </xf>
    <xf numFmtId="0" fontId="63" fillId="53" borderId="47" xfId="697" applyFont="1" applyFill="1" applyBorder="1" applyAlignment="1">
      <alignment horizontal="left" vertical="center" wrapText="1"/>
    </xf>
    <xf numFmtId="0" fontId="60" fillId="43" borderId="60" xfId="697" applyFont="1" applyFill="1" applyBorder="1" applyAlignment="1">
      <alignment horizontal="left" vertical="center" wrapText="1" indent="1"/>
    </xf>
    <xf numFmtId="0" fontId="63" fillId="43" borderId="60" xfId="697" applyFont="1" applyFill="1" applyBorder="1" applyAlignment="1">
      <alignment horizontal="left" vertical="center" wrapText="1" indent="1"/>
    </xf>
    <xf numFmtId="0" fontId="63" fillId="43" borderId="60" xfId="697" applyFont="1" applyFill="1" applyBorder="1" applyAlignment="1">
      <alignment horizontal="center" vertical="center" wrapText="1"/>
    </xf>
    <xf numFmtId="0" fontId="59" fillId="43" borderId="23" xfId="901" applyFont="1" applyFill="1" applyBorder="1" applyAlignment="1">
      <alignment horizontal="center" vertical="center"/>
    </xf>
    <xf numFmtId="0" fontId="58" fillId="43" borderId="0" xfId="901" applyFont="1" applyFill="1" applyAlignment="1">
      <alignment horizontal="center" vertical="center"/>
    </xf>
    <xf numFmtId="0" fontId="58" fillId="43" borderId="19" xfId="901" applyFont="1" applyFill="1" applyBorder="1" applyAlignment="1">
      <alignment horizontal="center" vertical="center"/>
    </xf>
    <xf numFmtId="0" fontId="58" fillId="0" borderId="24" xfId="901" applyFont="1" applyBorder="1" applyAlignment="1">
      <alignment horizontal="center" vertical="center"/>
    </xf>
    <xf numFmtId="0" fontId="58" fillId="0" borderId="19" xfId="901" applyFont="1" applyBorder="1" applyAlignment="1">
      <alignment horizontal="center" vertical="center"/>
    </xf>
    <xf numFmtId="0" fontId="63" fillId="46" borderId="47" xfId="697" applyFont="1" applyFill="1" applyBorder="1" applyAlignment="1">
      <alignment horizontal="left" vertical="center" wrapText="1"/>
    </xf>
    <xf numFmtId="0" fontId="60" fillId="46" borderId="60" xfId="697" applyFont="1" applyFill="1" applyBorder="1" applyAlignment="1">
      <alignment horizontal="left" vertical="center" wrapText="1" indent="1"/>
    </xf>
    <xf numFmtId="0" fontId="63" fillId="46" borderId="60" xfId="697" applyFont="1" applyFill="1" applyBorder="1" applyAlignment="1">
      <alignment horizontal="left" vertical="center" wrapText="1" indent="1"/>
    </xf>
    <xf numFmtId="0" fontId="63" fillId="46" borderId="60" xfId="697" applyFont="1" applyFill="1" applyBorder="1" applyAlignment="1">
      <alignment horizontal="center" vertical="center" wrapText="1"/>
    </xf>
    <xf numFmtId="0" fontId="59" fillId="46" borderId="23" xfId="901" applyFont="1" applyFill="1" applyBorder="1" applyAlignment="1">
      <alignment horizontal="center" vertical="center"/>
    </xf>
    <xf numFmtId="0" fontId="58" fillId="46" borderId="0" xfId="901" applyFont="1" applyFill="1" applyAlignment="1">
      <alignment horizontal="center" vertical="center"/>
    </xf>
    <xf numFmtId="0" fontId="58" fillId="46" borderId="19" xfId="901" applyFont="1" applyFill="1" applyBorder="1" applyAlignment="1">
      <alignment horizontal="center" vertical="center"/>
    </xf>
    <xf numFmtId="0" fontId="60" fillId="0" borderId="60" xfId="697" applyFont="1" applyBorder="1" applyAlignment="1">
      <alignment horizontal="left" vertical="center" wrapText="1" indent="1"/>
    </xf>
    <xf numFmtId="0" fontId="63" fillId="0" borderId="60" xfId="697" applyFont="1" applyBorder="1" applyAlignment="1">
      <alignment horizontal="left" vertical="center" wrapText="1" indent="1"/>
    </xf>
    <xf numFmtId="0" fontId="59" fillId="0" borderId="23" xfId="901" applyFont="1" applyBorder="1" applyAlignment="1">
      <alignment horizontal="center" vertical="center"/>
    </xf>
    <xf numFmtId="0" fontId="66" fillId="0" borderId="86" xfId="697" applyFont="1" applyBorder="1" applyAlignment="1">
      <alignment horizontal="center" vertical="center" wrapText="1"/>
    </xf>
    <xf numFmtId="0" fontId="63" fillId="0" borderId="94" xfId="697" applyFont="1" applyBorder="1" applyAlignment="1">
      <alignment horizontal="center" vertical="center" wrapText="1"/>
    </xf>
    <xf numFmtId="0" fontId="60" fillId="0" borderId="94" xfId="697" applyFont="1" applyBorder="1" applyAlignment="1">
      <alignment horizontal="left" vertical="center" wrapText="1" indent="1"/>
    </xf>
    <xf numFmtId="0" fontId="63" fillId="0" borderId="94" xfId="697" applyFont="1" applyBorder="1" applyAlignment="1">
      <alignment horizontal="left" vertical="center" wrapText="1" indent="1"/>
    </xf>
    <xf numFmtId="0" fontId="63" fillId="0" borderId="95" xfId="697" applyFont="1" applyBorder="1" applyAlignment="1">
      <alignment horizontal="left" vertical="center" wrapText="1"/>
    </xf>
    <xf numFmtId="0" fontId="66" fillId="0" borderId="64" xfId="697" applyFont="1" applyBorder="1" applyAlignment="1">
      <alignment horizontal="center" vertical="center" wrapText="1"/>
    </xf>
    <xf numFmtId="0" fontId="63" fillId="0" borderId="59" xfId="697" applyFont="1" applyBorder="1" applyAlignment="1">
      <alignment horizontal="center" vertical="center" wrapText="1"/>
    </xf>
    <xf numFmtId="0" fontId="60" fillId="0" borderId="59" xfId="697" applyFont="1" applyBorder="1" applyAlignment="1">
      <alignment horizontal="left" vertical="center" wrapText="1" indent="1"/>
    </xf>
    <xf numFmtId="0" fontId="63" fillId="0" borderId="59" xfId="697" applyFont="1" applyBorder="1" applyAlignment="1">
      <alignment horizontal="left" vertical="center" wrapText="1" indent="1"/>
    </xf>
    <xf numFmtId="0" fontId="59" fillId="0" borderId="30" xfId="901" applyFont="1" applyBorder="1" applyAlignment="1">
      <alignment horizontal="center" vertical="center"/>
    </xf>
    <xf numFmtId="0" fontId="63" fillId="0" borderId="50" xfId="697" applyFont="1" applyBorder="1" applyAlignment="1">
      <alignment horizontal="left" vertical="center" wrapText="1"/>
    </xf>
    <xf numFmtId="0" fontId="63" fillId="0" borderId="96" xfId="697" applyFont="1" applyBorder="1" applyAlignment="1">
      <alignment horizontal="center" vertical="center" wrapText="1"/>
    </xf>
    <xf numFmtId="0" fontId="60" fillId="0" borderId="96" xfId="697" applyFont="1" applyBorder="1" applyAlignment="1">
      <alignment horizontal="left" vertical="center" wrapText="1" indent="1"/>
    </xf>
    <xf numFmtId="0" fontId="63" fillId="0" borderId="96" xfId="697" applyFont="1" applyBorder="1" applyAlignment="1">
      <alignment horizontal="left" vertical="center" wrapText="1" indent="1"/>
    </xf>
    <xf numFmtId="0" fontId="63" fillId="0" borderId="97" xfId="697" applyFont="1" applyBorder="1" applyAlignment="1">
      <alignment horizontal="left" vertical="center" wrapText="1"/>
    </xf>
    <xf numFmtId="0" fontId="60" fillId="64" borderId="58" xfId="697" applyFont="1" applyFill="1" applyBorder="1" applyAlignment="1">
      <alignment horizontal="left" vertical="center" wrapText="1" indent="1"/>
    </xf>
    <xf numFmtId="0" fontId="63" fillId="64" borderId="58" xfId="697" applyFont="1" applyFill="1" applyBorder="1" applyAlignment="1">
      <alignment horizontal="left" vertical="center" wrapText="1" indent="1"/>
    </xf>
    <xf numFmtId="0" fontId="63" fillId="64" borderId="58" xfId="697" applyFont="1" applyFill="1" applyBorder="1" applyAlignment="1">
      <alignment horizontal="center" vertical="center" wrapText="1"/>
    </xf>
    <xf numFmtId="0" fontId="59" fillId="64" borderId="22" xfId="901" applyFont="1" applyFill="1" applyBorder="1" applyAlignment="1">
      <alignment horizontal="center" vertical="center"/>
    </xf>
    <xf numFmtId="0" fontId="58" fillId="64" borderId="51" xfId="901" applyFont="1" applyFill="1" applyBorder="1" applyAlignment="1">
      <alignment horizontal="center" vertical="center"/>
    </xf>
    <xf numFmtId="0" fontId="58" fillId="64" borderId="28" xfId="901" applyFont="1" applyFill="1" applyBorder="1" applyAlignment="1">
      <alignment horizontal="center" vertical="center"/>
    </xf>
    <xf numFmtId="0" fontId="58" fillId="53" borderId="26" xfId="901" applyFont="1" applyFill="1" applyBorder="1" applyAlignment="1">
      <alignment horizontal="center" vertical="center"/>
    </xf>
    <xf numFmtId="0" fontId="58" fillId="53" borderId="80" xfId="901" applyFont="1" applyFill="1" applyBorder="1" applyAlignment="1">
      <alignment horizontal="center" vertical="center"/>
    </xf>
    <xf numFmtId="0" fontId="58" fillId="53" borderId="29" xfId="901" applyFont="1" applyFill="1" applyBorder="1" applyAlignment="1">
      <alignment horizontal="center" vertical="center"/>
    </xf>
    <xf numFmtId="0" fontId="58" fillId="0" borderId="26" xfId="901" applyFont="1" applyBorder="1" applyAlignment="1">
      <alignment horizontal="center" vertical="center"/>
    </xf>
    <xf numFmtId="0" fontId="60" fillId="53" borderId="96" xfId="697" applyFont="1" applyFill="1" applyBorder="1" applyAlignment="1">
      <alignment horizontal="left" vertical="center" wrapText="1" indent="1"/>
    </xf>
    <xf numFmtId="0" fontId="63" fillId="53" borderId="96" xfId="697" applyFont="1" applyFill="1" applyBorder="1" applyAlignment="1">
      <alignment horizontal="left" vertical="center" wrapText="1" indent="1"/>
    </xf>
    <xf numFmtId="0" fontId="58" fillId="53" borderId="25" xfId="901" applyFont="1" applyFill="1" applyBorder="1" applyAlignment="1">
      <alignment horizontal="center" vertical="center"/>
    </xf>
    <xf numFmtId="0" fontId="58" fillId="53" borderId="51" xfId="901" applyFont="1" applyFill="1" applyBorder="1" applyAlignment="1">
      <alignment horizontal="center" vertical="center"/>
    </xf>
    <xf numFmtId="0" fontId="58" fillId="53" borderId="28" xfId="901" applyFont="1" applyFill="1" applyBorder="1" applyAlignment="1">
      <alignment horizontal="center" vertical="center"/>
    </xf>
    <xf numFmtId="0" fontId="60" fillId="46" borderId="96" xfId="697" applyFont="1" applyFill="1" applyBorder="1" applyAlignment="1">
      <alignment horizontal="left" vertical="center" wrapText="1" indent="1"/>
    </xf>
    <xf numFmtId="0" fontId="63" fillId="46" borderId="96" xfId="697" applyFont="1" applyFill="1" applyBorder="1" applyAlignment="1">
      <alignment horizontal="left" vertical="center" wrapText="1" indent="1"/>
    </xf>
    <xf numFmtId="0" fontId="58" fillId="46" borderId="25" xfId="901" applyFont="1" applyFill="1" applyBorder="1" applyAlignment="1">
      <alignment horizontal="center" vertical="center"/>
    </xf>
    <xf numFmtId="0" fontId="58" fillId="46" borderId="51" xfId="901" applyFont="1" applyFill="1" applyBorder="1" applyAlignment="1">
      <alignment horizontal="center" vertical="center"/>
    </xf>
    <xf numFmtId="0" fontId="58" fillId="46" borderId="28" xfId="901" applyFont="1" applyFill="1" applyBorder="1" applyAlignment="1">
      <alignment horizontal="center" vertical="center"/>
    </xf>
    <xf numFmtId="0" fontId="63" fillId="0" borderId="30" xfId="697" applyFont="1" applyBorder="1" applyAlignment="1">
      <alignment horizontal="center" vertical="center" wrapText="1"/>
    </xf>
    <xf numFmtId="0" fontId="60" fillId="53" borderId="30" xfId="697" applyFont="1" applyFill="1" applyBorder="1" applyAlignment="1">
      <alignment horizontal="left" vertical="center" wrapText="1" indent="1"/>
    </xf>
    <xf numFmtId="0" fontId="63" fillId="53" borderId="30" xfId="697" applyFont="1" applyFill="1" applyBorder="1" applyAlignment="1">
      <alignment horizontal="left" vertical="center" wrapText="1" indent="1"/>
    </xf>
    <xf numFmtId="0" fontId="63" fillId="53" borderId="59" xfId="697" applyFont="1" applyFill="1" applyBorder="1" applyAlignment="1">
      <alignment horizontal="left" vertical="center" wrapText="1" indent="1"/>
    </xf>
    <xf numFmtId="0" fontId="63" fillId="53" borderId="59" xfId="697" applyFont="1" applyFill="1" applyBorder="1" applyAlignment="1">
      <alignment horizontal="center" vertical="center" wrapText="1"/>
    </xf>
    <xf numFmtId="0" fontId="59" fillId="53" borderId="30" xfId="901" applyFont="1" applyFill="1" applyBorder="1" applyAlignment="1">
      <alignment horizontal="center" vertical="center"/>
    </xf>
    <xf numFmtId="0" fontId="58" fillId="53" borderId="17" xfId="901" applyFont="1" applyFill="1" applyBorder="1" applyAlignment="1">
      <alignment horizontal="center" vertical="center"/>
    </xf>
    <xf numFmtId="0" fontId="58" fillId="53" borderId="16" xfId="901" applyFont="1" applyFill="1" applyBorder="1" applyAlignment="1">
      <alignment horizontal="center" vertical="center"/>
    </xf>
    <xf numFmtId="0" fontId="58" fillId="53" borderId="27" xfId="901" applyFont="1" applyFill="1" applyBorder="1" applyAlignment="1">
      <alignment horizontal="center" vertical="center"/>
    </xf>
    <xf numFmtId="0" fontId="63" fillId="53" borderId="50" xfId="697" applyFont="1" applyFill="1" applyBorder="1" applyAlignment="1">
      <alignment horizontal="left" vertical="center" wrapText="1"/>
    </xf>
    <xf numFmtId="0" fontId="60" fillId="46" borderId="30" xfId="697" applyFont="1" applyFill="1" applyBorder="1" applyAlignment="1">
      <alignment horizontal="left" vertical="center" wrapText="1" indent="1"/>
    </xf>
    <xf numFmtId="0" fontId="63" fillId="46" borderId="30" xfId="697" applyFont="1" applyFill="1" applyBorder="1" applyAlignment="1">
      <alignment horizontal="left" vertical="center" wrapText="1" indent="1"/>
    </xf>
    <xf numFmtId="0" fontId="63" fillId="46" borderId="59" xfId="697" applyFont="1" applyFill="1" applyBorder="1" applyAlignment="1">
      <alignment horizontal="left" vertical="center" wrapText="1" indent="1"/>
    </xf>
    <xf numFmtId="0" fontId="63" fillId="46" borderId="59" xfId="697" applyFont="1" applyFill="1" applyBorder="1" applyAlignment="1">
      <alignment horizontal="center" vertical="center" wrapText="1"/>
    </xf>
    <xf numFmtId="0" fontId="59" fillId="46" borderId="30" xfId="901" applyFont="1" applyFill="1" applyBorder="1" applyAlignment="1">
      <alignment horizontal="center" vertical="center"/>
    </xf>
    <xf numFmtId="0" fontId="58" fillId="46" borderId="17" xfId="901" applyFont="1" applyFill="1" applyBorder="1" applyAlignment="1">
      <alignment horizontal="center" vertical="center"/>
    </xf>
    <xf numFmtId="0" fontId="58" fillId="46" borderId="16" xfId="901" applyFont="1" applyFill="1" applyBorder="1" applyAlignment="1">
      <alignment horizontal="center" vertical="center"/>
    </xf>
    <xf numFmtId="0" fontId="58" fillId="46" borderId="27" xfId="901" applyFont="1" applyFill="1" applyBorder="1" applyAlignment="1">
      <alignment horizontal="center" vertical="center"/>
    </xf>
    <xf numFmtId="0" fontId="63" fillId="46" borderId="50" xfId="697" applyFont="1" applyFill="1" applyBorder="1" applyAlignment="1">
      <alignment horizontal="left" vertical="center" wrapText="1"/>
    </xf>
    <xf numFmtId="0" fontId="66" fillId="46" borderId="68" xfId="697" applyFont="1" applyFill="1" applyBorder="1" applyAlignment="1">
      <alignment horizontal="center" vertical="center" wrapText="1"/>
    </xf>
    <xf numFmtId="0" fontId="63" fillId="46" borderId="58" xfId="697" applyFont="1" applyFill="1" applyBorder="1" applyAlignment="1">
      <alignment horizontal="center" vertical="center" wrapText="1"/>
    </xf>
    <xf numFmtId="0" fontId="63" fillId="0" borderId="52" xfId="697" applyFont="1" applyBorder="1" applyAlignment="1">
      <alignment horizontal="left" vertical="center" wrapText="1"/>
    </xf>
    <xf numFmtId="0" fontId="66" fillId="47" borderId="64" xfId="697" applyFont="1" applyFill="1" applyBorder="1" applyAlignment="1">
      <alignment horizontal="center" vertical="center" wrapText="1"/>
    </xf>
    <xf numFmtId="0" fontId="63" fillId="0" borderId="54" xfId="697" applyFont="1" applyBorder="1" applyAlignment="1">
      <alignment horizontal="left" vertical="center" wrapText="1"/>
    </xf>
    <xf numFmtId="0" fontId="66" fillId="46" borderId="26" xfId="697" applyFont="1" applyFill="1" applyBorder="1" applyAlignment="1">
      <alignment horizontal="center" vertical="center" wrapText="1"/>
    </xf>
    <xf numFmtId="0" fontId="72" fillId="0" borderId="58" xfId="697" applyFont="1" applyBorder="1" applyAlignment="1">
      <alignment horizontal="center" vertical="center" wrapText="1"/>
    </xf>
    <xf numFmtId="0" fontId="72" fillId="0" borderId="60" xfId="697" applyFont="1" applyBorder="1" applyAlignment="1">
      <alignment horizontal="center" vertical="center" wrapText="1"/>
    </xf>
    <xf numFmtId="0" fontId="63" fillId="0" borderId="45" xfId="697" applyFont="1" applyBorder="1" applyAlignment="1">
      <alignment horizontal="left" vertical="center"/>
    </xf>
    <xf numFmtId="0" fontId="63" fillId="0" borderId="47" xfId="697" applyFont="1" applyBorder="1" applyAlignment="1">
      <alignment horizontal="left" vertical="center"/>
    </xf>
    <xf numFmtId="0" fontId="66" fillId="45" borderId="66" xfId="697" applyFont="1" applyFill="1" applyBorder="1" applyAlignment="1">
      <alignment horizontal="center" vertical="center" wrapText="1"/>
    </xf>
    <xf numFmtId="0" fontId="68" fillId="45" borderId="58" xfId="697" quotePrefix="1" applyFont="1" applyFill="1" applyBorder="1" applyAlignment="1">
      <alignment horizontal="left" vertical="center" wrapText="1"/>
    </xf>
    <xf numFmtId="0" fontId="70" fillId="45" borderId="58" xfId="697" quotePrefix="1" applyFont="1" applyFill="1" applyBorder="1" applyAlignment="1">
      <alignment horizontal="left" vertical="center" wrapText="1" indent="1"/>
    </xf>
    <xf numFmtId="0" fontId="63" fillId="45" borderId="58" xfId="697" applyFont="1" applyFill="1" applyBorder="1" applyAlignment="1">
      <alignment horizontal="left" vertical="center" wrapText="1" indent="1"/>
    </xf>
    <xf numFmtId="0" fontId="63" fillId="45" borderId="58" xfId="697" applyFont="1" applyFill="1" applyBorder="1" applyAlignment="1">
      <alignment horizontal="center" vertical="center" wrapText="1"/>
    </xf>
    <xf numFmtId="0" fontId="59" fillId="45" borderId="22" xfId="901" applyFont="1" applyFill="1" applyBorder="1" applyAlignment="1">
      <alignment horizontal="center" vertical="center"/>
    </xf>
    <xf numFmtId="0" fontId="58" fillId="45" borderId="51" xfId="901" applyFont="1" applyFill="1" applyBorder="1" applyAlignment="1">
      <alignment horizontal="center" vertical="center"/>
    </xf>
    <xf numFmtId="0" fontId="58" fillId="45" borderId="28" xfId="901" applyFont="1" applyFill="1" applyBorder="1" applyAlignment="1">
      <alignment horizontal="center" vertical="center"/>
    </xf>
    <xf numFmtId="0" fontId="63" fillId="45" borderId="52" xfId="697" applyFont="1" applyFill="1" applyBorder="1" applyAlignment="1">
      <alignment horizontal="left" vertical="center" wrapText="1"/>
    </xf>
    <xf numFmtId="0" fontId="63" fillId="45" borderId="60" xfId="697" applyFont="1" applyFill="1" applyBorder="1" applyAlignment="1">
      <alignment horizontal="center" vertical="center" wrapText="1"/>
    </xf>
    <xf numFmtId="0" fontId="60" fillId="45" borderId="59" xfId="697" applyFont="1" applyFill="1" applyBorder="1" applyAlignment="1">
      <alignment horizontal="left" vertical="center" wrapText="1" indent="1"/>
    </xf>
    <xf numFmtId="0" fontId="63" fillId="45" borderId="59" xfId="697" applyFont="1" applyFill="1" applyBorder="1" applyAlignment="1">
      <alignment horizontal="left" vertical="center" wrapText="1" indent="1"/>
    </xf>
    <xf numFmtId="0" fontId="63" fillId="45" borderId="59" xfId="697" applyFont="1" applyFill="1" applyBorder="1" applyAlignment="1">
      <alignment horizontal="center" vertical="center" wrapText="1"/>
    </xf>
    <xf numFmtId="0" fontId="59" fillId="45" borderId="30" xfId="901" applyFont="1" applyFill="1" applyBorder="1" applyAlignment="1">
      <alignment horizontal="center" vertical="center"/>
    </xf>
    <xf numFmtId="0" fontId="58" fillId="45" borderId="17" xfId="901" applyFont="1" applyFill="1" applyBorder="1" applyAlignment="1">
      <alignment horizontal="center" vertical="center"/>
    </xf>
    <xf numFmtId="0" fontId="58" fillId="45" borderId="16" xfId="901" applyFont="1" applyFill="1" applyBorder="1" applyAlignment="1">
      <alignment horizontal="center" vertical="center"/>
    </xf>
    <xf numFmtId="0" fontId="63" fillId="45" borderId="53" xfId="697" applyFont="1" applyFill="1" applyBorder="1" applyAlignment="1">
      <alignment horizontal="left" vertical="center" wrapText="1"/>
    </xf>
    <xf numFmtId="0" fontId="60" fillId="45" borderId="22" xfId="697" applyFont="1" applyFill="1" applyBorder="1" applyAlignment="1">
      <alignment horizontal="left" vertical="center" wrapText="1" indent="1"/>
    </xf>
    <xf numFmtId="0" fontId="60" fillId="45" borderId="30" xfId="697" applyFont="1" applyFill="1" applyBorder="1" applyAlignment="1">
      <alignment horizontal="left" vertical="center" wrapText="1" indent="1"/>
    </xf>
    <xf numFmtId="0" fontId="68" fillId="45" borderId="60" xfId="697" quotePrefix="1" applyFont="1" applyFill="1" applyBorder="1" applyAlignment="1">
      <alignment horizontal="left" vertical="center" wrapText="1"/>
    </xf>
    <xf numFmtId="0" fontId="70" fillId="45" borderId="96" xfId="697" quotePrefix="1" applyFont="1" applyFill="1" applyBorder="1" applyAlignment="1">
      <alignment horizontal="left" vertical="center" wrapText="1" indent="1"/>
    </xf>
    <xf numFmtId="0" fontId="63" fillId="45" borderId="96" xfId="697" applyFont="1" applyFill="1" applyBorder="1" applyAlignment="1">
      <alignment horizontal="left" vertical="center" wrapText="1" indent="1"/>
    </xf>
    <xf numFmtId="0" fontId="63" fillId="45" borderId="96" xfId="697" applyFont="1" applyFill="1" applyBorder="1" applyAlignment="1">
      <alignment horizontal="center" vertical="center" wrapText="1"/>
    </xf>
    <xf numFmtId="0" fontId="58" fillId="45" borderId="0" xfId="901" applyFont="1" applyFill="1" applyAlignment="1">
      <alignment horizontal="center" vertical="center"/>
    </xf>
    <xf numFmtId="0" fontId="58" fillId="45" borderId="19" xfId="901" applyFont="1" applyFill="1" applyBorder="1" applyAlignment="1">
      <alignment horizontal="center" vertical="center"/>
    </xf>
    <xf numFmtId="0" fontId="63" fillId="45" borderId="54" xfId="697" applyFont="1" applyFill="1" applyBorder="1" applyAlignment="1">
      <alignment horizontal="left" vertical="center" wrapText="1"/>
    </xf>
    <xf numFmtId="0" fontId="63" fillId="0" borderId="55" xfId="697" applyFont="1" applyBorder="1" applyAlignment="1">
      <alignment horizontal="left" vertical="center" wrapText="1"/>
    </xf>
    <xf numFmtId="0" fontId="71" fillId="0" borderId="60" xfId="697" applyFont="1" applyBorder="1" applyAlignment="1">
      <alignment horizontal="center" vertical="center" wrapText="1"/>
    </xf>
    <xf numFmtId="0" fontId="63" fillId="0" borderId="53" xfId="697" applyFont="1" applyBorder="1" applyAlignment="1">
      <alignment horizontal="left" vertical="center" wrapText="1"/>
    </xf>
    <xf numFmtId="0" fontId="71" fillId="0" borderId="94" xfId="697" applyFont="1" applyBorder="1" applyAlignment="1">
      <alignment horizontal="center" vertical="center" wrapText="1"/>
    </xf>
    <xf numFmtId="0" fontId="60" fillId="51" borderId="96" xfId="697" applyFont="1" applyFill="1" applyBorder="1" applyAlignment="1">
      <alignment horizontal="left" vertical="center" wrapText="1" indent="1"/>
    </xf>
    <xf numFmtId="0" fontId="63" fillId="51" borderId="96" xfId="697" applyFont="1" applyFill="1" applyBorder="1" applyAlignment="1">
      <alignment horizontal="left" vertical="center" wrapText="1" indent="1"/>
    </xf>
    <xf numFmtId="0" fontId="63" fillId="51" borderId="96" xfId="697" applyFont="1" applyFill="1" applyBorder="1" applyAlignment="1">
      <alignment horizontal="center" vertical="center" wrapText="1"/>
    </xf>
    <xf numFmtId="0" fontId="59" fillId="51" borderId="23" xfId="901" applyFont="1" applyFill="1" applyBorder="1" applyAlignment="1">
      <alignment horizontal="center" vertical="center"/>
    </xf>
    <xf numFmtId="0" fontId="58" fillId="51" borderId="0" xfId="901" applyFont="1" applyFill="1" applyAlignment="1">
      <alignment horizontal="center" vertical="center"/>
    </xf>
    <xf numFmtId="0" fontId="58" fillId="51" borderId="19" xfId="901" applyFont="1" applyFill="1" applyBorder="1" applyAlignment="1">
      <alignment horizontal="center" vertical="center"/>
    </xf>
    <xf numFmtId="0" fontId="63" fillId="0" borderId="76" xfId="697" applyFont="1" applyBorder="1" applyAlignment="1">
      <alignment horizontal="left" vertical="center" wrapText="1"/>
    </xf>
    <xf numFmtId="0" fontId="60" fillId="51" borderId="60" xfId="697" applyFont="1" applyFill="1" applyBorder="1" applyAlignment="1">
      <alignment horizontal="left" vertical="center" wrapText="1" indent="1"/>
    </xf>
    <xf numFmtId="0" fontId="63" fillId="51" borderId="60" xfId="697" applyFont="1" applyFill="1" applyBorder="1" applyAlignment="1">
      <alignment horizontal="left" vertical="center" wrapText="1" indent="1"/>
    </xf>
    <xf numFmtId="0" fontId="63" fillId="51" borderId="60" xfId="697" applyFont="1" applyFill="1" applyBorder="1" applyAlignment="1">
      <alignment horizontal="center" vertical="center" wrapText="1"/>
    </xf>
    <xf numFmtId="0" fontId="70" fillId="45" borderId="60" xfId="697" quotePrefix="1" applyFont="1" applyFill="1" applyBorder="1" applyAlignment="1">
      <alignment horizontal="left" vertical="center" wrapText="1" indent="1"/>
    </xf>
    <xf numFmtId="0" fontId="63" fillId="45" borderId="60" xfId="697" applyFont="1" applyFill="1" applyBorder="1" applyAlignment="1">
      <alignment horizontal="left" vertical="center" wrapText="1" indent="1"/>
    </xf>
    <xf numFmtId="0" fontId="59" fillId="45" borderId="23" xfId="901" applyFont="1" applyFill="1" applyBorder="1" applyAlignment="1">
      <alignment horizontal="center" vertical="center"/>
    </xf>
    <xf numFmtId="0" fontId="74" fillId="49" borderId="20" xfId="697" quotePrefix="1" applyFont="1" applyFill="1" applyBorder="1" applyAlignment="1">
      <alignment horizontal="left" vertical="center" wrapText="1"/>
    </xf>
    <xf numFmtId="0" fontId="60" fillId="0" borderId="22" xfId="697" applyFont="1" applyBorder="1" applyAlignment="1">
      <alignment horizontal="left" vertical="center" wrapText="1" indent="1"/>
    </xf>
    <xf numFmtId="0" fontId="58" fillId="0" borderId="23" xfId="901" applyFont="1" applyBorder="1" applyAlignment="1">
      <alignment horizontal="center" vertical="center"/>
    </xf>
    <xf numFmtId="0" fontId="74" fillId="0" borderId="23" xfId="697" quotePrefix="1" applyFont="1" applyBorder="1" applyAlignment="1">
      <alignment horizontal="left" vertical="center" wrapText="1" indent="1"/>
    </xf>
    <xf numFmtId="0" fontId="60" fillId="0" borderId="30" xfId="697" applyFont="1" applyBorder="1" applyAlignment="1">
      <alignment horizontal="left" vertical="center" wrapText="1" indent="1"/>
    </xf>
    <xf numFmtId="0" fontId="60" fillId="0" borderId="60" xfId="697" applyFont="1" applyBorder="1" applyAlignment="1">
      <alignment horizontal="left" vertical="center" wrapText="1"/>
    </xf>
    <xf numFmtId="0" fontId="60" fillId="45" borderId="60" xfId="697" applyFont="1" applyFill="1" applyBorder="1" applyAlignment="1">
      <alignment horizontal="left" vertical="center" wrapText="1" indent="1"/>
    </xf>
    <xf numFmtId="0" fontId="58" fillId="45" borderId="24" xfId="901" applyFont="1" applyFill="1" applyBorder="1" applyAlignment="1">
      <alignment horizontal="center" vertical="center"/>
    </xf>
    <xf numFmtId="0" fontId="66" fillId="45" borderId="64" xfId="697" applyFont="1" applyFill="1" applyBorder="1" applyAlignment="1">
      <alignment horizontal="center" vertical="center" wrapText="1"/>
    </xf>
    <xf numFmtId="0" fontId="58" fillId="45" borderId="27" xfId="901" applyFont="1" applyFill="1" applyBorder="1" applyAlignment="1">
      <alignment horizontal="center" vertical="center"/>
    </xf>
    <xf numFmtId="2" fontId="59" fillId="0" borderId="22" xfId="901" applyNumberFormat="1" applyFont="1" applyBorder="1" applyAlignment="1">
      <alignment horizontal="center" vertical="center"/>
    </xf>
    <xf numFmtId="164" fontId="58" fillId="0" borderId="51" xfId="901" applyNumberFormat="1" applyFont="1" applyBorder="1" applyAlignment="1">
      <alignment horizontal="center" vertical="center"/>
    </xf>
    <xf numFmtId="164" fontId="58" fillId="0" borderId="28" xfId="901" applyNumberFormat="1" applyFont="1" applyBorder="1" applyAlignment="1">
      <alignment horizontal="center" vertical="center"/>
    </xf>
    <xf numFmtId="164" fontId="58" fillId="0" borderId="0" xfId="901" applyNumberFormat="1" applyFont="1" applyAlignment="1">
      <alignment horizontal="center" vertical="center"/>
    </xf>
    <xf numFmtId="0" fontId="63" fillId="45" borderId="76" xfId="697" applyFont="1" applyFill="1" applyBorder="1" applyAlignment="1">
      <alignment horizontal="left" vertical="center" wrapText="1"/>
    </xf>
    <xf numFmtId="0" fontId="66" fillId="45" borderId="68" xfId="697" applyFont="1" applyFill="1" applyBorder="1" applyAlignment="1">
      <alignment horizontal="center" vertical="center" wrapText="1"/>
    </xf>
    <xf numFmtId="0" fontId="66" fillId="43" borderId="24" xfId="697" applyFont="1" applyFill="1" applyBorder="1" applyAlignment="1">
      <alignment horizontal="center" vertical="center" wrapText="1"/>
    </xf>
    <xf numFmtId="0" fontId="63" fillId="0" borderId="22" xfId="697" applyFont="1" applyBorder="1" applyAlignment="1">
      <alignment horizontal="left" vertical="center" wrapText="1" indent="1"/>
    </xf>
    <xf numFmtId="0" fontId="63" fillId="0" borderId="22" xfId="697" applyFont="1" applyBorder="1" applyAlignment="1">
      <alignment horizontal="center" vertical="center" wrapText="1"/>
    </xf>
    <xf numFmtId="0" fontId="63" fillId="0" borderId="70" xfId="697" applyFont="1" applyBorder="1" applyAlignment="1">
      <alignment horizontal="left" vertical="center" wrapText="1"/>
    </xf>
    <xf numFmtId="0" fontId="68" fillId="45" borderId="59" xfId="697" quotePrefix="1" applyFont="1" applyFill="1" applyBorder="1" applyAlignment="1">
      <alignment horizontal="left" vertical="center" wrapText="1"/>
    </xf>
    <xf numFmtId="0" fontId="70" fillId="45" borderId="59" xfId="697" quotePrefix="1" applyFont="1" applyFill="1" applyBorder="1" applyAlignment="1">
      <alignment horizontal="left" vertical="center" wrapText="1" indent="1"/>
    </xf>
    <xf numFmtId="0" fontId="66" fillId="48" borderId="66" xfId="697" applyFont="1" applyFill="1" applyBorder="1" applyAlignment="1">
      <alignment horizontal="center" vertical="center" wrapText="1"/>
    </xf>
    <xf numFmtId="0" fontId="63" fillId="48" borderId="55" xfId="697" applyFont="1" applyFill="1" applyBorder="1" applyAlignment="1">
      <alignment horizontal="left" vertical="center" wrapText="1"/>
    </xf>
    <xf numFmtId="0" fontId="66" fillId="48" borderId="140" xfId="697" applyFont="1" applyFill="1" applyBorder="1" applyAlignment="1">
      <alignment horizontal="center" vertical="center" wrapText="1"/>
    </xf>
    <xf numFmtId="0" fontId="63" fillId="48" borderId="53" xfId="697" applyFont="1" applyFill="1" applyBorder="1" applyAlignment="1">
      <alignment horizontal="left" vertical="center" wrapText="1"/>
    </xf>
    <xf numFmtId="0" fontId="63" fillId="48" borderId="54" xfId="697" applyFont="1" applyFill="1" applyBorder="1" applyAlignment="1">
      <alignment horizontal="left" vertical="center" wrapText="1"/>
    </xf>
    <xf numFmtId="0" fontId="74" fillId="0" borderId="22" xfId="697" quotePrefix="1" applyFont="1" applyBorder="1" applyAlignment="1">
      <alignment horizontal="left" vertical="center" wrapText="1" indent="1"/>
    </xf>
    <xf numFmtId="0" fontId="66" fillId="50" borderId="66" xfId="697" applyFont="1" applyFill="1" applyBorder="1" applyAlignment="1">
      <alignment horizontal="center" vertical="center" wrapText="1"/>
    </xf>
    <xf numFmtId="0" fontId="63" fillId="50" borderId="96" xfId="697" applyFont="1" applyFill="1" applyBorder="1" applyAlignment="1">
      <alignment horizontal="center" vertical="center" wrapText="1"/>
    </xf>
    <xf numFmtId="0" fontId="60" fillId="50" borderId="23" xfId="697" applyFont="1" applyFill="1" applyBorder="1" applyAlignment="1">
      <alignment horizontal="left" vertical="center" wrapText="1" indent="1"/>
    </xf>
    <xf numFmtId="0" fontId="63" fillId="50" borderId="23" xfId="697" applyFont="1" applyFill="1" applyBorder="1" applyAlignment="1">
      <alignment horizontal="left" vertical="center" wrapText="1" indent="1"/>
    </xf>
    <xf numFmtId="0" fontId="63" fillId="50" borderId="60" xfId="697" applyFont="1" applyFill="1" applyBorder="1" applyAlignment="1">
      <alignment horizontal="left" vertical="center" wrapText="1" indent="1"/>
    </xf>
    <xf numFmtId="0" fontId="63" fillId="50" borderId="60" xfId="697" applyFont="1" applyFill="1" applyBorder="1" applyAlignment="1">
      <alignment horizontal="center" vertical="center" wrapText="1"/>
    </xf>
    <xf numFmtId="0" fontId="59" fillId="50" borderId="23" xfId="901" applyFont="1" applyFill="1" applyBorder="1" applyAlignment="1">
      <alignment horizontal="center" vertical="center"/>
    </xf>
    <xf numFmtId="0" fontId="58" fillId="50" borderId="0" xfId="901" applyFont="1" applyFill="1" applyAlignment="1">
      <alignment horizontal="center" vertical="center"/>
    </xf>
    <xf numFmtId="0" fontId="58" fillId="50" borderId="19" xfId="901" applyFont="1" applyFill="1" applyBorder="1" applyAlignment="1">
      <alignment horizontal="center" vertical="center"/>
    </xf>
    <xf numFmtId="0" fontId="63" fillId="50" borderId="53" xfId="697" applyFont="1" applyFill="1" applyBorder="1" applyAlignment="1">
      <alignment horizontal="left" vertical="center" wrapText="1"/>
    </xf>
    <xf numFmtId="0" fontId="60" fillId="0" borderId="23" xfId="697" applyFont="1" applyBorder="1" applyAlignment="1">
      <alignment horizontal="left" vertical="center" wrapText="1" indent="1"/>
    </xf>
    <xf numFmtId="0" fontId="63" fillId="0" borderId="23" xfId="697" applyFont="1" applyBorder="1" applyAlignment="1">
      <alignment horizontal="left" vertical="center" wrapText="1" indent="1"/>
    </xf>
    <xf numFmtId="0" fontId="66" fillId="50" borderId="64" xfId="697" applyFont="1" applyFill="1" applyBorder="1" applyAlignment="1">
      <alignment horizontal="center" vertical="center" wrapText="1"/>
    </xf>
    <xf numFmtId="0" fontId="63" fillId="50" borderId="59" xfId="697" applyFont="1" applyFill="1" applyBorder="1" applyAlignment="1">
      <alignment horizontal="center" vertical="center" wrapText="1"/>
    </xf>
    <xf numFmtId="0" fontId="60" fillId="50" borderId="59" xfId="697" applyFont="1" applyFill="1" applyBorder="1" applyAlignment="1">
      <alignment horizontal="left" vertical="center" wrapText="1" indent="1"/>
    </xf>
    <xf numFmtId="0" fontId="63" fillId="50" borderId="59" xfId="697" applyFont="1" applyFill="1" applyBorder="1" applyAlignment="1">
      <alignment horizontal="left" vertical="center" wrapText="1" indent="1"/>
    </xf>
    <xf numFmtId="0" fontId="59" fillId="50" borderId="30" xfId="901" applyFont="1" applyFill="1" applyBorder="1" applyAlignment="1">
      <alignment horizontal="center" vertical="center"/>
    </xf>
    <xf numFmtId="0" fontId="58" fillId="50" borderId="17" xfId="901" applyFont="1" applyFill="1" applyBorder="1" applyAlignment="1">
      <alignment horizontal="center" vertical="center"/>
    </xf>
    <xf numFmtId="0" fontId="58" fillId="50" borderId="16" xfId="901" applyFont="1" applyFill="1" applyBorder="1" applyAlignment="1">
      <alignment horizontal="center" vertical="center"/>
    </xf>
    <xf numFmtId="0" fontId="63" fillId="50" borderId="54" xfId="697" applyFont="1" applyFill="1" applyBorder="1" applyAlignment="1">
      <alignment horizontal="left" vertical="center" wrapText="1"/>
    </xf>
    <xf numFmtId="0" fontId="66" fillId="43" borderId="26" xfId="697" applyFont="1" applyFill="1" applyBorder="1" applyAlignment="1">
      <alignment horizontal="center" vertical="center" wrapText="1"/>
    </xf>
    <xf numFmtId="0" fontId="58" fillId="50" borderId="26" xfId="901" applyFont="1" applyFill="1" applyBorder="1" applyAlignment="1">
      <alignment vertical="center"/>
    </xf>
    <xf numFmtId="0" fontId="63" fillId="50" borderId="20" xfId="697" applyFont="1" applyFill="1" applyBorder="1" applyAlignment="1">
      <alignment horizontal="center" vertical="center" wrapText="1"/>
    </xf>
    <xf numFmtId="0" fontId="60" fillId="50" borderId="20" xfId="697" applyFont="1" applyFill="1" applyBorder="1" applyAlignment="1">
      <alignment horizontal="left" vertical="center" wrapText="1" indent="1"/>
    </xf>
    <xf numFmtId="0" fontId="63" fillId="50" borderId="20" xfId="697" applyFont="1" applyFill="1" applyBorder="1" applyAlignment="1">
      <alignment horizontal="left" vertical="center" wrapText="1" indent="1"/>
    </xf>
    <xf numFmtId="0" fontId="59" fillId="50" borderId="20" xfId="901" applyFont="1" applyFill="1" applyBorder="1" applyAlignment="1">
      <alignment horizontal="center" vertical="center"/>
    </xf>
    <xf numFmtId="0" fontId="58" fillId="50" borderId="80" xfId="901" applyFont="1" applyFill="1" applyBorder="1" applyAlignment="1">
      <alignment horizontal="center" vertical="center"/>
    </xf>
    <xf numFmtId="0" fontId="58" fillId="50" borderId="29" xfId="901" applyFont="1" applyFill="1" applyBorder="1" applyAlignment="1">
      <alignment horizontal="center" vertical="center"/>
    </xf>
    <xf numFmtId="0" fontId="63" fillId="50" borderId="78" xfId="697" applyFont="1" applyFill="1" applyBorder="1" applyAlignment="1">
      <alignment horizontal="left" vertical="center" wrapText="1"/>
    </xf>
    <xf numFmtId="0" fontId="66" fillId="0" borderId="68" xfId="697" applyFont="1" applyBorder="1" applyAlignment="1">
      <alignment horizontal="center" vertical="center" wrapText="1"/>
    </xf>
    <xf numFmtId="0" fontId="60" fillId="50" borderId="60" xfId="697" applyFont="1" applyFill="1" applyBorder="1" applyAlignment="1">
      <alignment horizontal="left" vertical="center" wrapText="1" indent="1"/>
    </xf>
    <xf numFmtId="0" fontId="72" fillId="0" borderId="54" xfId="697" applyFont="1" applyBorder="1" applyAlignment="1">
      <alignment horizontal="left" vertical="center" wrapText="1"/>
    </xf>
    <xf numFmtId="0" fontId="94" fillId="52" borderId="96" xfId="697" applyFont="1" applyFill="1" applyBorder="1" applyAlignment="1">
      <alignment horizontal="left" vertical="center" wrapText="1" indent="1"/>
    </xf>
    <xf numFmtId="0" fontId="94" fillId="52" borderId="60" xfId="697" applyFont="1" applyFill="1" applyBorder="1" applyAlignment="1">
      <alignment horizontal="left" vertical="center" wrapText="1" indent="1"/>
    </xf>
    <xf numFmtId="0" fontId="66" fillId="0" borderId="24" xfId="697" applyFont="1" applyBorder="1" applyAlignment="1">
      <alignment horizontal="center" vertical="center" wrapText="1"/>
    </xf>
    <xf numFmtId="0" fontId="63" fillId="0" borderId="23" xfId="697" applyFont="1" applyBorder="1" applyAlignment="1">
      <alignment horizontal="center" vertical="center" wrapText="1"/>
    </xf>
    <xf numFmtId="0" fontId="63" fillId="0" borderId="87" xfId="697" applyFont="1" applyBorder="1" applyAlignment="1">
      <alignment horizontal="left" vertical="center" wrapText="1"/>
    </xf>
    <xf numFmtId="0" fontId="66" fillId="43" borderId="25" xfId="697" applyFont="1" applyFill="1" applyBorder="1" applyAlignment="1">
      <alignment horizontal="center" vertical="center" wrapText="1"/>
    </xf>
    <xf numFmtId="0" fontId="63" fillId="0" borderId="66" xfId="697" applyFont="1" applyBorder="1" applyAlignment="1">
      <alignment horizontal="center" vertical="center" wrapText="1"/>
    </xf>
    <xf numFmtId="0" fontId="60" fillId="0" borderId="58" xfId="697" applyFont="1" applyBorder="1" applyAlignment="1">
      <alignment horizontal="left" vertical="center" wrapText="1"/>
    </xf>
    <xf numFmtId="0" fontId="58" fillId="0" borderId="58" xfId="901" applyFont="1" applyBorder="1" applyAlignment="1">
      <alignment horizontal="left" vertical="center" indent="1"/>
    </xf>
    <xf numFmtId="0" fontId="58" fillId="0" borderId="22" xfId="901" applyFont="1" applyBorder="1" applyAlignment="1">
      <alignment horizontal="left" vertical="center" indent="1"/>
    </xf>
    <xf numFmtId="0" fontId="66" fillId="0" borderId="0" xfId="697" applyFont="1" applyAlignment="1">
      <alignment horizontal="center" vertical="center" wrapText="1"/>
    </xf>
    <xf numFmtId="0" fontId="60" fillId="0" borderId="23" xfId="901" applyFont="1" applyBorder="1" applyAlignment="1">
      <alignment horizontal="left" vertical="center" indent="1"/>
    </xf>
    <xf numFmtId="0" fontId="66" fillId="51" borderId="66" xfId="697" applyFont="1" applyFill="1" applyBorder="1" applyAlignment="1">
      <alignment horizontal="center" vertical="center" wrapText="1"/>
    </xf>
    <xf numFmtId="0" fontId="63" fillId="51" borderId="59" xfId="697" applyFont="1" applyFill="1" applyBorder="1" applyAlignment="1">
      <alignment horizontal="center" vertical="center" wrapText="1"/>
    </xf>
    <xf numFmtId="0" fontId="60" fillId="51" borderId="59" xfId="697" applyFont="1" applyFill="1" applyBorder="1" applyAlignment="1">
      <alignment horizontal="left" vertical="center" wrapText="1" indent="1"/>
    </xf>
    <xf numFmtId="0" fontId="63" fillId="51" borderId="59" xfId="697" applyFont="1" applyFill="1" applyBorder="1" applyAlignment="1">
      <alignment horizontal="left" vertical="center" wrapText="1" indent="1"/>
    </xf>
    <xf numFmtId="0" fontId="59" fillId="51" borderId="30" xfId="901" applyFont="1" applyFill="1" applyBorder="1" applyAlignment="1">
      <alignment horizontal="center" vertical="center"/>
    </xf>
    <xf numFmtId="0" fontId="58" fillId="51" borderId="17" xfId="901" applyFont="1" applyFill="1" applyBorder="1" applyAlignment="1">
      <alignment horizontal="center" vertical="center"/>
    </xf>
    <xf numFmtId="0" fontId="58" fillId="51" borderId="16" xfId="901" applyFont="1" applyFill="1" applyBorder="1" applyAlignment="1">
      <alignment horizontal="center" vertical="center"/>
    </xf>
    <xf numFmtId="0" fontId="63" fillId="51" borderId="54" xfId="697" applyFont="1" applyFill="1" applyBorder="1" applyAlignment="1">
      <alignment horizontal="left" vertical="center" wrapText="1"/>
    </xf>
    <xf numFmtId="0" fontId="68" fillId="50" borderId="58" xfId="697" quotePrefix="1" applyFont="1" applyFill="1" applyBorder="1" applyAlignment="1">
      <alignment horizontal="left" vertical="center" wrapText="1"/>
    </xf>
    <xf numFmtId="0" fontId="70" fillId="50" borderId="58" xfId="697" quotePrefix="1" applyFont="1" applyFill="1" applyBorder="1" applyAlignment="1">
      <alignment horizontal="left" vertical="center" wrapText="1" indent="1"/>
    </xf>
    <xf numFmtId="0" fontId="63" fillId="50" borderId="58" xfId="697" applyFont="1" applyFill="1" applyBorder="1" applyAlignment="1">
      <alignment horizontal="left" vertical="center" wrapText="1" indent="1"/>
    </xf>
    <xf numFmtId="0" fontId="63" fillId="50" borderId="58" xfId="697" applyFont="1" applyFill="1" applyBorder="1" applyAlignment="1">
      <alignment horizontal="center" vertical="center" wrapText="1"/>
    </xf>
    <xf numFmtId="0" fontId="58" fillId="50" borderId="24" xfId="901" applyFont="1" applyFill="1" applyBorder="1" applyAlignment="1">
      <alignment horizontal="center" vertical="center"/>
    </xf>
    <xf numFmtId="0" fontId="63" fillId="50" borderId="71" xfId="697" applyFont="1" applyFill="1" applyBorder="1" applyAlignment="1">
      <alignment horizontal="left" vertical="center" wrapText="1"/>
    </xf>
    <xf numFmtId="0" fontId="63" fillId="50" borderId="67" xfId="697" applyFont="1" applyFill="1" applyBorder="1" applyAlignment="1">
      <alignment horizontal="left" vertical="center" wrapText="1"/>
    </xf>
    <xf numFmtId="0" fontId="58" fillId="50" borderId="27" xfId="901" applyFont="1" applyFill="1" applyBorder="1" applyAlignment="1">
      <alignment horizontal="center" vertical="center"/>
    </xf>
    <xf numFmtId="0" fontId="63" fillId="50" borderId="72" xfId="697" applyFont="1" applyFill="1" applyBorder="1" applyAlignment="1">
      <alignment horizontal="left" vertical="center" wrapText="1"/>
    </xf>
    <xf numFmtId="0" fontId="58" fillId="0" borderId="0" xfId="901" quotePrefix="1" applyFont="1" applyAlignment="1">
      <alignment horizontal="center" vertical="center" wrapText="1"/>
    </xf>
    <xf numFmtId="0" fontId="58" fillId="0" borderId="0" xfId="901" applyFont="1" applyAlignment="1">
      <alignment horizontal="left" vertical="center" indent="2"/>
    </xf>
    <xf numFmtId="0" fontId="58" fillId="0" borderId="0" xfId="901" applyFont="1" applyAlignment="1">
      <alignment horizontal="left" vertical="center" indent="3"/>
    </xf>
    <xf numFmtId="0" fontId="35" fillId="0" borderId="26" xfId="696" applyFont="1" applyBorder="1" applyAlignment="1">
      <alignment horizontal="left" vertical="center" wrapText="1"/>
    </xf>
    <xf numFmtId="0" fontId="41" fillId="0" borderId="26" xfId="696" applyFont="1" applyBorder="1" applyAlignment="1">
      <alignment horizontal="left" vertical="center" wrapText="1"/>
    </xf>
    <xf numFmtId="0" fontId="42" fillId="54" borderId="112" xfId="696" applyFont="1" applyFill="1" applyBorder="1" applyAlignment="1">
      <alignment horizontal="left" vertical="center" wrapText="1"/>
    </xf>
    <xf numFmtId="0" fontId="5" fillId="54" borderId="15" xfId="696" applyFont="1" applyFill="1" applyBorder="1" applyAlignment="1">
      <alignment horizontal="left" vertical="center" wrapText="1" indent="1"/>
    </xf>
    <xf numFmtId="0" fontId="43" fillId="0" borderId="30" xfId="696" applyFont="1" applyBorder="1" applyAlignment="1">
      <alignment horizontal="left" vertical="center" wrapText="1"/>
    </xf>
    <xf numFmtId="0" fontId="6" fillId="0" borderId="16" xfId="696" applyFont="1" applyBorder="1" applyAlignment="1">
      <alignment horizontal="left" vertical="center" wrapText="1" indent="1"/>
    </xf>
    <xf numFmtId="0" fontId="45" fillId="0" borderId="30" xfId="696" applyFont="1" applyBorder="1" applyAlignment="1">
      <alignment horizontal="left" vertical="center" wrapText="1"/>
    </xf>
    <xf numFmtId="0" fontId="7" fillId="0" borderId="16" xfId="696" applyFont="1" applyBorder="1" applyAlignment="1">
      <alignment horizontal="left" vertical="center" wrapText="1" indent="1"/>
    </xf>
    <xf numFmtId="0" fontId="8" fillId="0" borderId="16" xfId="696" applyFont="1" applyBorder="1" applyAlignment="1">
      <alignment horizontal="left" vertical="center" wrapText="1" indent="1"/>
    </xf>
    <xf numFmtId="0" fontId="8" fillId="0" borderId="26" xfId="696" applyFont="1" applyBorder="1" applyAlignment="1">
      <alignment horizontal="left" vertical="center" wrapText="1" indent="1"/>
    </xf>
    <xf numFmtId="0" fontId="8" fillId="0" borderId="20" xfId="696" applyFont="1" applyBorder="1" applyAlignment="1">
      <alignment horizontal="left" vertical="center" wrapText="1" indent="1"/>
    </xf>
    <xf numFmtId="0" fontId="45" fillId="0" borderId="20" xfId="696" applyFont="1" applyBorder="1" applyAlignment="1">
      <alignment horizontal="left" vertical="center" wrapText="1"/>
    </xf>
    <xf numFmtId="0" fontId="9" fillId="0" borderId="17" xfId="696" applyFont="1" applyBorder="1" applyAlignment="1">
      <alignment horizontal="left" vertical="center" wrapText="1" indent="1"/>
    </xf>
    <xf numFmtId="0" fontId="9" fillId="0" borderId="16" xfId="696" applyFont="1" applyBorder="1" applyAlignment="1">
      <alignment horizontal="left" vertical="center" wrapText="1" indent="1"/>
    </xf>
    <xf numFmtId="4" fontId="8" fillId="0" borderId="16" xfId="696" applyNumberFormat="1" applyFont="1" applyBorder="1" applyAlignment="1">
      <alignment horizontal="left" vertical="center" wrapText="1" indent="1"/>
    </xf>
    <xf numFmtId="0" fontId="45" fillId="51" borderId="30" xfId="696" applyFont="1" applyFill="1" applyBorder="1" applyAlignment="1">
      <alignment horizontal="left" vertical="center" wrapText="1"/>
    </xf>
    <xf numFmtId="0" fontId="45" fillId="51" borderId="16" xfId="696" applyFont="1" applyFill="1" applyBorder="1" applyAlignment="1">
      <alignment horizontal="center" vertical="center" wrapText="1"/>
    </xf>
    <xf numFmtId="0" fontId="45" fillId="51" borderId="16" xfId="696" applyFont="1" applyFill="1" applyBorder="1" applyAlignment="1">
      <alignment horizontal="left" vertical="center" wrapText="1" indent="1"/>
    </xf>
    <xf numFmtId="0" fontId="8" fillId="51" borderId="16" xfId="696" applyFont="1" applyFill="1" applyBorder="1" applyAlignment="1">
      <alignment horizontal="left" vertical="center" wrapText="1" indent="1"/>
    </xf>
    <xf numFmtId="0" fontId="46" fillId="51" borderId="20" xfId="696" applyFont="1" applyFill="1" applyBorder="1" applyAlignment="1">
      <alignment horizontal="center" vertical="center" wrapText="1"/>
    </xf>
    <xf numFmtId="0" fontId="46" fillId="51" borderId="20" xfId="696" applyFont="1" applyFill="1" applyBorder="1" applyAlignment="1" applyProtection="1">
      <alignment horizontal="center" vertical="center" wrapText="1"/>
      <protection locked="0"/>
    </xf>
    <xf numFmtId="0" fontId="75" fillId="0" borderId="30" xfId="696" applyFont="1" applyBorder="1" applyAlignment="1">
      <alignment horizontal="left" vertical="center" wrapText="1"/>
    </xf>
    <xf numFmtId="0" fontId="95" fillId="0" borderId="30" xfId="696" applyFont="1" applyBorder="1" applyAlignment="1">
      <alignment horizontal="left" vertical="center" wrapText="1"/>
    </xf>
    <xf numFmtId="0" fontId="75" fillId="51" borderId="30" xfId="696" applyFont="1" applyFill="1" applyBorder="1" applyAlignment="1">
      <alignment horizontal="left" vertical="center" wrapText="1"/>
    </xf>
    <xf numFmtId="4" fontId="8" fillId="51" borderId="16" xfId="696" applyNumberFormat="1" applyFont="1" applyFill="1" applyBorder="1" applyAlignment="1">
      <alignment horizontal="left" vertical="center" wrapText="1" indent="1"/>
    </xf>
    <xf numFmtId="0" fontId="45" fillId="51" borderId="20" xfId="696" applyFont="1" applyFill="1" applyBorder="1" applyAlignment="1">
      <alignment horizontal="left" vertical="center" wrapText="1"/>
    </xf>
    <xf numFmtId="0" fontId="45" fillId="51" borderId="20" xfId="696" applyFont="1" applyFill="1" applyBorder="1" applyAlignment="1">
      <alignment horizontal="center" vertical="center" wrapText="1"/>
    </xf>
    <xf numFmtId="0" fontId="75" fillId="51" borderId="23" xfId="696" applyFont="1" applyFill="1" applyBorder="1" applyAlignment="1">
      <alignment horizontal="left" vertical="center" wrapText="1"/>
    </xf>
    <xf numFmtId="0" fontId="45" fillId="51" borderId="19" xfId="696" applyFont="1" applyFill="1" applyBorder="1" applyAlignment="1">
      <alignment horizontal="center" vertical="center" wrapText="1"/>
    </xf>
    <xf numFmtId="0" fontId="45" fillId="51" borderId="19" xfId="696" applyFont="1" applyFill="1" applyBorder="1" applyAlignment="1">
      <alignment horizontal="left" vertical="center" wrapText="1" indent="1"/>
    </xf>
    <xf numFmtId="4" fontId="8" fillId="51" borderId="19" xfId="696" applyNumberFormat="1" applyFont="1" applyFill="1" applyBorder="1" applyAlignment="1">
      <alignment horizontal="left" vertical="center" wrapText="1" indent="1"/>
    </xf>
    <xf numFmtId="0" fontId="46" fillId="51" borderId="22" xfId="696" applyFont="1" applyFill="1" applyBorder="1" applyAlignment="1">
      <alignment horizontal="center" vertical="center" wrapText="1"/>
    </xf>
    <xf numFmtId="0" fontId="46" fillId="51" borderId="22" xfId="696" applyFont="1" applyFill="1" applyBorder="1" applyAlignment="1" applyProtection="1">
      <alignment horizontal="center" vertical="center" wrapText="1"/>
      <protection locked="0"/>
    </xf>
    <xf numFmtId="0" fontId="63" fillId="51" borderId="20" xfId="697" applyFont="1" applyFill="1" applyBorder="1" applyAlignment="1">
      <alignment horizontal="left" vertical="center" wrapText="1" indent="1"/>
    </xf>
    <xf numFmtId="0" fontId="8" fillId="51" borderId="20" xfId="696" applyFont="1" applyFill="1" applyBorder="1" applyAlignment="1">
      <alignment horizontal="left" vertical="center" wrapText="1" indent="1"/>
    </xf>
    <xf numFmtId="0" fontId="63" fillId="0" borderId="20" xfId="697" applyFont="1" applyBorder="1" applyAlignment="1">
      <alignment horizontal="left" vertical="center" wrapText="1" indent="1"/>
    </xf>
    <xf numFmtId="0" fontId="46" fillId="0" borderId="30" xfId="696" applyFont="1" applyBorder="1" applyAlignment="1">
      <alignment horizontal="center" vertical="center" wrapText="1"/>
    </xf>
    <xf numFmtId="0" fontId="45" fillId="51" borderId="30" xfId="696" applyFont="1" applyFill="1" applyBorder="1" applyAlignment="1">
      <alignment horizontal="center" vertical="center" wrapText="1"/>
    </xf>
    <xf numFmtId="0" fontId="77" fillId="0" borderId="0" xfId="696" applyFont="1" applyAlignment="1">
      <alignment horizontal="left" vertical="center" wrapText="1"/>
    </xf>
    <xf numFmtId="0" fontId="75" fillId="47" borderId="30" xfId="696" applyFont="1" applyFill="1" applyBorder="1" applyAlignment="1">
      <alignment horizontal="left" vertical="center" wrapText="1"/>
    </xf>
    <xf numFmtId="0" fontId="8" fillId="0" borderId="17" xfId="696" applyFont="1" applyBorder="1" applyAlignment="1">
      <alignment horizontal="left" vertical="center" wrapText="1" indent="1"/>
    </xf>
    <xf numFmtId="0" fontId="34" fillId="0" borderId="16" xfId="696" applyFont="1" applyBorder="1" applyAlignment="1">
      <alignment horizontal="left" vertical="center" wrapText="1" indent="1"/>
    </xf>
    <xf numFmtId="0" fontId="24" fillId="0" borderId="0" xfId="696" applyFont="1" applyAlignment="1">
      <alignment horizontal="left" vertical="center" wrapText="1"/>
    </xf>
    <xf numFmtId="0" fontId="45" fillId="0" borderId="32" xfId="696" applyFont="1" applyBorder="1" applyAlignment="1">
      <alignment horizontal="left" vertical="center" wrapText="1"/>
    </xf>
    <xf numFmtId="0" fontId="8" fillId="0" borderId="21" xfId="696" applyFont="1" applyBorder="1" applyAlignment="1">
      <alignment horizontal="left" vertical="center" wrapText="1" indent="1"/>
    </xf>
    <xf numFmtId="0" fontId="45" fillId="47" borderId="30" xfId="696" applyFont="1" applyFill="1" applyBorder="1" applyAlignment="1">
      <alignment horizontal="left" vertical="center" wrapText="1"/>
    </xf>
    <xf numFmtId="4" fontId="8" fillId="47" borderId="16" xfId="696" applyNumberFormat="1" applyFont="1" applyFill="1" applyBorder="1" applyAlignment="1">
      <alignment horizontal="left" vertical="center" wrapText="1" indent="1"/>
    </xf>
    <xf numFmtId="0" fontId="8" fillId="0" borderId="29" xfId="696" applyFont="1" applyBorder="1" applyAlignment="1">
      <alignment horizontal="left" vertical="center" wrapText="1" indent="1"/>
    </xf>
    <xf numFmtId="4" fontId="8" fillId="0" borderId="29" xfId="696" applyNumberFormat="1" applyFont="1" applyBorder="1" applyAlignment="1">
      <alignment horizontal="left" vertical="center" wrapText="1" indent="1"/>
    </xf>
    <xf numFmtId="0" fontId="9" fillId="0" borderId="80" xfId="696" applyFont="1" applyBorder="1" applyAlignment="1">
      <alignment horizontal="left" vertical="center" wrapText="1" indent="1"/>
    </xf>
    <xf numFmtId="0" fontId="45" fillId="0" borderId="23" xfId="696" applyFont="1" applyBorder="1" applyAlignment="1">
      <alignment horizontal="left" vertical="center" wrapText="1"/>
    </xf>
    <xf numFmtId="0" fontId="45" fillId="0" borderId="22" xfId="696" applyFont="1" applyBorder="1" applyAlignment="1">
      <alignment horizontal="left" vertical="center" wrapText="1"/>
    </xf>
    <xf numFmtId="0" fontId="8" fillId="0" borderId="19" xfId="696" applyFont="1" applyBorder="1" applyAlignment="1">
      <alignment horizontal="left" vertical="center" wrapText="1" indent="1"/>
    </xf>
    <xf numFmtId="4" fontId="8" fillId="0" borderId="21" xfId="696" applyNumberFormat="1" applyFont="1" applyBorder="1" applyAlignment="1">
      <alignment horizontal="left" vertical="center" wrapText="1" indent="1"/>
    </xf>
    <xf numFmtId="0" fontId="75" fillId="52" borderId="30" xfId="696" applyFont="1" applyFill="1" applyBorder="1" applyAlignment="1">
      <alignment horizontal="left" vertical="center" wrapText="1"/>
    </xf>
    <xf numFmtId="0" fontId="45" fillId="52" borderId="20" xfId="696" applyFont="1" applyFill="1" applyBorder="1" applyAlignment="1">
      <alignment horizontal="left" vertical="center" wrapText="1"/>
    </xf>
    <xf numFmtId="0" fontId="45" fillId="47" borderId="20" xfId="696" applyFont="1" applyFill="1" applyBorder="1" applyAlignment="1">
      <alignment horizontal="left" vertical="center" wrapText="1"/>
    </xf>
    <xf numFmtId="0" fontId="8" fillId="47" borderId="17" xfId="696" applyFont="1" applyFill="1" applyBorder="1" applyAlignment="1">
      <alignment horizontal="left" vertical="center" wrapText="1" indent="1"/>
    </xf>
    <xf numFmtId="174" fontId="10" fillId="0" borderId="13" xfId="696" applyNumberFormat="1" applyFont="1" applyBorder="1" applyAlignment="1">
      <alignment horizontal="center" vertical="center" wrapText="1"/>
    </xf>
    <xf numFmtId="0" fontId="41" fillId="0" borderId="0" xfId="696" applyFont="1" applyAlignment="1">
      <alignment horizontal="left" vertical="center" wrapText="1"/>
    </xf>
    <xf numFmtId="0" fontId="58" fillId="63" borderId="0" xfId="901" applyFont="1" applyFill="1" applyAlignment="1">
      <alignment horizontal="center" vertical="center"/>
    </xf>
    <xf numFmtId="0" fontId="58" fillId="0" borderId="22" xfId="901" applyFont="1" applyBorder="1" applyAlignment="1">
      <alignment horizontal="center" vertical="center"/>
    </xf>
    <xf numFmtId="0" fontId="60" fillId="52" borderId="60" xfId="697" applyFont="1" applyFill="1" applyBorder="1" applyAlignment="1">
      <alignment horizontal="left" vertical="center" wrapText="1" indent="1"/>
    </xf>
    <xf numFmtId="0" fontId="63" fillId="52" borderId="60" xfId="697" applyFont="1" applyFill="1" applyBorder="1" applyAlignment="1">
      <alignment horizontal="left" vertical="center" wrapText="1" indent="1"/>
    </xf>
    <xf numFmtId="0" fontId="59" fillId="63" borderId="23" xfId="901" applyFont="1" applyFill="1" applyBorder="1" applyAlignment="1">
      <alignment horizontal="center" vertical="center"/>
    </xf>
    <xf numFmtId="0" fontId="58" fillId="63" borderId="19" xfId="901" applyFont="1" applyFill="1" applyBorder="1" applyAlignment="1">
      <alignment horizontal="center" vertical="center"/>
    </xf>
    <xf numFmtId="168" fontId="1" fillId="56" borderId="20" xfId="0" applyNumberFormat="1" applyFont="1" applyFill="1" applyBorder="1" applyAlignment="1">
      <alignment horizontal="center"/>
    </xf>
    <xf numFmtId="175" fontId="1" fillId="59" borderId="20" xfId="0" applyNumberFormat="1" applyFont="1" applyFill="1" applyBorder="1" applyAlignment="1" applyProtection="1">
      <alignment horizontal="center"/>
      <protection locked="0"/>
    </xf>
    <xf numFmtId="171" fontId="1" fillId="0" borderId="0" xfId="0" applyNumberFormat="1" applyFont="1" applyAlignment="1" applyProtection="1">
      <alignment horizontal="left"/>
      <protection locked="0"/>
    </xf>
    <xf numFmtId="0" fontId="0" fillId="67" borderId="0" xfId="0" applyFill="1"/>
    <xf numFmtId="0" fontId="0" fillId="52" borderId="0" xfId="0" applyFill="1"/>
    <xf numFmtId="0" fontId="82" fillId="26" borderId="0" xfId="0" applyFont="1" applyFill="1" applyAlignment="1">
      <alignment horizontal="center" vertical="center"/>
    </xf>
    <xf numFmtId="0" fontId="82" fillId="59" borderId="0" xfId="0" applyFont="1" applyFill="1" applyAlignment="1">
      <alignment horizontal="center" vertical="center"/>
    </xf>
    <xf numFmtId="0" fontId="0" fillId="68" borderId="0" xfId="0" applyFill="1"/>
    <xf numFmtId="0" fontId="0" fillId="64" borderId="0" xfId="0" applyFill="1"/>
    <xf numFmtId="0" fontId="82" fillId="39" borderId="0" xfId="0" applyFont="1" applyFill="1"/>
    <xf numFmtId="0" fontId="82" fillId="63" borderId="0" xfId="0" applyFont="1" applyFill="1" applyAlignment="1">
      <alignment horizontal="center" vertical="center"/>
    </xf>
    <xf numFmtId="0" fontId="82" fillId="42" borderId="0" xfId="0" applyFont="1" applyFill="1" applyAlignment="1">
      <alignment horizontal="center" vertical="center"/>
    </xf>
    <xf numFmtId="0" fontId="0" fillId="69" borderId="0" xfId="0" applyFill="1"/>
    <xf numFmtId="0" fontId="0" fillId="70" borderId="0" xfId="0" applyFill="1"/>
    <xf numFmtId="0" fontId="0" fillId="56" borderId="0" xfId="0" applyFill="1"/>
    <xf numFmtId="171" fontId="1" fillId="71" borderId="0" xfId="0" applyNumberFormat="1" applyFont="1" applyFill="1" applyAlignment="1" applyProtection="1">
      <alignment horizontal="left"/>
      <protection locked="0"/>
    </xf>
    <xf numFmtId="0" fontId="0" fillId="71" borderId="0" xfId="0" applyFill="1"/>
    <xf numFmtId="0" fontId="82" fillId="72" borderId="0" xfId="0" applyFont="1" applyFill="1" applyAlignment="1">
      <alignment horizontal="center" vertical="center"/>
    </xf>
    <xf numFmtId="169" fontId="1" fillId="72" borderId="20" xfId="0" quotePrefix="1" applyNumberFormat="1" applyFont="1" applyFill="1" applyBorder="1" applyAlignment="1" applyProtection="1">
      <alignment horizontal="center"/>
      <protection locked="0"/>
    </xf>
    <xf numFmtId="169" fontId="1" fillId="72" borderId="20" xfId="0" applyNumberFormat="1" applyFont="1" applyFill="1" applyBorder="1" applyAlignment="1" applyProtection="1">
      <alignment horizontal="center"/>
      <protection locked="0"/>
    </xf>
    <xf numFmtId="49" fontId="1" fillId="72" borderId="20" xfId="0" quotePrefix="1" applyNumberFormat="1" applyFont="1" applyFill="1" applyBorder="1" applyAlignment="1">
      <alignment horizontal="center"/>
    </xf>
    <xf numFmtId="49" fontId="1" fillId="72" borderId="20" xfId="0" applyNumberFormat="1" applyFont="1" applyFill="1" applyBorder="1" applyAlignment="1">
      <alignment horizontal="center"/>
    </xf>
    <xf numFmtId="0" fontId="68" fillId="0" borderId="58" xfId="697" quotePrefix="1" applyFont="1" applyBorder="1" applyAlignment="1">
      <alignment horizontal="left" vertical="center" wrapText="1"/>
    </xf>
    <xf numFmtId="0" fontId="68" fillId="0" borderId="23" xfId="697" quotePrefix="1" applyFont="1" applyBorder="1" applyAlignment="1">
      <alignment horizontal="left" vertical="center" wrapText="1"/>
    </xf>
    <xf numFmtId="0" fontId="92" fillId="53" borderId="0" xfId="696" applyFont="1" applyFill="1" applyAlignment="1">
      <alignment horizontal="left" vertical="center" wrapText="1"/>
    </xf>
    <xf numFmtId="0" fontId="98" fillId="51" borderId="91" xfId="798" applyFont="1" applyFill="1" applyBorder="1" applyAlignment="1">
      <alignment horizontal="center" vertical="center"/>
    </xf>
    <xf numFmtId="0" fontId="82" fillId="51" borderId="92" xfId="0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98" fillId="51" borderId="34" xfId="798" applyFont="1" applyFill="1" applyBorder="1" applyAlignment="1">
      <alignment horizontal="center" vertical="center"/>
    </xf>
    <xf numFmtId="0" fontId="82" fillId="51" borderId="39" xfId="0" applyFont="1" applyFill="1" applyBorder="1" applyAlignment="1">
      <alignment horizontal="center" vertical="center"/>
    </xf>
    <xf numFmtId="0" fontId="82" fillId="0" borderId="91" xfId="0" applyFont="1" applyBorder="1" applyAlignment="1">
      <alignment horizontal="center" vertical="center"/>
    </xf>
    <xf numFmtId="0" fontId="82" fillId="0" borderId="92" xfId="0" applyFont="1" applyBorder="1" applyAlignment="1">
      <alignment horizontal="center" vertical="center"/>
    </xf>
    <xf numFmtId="0" fontId="82" fillId="0" borderId="89" xfId="0" applyFont="1" applyBorder="1" applyAlignment="1">
      <alignment horizontal="center" vertical="center"/>
    </xf>
    <xf numFmtId="0" fontId="82" fillId="0" borderId="40" xfId="0" applyFont="1" applyBorder="1" applyAlignment="1">
      <alignment horizontal="center" vertical="center"/>
    </xf>
    <xf numFmtId="0" fontId="99" fillId="51" borderId="89" xfId="798" applyFont="1" applyFill="1" applyBorder="1" applyAlignment="1">
      <alignment horizontal="center" vertical="center"/>
    </xf>
    <xf numFmtId="0" fontId="82" fillId="51" borderId="40" xfId="0" applyFont="1" applyFill="1" applyBorder="1" applyAlignment="1">
      <alignment horizontal="center" vertical="center"/>
    </xf>
    <xf numFmtId="0" fontId="82" fillId="73" borderId="93" xfId="0" applyFont="1" applyFill="1" applyBorder="1" applyAlignment="1">
      <alignment horizontal="center" vertical="center"/>
    </xf>
    <xf numFmtId="0" fontId="0" fillId="69" borderId="93" xfId="0" applyFill="1" applyBorder="1"/>
    <xf numFmtId="0" fontId="82" fillId="26" borderId="93" xfId="0" applyFont="1" applyFill="1" applyBorder="1" applyAlignment="1">
      <alignment horizontal="center" vertical="center"/>
    </xf>
    <xf numFmtId="0" fontId="82" fillId="63" borderId="93" xfId="0" applyFont="1" applyFill="1" applyBorder="1" applyAlignment="1">
      <alignment horizontal="center" vertical="center"/>
    </xf>
    <xf numFmtId="0" fontId="82" fillId="59" borderId="93" xfId="0" applyFont="1" applyFill="1" applyBorder="1" applyAlignment="1">
      <alignment horizontal="center" vertical="center"/>
    </xf>
    <xf numFmtId="0" fontId="82" fillId="42" borderId="93" xfId="0" applyFont="1" applyFill="1" applyBorder="1" applyAlignment="1">
      <alignment horizontal="center" vertical="center"/>
    </xf>
    <xf numFmtId="0" fontId="0" fillId="56" borderId="93" xfId="0" applyFill="1" applyBorder="1"/>
    <xf numFmtId="0" fontId="0" fillId="68" borderId="93" xfId="0" applyFill="1" applyBorder="1"/>
    <xf numFmtId="49" fontId="1" fillId="67" borderId="20" xfId="0" quotePrefix="1" applyNumberFormat="1" applyFont="1" applyFill="1" applyBorder="1" applyAlignment="1" applyProtection="1">
      <alignment horizontal="center" vertical="center"/>
      <protection locked="0"/>
    </xf>
    <xf numFmtId="0" fontId="0" fillId="64" borderId="93" xfId="0" applyFill="1" applyBorder="1"/>
    <xf numFmtId="0" fontId="0" fillId="70" borderId="93" xfId="0" applyFill="1" applyBorder="1"/>
    <xf numFmtId="0" fontId="0" fillId="52" borderId="93" xfId="0" applyFill="1" applyBorder="1"/>
    <xf numFmtId="49" fontId="1" fillId="74" borderId="20" xfId="0" applyNumberFormat="1" applyFont="1" applyFill="1" applyBorder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horizontal="center" vertical="center"/>
      <protection locked="0"/>
    </xf>
    <xf numFmtId="0" fontId="82" fillId="0" borderId="89" xfId="0" applyFont="1" applyBorder="1" applyAlignment="1" applyProtection="1">
      <alignment horizontal="center" vertical="center"/>
      <protection locked="0"/>
    </xf>
    <xf numFmtId="0" fontId="82" fillId="0" borderId="40" xfId="0" applyFont="1" applyBorder="1" applyAlignment="1" applyProtection="1">
      <alignment horizontal="center" vertical="center"/>
      <protection locked="0"/>
    </xf>
    <xf numFmtId="0" fontId="82" fillId="0" borderId="90" xfId="0" applyFont="1" applyBorder="1" applyAlignment="1" applyProtection="1">
      <alignment horizontal="center" vertical="center"/>
      <protection locked="0"/>
    </xf>
    <xf numFmtId="0" fontId="82" fillId="0" borderId="114" xfId="0" applyFont="1" applyBorder="1" applyAlignment="1" applyProtection="1">
      <alignment horizontal="center" vertical="center"/>
      <protection locked="0"/>
    </xf>
    <xf numFmtId="0" fontId="81" fillId="0" borderId="114" xfId="0" applyFont="1" applyBorder="1" applyAlignment="1" applyProtection="1">
      <alignment horizontal="center" vertical="center"/>
      <protection locked="0"/>
    </xf>
    <xf numFmtId="0" fontId="66" fillId="0" borderId="27" xfId="697" applyFont="1" applyBorder="1" applyAlignment="1">
      <alignment horizontal="center" vertical="center" wrapText="1"/>
    </xf>
    <xf numFmtId="0" fontId="63" fillId="0" borderId="30" xfId="697" applyFont="1" applyBorder="1" applyAlignment="1">
      <alignment horizontal="left" vertical="center" wrapText="1" indent="1"/>
    </xf>
    <xf numFmtId="0" fontId="78" fillId="0" borderId="22" xfId="697" applyFont="1" applyBorder="1" applyAlignment="1">
      <alignment vertical="center" wrapText="1"/>
    </xf>
    <xf numFmtId="0" fontId="60" fillId="0" borderId="96" xfId="697" applyFont="1" applyBorder="1" applyAlignment="1">
      <alignment horizontal="left" vertical="center" wrapText="1"/>
    </xf>
    <xf numFmtId="0" fontId="58" fillId="0" borderId="96" xfId="901" applyFont="1" applyBorder="1" applyAlignment="1">
      <alignment horizontal="left" vertical="center" indent="1"/>
    </xf>
    <xf numFmtId="0" fontId="75" fillId="53" borderId="30" xfId="696" applyFont="1" applyFill="1" applyBorder="1" applyAlignment="1">
      <alignment horizontal="left" vertical="center" wrapText="1"/>
    </xf>
    <xf numFmtId="0" fontId="45" fillId="53" borderId="20" xfId="696" applyFont="1" applyFill="1" applyBorder="1" applyAlignment="1">
      <alignment horizontal="left" vertical="center" wrapText="1"/>
    </xf>
    <xf numFmtId="0" fontId="64" fillId="0" borderId="0" xfId="0" applyFont="1" applyAlignment="1">
      <alignment vertical="center"/>
    </xf>
    <xf numFmtId="0" fontId="58" fillId="0" borderId="20" xfId="0" applyFont="1" applyBorder="1" applyAlignment="1">
      <alignment vertical="center"/>
    </xf>
    <xf numFmtId="0" fontId="62" fillId="0" borderId="20" xfId="0" applyFont="1" applyBorder="1" applyAlignment="1">
      <alignment horizontal="center" vertical="center"/>
    </xf>
    <xf numFmtId="164" fontId="58" fillId="0" borderId="0" xfId="0" applyNumberFormat="1" applyFont="1" applyAlignment="1">
      <alignment vertical="center"/>
    </xf>
    <xf numFmtId="0" fontId="0" fillId="0" borderId="20" xfId="0" applyBorder="1"/>
    <xf numFmtId="0" fontId="0" fillId="64" borderId="20" xfId="0" applyFill="1" applyBorder="1"/>
    <xf numFmtId="0" fontId="71" fillId="0" borderId="22" xfId="697" applyFont="1" applyBorder="1" applyAlignment="1">
      <alignment horizontal="center" vertical="center" wrapText="1"/>
    </xf>
    <xf numFmtId="0" fontId="58" fillId="53" borderId="0" xfId="0" applyFont="1" applyFill="1" applyAlignment="1">
      <alignment vertical="center"/>
    </xf>
    <xf numFmtId="0" fontId="100" fillId="52" borderId="30" xfId="696" applyFont="1" applyFill="1" applyBorder="1" applyAlignment="1">
      <alignment horizontal="left" vertical="center" wrapText="1"/>
    </xf>
    <xf numFmtId="0" fontId="101" fillId="47" borderId="16" xfId="696" applyFont="1" applyFill="1" applyBorder="1" applyAlignment="1">
      <alignment horizontal="center" vertical="center" wrapText="1"/>
    </xf>
    <xf numFmtId="0" fontId="102" fillId="47" borderId="16" xfId="696" applyFont="1" applyFill="1" applyBorder="1" applyAlignment="1">
      <alignment horizontal="left" vertical="center" wrapText="1" indent="1"/>
    </xf>
    <xf numFmtId="4" fontId="102" fillId="0" borderId="16" xfId="696" applyNumberFormat="1" applyFont="1" applyBorder="1" applyAlignment="1">
      <alignment horizontal="left" vertical="center" wrapText="1" indent="1"/>
    </xf>
    <xf numFmtId="4" fontId="102" fillId="0" borderId="16" xfId="696" applyNumberFormat="1" applyFont="1" applyBorder="1" applyAlignment="1">
      <alignment horizontal="center" vertical="center" wrapText="1"/>
    </xf>
    <xf numFmtId="0" fontId="102" fillId="47" borderId="20" xfId="696" quotePrefix="1" applyFont="1" applyFill="1" applyBorder="1" applyAlignment="1">
      <alignment horizontal="center" vertical="center" wrapText="1"/>
    </xf>
    <xf numFmtId="0" fontId="102" fillId="47" borderId="20" xfId="696" applyFont="1" applyFill="1" applyBorder="1" applyAlignment="1" applyProtection="1">
      <alignment horizontal="center" vertical="center" wrapText="1"/>
      <protection locked="0"/>
    </xf>
    <xf numFmtId="171" fontId="1" fillId="56" borderId="20" xfId="0" applyNumberFormat="1" applyFont="1" applyFill="1" applyBorder="1" applyAlignment="1" applyProtection="1">
      <alignment horizontal="center"/>
      <protection locked="0"/>
    </xf>
    <xf numFmtId="171" fontId="1" fillId="60" borderId="20" xfId="0" applyNumberFormat="1" applyFont="1" applyFill="1" applyBorder="1" applyAlignment="1" applyProtection="1">
      <alignment horizontal="center"/>
      <protection locked="0"/>
    </xf>
    <xf numFmtId="171" fontId="1" fillId="0" borderId="20" xfId="0" applyNumberFormat="1" applyFont="1" applyBorder="1" applyAlignment="1" applyProtection="1">
      <alignment horizontal="center"/>
      <protection locked="0"/>
    </xf>
    <xf numFmtId="171" fontId="2" fillId="59" borderId="20" xfId="0" applyNumberFormat="1" applyFont="1" applyFill="1" applyBorder="1" applyAlignment="1" applyProtection="1">
      <alignment horizontal="center"/>
      <protection locked="0"/>
    </xf>
    <xf numFmtId="171" fontId="1" fillId="72" borderId="20" xfId="0" applyNumberFormat="1" applyFont="1" applyFill="1" applyBorder="1" applyAlignment="1" applyProtection="1">
      <alignment horizontal="center"/>
      <protection locked="0"/>
    </xf>
    <xf numFmtId="14" fontId="1" fillId="0" borderId="20" xfId="0" quotePrefix="1" applyNumberFormat="1" applyFont="1" applyBorder="1" applyAlignment="1">
      <alignment horizontal="center" vertical="center"/>
    </xf>
    <xf numFmtId="14" fontId="1" fillId="0" borderId="20" xfId="0" applyNumberFormat="1" applyFont="1" applyBorder="1" applyAlignment="1">
      <alignment horizontal="center" vertical="center"/>
    </xf>
    <xf numFmtId="0" fontId="82" fillId="0" borderId="20" xfId="0" applyFont="1" applyBorder="1" applyAlignment="1">
      <alignment horizontal="left" vertical="center" wrapText="1" indent="1"/>
    </xf>
    <xf numFmtId="176" fontId="80" fillId="35" borderId="13" xfId="0" applyNumberFormat="1" applyFont="1" applyFill="1" applyBorder="1" applyAlignment="1" applyProtection="1">
      <alignment horizontal="center" vertical="center"/>
      <protection locked="0"/>
    </xf>
    <xf numFmtId="176" fontId="82" fillId="0" borderId="0" xfId="0" applyNumberFormat="1" applyFont="1" applyAlignment="1" applyProtection="1">
      <alignment horizontal="center"/>
      <protection locked="0"/>
    </xf>
    <xf numFmtId="176" fontId="82" fillId="0" borderId="20" xfId="0" applyNumberFormat="1" applyFont="1" applyBorder="1" applyAlignment="1" applyProtection="1">
      <alignment horizontal="center"/>
      <protection locked="0"/>
    </xf>
    <xf numFmtId="176" fontId="1" fillId="56" borderId="20" xfId="0" applyNumberFormat="1" applyFont="1" applyFill="1" applyBorder="1" applyAlignment="1" applyProtection="1">
      <alignment horizontal="center"/>
      <protection locked="0"/>
    </xf>
    <xf numFmtId="176" fontId="1" fillId="59" borderId="20" xfId="0" applyNumberFormat="1" applyFont="1" applyFill="1" applyBorder="1" applyAlignment="1" applyProtection="1">
      <alignment horizontal="center"/>
      <protection locked="0"/>
    </xf>
    <xf numFmtId="176" fontId="1" fillId="60" borderId="20" xfId="0" applyNumberFormat="1" applyFont="1" applyFill="1" applyBorder="1" applyAlignment="1" applyProtection="1">
      <alignment horizontal="center"/>
      <protection locked="0"/>
    </xf>
    <xf numFmtId="176" fontId="1" fillId="0" borderId="20" xfId="0" applyNumberFormat="1" applyFont="1" applyBorder="1" applyAlignment="1" applyProtection="1">
      <alignment horizontal="center"/>
      <protection locked="0"/>
    </xf>
    <xf numFmtId="176" fontId="2" fillId="59" borderId="20" xfId="0" applyNumberFormat="1" applyFont="1" applyFill="1" applyBorder="1" applyAlignment="1" applyProtection="1">
      <alignment horizontal="center"/>
      <protection locked="0"/>
    </xf>
    <xf numFmtId="176" fontId="1" fillId="0" borderId="0" xfId="0" applyNumberFormat="1" applyFont="1" applyAlignment="1" applyProtection="1">
      <alignment horizontal="center"/>
      <protection locked="0"/>
    </xf>
    <xf numFmtId="176" fontId="82" fillId="0" borderId="17" xfId="0" applyNumberFormat="1" applyFont="1" applyBorder="1" applyAlignment="1" applyProtection="1">
      <alignment horizontal="center"/>
      <protection locked="0"/>
    </xf>
    <xf numFmtId="0" fontId="56" fillId="47" borderId="20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3" fillId="40" borderId="90" xfId="0" applyFont="1" applyFill="1" applyBorder="1" applyAlignment="1" applyProtection="1">
      <alignment horizontal="center" vertical="center"/>
      <protection locked="0"/>
    </xf>
    <xf numFmtId="0" fontId="3" fillId="40" borderId="108" xfId="0" applyFont="1" applyFill="1" applyBorder="1" applyAlignment="1" applyProtection="1">
      <alignment horizontal="center" vertical="center"/>
      <protection locked="0"/>
    </xf>
    <xf numFmtId="0" fontId="80" fillId="35" borderId="34" xfId="0" applyFont="1" applyFill="1" applyBorder="1" applyAlignment="1" applyProtection="1">
      <alignment horizontal="center" vertical="center" wrapText="1"/>
      <protection locked="0"/>
    </xf>
    <xf numFmtId="0" fontId="80" fillId="35" borderId="14" xfId="0" applyFont="1" applyFill="1" applyBorder="1" applyAlignment="1" applyProtection="1">
      <alignment horizontal="center" vertical="center" wrapText="1"/>
      <protection locked="0"/>
    </xf>
    <xf numFmtId="0" fontId="80" fillId="35" borderId="39" xfId="0" applyFont="1" applyFill="1" applyBorder="1" applyAlignment="1" applyProtection="1">
      <alignment horizontal="center" vertical="center" wrapText="1"/>
      <protection locked="0"/>
    </xf>
    <xf numFmtId="0" fontId="80" fillId="35" borderId="34" xfId="0" quotePrefix="1" applyFont="1" applyFill="1" applyBorder="1" applyAlignment="1" applyProtection="1">
      <alignment horizontal="center" vertical="center"/>
      <protection locked="0"/>
    </xf>
    <xf numFmtId="0" fontId="80" fillId="35" borderId="14" xfId="0" applyFont="1" applyFill="1" applyBorder="1" applyAlignment="1" applyProtection="1">
      <alignment horizontal="center" vertical="center"/>
      <protection locked="0"/>
    </xf>
    <xf numFmtId="0" fontId="80" fillId="35" borderId="39" xfId="0" applyFont="1" applyFill="1" applyBorder="1" applyAlignment="1" applyProtection="1">
      <alignment horizontal="center" vertical="center"/>
      <protection locked="0"/>
    </xf>
    <xf numFmtId="0" fontId="80" fillId="35" borderId="34" xfId="0" applyFont="1" applyFill="1" applyBorder="1" applyAlignment="1" applyProtection="1">
      <alignment horizontal="center" vertical="center"/>
      <protection locked="0"/>
    </xf>
    <xf numFmtId="0" fontId="3" fillId="42" borderId="90" xfId="0" applyFont="1" applyFill="1" applyBorder="1" applyAlignment="1" applyProtection="1">
      <alignment horizontal="center" vertical="center"/>
      <protection locked="0"/>
    </xf>
    <xf numFmtId="0" fontId="3" fillId="42" borderId="108" xfId="0" applyFont="1" applyFill="1" applyBorder="1" applyAlignment="1" applyProtection="1">
      <alignment horizontal="center" vertical="center"/>
      <protection locked="0"/>
    </xf>
    <xf numFmtId="0" fontId="80" fillId="36" borderId="34" xfId="0" applyFont="1" applyFill="1" applyBorder="1" applyAlignment="1" applyProtection="1">
      <alignment horizontal="center" vertical="center" wrapText="1"/>
      <protection locked="0"/>
    </xf>
    <xf numFmtId="0" fontId="80" fillId="36" borderId="14" xfId="0" applyFont="1" applyFill="1" applyBorder="1" applyAlignment="1" applyProtection="1">
      <alignment horizontal="center" vertical="center" wrapText="1"/>
      <protection locked="0"/>
    </xf>
    <xf numFmtId="0" fontId="80" fillId="36" borderId="39" xfId="0" applyFont="1" applyFill="1" applyBorder="1" applyAlignment="1" applyProtection="1">
      <alignment horizontal="center" vertical="center" wrapText="1"/>
      <protection locked="0"/>
    </xf>
    <xf numFmtId="0" fontId="3" fillId="34" borderId="90" xfId="0" applyFont="1" applyFill="1" applyBorder="1" applyAlignment="1">
      <alignment horizontal="center" vertical="center"/>
    </xf>
    <xf numFmtId="0" fontId="3" fillId="34" borderId="108" xfId="0" applyFont="1" applyFill="1" applyBorder="1" applyAlignment="1">
      <alignment horizontal="center" vertical="center"/>
    </xf>
    <xf numFmtId="0" fontId="2" fillId="26" borderId="34" xfId="0" applyFont="1" applyFill="1" applyBorder="1" applyAlignment="1">
      <alignment horizontal="center" vertical="center" wrapText="1"/>
    </xf>
    <xf numFmtId="0" fontId="2" fillId="26" borderId="14" xfId="0" applyFont="1" applyFill="1" applyBorder="1" applyAlignment="1">
      <alignment horizontal="center" vertical="center" wrapText="1"/>
    </xf>
    <xf numFmtId="0" fontId="2" fillId="26" borderId="39" xfId="0" applyFont="1" applyFill="1" applyBorder="1" applyAlignment="1">
      <alignment horizontal="center" vertical="center" wrapText="1"/>
    </xf>
    <xf numFmtId="0" fontId="3" fillId="41" borderId="90" xfId="0" applyFont="1" applyFill="1" applyBorder="1" applyAlignment="1">
      <alignment horizontal="center" vertical="center"/>
    </xf>
    <xf numFmtId="0" fontId="3" fillId="41" borderId="108" xfId="0" applyFont="1" applyFill="1" applyBorder="1" applyAlignment="1">
      <alignment horizontal="center" vertical="center"/>
    </xf>
    <xf numFmtId="0" fontId="2" fillId="28" borderId="34" xfId="0" applyFont="1" applyFill="1" applyBorder="1" applyAlignment="1">
      <alignment horizontal="center" vertical="center" wrapText="1"/>
    </xf>
    <xf numFmtId="0" fontId="2" fillId="28" borderId="14" xfId="0" applyFont="1" applyFill="1" applyBorder="1" applyAlignment="1">
      <alignment horizontal="center" vertical="center" wrapText="1"/>
    </xf>
    <xf numFmtId="0" fontId="2" fillId="28" borderId="39" xfId="0" applyFont="1" applyFill="1" applyBorder="1" applyAlignment="1">
      <alignment horizontal="center" vertical="center" wrapText="1"/>
    </xf>
    <xf numFmtId="0" fontId="2" fillId="62" borderId="34" xfId="0" applyFont="1" applyFill="1" applyBorder="1" applyAlignment="1">
      <alignment horizontal="center" vertical="center" wrapText="1"/>
    </xf>
    <xf numFmtId="0" fontId="2" fillId="62" borderId="14" xfId="0" applyFont="1" applyFill="1" applyBorder="1" applyAlignment="1">
      <alignment horizontal="center" vertical="center" wrapText="1"/>
    </xf>
    <xf numFmtId="0" fontId="2" fillId="62" borderId="39" xfId="0" applyFont="1" applyFill="1" applyBorder="1" applyAlignment="1">
      <alignment horizontal="center" vertical="center" wrapText="1"/>
    </xf>
    <xf numFmtId="0" fontId="3" fillId="61" borderId="90" xfId="0" applyFont="1" applyFill="1" applyBorder="1" applyAlignment="1">
      <alignment horizontal="center" vertical="center"/>
    </xf>
    <xf numFmtId="0" fontId="3" fillId="61" borderId="108" xfId="0" applyFont="1" applyFill="1" applyBorder="1" applyAlignment="1">
      <alignment horizontal="center" vertical="center"/>
    </xf>
    <xf numFmtId="0" fontId="2" fillId="56" borderId="34" xfId="0" applyFont="1" applyFill="1" applyBorder="1" applyAlignment="1">
      <alignment horizontal="center" vertical="center" wrapText="1"/>
    </xf>
    <xf numFmtId="0" fontId="2" fillId="56" borderId="14" xfId="0" applyFont="1" applyFill="1" applyBorder="1" applyAlignment="1">
      <alignment horizontal="center" vertical="center" wrapText="1"/>
    </xf>
    <xf numFmtId="0" fontId="2" fillId="56" borderId="39" xfId="0" applyFont="1" applyFill="1" applyBorder="1" applyAlignment="1">
      <alignment horizontal="center" vertical="center" wrapText="1"/>
    </xf>
    <xf numFmtId="0" fontId="3" fillId="55" borderId="90" xfId="0" applyFont="1" applyFill="1" applyBorder="1" applyAlignment="1">
      <alignment horizontal="center" vertical="center"/>
    </xf>
    <xf numFmtId="0" fontId="3" fillId="55" borderId="108" xfId="0" applyFont="1" applyFill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53" borderId="0" xfId="0" applyFont="1" applyFill="1" applyAlignment="1">
      <alignment horizontal="left"/>
    </xf>
    <xf numFmtId="0" fontId="1" fillId="53" borderId="0" xfId="0" applyFont="1" applyFill="1" applyAlignment="1">
      <alignment horizontal="center" vertical="center"/>
    </xf>
    <xf numFmtId="172" fontId="0" fillId="0" borderId="113" xfId="0" applyNumberFormat="1" applyBorder="1" applyAlignment="1">
      <alignment horizontal="center" vertical="center"/>
    </xf>
    <xf numFmtId="172" fontId="91" fillId="58" borderId="37" xfId="0" applyNumberFormat="1" applyFont="1" applyFill="1" applyBorder="1" applyAlignment="1">
      <alignment horizontal="center" vertical="center"/>
    </xf>
    <xf numFmtId="173" fontId="91" fillId="58" borderId="20" xfId="0" applyNumberFormat="1" applyFont="1" applyFill="1" applyBorder="1" applyAlignment="1">
      <alignment horizontal="center" vertical="center"/>
    </xf>
    <xf numFmtId="0" fontId="91" fillId="58" borderId="93" xfId="0" applyFont="1" applyFill="1" applyBorder="1" applyAlignment="1">
      <alignment horizontal="center" vertical="center"/>
    </xf>
    <xf numFmtId="0" fontId="91" fillId="58" borderId="93" xfId="0" applyFont="1" applyFill="1" applyBorder="1" applyAlignment="1">
      <alignment horizontal="center" vertical="center" wrapText="1"/>
    </xf>
    <xf numFmtId="0" fontId="91" fillId="58" borderId="117" xfId="0" applyFont="1" applyFill="1" applyBorder="1" applyAlignment="1">
      <alignment horizontal="center" vertical="center"/>
    </xf>
    <xf numFmtId="0" fontId="91" fillId="58" borderId="118" xfId="0" applyFont="1" applyFill="1" applyBorder="1" applyAlignment="1">
      <alignment horizontal="center" vertical="center"/>
    </xf>
    <xf numFmtId="0" fontId="91" fillId="58" borderId="117" xfId="0" applyFont="1" applyFill="1" applyBorder="1" applyAlignment="1">
      <alignment horizontal="center" vertical="center" wrapText="1"/>
    </xf>
    <xf numFmtId="0" fontId="91" fillId="58" borderId="118" xfId="0" applyFont="1" applyFill="1" applyBorder="1" applyAlignment="1">
      <alignment horizontal="center" vertical="center" wrapText="1"/>
    </xf>
    <xf numFmtId="172" fontId="0" fillId="0" borderId="99" xfId="0" applyNumberFormat="1" applyBorder="1" applyAlignment="1">
      <alignment horizontal="center" vertical="center"/>
    </xf>
    <xf numFmtId="172" fontId="91" fillId="58" borderId="35" xfId="0" applyNumberFormat="1" applyFont="1" applyFill="1" applyBorder="1" applyAlignment="1">
      <alignment horizontal="center" vertical="center"/>
    </xf>
    <xf numFmtId="173" fontId="91" fillId="58" borderId="102" xfId="0" applyNumberFormat="1" applyFont="1" applyFill="1" applyBorder="1" applyAlignment="1">
      <alignment horizontal="center" vertical="center"/>
    </xf>
    <xf numFmtId="0" fontId="91" fillId="58" borderId="103" xfId="0" applyFont="1" applyFill="1" applyBorder="1" applyAlignment="1">
      <alignment horizontal="center" vertical="center"/>
    </xf>
    <xf numFmtId="0" fontId="91" fillId="58" borderId="103" xfId="0" applyFont="1" applyFill="1" applyBorder="1" applyAlignment="1">
      <alignment horizontal="center" vertical="center" wrapText="1"/>
    </xf>
    <xf numFmtId="0" fontId="90" fillId="55" borderId="35" xfId="0" applyFont="1" applyFill="1" applyBorder="1" applyAlignment="1">
      <alignment horizontal="center" vertical="center"/>
    </xf>
    <xf numFmtId="0" fontId="90" fillId="55" borderId="102" xfId="0" applyFont="1" applyFill="1" applyBorder="1" applyAlignment="1">
      <alignment horizontal="center" vertical="center"/>
    </xf>
    <xf numFmtId="0" fontId="90" fillId="55" borderId="103" xfId="0" applyFont="1" applyFill="1" applyBorder="1" applyAlignment="1">
      <alignment horizontal="center" vertical="center"/>
    </xf>
    <xf numFmtId="0" fontId="2" fillId="35" borderId="89" xfId="0" applyFont="1" applyFill="1" applyBorder="1" applyAlignment="1">
      <alignment horizontal="center"/>
    </xf>
    <xf numFmtId="0" fontId="2" fillId="35" borderId="0" xfId="0" applyFont="1" applyFill="1" applyAlignment="1">
      <alignment horizontal="center"/>
    </xf>
    <xf numFmtId="0" fontId="90" fillId="55" borderId="116" xfId="0" applyFont="1" applyFill="1" applyBorder="1" applyAlignment="1">
      <alignment horizontal="center" vertical="center"/>
    </xf>
    <xf numFmtId="0" fontId="90" fillId="55" borderId="106" xfId="0" applyFont="1" applyFill="1" applyBorder="1" applyAlignment="1">
      <alignment horizontal="center" vertical="center"/>
    </xf>
    <xf numFmtId="0" fontId="90" fillId="55" borderId="107" xfId="0" applyFont="1" applyFill="1" applyBorder="1" applyAlignment="1">
      <alignment horizontal="center" vertical="center"/>
    </xf>
    <xf numFmtId="0" fontId="82" fillId="53" borderId="0" xfId="0" applyFont="1" applyFill="1" applyAlignment="1">
      <alignment horizontal="left"/>
    </xf>
    <xf numFmtId="0" fontId="82" fillId="53" borderId="0" xfId="0" applyFont="1" applyFill="1" applyAlignment="1">
      <alignment horizontal="center"/>
    </xf>
    <xf numFmtId="0" fontId="73" fillId="44" borderId="25" xfId="697" applyFont="1" applyFill="1" applyBorder="1" applyAlignment="1">
      <alignment horizontal="center" vertical="center" wrapText="1"/>
    </xf>
    <xf numFmtId="0" fontId="73" fillId="44" borderId="24" xfId="697" applyFont="1" applyFill="1" applyBorder="1" applyAlignment="1">
      <alignment horizontal="center" vertical="center" wrapText="1"/>
    </xf>
    <xf numFmtId="0" fontId="73" fillId="44" borderId="27" xfId="697" applyFont="1" applyFill="1" applyBorder="1" applyAlignment="1">
      <alignment horizontal="center" vertical="center" wrapText="1"/>
    </xf>
    <xf numFmtId="0" fontId="58" fillId="0" borderId="51" xfId="901" applyFont="1" applyBorder="1" applyAlignment="1">
      <alignment horizontal="center" vertical="center"/>
    </xf>
    <xf numFmtId="0" fontId="58" fillId="0" borderId="28" xfId="901" applyFont="1" applyBorder="1" applyAlignment="1">
      <alignment horizontal="center" vertical="center"/>
    </xf>
    <xf numFmtId="0" fontId="58" fillId="0" borderId="25" xfId="901" applyFont="1" applyBorder="1" applyAlignment="1">
      <alignment horizontal="center" vertical="center"/>
    </xf>
    <xf numFmtId="0" fontId="63" fillId="46" borderId="22" xfId="697" applyFont="1" applyFill="1" applyBorder="1" applyAlignment="1">
      <alignment horizontal="center" vertical="center" wrapText="1"/>
    </xf>
    <xf numFmtId="0" fontId="63" fillId="46" borderId="23" xfId="697" applyFont="1" applyFill="1" applyBorder="1" applyAlignment="1">
      <alignment horizontal="center" vertical="center" wrapText="1"/>
    </xf>
    <xf numFmtId="0" fontId="63" fillId="46" borderId="30" xfId="697" applyFont="1" applyFill="1" applyBorder="1" applyAlignment="1">
      <alignment horizontal="center" vertical="center" wrapText="1"/>
    </xf>
    <xf numFmtId="0" fontId="58" fillId="0" borderId="25" xfId="0" applyFont="1" applyBorder="1" applyAlignment="1">
      <alignment horizontal="center" vertical="center"/>
    </xf>
    <xf numFmtId="0" fontId="58" fillId="0" borderId="51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78" fillId="0" borderId="69" xfId="697" applyFont="1" applyBorder="1" applyAlignment="1">
      <alignment horizontal="center" vertical="center" wrapText="1"/>
    </xf>
    <xf numFmtId="0" fontId="78" fillId="0" borderId="84" xfId="697" applyFont="1" applyBorder="1" applyAlignment="1">
      <alignment horizontal="center" vertical="center" wrapText="1"/>
    </xf>
    <xf numFmtId="0" fontId="73" fillId="44" borderId="22" xfId="697" applyFont="1" applyFill="1" applyBorder="1" applyAlignment="1">
      <alignment horizontal="center" vertical="center" wrapText="1"/>
    </xf>
    <xf numFmtId="0" fontId="73" fillId="44" borderId="30" xfId="697" applyFont="1" applyFill="1" applyBorder="1" applyAlignment="1">
      <alignment horizontal="center" vertical="center" wrapText="1"/>
    </xf>
    <xf numFmtId="0" fontId="63" fillId="46" borderId="57" xfId="697" applyFont="1" applyFill="1" applyBorder="1" applyAlignment="1">
      <alignment horizontal="center" vertical="center" wrapText="1"/>
    </xf>
    <xf numFmtId="0" fontId="63" fillId="46" borderId="98" xfId="697" applyFont="1" applyFill="1" applyBorder="1" applyAlignment="1">
      <alignment horizontal="center" vertical="center" wrapText="1"/>
    </xf>
    <xf numFmtId="0" fontId="63" fillId="46" borderId="43" xfId="697" applyFont="1" applyFill="1" applyBorder="1" applyAlignment="1">
      <alignment horizontal="center" vertical="center" wrapText="1"/>
    </xf>
    <xf numFmtId="0" fontId="53" fillId="0" borderId="20" xfId="911" applyFont="1" applyBorder="1" applyAlignment="1">
      <alignment horizontal="center"/>
    </xf>
    <xf numFmtId="0" fontId="54" fillId="0" borderId="109" xfId="911" applyFont="1" applyBorder="1" applyAlignment="1">
      <alignment horizontal="center"/>
    </xf>
    <xf numFmtId="0" fontId="54" fillId="0" borderId="110" xfId="911" applyFont="1" applyBorder="1" applyAlignment="1">
      <alignment horizontal="center"/>
    </xf>
    <xf numFmtId="0" fontId="53" fillId="0" borderId="30" xfId="911" applyFont="1" applyBorder="1" applyAlignment="1">
      <alignment horizontal="center"/>
    </xf>
    <xf numFmtId="0" fontId="53" fillId="0" borderId="26" xfId="911" applyFont="1" applyBorder="1" applyAlignment="1">
      <alignment horizontal="center"/>
    </xf>
    <xf numFmtId="0" fontId="53" fillId="0" borderId="29" xfId="911" applyFont="1" applyBorder="1" applyAlignment="1">
      <alignment horizontal="center"/>
    </xf>
    <xf numFmtId="0" fontId="4" fillId="0" borderId="35" xfId="911" applyFont="1" applyBorder="1" applyAlignment="1">
      <alignment horizontal="center" vertical="center"/>
    </xf>
    <xf numFmtId="0" fontId="4" fillId="0" borderId="102" xfId="911" applyFont="1" applyBorder="1" applyAlignment="1">
      <alignment horizontal="center" vertical="center"/>
    </xf>
    <xf numFmtId="0" fontId="4" fillId="0" borderId="103" xfId="911" applyFont="1" applyBorder="1" applyAlignment="1">
      <alignment horizontal="center" vertical="center"/>
    </xf>
    <xf numFmtId="0" fontId="4" fillId="0" borderId="38" xfId="911" applyFont="1" applyBorder="1" applyAlignment="1">
      <alignment horizontal="center" vertical="center"/>
    </xf>
    <xf numFmtId="0" fontId="4" fillId="0" borderId="31" xfId="911" applyFont="1" applyBorder="1" applyAlignment="1">
      <alignment horizontal="center" vertical="center"/>
    </xf>
    <xf numFmtId="0" fontId="4" fillId="0" borderId="104" xfId="911" applyFont="1" applyBorder="1" applyAlignment="1">
      <alignment horizontal="center" vertical="center"/>
    </xf>
    <xf numFmtId="0" fontId="80" fillId="0" borderId="35" xfId="911" applyFont="1" applyBorder="1" applyAlignment="1">
      <alignment horizontal="center" vertical="center"/>
    </xf>
    <xf numFmtId="0" fontId="80" fillId="0" borderId="102" xfId="911" applyFont="1" applyBorder="1" applyAlignment="1">
      <alignment horizontal="center" vertical="center"/>
    </xf>
    <xf numFmtId="0" fontId="80" fillId="0" borderId="103" xfId="911" applyFont="1" applyBorder="1" applyAlignment="1">
      <alignment horizontal="center" vertical="center"/>
    </xf>
    <xf numFmtId="0" fontId="80" fillId="0" borderId="38" xfId="911" applyFont="1" applyBorder="1" applyAlignment="1">
      <alignment horizontal="center" vertical="center"/>
    </xf>
    <xf numFmtId="0" fontId="80" fillId="0" borderId="31" xfId="911" applyFont="1" applyBorder="1" applyAlignment="1">
      <alignment horizontal="center" vertical="center"/>
    </xf>
    <xf numFmtId="0" fontId="80" fillId="0" borderId="104" xfId="911" applyFont="1" applyBorder="1" applyAlignment="1">
      <alignment horizontal="center" vertical="center"/>
    </xf>
    <xf numFmtId="0" fontId="53" fillId="0" borderId="20" xfId="911" applyFont="1" applyBorder="1" applyAlignment="1">
      <alignment horizontal="left"/>
    </xf>
    <xf numFmtId="0" fontId="58" fillId="0" borderId="0" xfId="901" applyFont="1" applyBorder="1" applyAlignment="1">
      <alignment horizontal="center" vertical="center"/>
    </xf>
    <xf numFmtId="0" fontId="71" fillId="0" borderId="23" xfId="697" applyFont="1" applyBorder="1" applyAlignment="1">
      <alignment horizontal="center" vertical="center" wrapText="1"/>
    </xf>
  </cellXfs>
  <cellStyles count="1037">
    <cellStyle name="20% - Accent1" xfId="7" xr:uid="{00000000-0005-0000-0000-000000000000}"/>
    <cellStyle name="20% - Accent1 2" xfId="1" xr:uid="{00000000-0005-0000-0000-000001000000}"/>
    <cellStyle name="20% - Accent2" xfId="26" xr:uid="{00000000-0005-0000-0000-000002000000}"/>
    <cellStyle name="20% - Accent2 2" xfId="2" xr:uid="{00000000-0005-0000-0000-000003000000}"/>
    <cellStyle name="20% - Accent3" xfId="45" xr:uid="{00000000-0005-0000-0000-000004000000}"/>
    <cellStyle name="20% - Accent3 2" xfId="3" xr:uid="{00000000-0005-0000-0000-000005000000}"/>
    <cellStyle name="20% - Accent4" xfId="64" xr:uid="{00000000-0005-0000-0000-000006000000}"/>
    <cellStyle name="20% - Accent4 2" xfId="4" xr:uid="{00000000-0005-0000-0000-000007000000}"/>
    <cellStyle name="20% - Accent5" xfId="83" xr:uid="{00000000-0005-0000-0000-000008000000}"/>
    <cellStyle name="20% - Accent5 2" xfId="5" xr:uid="{00000000-0005-0000-0000-000009000000}"/>
    <cellStyle name="20% - Accent6" xfId="102" xr:uid="{00000000-0005-0000-0000-00000A000000}"/>
    <cellStyle name="20% - Accent6 2" xfId="6" xr:uid="{00000000-0005-0000-0000-00000B000000}"/>
    <cellStyle name="20% - Énfasis1 10" xfId="8" xr:uid="{00000000-0005-0000-0000-00000C000000}"/>
    <cellStyle name="20% - Énfasis1 11" xfId="9" xr:uid="{00000000-0005-0000-0000-00000D000000}"/>
    <cellStyle name="20% - Énfasis1 12" xfId="10" xr:uid="{00000000-0005-0000-0000-00000E000000}"/>
    <cellStyle name="20% - Énfasis1 13" xfId="11" xr:uid="{00000000-0005-0000-0000-00000F000000}"/>
    <cellStyle name="20% - Énfasis1 14" xfId="12" xr:uid="{00000000-0005-0000-0000-000010000000}"/>
    <cellStyle name="20% - Énfasis1 15" xfId="13" xr:uid="{00000000-0005-0000-0000-000011000000}"/>
    <cellStyle name="20% - Énfasis1 16" xfId="14" xr:uid="{00000000-0005-0000-0000-000012000000}"/>
    <cellStyle name="20% - Énfasis1 17" xfId="15" xr:uid="{00000000-0005-0000-0000-000013000000}"/>
    <cellStyle name="20% - Énfasis1 18" xfId="16" xr:uid="{00000000-0005-0000-0000-000014000000}"/>
    <cellStyle name="20% - Énfasis1 19" xfId="17" xr:uid="{00000000-0005-0000-0000-000015000000}"/>
    <cellStyle name="20% - Énfasis1 2" xfId="18" xr:uid="{00000000-0005-0000-0000-000016000000}"/>
    <cellStyle name="20% - Énfasis1 3" xfId="19" xr:uid="{00000000-0005-0000-0000-000017000000}"/>
    <cellStyle name="20% - Énfasis1 4" xfId="20" xr:uid="{00000000-0005-0000-0000-000018000000}"/>
    <cellStyle name="20% - Énfasis1 5" xfId="21" xr:uid="{00000000-0005-0000-0000-000019000000}"/>
    <cellStyle name="20% - Énfasis1 6" xfId="22" xr:uid="{00000000-0005-0000-0000-00001A000000}"/>
    <cellStyle name="20% - Énfasis1 7" xfId="23" xr:uid="{00000000-0005-0000-0000-00001B000000}"/>
    <cellStyle name="20% - Énfasis1 8" xfId="24" xr:uid="{00000000-0005-0000-0000-00001C000000}"/>
    <cellStyle name="20% - Énfasis1 9" xfId="25" xr:uid="{00000000-0005-0000-0000-00001D000000}"/>
    <cellStyle name="20% - Énfasis2 10" xfId="27" xr:uid="{00000000-0005-0000-0000-00001E000000}"/>
    <cellStyle name="20% - Énfasis2 11" xfId="28" xr:uid="{00000000-0005-0000-0000-00001F000000}"/>
    <cellStyle name="20% - Énfasis2 12" xfId="29" xr:uid="{00000000-0005-0000-0000-000020000000}"/>
    <cellStyle name="20% - Énfasis2 13" xfId="30" xr:uid="{00000000-0005-0000-0000-000021000000}"/>
    <cellStyle name="20% - Énfasis2 14" xfId="31" xr:uid="{00000000-0005-0000-0000-000022000000}"/>
    <cellStyle name="20% - Énfasis2 15" xfId="32" xr:uid="{00000000-0005-0000-0000-000023000000}"/>
    <cellStyle name="20% - Énfasis2 16" xfId="33" xr:uid="{00000000-0005-0000-0000-000024000000}"/>
    <cellStyle name="20% - Énfasis2 17" xfId="34" xr:uid="{00000000-0005-0000-0000-000025000000}"/>
    <cellStyle name="20% - Énfasis2 18" xfId="35" xr:uid="{00000000-0005-0000-0000-000026000000}"/>
    <cellStyle name="20% - Énfasis2 19" xfId="36" xr:uid="{00000000-0005-0000-0000-000027000000}"/>
    <cellStyle name="20% - Énfasis2 2" xfId="37" xr:uid="{00000000-0005-0000-0000-000028000000}"/>
    <cellStyle name="20% - Énfasis2 3" xfId="38" xr:uid="{00000000-0005-0000-0000-000029000000}"/>
    <cellStyle name="20% - Énfasis2 4" xfId="39" xr:uid="{00000000-0005-0000-0000-00002A000000}"/>
    <cellStyle name="20% - Énfasis2 5" xfId="40" xr:uid="{00000000-0005-0000-0000-00002B000000}"/>
    <cellStyle name="20% - Énfasis2 6" xfId="41" xr:uid="{00000000-0005-0000-0000-00002C000000}"/>
    <cellStyle name="20% - Énfasis2 7" xfId="42" xr:uid="{00000000-0005-0000-0000-00002D000000}"/>
    <cellStyle name="20% - Énfasis2 8" xfId="43" xr:uid="{00000000-0005-0000-0000-00002E000000}"/>
    <cellStyle name="20% - Énfasis2 9" xfId="44" xr:uid="{00000000-0005-0000-0000-00002F000000}"/>
    <cellStyle name="20% - Énfasis3 10" xfId="46" xr:uid="{00000000-0005-0000-0000-000030000000}"/>
    <cellStyle name="20% - Énfasis3 11" xfId="47" xr:uid="{00000000-0005-0000-0000-000031000000}"/>
    <cellStyle name="20% - Énfasis3 12" xfId="48" xr:uid="{00000000-0005-0000-0000-000032000000}"/>
    <cellStyle name="20% - Énfasis3 13" xfId="49" xr:uid="{00000000-0005-0000-0000-000033000000}"/>
    <cellStyle name="20% - Énfasis3 14" xfId="50" xr:uid="{00000000-0005-0000-0000-000034000000}"/>
    <cellStyle name="20% - Énfasis3 15" xfId="51" xr:uid="{00000000-0005-0000-0000-000035000000}"/>
    <cellStyle name="20% - Énfasis3 16" xfId="52" xr:uid="{00000000-0005-0000-0000-000036000000}"/>
    <cellStyle name="20% - Énfasis3 17" xfId="53" xr:uid="{00000000-0005-0000-0000-000037000000}"/>
    <cellStyle name="20% - Énfasis3 18" xfId="54" xr:uid="{00000000-0005-0000-0000-000038000000}"/>
    <cellStyle name="20% - Énfasis3 19" xfId="55" xr:uid="{00000000-0005-0000-0000-000039000000}"/>
    <cellStyle name="20% - Énfasis3 2" xfId="56" xr:uid="{00000000-0005-0000-0000-00003A000000}"/>
    <cellStyle name="20% - Énfasis3 3" xfId="57" xr:uid="{00000000-0005-0000-0000-00003B000000}"/>
    <cellStyle name="20% - Énfasis3 4" xfId="58" xr:uid="{00000000-0005-0000-0000-00003C000000}"/>
    <cellStyle name="20% - Énfasis3 5" xfId="59" xr:uid="{00000000-0005-0000-0000-00003D000000}"/>
    <cellStyle name="20% - Énfasis3 6" xfId="60" xr:uid="{00000000-0005-0000-0000-00003E000000}"/>
    <cellStyle name="20% - Énfasis3 7" xfId="61" xr:uid="{00000000-0005-0000-0000-00003F000000}"/>
    <cellStyle name="20% - Énfasis3 8" xfId="62" xr:uid="{00000000-0005-0000-0000-000040000000}"/>
    <cellStyle name="20% - Énfasis3 9" xfId="63" xr:uid="{00000000-0005-0000-0000-000041000000}"/>
    <cellStyle name="20% - Énfasis4 10" xfId="65" xr:uid="{00000000-0005-0000-0000-000042000000}"/>
    <cellStyle name="20% - Énfasis4 11" xfId="66" xr:uid="{00000000-0005-0000-0000-000043000000}"/>
    <cellStyle name="20% - Énfasis4 12" xfId="67" xr:uid="{00000000-0005-0000-0000-000044000000}"/>
    <cellStyle name="20% - Énfasis4 13" xfId="68" xr:uid="{00000000-0005-0000-0000-000045000000}"/>
    <cellStyle name="20% - Énfasis4 14" xfId="69" xr:uid="{00000000-0005-0000-0000-000046000000}"/>
    <cellStyle name="20% - Énfasis4 15" xfId="70" xr:uid="{00000000-0005-0000-0000-000047000000}"/>
    <cellStyle name="20% - Énfasis4 16" xfId="71" xr:uid="{00000000-0005-0000-0000-000048000000}"/>
    <cellStyle name="20% - Énfasis4 17" xfId="72" xr:uid="{00000000-0005-0000-0000-000049000000}"/>
    <cellStyle name="20% - Énfasis4 18" xfId="73" xr:uid="{00000000-0005-0000-0000-00004A000000}"/>
    <cellStyle name="20% - Énfasis4 19" xfId="74" xr:uid="{00000000-0005-0000-0000-00004B000000}"/>
    <cellStyle name="20% - Énfasis4 2" xfId="75" xr:uid="{00000000-0005-0000-0000-00004C000000}"/>
    <cellStyle name="20% - Énfasis4 3" xfId="76" xr:uid="{00000000-0005-0000-0000-00004D000000}"/>
    <cellStyle name="20% - Énfasis4 4" xfId="77" xr:uid="{00000000-0005-0000-0000-00004E000000}"/>
    <cellStyle name="20% - Énfasis4 5" xfId="78" xr:uid="{00000000-0005-0000-0000-00004F000000}"/>
    <cellStyle name="20% - Énfasis4 6" xfId="79" xr:uid="{00000000-0005-0000-0000-000050000000}"/>
    <cellStyle name="20% - Énfasis4 7" xfId="80" xr:uid="{00000000-0005-0000-0000-000051000000}"/>
    <cellStyle name="20% - Énfasis4 8" xfId="81" xr:uid="{00000000-0005-0000-0000-000052000000}"/>
    <cellStyle name="20% - Énfasis4 9" xfId="82" xr:uid="{00000000-0005-0000-0000-000053000000}"/>
    <cellStyle name="20% - Énfasis5 10" xfId="84" xr:uid="{00000000-0005-0000-0000-000054000000}"/>
    <cellStyle name="20% - Énfasis5 11" xfId="85" xr:uid="{00000000-0005-0000-0000-000055000000}"/>
    <cellStyle name="20% - Énfasis5 12" xfId="86" xr:uid="{00000000-0005-0000-0000-000056000000}"/>
    <cellStyle name="20% - Énfasis5 13" xfId="87" xr:uid="{00000000-0005-0000-0000-000057000000}"/>
    <cellStyle name="20% - Énfasis5 14" xfId="88" xr:uid="{00000000-0005-0000-0000-000058000000}"/>
    <cellStyle name="20% - Énfasis5 15" xfId="89" xr:uid="{00000000-0005-0000-0000-000059000000}"/>
    <cellStyle name="20% - Énfasis5 16" xfId="90" xr:uid="{00000000-0005-0000-0000-00005A000000}"/>
    <cellStyle name="20% - Énfasis5 17" xfId="91" xr:uid="{00000000-0005-0000-0000-00005B000000}"/>
    <cellStyle name="20% - Énfasis5 18" xfId="92" xr:uid="{00000000-0005-0000-0000-00005C000000}"/>
    <cellStyle name="20% - Énfasis5 19" xfId="93" xr:uid="{00000000-0005-0000-0000-00005D000000}"/>
    <cellStyle name="20% - Énfasis5 2" xfId="94" xr:uid="{00000000-0005-0000-0000-00005E000000}"/>
    <cellStyle name="20% - Énfasis5 3" xfId="95" xr:uid="{00000000-0005-0000-0000-00005F000000}"/>
    <cellStyle name="20% - Énfasis5 4" xfId="96" xr:uid="{00000000-0005-0000-0000-000060000000}"/>
    <cellStyle name="20% - Énfasis5 5" xfId="97" xr:uid="{00000000-0005-0000-0000-000061000000}"/>
    <cellStyle name="20% - Énfasis5 6" xfId="98" xr:uid="{00000000-0005-0000-0000-000062000000}"/>
    <cellStyle name="20% - Énfasis5 7" xfId="99" xr:uid="{00000000-0005-0000-0000-000063000000}"/>
    <cellStyle name="20% - Énfasis5 8" xfId="100" xr:uid="{00000000-0005-0000-0000-000064000000}"/>
    <cellStyle name="20% - Énfasis5 9" xfId="101" xr:uid="{00000000-0005-0000-0000-000065000000}"/>
    <cellStyle name="20% - Énfasis6 10" xfId="103" xr:uid="{00000000-0005-0000-0000-000066000000}"/>
    <cellStyle name="20% - Énfasis6 11" xfId="104" xr:uid="{00000000-0005-0000-0000-000067000000}"/>
    <cellStyle name="20% - Énfasis6 12" xfId="105" xr:uid="{00000000-0005-0000-0000-000068000000}"/>
    <cellStyle name="20% - Énfasis6 13" xfId="106" xr:uid="{00000000-0005-0000-0000-000069000000}"/>
    <cellStyle name="20% - Énfasis6 14" xfId="107" xr:uid="{00000000-0005-0000-0000-00006A000000}"/>
    <cellStyle name="20% - Énfasis6 15" xfId="108" xr:uid="{00000000-0005-0000-0000-00006B000000}"/>
    <cellStyle name="20% - Énfasis6 16" xfId="109" xr:uid="{00000000-0005-0000-0000-00006C000000}"/>
    <cellStyle name="20% - Énfasis6 17" xfId="110" xr:uid="{00000000-0005-0000-0000-00006D000000}"/>
    <cellStyle name="20% - Énfasis6 18" xfId="111" xr:uid="{00000000-0005-0000-0000-00006E000000}"/>
    <cellStyle name="20% - Énfasis6 19" xfId="112" xr:uid="{00000000-0005-0000-0000-00006F000000}"/>
    <cellStyle name="20% - Énfasis6 2" xfId="113" xr:uid="{00000000-0005-0000-0000-000070000000}"/>
    <cellStyle name="20% - Énfasis6 3" xfId="114" xr:uid="{00000000-0005-0000-0000-000071000000}"/>
    <cellStyle name="20% - Énfasis6 4" xfId="115" xr:uid="{00000000-0005-0000-0000-000072000000}"/>
    <cellStyle name="20% - Énfasis6 5" xfId="116" xr:uid="{00000000-0005-0000-0000-000073000000}"/>
    <cellStyle name="20% - Énfasis6 6" xfId="117" xr:uid="{00000000-0005-0000-0000-000074000000}"/>
    <cellStyle name="20% - Énfasis6 7" xfId="118" xr:uid="{00000000-0005-0000-0000-000075000000}"/>
    <cellStyle name="20% - Énfasis6 8" xfId="119" xr:uid="{00000000-0005-0000-0000-000076000000}"/>
    <cellStyle name="20% - Énfasis6 9" xfId="120" xr:uid="{00000000-0005-0000-0000-000077000000}"/>
    <cellStyle name="40% - Accent1" xfId="127" xr:uid="{00000000-0005-0000-0000-000078000000}"/>
    <cellStyle name="40% - Accent1 2" xfId="121" xr:uid="{00000000-0005-0000-0000-000079000000}"/>
    <cellStyle name="40% - Accent2" xfId="146" xr:uid="{00000000-0005-0000-0000-00007A000000}"/>
    <cellStyle name="40% - Accent2 2" xfId="122" xr:uid="{00000000-0005-0000-0000-00007B000000}"/>
    <cellStyle name="40% - Accent3" xfId="165" xr:uid="{00000000-0005-0000-0000-00007C000000}"/>
    <cellStyle name="40% - Accent3 2" xfId="123" xr:uid="{00000000-0005-0000-0000-00007D000000}"/>
    <cellStyle name="40% - Accent4" xfId="184" xr:uid="{00000000-0005-0000-0000-00007E000000}"/>
    <cellStyle name="40% - Accent4 2" xfId="124" xr:uid="{00000000-0005-0000-0000-00007F000000}"/>
    <cellStyle name="40% - Accent5" xfId="203" xr:uid="{00000000-0005-0000-0000-000080000000}"/>
    <cellStyle name="40% - Accent5 2" xfId="125" xr:uid="{00000000-0005-0000-0000-000081000000}"/>
    <cellStyle name="40% - Accent6" xfId="222" xr:uid="{00000000-0005-0000-0000-000082000000}"/>
    <cellStyle name="40% - Accent6 2" xfId="126" xr:uid="{00000000-0005-0000-0000-000083000000}"/>
    <cellStyle name="40% - Énfasis1 10" xfId="128" xr:uid="{00000000-0005-0000-0000-000084000000}"/>
    <cellStyle name="40% - Énfasis1 11" xfId="129" xr:uid="{00000000-0005-0000-0000-000085000000}"/>
    <cellStyle name="40% - Énfasis1 12" xfId="130" xr:uid="{00000000-0005-0000-0000-000086000000}"/>
    <cellStyle name="40% - Énfasis1 13" xfId="131" xr:uid="{00000000-0005-0000-0000-000087000000}"/>
    <cellStyle name="40% - Énfasis1 14" xfId="132" xr:uid="{00000000-0005-0000-0000-000088000000}"/>
    <cellStyle name="40% - Énfasis1 15" xfId="133" xr:uid="{00000000-0005-0000-0000-000089000000}"/>
    <cellStyle name="40% - Énfasis1 16" xfId="134" xr:uid="{00000000-0005-0000-0000-00008A000000}"/>
    <cellStyle name="40% - Énfasis1 17" xfId="135" xr:uid="{00000000-0005-0000-0000-00008B000000}"/>
    <cellStyle name="40% - Énfasis1 18" xfId="136" xr:uid="{00000000-0005-0000-0000-00008C000000}"/>
    <cellStyle name="40% - Énfasis1 19" xfId="137" xr:uid="{00000000-0005-0000-0000-00008D000000}"/>
    <cellStyle name="40% - Énfasis1 2" xfId="138" xr:uid="{00000000-0005-0000-0000-00008E000000}"/>
    <cellStyle name="40% - Énfasis1 3" xfId="139" xr:uid="{00000000-0005-0000-0000-00008F000000}"/>
    <cellStyle name="40% - Énfasis1 4" xfId="140" xr:uid="{00000000-0005-0000-0000-000090000000}"/>
    <cellStyle name="40% - Énfasis1 5" xfId="141" xr:uid="{00000000-0005-0000-0000-000091000000}"/>
    <cellStyle name="40% - Énfasis1 6" xfId="142" xr:uid="{00000000-0005-0000-0000-000092000000}"/>
    <cellStyle name="40% - Énfasis1 7" xfId="143" xr:uid="{00000000-0005-0000-0000-000093000000}"/>
    <cellStyle name="40% - Énfasis1 8" xfId="144" xr:uid="{00000000-0005-0000-0000-000094000000}"/>
    <cellStyle name="40% - Énfasis1 9" xfId="145" xr:uid="{00000000-0005-0000-0000-000095000000}"/>
    <cellStyle name="40% - Énfasis2 10" xfId="147" xr:uid="{00000000-0005-0000-0000-000096000000}"/>
    <cellStyle name="40% - Énfasis2 11" xfId="148" xr:uid="{00000000-0005-0000-0000-000097000000}"/>
    <cellStyle name="40% - Énfasis2 12" xfId="149" xr:uid="{00000000-0005-0000-0000-000098000000}"/>
    <cellStyle name="40% - Énfasis2 13" xfId="150" xr:uid="{00000000-0005-0000-0000-000099000000}"/>
    <cellStyle name="40% - Énfasis2 14" xfId="151" xr:uid="{00000000-0005-0000-0000-00009A000000}"/>
    <cellStyle name="40% - Énfasis2 15" xfId="152" xr:uid="{00000000-0005-0000-0000-00009B000000}"/>
    <cellStyle name="40% - Énfasis2 16" xfId="153" xr:uid="{00000000-0005-0000-0000-00009C000000}"/>
    <cellStyle name="40% - Énfasis2 17" xfId="154" xr:uid="{00000000-0005-0000-0000-00009D000000}"/>
    <cellStyle name="40% - Énfasis2 18" xfId="155" xr:uid="{00000000-0005-0000-0000-00009E000000}"/>
    <cellStyle name="40% - Énfasis2 19" xfId="156" xr:uid="{00000000-0005-0000-0000-00009F000000}"/>
    <cellStyle name="40% - Énfasis2 2" xfId="157" xr:uid="{00000000-0005-0000-0000-0000A0000000}"/>
    <cellStyle name="40% - Énfasis2 3" xfId="158" xr:uid="{00000000-0005-0000-0000-0000A1000000}"/>
    <cellStyle name="40% - Énfasis2 4" xfId="159" xr:uid="{00000000-0005-0000-0000-0000A2000000}"/>
    <cellStyle name="40% - Énfasis2 5" xfId="160" xr:uid="{00000000-0005-0000-0000-0000A3000000}"/>
    <cellStyle name="40% - Énfasis2 6" xfId="161" xr:uid="{00000000-0005-0000-0000-0000A4000000}"/>
    <cellStyle name="40% - Énfasis2 7" xfId="162" xr:uid="{00000000-0005-0000-0000-0000A5000000}"/>
    <cellStyle name="40% - Énfasis2 8" xfId="163" xr:uid="{00000000-0005-0000-0000-0000A6000000}"/>
    <cellStyle name="40% - Énfasis2 9" xfId="164" xr:uid="{00000000-0005-0000-0000-0000A7000000}"/>
    <cellStyle name="40% - Énfasis3 10" xfId="166" xr:uid="{00000000-0005-0000-0000-0000A8000000}"/>
    <cellStyle name="40% - Énfasis3 11" xfId="167" xr:uid="{00000000-0005-0000-0000-0000A9000000}"/>
    <cellStyle name="40% - Énfasis3 12" xfId="168" xr:uid="{00000000-0005-0000-0000-0000AA000000}"/>
    <cellStyle name="40% - Énfasis3 13" xfId="169" xr:uid="{00000000-0005-0000-0000-0000AB000000}"/>
    <cellStyle name="40% - Énfasis3 14" xfId="170" xr:uid="{00000000-0005-0000-0000-0000AC000000}"/>
    <cellStyle name="40% - Énfasis3 15" xfId="171" xr:uid="{00000000-0005-0000-0000-0000AD000000}"/>
    <cellStyle name="40% - Énfasis3 16" xfId="172" xr:uid="{00000000-0005-0000-0000-0000AE000000}"/>
    <cellStyle name="40% - Énfasis3 17" xfId="173" xr:uid="{00000000-0005-0000-0000-0000AF000000}"/>
    <cellStyle name="40% - Énfasis3 18" xfId="174" xr:uid="{00000000-0005-0000-0000-0000B0000000}"/>
    <cellStyle name="40% - Énfasis3 19" xfId="175" xr:uid="{00000000-0005-0000-0000-0000B1000000}"/>
    <cellStyle name="40% - Énfasis3 2" xfId="176" xr:uid="{00000000-0005-0000-0000-0000B2000000}"/>
    <cellStyle name="40% - Énfasis3 3" xfId="177" xr:uid="{00000000-0005-0000-0000-0000B3000000}"/>
    <cellStyle name="40% - Énfasis3 4" xfId="178" xr:uid="{00000000-0005-0000-0000-0000B4000000}"/>
    <cellStyle name="40% - Énfasis3 5" xfId="179" xr:uid="{00000000-0005-0000-0000-0000B5000000}"/>
    <cellStyle name="40% - Énfasis3 6" xfId="180" xr:uid="{00000000-0005-0000-0000-0000B6000000}"/>
    <cellStyle name="40% - Énfasis3 7" xfId="181" xr:uid="{00000000-0005-0000-0000-0000B7000000}"/>
    <cellStyle name="40% - Énfasis3 8" xfId="182" xr:uid="{00000000-0005-0000-0000-0000B8000000}"/>
    <cellStyle name="40% - Énfasis3 9" xfId="183" xr:uid="{00000000-0005-0000-0000-0000B9000000}"/>
    <cellStyle name="40% - Énfasis4 10" xfId="185" xr:uid="{00000000-0005-0000-0000-0000BA000000}"/>
    <cellStyle name="40% - Énfasis4 11" xfId="186" xr:uid="{00000000-0005-0000-0000-0000BB000000}"/>
    <cellStyle name="40% - Énfasis4 12" xfId="187" xr:uid="{00000000-0005-0000-0000-0000BC000000}"/>
    <cellStyle name="40% - Énfasis4 13" xfId="188" xr:uid="{00000000-0005-0000-0000-0000BD000000}"/>
    <cellStyle name="40% - Énfasis4 14" xfId="189" xr:uid="{00000000-0005-0000-0000-0000BE000000}"/>
    <cellStyle name="40% - Énfasis4 15" xfId="190" xr:uid="{00000000-0005-0000-0000-0000BF000000}"/>
    <cellStyle name="40% - Énfasis4 16" xfId="191" xr:uid="{00000000-0005-0000-0000-0000C0000000}"/>
    <cellStyle name="40% - Énfasis4 17" xfId="192" xr:uid="{00000000-0005-0000-0000-0000C1000000}"/>
    <cellStyle name="40% - Énfasis4 18" xfId="193" xr:uid="{00000000-0005-0000-0000-0000C2000000}"/>
    <cellStyle name="40% - Énfasis4 19" xfId="194" xr:uid="{00000000-0005-0000-0000-0000C3000000}"/>
    <cellStyle name="40% - Énfasis4 2" xfId="195" xr:uid="{00000000-0005-0000-0000-0000C4000000}"/>
    <cellStyle name="40% - Énfasis4 3" xfId="196" xr:uid="{00000000-0005-0000-0000-0000C5000000}"/>
    <cellStyle name="40% - Énfasis4 4" xfId="197" xr:uid="{00000000-0005-0000-0000-0000C6000000}"/>
    <cellStyle name="40% - Énfasis4 5" xfId="198" xr:uid="{00000000-0005-0000-0000-0000C7000000}"/>
    <cellStyle name="40% - Énfasis4 6" xfId="199" xr:uid="{00000000-0005-0000-0000-0000C8000000}"/>
    <cellStyle name="40% - Énfasis4 7" xfId="200" xr:uid="{00000000-0005-0000-0000-0000C9000000}"/>
    <cellStyle name="40% - Énfasis4 8" xfId="201" xr:uid="{00000000-0005-0000-0000-0000CA000000}"/>
    <cellStyle name="40% - Énfasis4 9" xfId="202" xr:uid="{00000000-0005-0000-0000-0000CB000000}"/>
    <cellStyle name="40% - Énfasis5 10" xfId="204" xr:uid="{00000000-0005-0000-0000-0000CC000000}"/>
    <cellStyle name="40% - Énfasis5 11" xfId="205" xr:uid="{00000000-0005-0000-0000-0000CD000000}"/>
    <cellStyle name="40% - Énfasis5 12" xfId="206" xr:uid="{00000000-0005-0000-0000-0000CE000000}"/>
    <cellStyle name="40% - Énfasis5 13" xfId="207" xr:uid="{00000000-0005-0000-0000-0000CF000000}"/>
    <cellStyle name="40% - Énfasis5 14" xfId="208" xr:uid="{00000000-0005-0000-0000-0000D0000000}"/>
    <cellStyle name="40% - Énfasis5 15" xfId="209" xr:uid="{00000000-0005-0000-0000-0000D1000000}"/>
    <cellStyle name="40% - Énfasis5 16" xfId="210" xr:uid="{00000000-0005-0000-0000-0000D2000000}"/>
    <cellStyle name="40% - Énfasis5 17" xfId="211" xr:uid="{00000000-0005-0000-0000-0000D3000000}"/>
    <cellStyle name="40% - Énfasis5 18" xfId="212" xr:uid="{00000000-0005-0000-0000-0000D4000000}"/>
    <cellStyle name="40% - Énfasis5 19" xfId="213" xr:uid="{00000000-0005-0000-0000-0000D5000000}"/>
    <cellStyle name="40% - Énfasis5 2" xfId="214" xr:uid="{00000000-0005-0000-0000-0000D6000000}"/>
    <cellStyle name="40% - Énfasis5 3" xfId="215" xr:uid="{00000000-0005-0000-0000-0000D7000000}"/>
    <cellStyle name="40% - Énfasis5 4" xfId="216" xr:uid="{00000000-0005-0000-0000-0000D8000000}"/>
    <cellStyle name="40% - Énfasis5 5" xfId="217" xr:uid="{00000000-0005-0000-0000-0000D9000000}"/>
    <cellStyle name="40% - Énfasis5 6" xfId="218" xr:uid="{00000000-0005-0000-0000-0000DA000000}"/>
    <cellStyle name="40% - Énfasis5 7" xfId="219" xr:uid="{00000000-0005-0000-0000-0000DB000000}"/>
    <cellStyle name="40% - Énfasis5 8" xfId="220" xr:uid="{00000000-0005-0000-0000-0000DC000000}"/>
    <cellStyle name="40% - Énfasis5 9" xfId="221" xr:uid="{00000000-0005-0000-0000-0000DD000000}"/>
    <cellStyle name="40% - Énfasis6 10" xfId="223" xr:uid="{00000000-0005-0000-0000-0000DE000000}"/>
    <cellStyle name="40% - Énfasis6 11" xfId="224" xr:uid="{00000000-0005-0000-0000-0000DF000000}"/>
    <cellStyle name="40% - Énfasis6 12" xfId="225" xr:uid="{00000000-0005-0000-0000-0000E0000000}"/>
    <cellStyle name="40% - Énfasis6 13" xfId="226" xr:uid="{00000000-0005-0000-0000-0000E1000000}"/>
    <cellStyle name="40% - Énfasis6 14" xfId="227" xr:uid="{00000000-0005-0000-0000-0000E2000000}"/>
    <cellStyle name="40% - Énfasis6 15" xfId="228" xr:uid="{00000000-0005-0000-0000-0000E3000000}"/>
    <cellStyle name="40% - Énfasis6 16" xfId="229" xr:uid="{00000000-0005-0000-0000-0000E4000000}"/>
    <cellStyle name="40% - Énfasis6 17" xfId="230" xr:uid="{00000000-0005-0000-0000-0000E5000000}"/>
    <cellStyle name="40% - Énfasis6 18" xfId="231" xr:uid="{00000000-0005-0000-0000-0000E6000000}"/>
    <cellStyle name="40% - Énfasis6 19" xfId="232" xr:uid="{00000000-0005-0000-0000-0000E7000000}"/>
    <cellStyle name="40% - Énfasis6 2" xfId="233" xr:uid="{00000000-0005-0000-0000-0000E8000000}"/>
    <cellStyle name="40% - Énfasis6 3" xfId="234" xr:uid="{00000000-0005-0000-0000-0000E9000000}"/>
    <cellStyle name="40% - Énfasis6 4" xfId="235" xr:uid="{00000000-0005-0000-0000-0000EA000000}"/>
    <cellStyle name="40% - Énfasis6 5" xfId="236" xr:uid="{00000000-0005-0000-0000-0000EB000000}"/>
    <cellStyle name="40% - Énfasis6 6" xfId="237" xr:uid="{00000000-0005-0000-0000-0000EC000000}"/>
    <cellStyle name="40% - Énfasis6 7" xfId="238" xr:uid="{00000000-0005-0000-0000-0000ED000000}"/>
    <cellStyle name="40% - Énfasis6 8" xfId="239" xr:uid="{00000000-0005-0000-0000-0000EE000000}"/>
    <cellStyle name="40% - Énfasis6 9" xfId="240" xr:uid="{00000000-0005-0000-0000-0000EF000000}"/>
    <cellStyle name="60% - Accent1" xfId="247" xr:uid="{00000000-0005-0000-0000-0000F0000000}"/>
    <cellStyle name="60% - Accent1 2" xfId="241" xr:uid="{00000000-0005-0000-0000-0000F1000000}"/>
    <cellStyle name="60% - Accent2" xfId="266" xr:uid="{00000000-0005-0000-0000-0000F2000000}"/>
    <cellStyle name="60% - Accent2 2" xfId="242" xr:uid="{00000000-0005-0000-0000-0000F3000000}"/>
    <cellStyle name="60% - Accent3" xfId="285" xr:uid="{00000000-0005-0000-0000-0000F4000000}"/>
    <cellStyle name="60% - Accent3 2" xfId="243" xr:uid="{00000000-0005-0000-0000-0000F5000000}"/>
    <cellStyle name="60% - Accent4" xfId="304" xr:uid="{00000000-0005-0000-0000-0000F6000000}"/>
    <cellStyle name="60% - Accent4 2" xfId="244" xr:uid="{00000000-0005-0000-0000-0000F7000000}"/>
    <cellStyle name="60% - Accent5" xfId="323" xr:uid="{00000000-0005-0000-0000-0000F8000000}"/>
    <cellStyle name="60% - Accent5 2" xfId="245" xr:uid="{00000000-0005-0000-0000-0000F9000000}"/>
    <cellStyle name="60% - Accent6" xfId="342" xr:uid="{00000000-0005-0000-0000-0000FA000000}"/>
    <cellStyle name="60% - Accent6 2" xfId="246" xr:uid="{00000000-0005-0000-0000-0000FB000000}"/>
    <cellStyle name="60% - Énfasis1 10" xfId="248" xr:uid="{00000000-0005-0000-0000-0000FC000000}"/>
    <cellStyle name="60% - Énfasis1 11" xfId="249" xr:uid="{00000000-0005-0000-0000-0000FD000000}"/>
    <cellStyle name="60% - Énfasis1 12" xfId="250" xr:uid="{00000000-0005-0000-0000-0000FE000000}"/>
    <cellStyle name="60% - Énfasis1 13" xfId="251" xr:uid="{00000000-0005-0000-0000-0000FF000000}"/>
    <cellStyle name="60% - Énfasis1 14" xfId="252" xr:uid="{00000000-0005-0000-0000-000000010000}"/>
    <cellStyle name="60% - Énfasis1 15" xfId="253" xr:uid="{00000000-0005-0000-0000-000001010000}"/>
    <cellStyle name="60% - Énfasis1 16" xfId="254" xr:uid="{00000000-0005-0000-0000-000002010000}"/>
    <cellStyle name="60% - Énfasis1 17" xfId="255" xr:uid="{00000000-0005-0000-0000-000003010000}"/>
    <cellStyle name="60% - Énfasis1 18" xfId="256" xr:uid="{00000000-0005-0000-0000-000004010000}"/>
    <cellStyle name="60% - Énfasis1 19" xfId="257" xr:uid="{00000000-0005-0000-0000-000005010000}"/>
    <cellStyle name="60% - Énfasis1 2" xfId="258" xr:uid="{00000000-0005-0000-0000-000006010000}"/>
    <cellStyle name="60% - Énfasis1 3" xfId="259" xr:uid="{00000000-0005-0000-0000-000007010000}"/>
    <cellStyle name="60% - Énfasis1 4" xfId="260" xr:uid="{00000000-0005-0000-0000-000008010000}"/>
    <cellStyle name="60% - Énfasis1 5" xfId="261" xr:uid="{00000000-0005-0000-0000-000009010000}"/>
    <cellStyle name="60% - Énfasis1 6" xfId="262" xr:uid="{00000000-0005-0000-0000-00000A010000}"/>
    <cellStyle name="60% - Énfasis1 7" xfId="263" xr:uid="{00000000-0005-0000-0000-00000B010000}"/>
    <cellStyle name="60% - Énfasis1 8" xfId="264" xr:uid="{00000000-0005-0000-0000-00000C010000}"/>
    <cellStyle name="60% - Énfasis1 9" xfId="265" xr:uid="{00000000-0005-0000-0000-00000D010000}"/>
    <cellStyle name="60% - Énfasis2 10" xfId="267" xr:uid="{00000000-0005-0000-0000-00000E010000}"/>
    <cellStyle name="60% - Énfasis2 11" xfId="268" xr:uid="{00000000-0005-0000-0000-00000F010000}"/>
    <cellStyle name="60% - Énfasis2 12" xfId="269" xr:uid="{00000000-0005-0000-0000-000010010000}"/>
    <cellStyle name="60% - Énfasis2 13" xfId="270" xr:uid="{00000000-0005-0000-0000-000011010000}"/>
    <cellStyle name="60% - Énfasis2 14" xfId="271" xr:uid="{00000000-0005-0000-0000-000012010000}"/>
    <cellStyle name="60% - Énfasis2 15" xfId="272" xr:uid="{00000000-0005-0000-0000-000013010000}"/>
    <cellStyle name="60% - Énfasis2 16" xfId="273" xr:uid="{00000000-0005-0000-0000-000014010000}"/>
    <cellStyle name="60% - Énfasis2 17" xfId="274" xr:uid="{00000000-0005-0000-0000-000015010000}"/>
    <cellStyle name="60% - Énfasis2 18" xfId="275" xr:uid="{00000000-0005-0000-0000-000016010000}"/>
    <cellStyle name="60% - Énfasis2 19" xfId="276" xr:uid="{00000000-0005-0000-0000-000017010000}"/>
    <cellStyle name="60% - Énfasis2 2" xfId="277" xr:uid="{00000000-0005-0000-0000-000018010000}"/>
    <cellStyle name="60% - Énfasis2 3" xfId="278" xr:uid="{00000000-0005-0000-0000-000019010000}"/>
    <cellStyle name="60% - Énfasis2 4" xfId="279" xr:uid="{00000000-0005-0000-0000-00001A010000}"/>
    <cellStyle name="60% - Énfasis2 5" xfId="280" xr:uid="{00000000-0005-0000-0000-00001B010000}"/>
    <cellStyle name="60% - Énfasis2 6" xfId="281" xr:uid="{00000000-0005-0000-0000-00001C010000}"/>
    <cellStyle name="60% - Énfasis2 7" xfId="282" xr:uid="{00000000-0005-0000-0000-00001D010000}"/>
    <cellStyle name="60% - Énfasis2 8" xfId="283" xr:uid="{00000000-0005-0000-0000-00001E010000}"/>
    <cellStyle name="60% - Énfasis2 9" xfId="284" xr:uid="{00000000-0005-0000-0000-00001F010000}"/>
    <cellStyle name="60% - Énfasis3 10" xfId="286" xr:uid="{00000000-0005-0000-0000-000020010000}"/>
    <cellStyle name="60% - Énfasis3 11" xfId="287" xr:uid="{00000000-0005-0000-0000-000021010000}"/>
    <cellStyle name="60% - Énfasis3 12" xfId="288" xr:uid="{00000000-0005-0000-0000-000022010000}"/>
    <cellStyle name="60% - Énfasis3 13" xfId="289" xr:uid="{00000000-0005-0000-0000-000023010000}"/>
    <cellStyle name="60% - Énfasis3 14" xfId="290" xr:uid="{00000000-0005-0000-0000-000024010000}"/>
    <cellStyle name="60% - Énfasis3 15" xfId="291" xr:uid="{00000000-0005-0000-0000-000025010000}"/>
    <cellStyle name="60% - Énfasis3 16" xfId="292" xr:uid="{00000000-0005-0000-0000-000026010000}"/>
    <cellStyle name="60% - Énfasis3 17" xfId="293" xr:uid="{00000000-0005-0000-0000-000027010000}"/>
    <cellStyle name="60% - Énfasis3 18" xfId="294" xr:uid="{00000000-0005-0000-0000-000028010000}"/>
    <cellStyle name="60% - Énfasis3 19" xfId="295" xr:uid="{00000000-0005-0000-0000-000029010000}"/>
    <cellStyle name="60% - Énfasis3 2" xfId="296" xr:uid="{00000000-0005-0000-0000-00002A010000}"/>
    <cellStyle name="60% - Énfasis3 3" xfId="297" xr:uid="{00000000-0005-0000-0000-00002B010000}"/>
    <cellStyle name="60% - Énfasis3 4" xfId="298" xr:uid="{00000000-0005-0000-0000-00002C010000}"/>
    <cellStyle name="60% - Énfasis3 5" xfId="299" xr:uid="{00000000-0005-0000-0000-00002D010000}"/>
    <cellStyle name="60% - Énfasis3 6" xfId="300" xr:uid="{00000000-0005-0000-0000-00002E010000}"/>
    <cellStyle name="60% - Énfasis3 7" xfId="301" xr:uid="{00000000-0005-0000-0000-00002F010000}"/>
    <cellStyle name="60% - Énfasis3 8" xfId="302" xr:uid="{00000000-0005-0000-0000-000030010000}"/>
    <cellStyle name="60% - Énfasis3 9" xfId="303" xr:uid="{00000000-0005-0000-0000-000031010000}"/>
    <cellStyle name="60% - Énfasis4 10" xfId="305" xr:uid="{00000000-0005-0000-0000-000032010000}"/>
    <cellStyle name="60% - Énfasis4 11" xfId="306" xr:uid="{00000000-0005-0000-0000-000033010000}"/>
    <cellStyle name="60% - Énfasis4 12" xfId="307" xr:uid="{00000000-0005-0000-0000-000034010000}"/>
    <cellStyle name="60% - Énfasis4 13" xfId="308" xr:uid="{00000000-0005-0000-0000-000035010000}"/>
    <cellStyle name="60% - Énfasis4 14" xfId="309" xr:uid="{00000000-0005-0000-0000-000036010000}"/>
    <cellStyle name="60% - Énfasis4 15" xfId="310" xr:uid="{00000000-0005-0000-0000-000037010000}"/>
    <cellStyle name="60% - Énfasis4 16" xfId="311" xr:uid="{00000000-0005-0000-0000-000038010000}"/>
    <cellStyle name="60% - Énfasis4 17" xfId="312" xr:uid="{00000000-0005-0000-0000-000039010000}"/>
    <cellStyle name="60% - Énfasis4 18" xfId="313" xr:uid="{00000000-0005-0000-0000-00003A010000}"/>
    <cellStyle name="60% - Énfasis4 19" xfId="314" xr:uid="{00000000-0005-0000-0000-00003B010000}"/>
    <cellStyle name="60% - Énfasis4 2" xfId="315" xr:uid="{00000000-0005-0000-0000-00003C010000}"/>
    <cellStyle name="60% - Énfasis4 3" xfId="316" xr:uid="{00000000-0005-0000-0000-00003D010000}"/>
    <cellStyle name="60% - Énfasis4 4" xfId="317" xr:uid="{00000000-0005-0000-0000-00003E010000}"/>
    <cellStyle name="60% - Énfasis4 5" xfId="318" xr:uid="{00000000-0005-0000-0000-00003F010000}"/>
    <cellStyle name="60% - Énfasis4 6" xfId="319" xr:uid="{00000000-0005-0000-0000-000040010000}"/>
    <cellStyle name="60% - Énfasis4 7" xfId="320" xr:uid="{00000000-0005-0000-0000-000041010000}"/>
    <cellStyle name="60% - Énfasis4 8" xfId="321" xr:uid="{00000000-0005-0000-0000-000042010000}"/>
    <cellStyle name="60% - Énfasis4 9" xfId="322" xr:uid="{00000000-0005-0000-0000-000043010000}"/>
    <cellStyle name="60% - Énfasis5 10" xfId="324" xr:uid="{00000000-0005-0000-0000-000044010000}"/>
    <cellStyle name="60% - Énfasis5 11" xfId="325" xr:uid="{00000000-0005-0000-0000-000045010000}"/>
    <cellStyle name="60% - Énfasis5 12" xfId="326" xr:uid="{00000000-0005-0000-0000-000046010000}"/>
    <cellStyle name="60% - Énfasis5 13" xfId="327" xr:uid="{00000000-0005-0000-0000-000047010000}"/>
    <cellStyle name="60% - Énfasis5 14" xfId="328" xr:uid="{00000000-0005-0000-0000-000048010000}"/>
    <cellStyle name="60% - Énfasis5 15" xfId="329" xr:uid="{00000000-0005-0000-0000-000049010000}"/>
    <cellStyle name="60% - Énfasis5 16" xfId="330" xr:uid="{00000000-0005-0000-0000-00004A010000}"/>
    <cellStyle name="60% - Énfasis5 17" xfId="331" xr:uid="{00000000-0005-0000-0000-00004B010000}"/>
    <cellStyle name="60% - Énfasis5 18" xfId="332" xr:uid="{00000000-0005-0000-0000-00004C010000}"/>
    <cellStyle name="60% - Énfasis5 19" xfId="333" xr:uid="{00000000-0005-0000-0000-00004D010000}"/>
    <cellStyle name="60% - Énfasis5 2" xfId="334" xr:uid="{00000000-0005-0000-0000-00004E010000}"/>
    <cellStyle name="60% - Énfasis5 3" xfId="335" xr:uid="{00000000-0005-0000-0000-00004F010000}"/>
    <cellStyle name="60% - Énfasis5 4" xfId="336" xr:uid="{00000000-0005-0000-0000-000050010000}"/>
    <cellStyle name="60% - Énfasis5 5" xfId="337" xr:uid="{00000000-0005-0000-0000-000051010000}"/>
    <cellStyle name="60% - Énfasis5 6" xfId="338" xr:uid="{00000000-0005-0000-0000-000052010000}"/>
    <cellStyle name="60% - Énfasis5 7" xfId="339" xr:uid="{00000000-0005-0000-0000-000053010000}"/>
    <cellStyle name="60% - Énfasis5 8" xfId="340" xr:uid="{00000000-0005-0000-0000-000054010000}"/>
    <cellStyle name="60% - Énfasis5 9" xfId="341" xr:uid="{00000000-0005-0000-0000-000055010000}"/>
    <cellStyle name="60% - Énfasis6 10" xfId="343" xr:uid="{00000000-0005-0000-0000-000056010000}"/>
    <cellStyle name="60% - Énfasis6 11" xfId="344" xr:uid="{00000000-0005-0000-0000-000057010000}"/>
    <cellStyle name="60% - Énfasis6 12" xfId="345" xr:uid="{00000000-0005-0000-0000-000058010000}"/>
    <cellStyle name="60% - Énfasis6 13" xfId="346" xr:uid="{00000000-0005-0000-0000-000059010000}"/>
    <cellStyle name="60% - Énfasis6 14" xfId="347" xr:uid="{00000000-0005-0000-0000-00005A010000}"/>
    <cellStyle name="60% - Énfasis6 15" xfId="348" xr:uid="{00000000-0005-0000-0000-00005B010000}"/>
    <cellStyle name="60% - Énfasis6 16" xfId="349" xr:uid="{00000000-0005-0000-0000-00005C010000}"/>
    <cellStyle name="60% - Énfasis6 17" xfId="350" xr:uid="{00000000-0005-0000-0000-00005D010000}"/>
    <cellStyle name="60% - Énfasis6 18" xfId="351" xr:uid="{00000000-0005-0000-0000-00005E010000}"/>
    <cellStyle name="60% - Énfasis6 19" xfId="352" xr:uid="{00000000-0005-0000-0000-00005F010000}"/>
    <cellStyle name="60% - Énfasis6 2" xfId="353" xr:uid="{00000000-0005-0000-0000-000060010000}"/>
    <cellStyle name="60% - Énfasis6 3" xfId="354" xr:uid="{00000000-0005-0000-0000-000061010000}"/>
    <cellStyle name="60% - Énfasis6 4" xfId="355" xr:uid="{00000000-0005-0000-0000-000062010000}"/>
    <cellStyle name="60% - Énfasis6 5" xfId="356" xr:uid="{00000000-0005-0000-0000-000063010000}"/>
    <cellStyle name="60% - Énfasis6 6" xfId="357" xr:uid="{00000000-0005-0000-0000-000064010000}"/>
    <cellStyle name="60% - Énfasis6 7" xfId="358" xr:uid="{00000000-0005-0000-0000-000065010000}"/>
    <cellStyle name="60% - Énfasis6 8" xfId="359" xr:uid="{00000000-0005-0000-0000-000066010000}"/>
    <cellStyle name="60% - Énfasis6 9" xfId="360" xr:uid="{00000000-0005-0000-0000-000067010000}"/>
    <cellStyle name="Accent1" xfId="462" xr:uid="{00000000-0005-0000-0000-000068010000}"/>
    <cellStyle name="Accent1 2" xfId="361" xr:uid="{00000000-0005-0000-0000-000069010000}"/>
    <cellStyle name="Accent2" xfId="481" xr:uid="{00000000-0005-0000-0000-00006A010000}"/>
    <cellStyle name="Accent2 2" xfId="362" xr:uid="{00000000-0005-0000-0000-00006B010000}"/>
    <cellStyle name="Accent3" xfId="500" xr:uid="{00000000-0005-0000-0000-00006C010000}"/>
    <cellStyle name="Accent3 2" xfId="363" xr:uid="{00000000-0005-0000-0000-00006D010000}"/>
    <cellStyle name="Accent4" xfId="519" xr:uid="{00000000-0005-0000-0000-00006E010000}"/>
    <cellStyle name="Accent4 2" xfId="364" xr:uid="{00000000-0005-0000-0000-00006F010000}"/>
    <cellStyle name="Accent5" xfId="538" xr:uid="{00000000-0005-0000-0000-000070010000}"/>
    <cellStyle name="Accent5 2" xfId="365" xr:uid="{00000000-0005-0000-0000-000071010000}"/>
    <cellStyle name="Accent6" xfId="557" xr:uid="{00000000-0005-0000-0000-000072010000}"/>
    <cellStyle name="Accent6 2" xfId="366" xr:uid="{00000000-0005-0000-0000-000073010000}"/>
    <cellStyle name="Bad" xfId="611" xr:uid="{00000000-0005-0000-0000-000074010000}"/>
    <cellStyle name="Bad 2" xfId="367" xr:uid="{00000000-0005-0000-0000-000075010000}"/>
    <cellStyle name="Buena 10" xfId="368" xr:uid="{00000000-0005-0000-0000-000076010000}"/>
    <cellStyle name="Buena 11" xfId="369" xr:uid="{00000000-0005-0000-0000-000077010000}"/>
    <cellStyle name="Buena 12" xfId="370" xr:uid="{00000000-0005-0000-0000-000078010000}"/>
    <cellStyle name="Buena 13" xfId="371" xr:uid="{00000000-0005-0000-0000-000079010000}"/>
    <cellStyle name="Buena 14" xfId="372" xr:uid="{00000000-0005-0000-0000-00007A010000}"/>
    <cellStyle name="Buena 15" xfId="373" xr:uid="{00000000-0005-0000-0000-00007B010000}"/>
    <cellStyle name="Buena 16" xfId="374" xr:uid="{00000000-0005-0000-0000-00007C010000}"/>
    <cellStyle name="Buena 17" xfId="375" xr:uid="{00000000-0005-0000-0000-00007D010000}"/>
    <cellStyle name="Buena 18" xfId="376" xr:uid="{00000000-0005-0000-0000-00007E010000}"/>
    <cellStyle name="Buena 19" xfId="377" xr:uid="{00000000-0005-0000-0000-00007F010000}"/>
    <cellStyle name="Buena 2" xfId="378" xr:uid="{00000000-0005-0000-0000-000080010000}"/>
    <cellStyle name="Buena 3" xfId="379" xr:uid="{00000000-0005-0000-0000-000081010000}"/>
    <cellStyle name="Buena 4" xfId="380" xr:uid="{00000000-0005-0000-0000-000082010000}"/>
    <cellStyle name="Buena 5" xfId="381" xr:uid="{00000000-0005-0000-0000-000083010000}"/>
    <cellStyle name="Buena 6" xfId="382" xr:uid="{00000000-0005-0000-0000-000084010000}"/>
    <cellStyle name="Buena 7" xfId="383" xr:uid="{00000000-0005-0000-0000-000085010000}"/>
    <cellStyle name="Buena 8" xfId="384" xr:uid="{00000000-0005-0000-0000-000086010000}"/>
    <cellStyle name="Buena 9" xfId="385" xr:uid="{00000000-0005-0000-0000-000087010000}"/>
    <cellStyle name="Calculation" xfId="387" xr:uid="{00000000-0005-0000-0000-000088010000}"/>
    <cellStyle name="Calculation 2" xfId="386" xr:uid="{00000000-0005-0000-0000-000089010000}"/>
    <cellStyle name="Cálculo 10" xfId="388" xr:uid="{00000000-0005-0000-0000-00008A010000}"/>
    <cellStyle name="Cálculo 11" xfId="389" xr:uid="{00000000-0005-0000-0000-00008B010000}"/>
    <cellStyle name="Cálculo 12" xfId="390" xr:uid="{00000000-0005-0000-0000-00008C010000}"/>
    <cellStyle name="Cálculo 13" xfId="391" xr:uid="{00000000-0005-0000-0000-00008D010000}"/>
    <cellStyle name="Cálculo 14" xfId="392" xr:uid="{00000000-0005-0000-0000-00008E010000}"/>
    <cellStyle name="Cálculo 15" xfId="393" xr:uid="{00000000-0005-0000-0000-00008F010000}"/>
    <cellStyle name="Cálculo 16" xfId="394" xr:uid="{00000000-0005-0000-0000-000090010000}"/>
    <cellStyle name="Cálculo 17" xfId="395" xr:uid="{00000000-0005-0000-0000-000091010000}"/>
    <cellStyle name="Cálculo 18" xfId="396" xr:uid="{00000000-0005-0000-0000-000092010000}"/>
    <cellStyle name="Cálculo 19" xfId="397" xr:uid="{00000000-0005-0000-0000-000093010000}"/>
    <cellStyle name="Cálculo 2" xfId="398" xr:uid="{00000000-0005-0000-0000-000094010000}"/>
    <cellStyle name="Cálculo 3" xfId="399" xr:uid="{00000000-0005-0000-0000-000095010000}"/>
    <cellStyle name="Cálculo 4" xfId="400" xr:uid="{00000000-0005-0000-0000-000096010000}"/>
    <cellStyle name="Cálculo 5" xfId="401" xr:uid="{00000000-0005-0000-0000-000097010000}"/>
    <cellStyle name="Cálculo 6" xfId="402" xr:uid="{00000000-0005-0000-0000-000098010000}"/>
    <cellStyle name="Cálculo 7" xfId="403" xr:uid="{00000000-0005-0000-0000-000099010000}"/>
    <cellStyle name="Cálculo 8" xfId="404" xr:uid="{00000000-0005-0000-0000-00009A010000}"/>
    <cellStyle name="Cálculo 9" xfId="405" xr:uid="{00000000-0005-0000-0000-00009B010000}"/>
    <cellStyle name="Celda de comprobación" xfId="442" builtinId="23" customBuiltin="1"/>
    <cellStyle name="Celda de comprobación 10" xfId="406" xr:uid="{00000000-0005-0000-0000-00009D010000}"/>
    <cellStyle name="Celda de comprobación 11" xfId="407" xr:uid="{00000000-0005-0000-0000-00009E010000}"/>
    <cellStyle name="Celda de comprobación 12" xfId="408" xr:uid="{00000000-0005-0000-0000-00009F010000}"/>
    <cellStyle name="Celda de comprobación 13" xfId="409" xr:uid="{00000000-0005-0000-0000-0000A0010000}"/>
    <cellStyle name="Celda de comprobación 14" xfId="410" xr:uid="{00000000-0005-0000-0000-0000A1010000}"/>
    <cellStyle name="Celda de comprobación 15" xfId="411" xr:uid="{00000000-0005-0000-0000-0000A2010000}"/>
    <cellStyle name="Celda de comprobación 16" xfId="412" xr:uid="{00000000-0005-0000-0000-0000A3010000}"/>
    <cellStyle name="Celda de comprobación 17" xfId="413" xr:uid="{00000000-0005-0000-0000-0000A4010000}"/>
    <cellStyle name="Celda de comprobación 18" xfId="414" xr:uid="{00000000-0005-0000-0000-0000A5010000}"/>
    <cellStyle name="Celda de comprobación 19" xfId="415" xr:uid="{00000000-0005-0000-0000-0000A6010000}"/>
    <cellStyle name="Celda de comprobación 2" xfId="416" xr:uid="{00000000-0005-0000-0000-0000A7010000}"/>
    <cellStyle name="Celda de comprobación 3" xfId="417" xr:uid="{00000000-0005-0000-0000-0000A8010000}"/>
    <cellStyle name="Celda de comprobación 4" xfId="418" xr:uid="{00000000-0005-0000-0000-0000A9010000}"/>
    <cellStyle name="Celda de comprobación 5" xfId="419" xr:uid="{00000000-0005-0000-0000-0000AA010000}"/>
    <cellStyle name="Celda de comprobación 6" xfId="420" xr:uid="{00000000-0005-0000-0000-0000AB010000}"/>
    <cellStyle name="Celda de comprobación 7" xfId="421" xr:uid="{00000000-0005-0000-0000-0000AC010000}"/>
    <cellStyle name="Celda de comprobación 8" xfId="422" xr:uid="{00000000-0005-0000-0000-0000AD010000}"/>
    <cellStyle name="Celda de comprobación 9" xfId="423" xr:uid="{00000000-0005-0000-0000-0000AE010000}"/>
    <cellStyle name="Celda vinculada" xfId="632" builtinId="24" customBuiltin="1"/>
    <cellStyle name="Celda vinculada 10" xfId="424" xr:uid="{00000000-0005-0000-0000-0000B0010000}"/>
    <cellStyle name="Celda vinculada 11" xfId="425" xr:uid="{00000000-0005-0000-0000-0000B1010000}"/>
    <cellStyle name="Celda vinculada 12" xfId="426" xr:uid="{00000000-0005-0000-0000-0000B2010000}"/>
    <cellStyle name="Celda vinculada 13" xfId="427" xr:uid="{00000000-0005-0000-0000-0000B3010000}"/>
    <cellStyle name="Celda vinculada 14" xfId="428" xr:uid="{00000000-0005-0000-0000-0000B4010000}"/>
    <cellStyle name="Celda vinculada 15" xfId="429" xr:uid="{00000000-0005-0000-0000-0000B5010000}"/>
    <cellStyle name="Celda vinculada 16" xfId="430" xr:uid="{00000000-0005-0000-0000-0000B6010000}"/>
    <cellStyle name="Celda vinculada 17" xfId="431" xr:uid="{00000000-0005-0000-0000-0000B7010000}"/>
    <cellStyle name="Celda vinculada 18" xfId="432" xr:uid="{00000000-0005-0000-0000-0000B8010000}"/>
    <cellStyle name="Celda vinculada 19" xfId="433" xr:uid="{00000000-0005-0000-0000-0000B9010000}"/>
    <cellStyle name="Celda vinculada 2" xfId="434" xr:uid="{00000000-0005-0000-0000-0000BA010000}"/>
    <cellStyle name="Celda vinculada 3" xfId="435" xr:uid="{00000000-0005-0000-0000-0000BB010000}"/>
    <cellStyle name="Celda vinculada 4" xfId="436" xr:uid="{00000000-0005-0000-0000-0000BC010000}"/>
    <cellStyle name="Celda vinculada 5" xfId="437" xr:uid="{00000000-0005-0000-0000-0000BD010000}"/>
    <cellStyle name="Celda vinculada 6" xfId="438" xr:uid="{00000000-0005-0000-0000-0000BE010000}"/>
    <cellStyle name="Celda vinculada 7" xfId="439" xr:uid="{00000000-0005-0000-0000-0000BF010000}"/>
    <cellStyle name="Celda vinculada 8" xfId="440" xr:uid="{00000000-0005-0000-0000-0000C0010000}"/>
    <cellStyle name="Celda vinculada 9" xfId="441" xr:uid="{00000000-0005-0000-0000-0000C1010000}"/>
    <cellStyle name="Check Cell 2" xfId="443" xr:uid="{00000000-0005-0000-0000-0000C2010000}"/>
    <cellStyle name="Encabezado 4" xfId="608" builtinId="19" customBuiltin="1"/>
    <cellStyle name="Encabezado 4 10" xfId="444" xr:uid="{00000000-0005-0000-0000-0000C4010000}"/>
    <cellStyle name="Encabezado 4 11" xfId="445" xr:uid="{00000000-0005-0000-0000-0000C5010000}"/>
    <cellStyle name="Encabezado 4 12" xfId="446" xr:uid="{00000000-0005-0000-0000-0000C6010000}"/>
    <cellStyle name="Encabezado 4 13" xfId="447" xr:uid="{00000000-0005-0000-0000-0000C7010000}"/>
    <cellStyle name="Encabezado 4 14" xfId="448" xr:uid="{00000000-0005-0000-0000-0000C8010000}"/>
    <cellStyle name="Encabezado 4 15" xfId="449" xr:uid="{00000000-0005-0000-0000-0000C9010000}"/>
    <cellStyle name="Encabezado 4 16" xfId="450" xr:uid="{00000000-0005-0000-0000-0000CA010000}"/>
    <cellStyle name="Encabezado 4 17" xfId="451" xr:uid="{00000000-0005-0000-0000-0000CB010000}"/>
    <cellStyle name="Encabezado 4 18" xfId="452" xr:uid="{00000000-0005-0000-0000-0000CC010000}"/>
    <cellStyle name="Encabezado 4 19" xfId="453" xr:uid="{00000000-0005-0000-0000-0000CD010000}"/>
    <cellStyle name="Encabezado 4 2" xfId="454" xr:uid="{00000000-0005-0000-0000-0000CE010000}"/>
    <cellStyle name="Encabezado 4 3" xfId="455" xr:uid="{00000000-0005-0000-0000-0000CF010000}"/>
    <cellStyle name="Encabezado 4 4" xfId="456" xr:uid="{00000000-0005-0000-0000-0000D0010000}"/>
    <cellStyle name="Encabezado 4 5" xfId="457" xr:uid="{00000000-0005-0000-0000-0000D1010000}"/>
    <cellStyle name="Encabezado 4 6" xfId="458" xr:uid="{00000000-0005-0000-0000-0000D2010000}"/>
    <cellStyle name="Encabezado 4 7" xfId="459" xr:uid="{00000000-0005-0000-0000-0000D3010000}"/>
    <cellStyle name="Encabezado 4 8" xfId="460" xr:uid="{00000000-0005-0000-0000-0000D4010000}"/>
    <cellStyle name="Encabezado 4 9" xfId="461" xr:uid="{00000000-0005-0000-0000-0000D5010000}"/>
    <cellStyle name="Énfasis1 10" xfId="463" xr:uid="{00000000-0005-0000-0000-0000D6010000}"/>
    <cellStyle name="Énfasis1 11" xfId="464" xr:uid="{00000000-0005-0000-0000-0000D7010000}"/>
    <cellStyle name="Énfasis1 12" xfId="465" xr:uid="{00000000-0005-0000-0000-0000D8010000}"/>
    <cellStyle name="Énfasis1 13" xfId="466" xr:uid="{00000000-0005-0000-0000-0000D9010000}"/>
    <cellStyle name="Énfasis1 14" xfId="467" xr:uid="{00000000-0005-0000-0000-0000DA010000}"/>
    <cellStyle name="Énfasis1 15" xfId="468" xr:uid="{00000000-0005-0000-0000-0000DB010000}"/>
    <cellStyle name="Énfasis1 16" xfId="469" xr:uid="{00000000-0005-0000-0000-0000DC010000}"/>
    <cellStyle name="Énfasis1 17" xfId="470" xr:uid="{00000000-0005-0000-0000-0000DD010000}"/>
    <cellStyle name="Énfasis1 18" xfId="471" xr:uid="{00000000-0005-0000-0000-0000DE010000}"/>
    <cellStyle name="Énfasis1 19" xfId="472" xr:uid="{00000000-0005-0000-0000-0000DF010000}"/>
    <cellStyle name="Énfasis1 2" xfId="473" xr:uid="{00000000-0005-0000-0000-0000E0010000}"/>
    <cellStyle name="Énfasis1 3" xfId="474" xr:uid="{00000000-0005-0000-0000-0000E1010000}"/>
    <cellStyle name="Énfasis1 4" xfId="475" xr:uid="{00000000-0005-0000-0000-0000E2010000}"/>
    <cellStyle name="Énfasis1 5" xfId="476" xr:uid="{00000000-0005-0000-0000-0000E3010000}"/>
    <cellStyle name="Énfasis1 6" xfId="477" xr:uid="{00000000-0005-0000-0000-0000E4010000}"/>
    <cellStyle name="Énfasis1 7" xfId="478" xr:uid="{00000000-0005-0000-0000-0000E5010000}"/>
    <cellStyle name="Énfasis1 8" xfId="479" xr:uid="{00000000-0005-0000-0000-0000E6010000}"/>
    <cellStyle name="Énfasis1 9" xfId="480" xr:uid="{00000000-0005-0000-0000-0000E7010000}"/>
    <cellStyle name="Énfasis2 10" xfId="482" xr:uid="{00000000-0005-0000-0000-0000E8010000}"/>
    <cellStyle name="Énfasis2 11" xfId="483" xr:uid="{00000000-0005-0000-0000-0000E9010000}"/>
    <cellStyle name="Énfasis2 12" xfId="484" xr:uid="{00000000-0005-0000-0000-0000EA010000}"/>
    <cellStyle name="Énfasis2 13" xfId="485" xr:uid="{00000000-0005-0000-0000-0000EB010000}"/>
    <cellStyle name="Énfasis2 14" xfId="486" xr:uid="{00000000-0005-0000-0000-0000EC010000}"/>
    <cellStyle name="Énfasis2 15" xfId="487" xr:uid="{00000000-0005-0000-0000-0000ED010000}"/>
    <cellStyle name="Énfasis2 16" xfId="488" xr:uid="{00000000-0005-0000-0000-0000EE010000}"/>
    <cellStyle name="Énfasis2 17" xfId="489" xr:uid="{00000000-0005-0000-0000-0000EF010000}"/>
    <cellStyle name="Énfasis2 18" xfId="490" xr:uid="{00000000-0005-0000-0000-0000F0010000}"/>
    <cellStyle name="Énfasis2 19" xfId="491" xr:uid="{00000000-0005-0000-0000-0000F1010000}"/>
    <cellStyle name="Énfasis2 2" xfId="492" xr:uid="{00000000-0005-0000-0000-0000F2010000}"/>
    <cellStyle name="Énfasis2 3" xfId="493" xr:uid="{00000000-0005-0000-0000-0000F3010000}"/>
    <cellStyle name="Énfasis2 4" xfId="494" xr:uid="{00000000-0005-0000-0000-0000F4010000}"/>
    <cellStyle name="Énfasis2 5" xfId="495" xr:uid="{00000000-0005-0000-0000-0000F5010000}"/>
    <cellStyle name="Énfasis2 6" xfId="496" xr:uid="{00000000-0005-0000-0000-0000F6010000}"/>
    <cellStyle name="Énfasis2 7" xfId="497" xr:uid="{00000000-0005-0000-0000-0000F7010000}"/>
    <cellStyle name="Énfasis2 8" xfId="498" xr:uid="{00000000-0005-0000-0000-0000F8010000}"/>
    <cellStyle name="Énfasis2 9" xfId="499" xr:uid="{00000000-0005-0000-0000-0000F9010000}"/>
    <cellStyle name="Énfasis3 10" xfId="501" xr:uid="{00000000-0005-0000-0000-0000FA010000}"/>
    <cellStyle name="Énfasis3 11" xfId="502" xr:uid="{00000000-0005-0000-0000-0000FB010000}"/>
    <cellStyle name="Énfasis3 12" xfId="503" xr:uid="{00000000-0005-0000-0000-0000FC010000}"/>
    <cellStyle name="Énfasis3 13" xfId="504" xr:uid="{00000000-0005-0000-0000-0000FD010000}"/>
    <cellStyle name="Énfasis3 14" xfId="505" xr:uid="{00000000-0005-0000-0000-0000FE010000}"/>
    <cellStyle name="Énfasis3 15" xfId="506" xr:uid="{00000000-0005-0000-0000-0000FF010000}"/>
    <cellStyle name="Énfasis3 16" xfId="507" xr:uid="{00000000-0005-0000-0000-000000020000}"/>
    <cellStyle name="Énfasis3 17" xfId="508" xr:uid="{00000000-0005-0000-0000-000001020000}"/>
    <cellStyle name="Énfasis3 18" xfId="509" xr:uid="{00000000-0005-0000-0000-000002020000}"/>
    <cellStyle name="Énfasis3 19" xfId="510" xr:uid="{00000000-0005-0000-0000-000003020000}"/>
    <cellStyle name="Énfasis3 2" xfId="511" xr:uid="{00000000-0005-0000-0000-000004020000}"/>
    <cellStyle name="Énfasis3 3" xfId="512" xr:uid="{00000000-0005-0000-0000-000005020000}"/>
    <cellStyle name="Énfasis3 4" xfId="513" xr:uid="{00000000-0005-0000-0000-000006020000}"/>
    <cellStyle name="Énfasis3 5" xfId="514" xr:uid="{00000000-0005-0000-0000-000007020000}"/>
    <cellStyle name="Énfasis3 6" xfId="515" xr:uid="{00000000-0005-0000-0000-000008020000}"/>
    <cellStyle name="Énfasis3 7" xfId="516" xr:uid="{00000000-0005-0000-0000-000009020000}"/>
    <cellStyle name="Énfasis3 8" xfId="517" xr:uid="{00000000-0005-0000-0000-00000A020000}"/>
    <cellStyle name="Énfasis3 9" xfId="518" xr:uid="{00000000-0005-0000-0000-00000B020000}"/>
    <cellStyle name="Énfasis4 10" xfId="520" xr:uid="{00000000-0005-0000-0000-00000C020000}"/>
    <cellStyle name="Énfasis4 11" xfId="521" xr:uid="{00000000-0005-0000-0000-00000D020000}"/>
    <cellStyle name="Énfasis4 12" xfId="522" xr:uid="{00000000-0005-0000-0000-00000E020000}"/>
    <cellStyle name="Énfasis4 13" xfId="523" xr:uid="{00000000-0005-0000-0000-00000F020000}"/>
    <cellStyle name="Énfasis4 14" xfId="524" xr:uid="{00000000-0005-0000-0000-000010020000}"/>
    <cellStyle name="Énfasis4 15" xfId="525" xr:uid="{00000000-0005-0000-0000-000011020000}"/>
    <cellStyle name="Énfasis4 16" xfId="526" xr:uid="{00000000-0005-0000-0000-000012020000}"/>
    <cellStyle name="Énfasis4 17" xfId="527" xr:uid="{00000000-0005-0000-0000-000013020000}"/>
    <cellStyle name="Énfasis4 18" xfId="528" xr:uid="{00000000-0005-0000-0000-000014020000}"/>
    <cellStyle name="Énfasis4 19" xfId="529" xr:uid="{00000000-0005-0000-0000-000015020000}"/>
    <cellStyle name="Énfasis4 2" xfId="530" xr:uid="{00000000-0005-0000-0000-000016020000}"/>
    <cellStyle name="Énfasis4 3" xfId="531" xr:uid="{00000000-0005-0000-0000-000017020000}"/>
    <cellStyle name="Énfasis4 4" xfId="532" xr:uid="{00000000-0005-0000-0000-000018020000}"/>
    <cellStyle name="Énfasis4 5" xfId="533" xr:uid="{00000000-0005-0000-0000-000019020000}"/>
    <cellStyle name="Énfasis4 6" xfId="534" xr:uid="{00000000-0005-0000-0000-00001A020000}"/>
    <cellStyle name="Énfasis4 7" xfId="535" xr:uid="{00000000-0005-0000-0000-00001B020000}"/>
    <cellStyle name="Énfasis4 8" xfId="536" xr:uid="{00000000-0005-0000-0000-00001C020000}"/>
    <cellStyle name="Énfasis4 9" xfId="537" xr:uid="{00000000-0005-0000-0000-00001D020000}"/>
    <cellStyle name="Énfasis5 10" xfId="539" xr:uid="{00000000-0005-0000-0000-00001E020000}"/>
    <cellStyle name="Énfasis5 11" xfId="540" xr:uid="{00000000-0005-0000-0000-00001F020000}"/>
    <cellStyle name="Énfasis5 12" xfId="541" xr:uid="{00000000-0005-0000-0000-000020020000}"/>
    <cellStyle name="Énfasis5 13" xfId="542" xr:uid="{00000000-0005-0000-0000-000021020000}"/>
    <cellStyle name="Énfasis5 14" xfId="543" xr:uid="{00000000-0005-0000-0000-000022020000}"/>
    <cellStyle name="Énfasis5 15" xfId="544" xr:uid="{00000000-0005-0000-0000-000023020000}"/>
    <cellStyle name="Énfasis5 16" xfId="545" xr:uid="{00000000-0005-0000-0000-000024020000}"/>
    <cellStyle name="Énfasis5 17" xfId="546" xr:uid="{00000000-0005-0000-0000-000025020000}"/>
    <cellStyle name="Énfasis5 18" xfId="547" xr:uid="{00000000-0005-0000-0000-000026020000}"/>
    <cellStyle name="Énfasis5 19" xfId="548" xr:uid="{00000000-0005-0000-0000-000027020000}"/>
    <cellStyle name="Énfasis5 2" xfId="549" xr:uid="{00000000-0005-0000-0000-000028020000}"/>
    <cellStyle name="Énfasis5 3" xfId="550" xr:uid="{00000000-0005-0000-0000-000029020000}"/>
    <cellStyle name="Énfasis5 4" xfId="551" xr:uid="{00000000-0005-0000-0000-00002A020000}"/>
    <cellStyle name="Énfasis5 5" xfId="552" xr:uid="{00000000-0005-0000-0000-00002B020000}"/>
    <cellStyle name="Énfasis5 6" xfId="553" xr:uid="{00000000-0005-0000-0000-00002C020000}"/>
    <cellStyle name="Énfasis5 7" xfId="554" xr:uid="{00000000-0005-0000-0000-00002D020000}"/>
    <cellStyle name="Énfasis5 8" xfId="555" xr:uid="{00000000-0005-0000-0000-00002E020000}"/>
    <cellStyle name="Énfasis5 9" xfId="556" xr:uid="{00000000-0005-0000-0000-00002F020000}"/>
    <cellStyle name="Énfasis6 10" xfId="558" xr:uid="{00000000-0005-0000-0000-000030020000}"/>
    <cellStyle name="Énfasis6 11" xfId="559" xr:uid="{00000000-0005-0000-0000-000031020000}"/>
    <cellStyle name="Énfasis6 12" xfId="560" xr:uid="{00000000-0005-0000-0000-000032020000}"/>
    <cellStyle name="Énfasis6 13" xfId="561" xr:uid="{00000000-0005-0000-0000-000033020000}"/>
    <cellStyle name="Énfasis6 14" xfId="562" xr:uid="{00000000-0005-0000-0000-000034020000}"/>
    <cellStyle name="Énfasis6 15" xfId="563" xr:uid="{00000000-0005-0000-0000-000035020000}"/>
    <cellStyle name="Énfasis6 16" xfId="564" xr:uid="{00000000-0005-0000-0000-000036020000}"/>
    <cellStyle name="Énfasis6 17" xfId="565" xr:uid="{00000000-0005-0000-0000-000037020000}"/>
    <cellStyle name="Énfasis6 18" xfId="566" xr:uid="{00000000-0005-0000-0000-000038020000}"/>
    <cellStyle name="Énfasis6 19" xfId="567" xr:uid="{00000000-0005-0000-0000-000039020000}"/>
    <cellStyle name="Énfasis6 2" xfId="568" xr:uid="{00000000-0005-0000-0000-00003A020000}"/>
    <cellStyle name="Énfasis6 3" xfId="569" xr:uid="{00000000-0005-0000-0000-00003B020000}"/>
    <cellStyle name="Énfasis6 4" xfId="570" xr:uid="{00000000-0005-0000-0000-00003C020000}"/>
    <cellStyle name="Énfasis6 5" xfId="571" xr:uid="{00000000-0005-0000-0000-00003D020000}"/>
    <cellStyle name="Énfasis6 6" xfId="572" xr:uid="{00000000-0005-0000-0000-00003E020000}"/>
    <cellStyle name="Énfasis6 7" xfId="573" xr:uid="{00000000-0005-0000-0000-00003F020000}"/>
    <cellStyle name="Énfasis6 8" xfId="574" xr:uid="{00000000-0005-0000-0000-000040020000}"/>
    <cellStyle name="Énfasis6 9" xfId="575" xr:uid="{00000000-0005-0000-0000-000041020000}"/>
    <cellStyle name="Entrada" xfId="630" builtinId="20" customBuiltin="1"/>
    <cellStyle name="Entrada 10" xfId="576" xr:uid="{00000000-0005-0000-0000-000043020000}"/>
    <cellStyle name="Entrada 11" xfId="577" xr:uid="{00000000-0005-0000-0000-000044020000}"/>
    <cellStyle name="Entrada 12" xfId="578" xr:uid="{00000000-0005-0000-0000-000045020000}"/>
    <cellStyle name="Entrada 13" xfId="579" xr:uid="{00000000-0005-0000-0000-000046020000}"/>
    <cellStyle name="Entrada 14" xfId="580" xr:uid="{00000000-0005-0000-0000-000047020000}"/>
    <cellStyle name="Entrada 15" xfId="581" xr:uid="{00000000-0005-0000-0000-000048020000}"/>
    <cellStyle name="Entrada 16" xfId="582" xr:uid="{00000000-0005-0000-0000-000049020000}"/>
    <cellStyle name="Entrada 17" xfId="583" xr:uid="{00000000-0005-0000-0000-00004A020000}"/>
    <cellStyle name="Entrada 18" xfId="584" xr:uid="{00000000-0005-0000-0000-00004B020000}"/>
    <cellStyle name="Entrada 19" xfId="585" xr:uid="{00000000-0005-0000-0000-00004C020000}"/>
    <cellStyle name="Entrada 2" xfId="586" xr:uid="{00000000-0005-0000-0000-00004D020000}"/>
    <cellStyle name="Entrada 3" xfId="587" xr:uid="{00000000-0005-0000-0000-00004E020000}"/>
    <cellStyle name="Entrada 4" xfId="588" xr:uid="{00000000-0005-0000-0000-00004F020000}"/>
    <cellStyle name="Entrada 5" xfId="589" xr:uid="{00000000-0005-0000-0000-000050020000}"/>
    <cellStyle name="Entrada 6" xfId="590" xr:uid="{00000000-0005-0000-0000-000051020000}"/>
    <cellStyle name="Entrada 7" xfId="591" xr:uid="{00000000-0005-0000-0000-000052020000}"/>
    <cellStyle name="Entrada 8" xfId="592" xr:uid="{00000000-0005-0000-0000-000053020000}"/>
    <cellStyle name="Entrada 9" xfId="593" xr:uid="{00000000-0005-0000-0000-000054020000}"/>
    <cellStyle name="Euro" xfId="594" xr:uid="{00000000-0005-0000-0000-000055020000}"/>
    <cellStyle name="Euro 2" xfId="595" xr:uid="{00000000-0005-0000-0000-000056020000}"/>
    <cellStyle name="Euro 2 2" xfId="596" xr:uid="{00000000-0005-0000-0000-000057020000}"/>
    <cellStyle name="Euro 2 2 2" xfId="896" xr:uid="{00000000-0005-0000-0000-000058020000}"/>
    <cellStyle name="Euro 2 2 2 2" xfId="954" xr:uid="{00000000-0005-0000-0000-000059020000}"/>
    <cellStyle name="Euro 2 2 2 2 2" xfId="980" xr:uid="{00000000-0005-0000-0000-00005A020000}"/>
    <cellStyle name="Euro 2 2 2 2 2 2" xfId="1032" xr:uid="{00000000-0005-0000-0000-00005B020000}"/>
    <cellStyle name="Euro 2 2 2 2 3" xfId="1006" xr:uid="{00000000-0005-0000-0000-00005C020000}"/>
    <cellStyle name="Euro 2 2 2 3" xfId="967" xr:uid="{00000000-0005-0000-0000-00005D020000}"/>
    <cellStyle name="Euro 2 2 2 3 2" xfId="1019" xr:uid="{00000000-0005-0000-0000-00005E020000}"/>
    <cellStyle name="Euro 2 2 2 4" xfId="993" xr:uid="{00000000-0005-0000-0000-00005F020000}"/>
    <cellStyle name="Euro 2 2 3" xfId="948" xr:uid="{00000000-0005-0000-0000-000060020000}"/>
    <cellStyle name="Euro 2 2 3 2" xfId="974" xr:uid="{00000000-0005-0000-0000-000061020000}"/>
    <cellStyle name="Euro 2 2 3 2 2" xfId="1026" xr:uid="{00000000-0005-0000-0000-000062020000}"/>
    <cellStyle name="Euro 2 2 3 3" xfId="1000" xr:uid="{00000000-0005-0000-0000-000063020000}"/>
    <cellStyle name="Euro 2 2 4" xfId="961" xr:uid="{00000000-0005-0000-0000-000064020000}"/>
    <cellStyle name="Euro 2 2 4 2" xfId="1013" xr:uid="{00000000-0005-0000-0000-000065020000}"/>
    <cellStyle name="Euro 2 2 5" xfId="987" xr:uid="{00000000-0005-0000-0000-000066020000}"/>
    <cellStyle name="Euro 2 3" xfId="895" xr:uid="{00000000-0005-0000-0000-000067020000}"/>
    <cellStyle name="Euro 2 3 2" xfId="953" xr:uid="{00000000-0005-0000-0000-000068020000}"/>
    <cellStyle name="Euro 2 3 2 2" xfId="979" xr:uid="{00000000-0005-0000-0000-000069020000}"/>
    <cellStyle name="Euro 2 3 2 2 2" xfId="1031" xr:uid="{00000000-0005-0000-0000-00006A020000}"/>
    <cellStyle name="Euro 2 3 2 3" xfId="1005" xr:uid="{00000000-0005-0000-0000-00006B020000}"/>
    <cellStyle name="Euro 2 3 3" xfId="966" xr:uid="{00000000-0005-0000-0000-00006C020000}"/>
    <cellStyle name="Euro 2 3 3 2" xfId="1018" xr:uid="{00000000-0005-0000-0000-00006D020000}"/>
    <cellStyle name="Euro 2 3 4" xfId="992" xr:uid="{00000000-0005-0000-0000-00006E020000}"/>
    <cellStyle name="Euro 2 4" xfId="947" xr:uid="{00000000-0005-0000-0000-00006F020000}"/>
    <cellStyle name="Euro 2 4 2" xfId="973" xr:uid="{00000000-0005-0000-0000-000070020000}"/>
    <cellStyle name="Euro 2 4 2 2" xfId="1025" xr:uid="{00000000-0005-0000-0000-000071020000}"/>
    <cellStyle name="Euro 2 4 3" xfId="999" xr:uid="{00000000-0005-0000-0000-000072020000}"/>
    <cellStyle name="Euro 2 5" xfId="960" xr:uid="{00000000-0005-0000-0000-000073020000}"/>
    <cellStyle name="Euro 2 5 2" xfId="1012" xr:uid="{00000000-0005-0000-0000-000074020000}"/>
    <cellStyle name="Euro 2 6" xfId="986" xr:uid="{00000000-0005-0000-0000-000075020000}"/>
    <cellStyle name="Euro 3" xfId="597" xr:uid="{00000000-0005-0000-0000-000076020000}"/>
    <cellStyle name="Euro 3 2" xfId="598" xr:uid="{00000000-0005-0000-0000-000077020000}"/>
    <cellStyle name="Euro 3 2 2" xfId="898" xr:uid="{00000000-0005-0000-0000-000078020000}"/>
    <cellStyle name="Euro 3 2 2 2" xfId="956" xr:uid="{00000000-0005-0000-0000-000079020000}"/>
    <cellStyle name="Euro 3 2 2 2 2" xfId="982" xr:uid="{00000000-0005-0000-0000-00007A020000}"/>
    <cellStyle name="Euro 3 2 2 2 2 2" xfId="1034" xr:uid="{00000000-0005-0000-0000-00007B020000}"/>
    <cellStyle name="Euro 3 2 2 2 3" xfId="1008" xr:uid="{00000000-0005-0000-0000-00007C020000}"/>
    <cellStyle name="Euro 3 2 2 3" xfId="969" xr:uid="{00000000-0005-0000-0000-00007D020000}"/>
    <cellStyle name="Euro 3 2 2 3 2" xfId="1021" xr:uid="{00000000-0005-0000-0000-00007E020000}"/>
    <cellStyle name="Euro 3 2 2 4" xfId="995" xr:uid="{00000000-0005-0000-0000-00007F020000}"/>
    <cellStyle name="Euro 3 2 3" xfId="950" xr:uid="{00000000-0005-0000-0000-000080020000}"/>
    <cellStyle name="Euro 3 2 3 2" xfId="976" xr:uid="{00000000-0005-0000-0000-000081020000}"/>
    <cellStyle name="Euro 3 2 3 2 2" xfId="1028" xr:uid="{00000000-0005-0000-0000-000082020000}"/>
    <cellStyle name="Euro 3 2 3 3" xfId="1002" xr:uid="{00000000-0005-0000-0000-000083020000}"/>
    <cellStyle name="Euro 3 2 4" xfId="963" xr:uid="{00000000-0005-0000-0000-000084020000}"/>
    <cellStyle name="Euro 3 2 4 2" xfId="1015" xr:uid="{00000000-0005-0000-0000-000085020000}"/>
    <cellStyle name="Euro 3 2 5" xfId="989" xr:uid="{00000000-0005-0000-0000-000086020000}"/>
    <cellStyle name="Euro 3 3" xfId="897" xr:uid="{00000000-0005-0000-0000-000087020000}"/>
    <cellStyle name="Euro 3 3 2" xfId="955" xr:uid="{00000000-0005-0000-0000-000088020000}"/>
    <cellStyle name="Euro 3 3 2 2" xfId="981" xr:uid="{00000000-0005-0000-0000-000089020000}"/>
    <cellStyle name="Euro 3 3 2 2 2" xfId="1033" xr:uid="{00000000-0005-0000-0000-00008A020000}"/>
    <cellStyle name="Euro 3 3 2 3" xfId="1007" xr:uid="{00000000-0005-0000-0000-00008B020000}"/>
    <cellStyle name="Euro 3 3 3" xfId="968" xr:uid="{00000000-0005-0000-0000-00008C020000}"/>
    <cellStyle name="Euro 3 3 3 2" xfId="1020" xr:uid="{00000000-0005-0000-0000-00008D020000}"/>
    <cellStyle name="Euro 3 3 4" xfId="994" xr:uid="{00000000-0005-0000-0000-00008E020000}"/>
    <cellStyle name="Euro 3 4" xfId="949" xr:uid="{00000000-0005-0000-0000-00008F020000}"/>
    <cellStyle name="Euro 3 4 2" xfId="975" xr:uid="{00000000-0005-0000-0000-000090020000}"/>
    <cellStyle name="Euro 3 4 2 2" xfId="1027" xr:uid="{00000000-0005-0000-0000-000091020000}"/>
    <cellStyle name="Euro 3 4 3" xfId="1001" xr:uid="{00000000-0005-0000-0000-000092020000}"/>
    <cellStyle name="Euro 3 5" xfId="962" xr:uid="{00000000-0005-0000-0000-000093020000}"/>
    <cellStyle name="Euro 3 5 2" xfId="1014" xr:uid="{00000000-0005-0000-0000-000094020000}"/>
    <cellStyle name="Euro 3 6" xfId="988" xr:uid="{00000000-0005-0000-0000-000095020000}"/>
    <cellStyle name="Euro 4" xfId="599" xr:uid="{00000000-0005-0000-0000-000096020000}"/>
    <cellStyle name="Euro 4 2" xfId="899" xr:uid="{00000000-0005-0000-0000-000097020000}"/>
    <cellStyle name="Euro 4 2 2" xfId="957" xr:uid="{00000000-0005-0000-0000-000098020000}"/>
    <cellStyle name="Euro 4 2 2 2" xfId="983" xr:uid="{00000000-0005-0000-0000-000099020000}"/>
    <cellStyle name="Euro 4 2 2 2 2" xfId="1035" xr:uid="{00000000-0005-0000-0000-00009A020000}"/>
    <cellStyle name="Euro 4 2 2 3" xfId="1009" xr:uid="{00000000-0005-0000-0000-00009B020000}"/>
    <cellStyle name="Euro 4 2 3" xfId="970" xr:uid="{00000000-0005-0000-0000-00009C020000}"/>
    <cellStyle name="Euro 4 2 3 2" xfId="1022" xr:uid="{00000000-0005-0000-0000-00009D020000}"/>
    <cellStyle name="Euro 4 2 4" xfId="996" xr:uid="{00000000-0005-0000-0000-00009E020000}"/>
    <cellStyle name="Euro 4 3" xfId="951" xr:uid="{00000000-0005-0000-0000-00009F020000}"/>
    <cellStyle name="Euro 4 3 2" xfId="977" xr:uid="{00000000-0005-0000-0000-0000A0020000}"/>
    <cellStyle name="Euro 4 3 2 2" xfId="1029" xr:uid="{00000000-0005-0000-0000-0000A1020000}"/>
    <cellStyle name="Euro 4 3 3" xfId="1003" xr:uid="{00000000-0005-0000-0000-0000A2020000}"/>
    <cellStyle name="Euro 4 4" xfId="964" xr:uid="{00000000-0005-0000-0000-0000A3020000}"/>
    <cellStyle name="Euro 4 4 2" xfId="1016" xr:uid="{00000000-0005-0000-0000-0000A4020000}"/>
    <cellStyle name="Euro 4 5" xfId="990" xr:uid="{00000000-0005-0000-0000-0000A5020000}"/>
    <cellStyle name="Euro 5" xfId="600" xr:uid="{00000000-0005-0000-0000-0000A6020000}"/>
    <cellStyle name="Euro 5 2" xfId="900" xr:uid="{00000000-0005-0000-0000-0000A7020000}"/>
    <cellStyle name="Euro 5 2 2" xfId="958" xr:uid="{00000000-0005-0000-0000-0000A8020000}"/>
    <cellStyle name="Euro 5 2 2 2" xfId="984" xr:uid="{00000000-0005-0000-0000-0000A9020000}"/>
    <cellStyle name="Euro 5 2 2 2 2" xfId="1036" xr:uid="{00000000-0005-0000-0000-0000AA020000}"/>
    <cellStyle name="Euro 5 2 2 3" xfId="1010" xr:uid="{00000000-0005-0000-0000-0000AB020000}"/>
    <cellStyle name="Euro 5 2 3" xfId="971" xr:uid="{00000000-0005-0000-0000-0000AC020000}"/>
    <cellStyle name="Euro 5 2 3 2" xfId="1023" xr:uid="{00000000-0005-0000-0000-0000AD020000}"/>
    <cellStyle name="Euro 5 2 4" xfId="997" xr:uid="{00000000-0005-0000-0000-0000AE020000}"/>
    <cellStyle name="Euro 5 3" xfId="952" xr:uid="{00000000-0005-0000-0000-0000AF020000}"/>
    <cellStyle name="Euro 5 3 2" xfId="978" xr:uid="{00000000-0005-0000-0000-0000B0020000}"/>
    <cellStyle name="Euro 5 3 2 2" xfId="1030" xr:uid="{00000000-0005-0000-0000-0000B1020000}"/>
    <cellStyle name="Euro 5 3 3" xfId="1004" xr:uid="{00000000-0005-0000-0000-0000B2020000}"/>
    <cellStyle name="Euro 5 4" xfId="965" xr:uid="{00000000-0005-0000-0000-0000B3020000}"/>
    <cellStyle name="Euro 5 4 2" xfId="1017" xr:uid="{00000000-0005-0000-0000-0000B4020000}"/>
    <cellStyle name="Euro 5 5" xfId="991" xr:uid="{00000000-0005-0000-0000-0000B5020000}"/>
    <cellStyle name="Euro 6" xfId="946" xr:uid="{00000000-0005-0000-0000-0000B6020000}"/>
    <cellStyle name="Euro 6 2" xfId="972" xr:uid="{00000000-0005-0000-0000-0000B7020000}"/>
    <cellStyle name="Euro 6 2 2" xfId="1024" xr:uid="{00000000-0005-0000-0000-0000B8020000}"/>
    <cellStyle name="Euro 6 3" xfId="998" xr:uid="{00000000-0005-0000-0000-0000B9020000}"/>
    <cellStyle name="Euro 7" xfId="959" xr:uid="{00000000-0005-0000-0000-0000BA020000}"/>
    <cellStyle name="Euro 7 2" xfId="1011" xr:uid="{00000000-0005-0000-0000-0000BB020000}"/>
    <cellStyle name="Euro 8" xfId="985" xr:uid="{00000000-0005-0000-0000-0000BC020000}"/>
    <cellStyle name="Explanatory Text" xfId="778" xr:uid="{00000000-0005-0000-0000-0000BD020000}"/>
    <cellStyle name="Explanatory Text 2" xfId="601" xr:uid="{00000000-0005-0000-0000-0000BE020000}"/>
    <cellStyle name="Good" xfId="602" xr:uid="{00000000-0005-0000-0000-0000BF020000}"/>
    <cellStyle name="Good 2" xfId="603" xr:uid="{00000000-0005-0000-0000-0000C0020000}"/>
    <cellStyle name="Heading 1" xfId="604" xr:uid="{00000000-0005-0000-0000-0000C1020000}"/>
    <cellStyle name="Heading 1 2" xfId="605" xr:uid="{00000000-0005-0000-0000-0000C2020000}"/>
    <cellStyle name="Heading 2" xfId="827" xr:uid="{00000000-0005-0000-0000-0000C3020000}"/>
    <cellStyle name="Heading 2 2" xfId="606" xr:uid="{00000000-0005-0000-0000-0000C4020000}"/>
    <cellStyle name="Heading 3" xfId="848" xr:uid="{00000000-0005-0000-0000-0000C5020000}"/>
    <cellStyle name="Heading 3 2" xfId="607" xr:uid="{00000000-0005-0000-0000-0000C6020000}"/>
    <cellStyle name="Heading 4 2" xfId="609" xr:uid="{00000000-0005-0000-0000-0000C7020000}"/>
    <cellStyle name="Hipervínculo 2" xfId="610" xr:uid="{00000000-0005-0000-0000-0000C8020000}"/>
    <cellStyle name="Incorrecto 10" xfId="612" xr:uid="{00000000-0005-0000-0000-0000C9020000}"/>
    <cellStyle name="Incorrecto 11" xfId="613" xr:uid="{00000000-0005-0000-0000-0000CA020000}"/>
    <cellStyle name="Incorrecto 12" xfId="614" xr:uid="{00000000-0005-0000-0000-0000CB020000}"/>
    <cellStyle name="Incorrecto 13" xfId="615" xr:uid="{00000000-0005-0000-0000-0000CC020000}"/>
    <cellStyle name="Incorrecto 14" xfId="616" xr:uid="{00000000-0005-0000-0000-0000CD020000}"/>
    <cellStyle name="Incorrecto 15" xfId="617" xr:uid="{00000000-0005-0000-0000-0000CE020000}"/>
    <cellStyle name="Incorrecto 16" xfId="618" xr:uid="{00000000-0005-0000-0000-0000CF020000}"/>
    <cellStyle name="Incorrecto 17" xfId="619" xr:uid="{00000000-0005-0000-0000-0000D0020000}"/>
    <cellStyle name="Incorrecto 18" xfId="620" xr:uid="{00000000-0005-0000-0000-0000D1020000}"/>
    <cellStyle name="Incorrecto 19" xfId="621" xr:uid="{00000000-0005-0000-0000-0000D2020000}"/>
    <cellStyle name="Incorrecto 2" xfId="622" xr:uid="{00000000-0005-0000-0000-0000D3020000}"/>
    <cellStyle name="Incorrecto 3" xfId="623" xr:uid="{00000000-0005-0000-0000-0000D4020000}"/>
    <cellStyle name="Incorrecto 4" xfId="624" xr:uid="{00000000-0005-0000-0000-0000D5020000}"/>
    <cellStyle name="Incorrecto 5" xfId="625" xr:uid="{00000000-0005-0000-0000-0000D6020000}"/>
    <cellStyle name="Incorrecto 6" xfId="626" xr:uid="{00000000-0005-0000-0000-0000D7020000}"/>
    <cellStyle name="Incorrecto 7" xfId="627" xr:uid="{00000000-0005-0000-0000-0000D8020000}"/>
    <cellStyle name="Incorrecto 8" xfId="628" xr:uid="{00000000-0005-0000-0000-0000D9020000}"/>
    <cellStyle name="Incorrecto 9" xfId="629" xr:uid="{00000000-0005-0000-0000-0000DA020000}"/>
    <cellStyle name="Input 2" xfId="631" xr:uid="{00000000-0005-0000-0000-0000DB020000}"/>
    <cellStyle name="Linked Cell 2" xfId="633" xr:uid="{00000000-0005-0000-0000-0000DC020000}"/>
    <cellStyle name="Neutral" xfId="634" builtinId="28" customBuiltin="1"/>
    <cellStyle name="Neutral 10" xfId="635" xr:uid="{00000000-0005-0000-0000-0000DE020000}"/>
    <cellStyle name="Neutral 11" xfId="636" xr:uid="{00000000-0005-0000-0000-0000DF020000}"/>
    <cellStyle name="Neutral 12" xfId="637" xr:uid="{00000000-0005-0000-0000-0000E0020000}"/>
    <cellStyle name="Neutral 13" xfId="638" xr:uid="{00000000-0005-0000-0000-0000E1020000}"/>
    <cellStyle name="Neutral 14" xfId="639" xr:uid="{00000000-0005-0000-0000-0000E2020000}"/>
    <cellStyle name="Neutral 15" xfId="640" xr:uid="{00000000-0005-0000-0000-0000E3020000}"/>
    <cellStyle name="Neutral 16" xfId="641" xr:uid="{00000000-0005-0000-0000-0000E4020000}"/>
    <cellStyle name="Neutral 17" xfId="642" xr:uid="{00000000-0005-0000-0000-0000E5020000}"/>
    <cellStyle name="Neutral 18" xfId="643" xr:uid="{00000000-0005-0000-0000-0000E6020000}"/>
    <cellStyle name="Neutral 19" xfId="644" xr:uid="{00000000-0005-0000-0000-0000E7020000}"/>
    <cellStyle name="Neutral 2" xfId="645" xr:uid="{00000000-0005-0000-0000-0000E8020000}"/>
    <cellStyle name="Neutral 3" xfId="646" xr:uid="{00000000-0005-0000-0000-0000E9020000}"/>
    <cellStyle name="Neutral 4" xfId="647" xr:uid="{00000000-0005-0000-0000-0000EA020000}"/>
    <cellStyle name="Neutral 5" xfId="648" xr:uid="{00000000-0005-0000-0000-0000EB020000}"/>
    <cellStyle name="Neutral 6" xfId="649" xr:uid="{00000000-0005-0000-0000-0000EC020000}"/>
    <cellStyle name="Neutral 7" xfId="650" xr:uid="{00000000-0005-0000-0000-0000ED020000}"/>
    <cellStyle name="Neutral 8" xfId="651" xr:uid="{00000000-0005-0000-0000-0000EE020000}"/>
    <cellStyle name="Neutral 9" xfId="652" xr:uid="{00000000-0005-0000-0000-0000EF020000}"/>
    <cellStyle name="Normal" xfId="0" builtinId="0"/>
    <cellStyle name="Normal 10" xfId="653" xr:uid="{00000000-0005-0000-0000-0000F1020000}"/>
    <cellStyle name="Normal 10 2" xfId="901" xr:uid="{00000000-0005-0000-0000-0000F2020000}"/>
    <cellStyle name="Normal 11" xfId="654" xr:uid="{00000000-0005-0000-0000-0000F3020000}"/>
    <cellStyle name="Normal 11 2" xfId="902" xr:uid="{00000000-0005-0000-0000-0000F4020000}"/>
    <cellStyle name="Normal 12" xfId="655" xr:uid="{00000000-0005-0000-0000-0000F5020000}"/>
    <cellStyle name="Normal 12 2" xfId="903" xr:uid="{00000000-0005-0000-0000-0000F6020000}"/>
    <cellStyle name="Normal 13" xfId="656" xr:uid="{00000000-0005-0000-0000-0000F7020000}"/>
    <cellStyle name="Normal 13 2" xfId="904" xr:uid="{00000000-0005-0000-0000-0000F8020000}"/>
    <cellStyle name="Normal 14" xfId="657" xr:uid="{00000000-0005-0000-0000-0000F9020000}"/>
    <cellStyle name="Normal 14 2" xfId="905" xr:uid="{00000000-0005-0000-0000-0000FA020000}"/>
    <cellStyle name="Normal 15" xfId="658" xr:uid="{00000000-0005-0000-0000-0000FB020000}"/>
    <cellStyle name="Normal 15 2" xfId="906" xr:uid="{00000000-0005-0000-0000-0000FC020000}"/>
    <cellStyle name="Normal 16" xfId="659" xr:uid="{00000000-0005-0000-0000-0000FD020000}"/>
    <cellStyle name="Normal 16 2" xfId="907" xr:uid="{00000000-0005-0000-0000-0000FE020000}"/>
    <cellStyle name="Normal 17" xfId="660" xr:uid="{00000000-0005-0000-0000-0000FF020000}"/>
    <cellStyle name="Normal 17 2" xfId="908" xr:uid="{00000000-0005-0000-0000-000000030000}"/>
    <cellStyle name="Normal 18" xfId="661" xr:uid="{00000000-0005-0000-0000-000001030000}"/>
    <cellStyle name="Normal 18 2" xfId="909" xr:uid="{00000000-0005-0000-0000-000002030000}"/>
    <cellStyle name="Normal 19" xfId="662" xr:uid="{00000000-0005-0000-0000-000003030000}"/>
    <cellStyle name="Normal 19 2" xfId="910" xr:uid="{00000000-0005-0000-0000-000004030000}"/>
    <cellStyle name="Normal 2" xfId="663" xr:uid="{00000000-0005-0000-0000-000005030000}"/>
    <cellStyle name="Normal 2 2" xfId="911" xr:uid="{00000000-0005-0000-0000-000006030000}"/>
    <cellStyle name="Normal 20" xfId="664" xr:uid="{00000000-0005-0000-0000-000007030000}"/>
    <cellStyle name="Normal 20 2" xfId="912" xr:uid="{00000000-0005-0000-0000-000008030000}"/>
    <cellStyle name="Normal 21" xfId="665" xr:uid="{00000000-0005-0000-0000-000009030000}"/>
    <cellStyle name="Normal 21 2" xfId="913" xr:uid="{00000000-0005-0000-0000-00000A030000}"/>
    <cellStyle name="Normal 22" xfId="666" xr:uid="{00000000-0005-0000-0000-00000B030000}"/>
    <cellStyle name="Normal 22 2" xfId="914" xr:uid="{00000000-0005-0000-0000-00000C030000}"/>
    <cellStyle name="Normal 23" xfId="667" xr:uid="{00000000-0005-0000-0000-00000D030000}"/>
    <cellStyle name="Normal 23 2" xfId="915" xr:uid="{00000000-0005-0000-0000-00000E030000}"/>
    <cellStyle name="Normal 24" xfId="668" xr:uid="{00000000-0005-0000-0000-00000F030000}"/>
    <cellStyle name="Normal 25" xfId="669" xr:uid="{00000000-0005-0000-0000-000010030000}"/>
    <cellStyle name="Normal 26" xfId="670" xr:uid="{00000000-0005-0000-0000-000011030000}"/>
    <cellStyle name="Normal 27" xfId="671" xr:uid="{00000000-0005-0000-0000-000012030000}"/>
    <cellStyle name="Normal 28" xfId="672" xr:uid="{00000000-0005-0000-0000-000013030000}"/>
    <cellStyle name="Normal 29" xfId="673" xr:uid="{00000000-0005-0000-0000-000014030000}"/>
    <cellStyle name="Normal 3" xfId="674" xr:uid="{00000000-0005-0000-0000-000015030000}"/>
    <cellStyle name="Normal 3 2" xfId="916" xr:uid="{00000000-0005-0000-0000-000016030000}"/>
    <cellStyle name="Normal 30" xfId="675" xr:uid="{00000000-0005-0000-0000-000017030000}"/>
    <cellStyle name="Normal 31" xfId="676" xr:uid="{00000000-0005-0000-0000-000018030000}"/>
    <cellStyle name="Normal 32" xfId="677" xr:uid="{00000000-0005-0000-0000-000019030000}"/>
    <cellStyle name="Normal 33" xfId="678" xr:uid="{00000000-0005-0000-0000-00001A030000}"/>
    <cellStyle name="Normal 34" xfId="679" xr:uid="{00000000-0005-0000-0000-00001B030000}"/>
    <cellStyle name="Normal 35" xfId="680" xr:uid="{00000000-0005-0000-0000-00001C030000}"/>
    <cellStyle name="Normal 36" xfId="681" xr:uid="{00000000-0005-0000-0000-00001D030000}"/>
    <cellStyle name="Normal 37" xfId="682" xr:uid="{00000000-0005-0000-0000-00001E030000}"/>
    <cellStyle name="Normal 38" xfId="683" xr:uid="{00000000-0005-0000-0000-00001F030000}"/>
    <cellStyle name="Normal 39" xfId="684" xr:uid="{00000000-0005-0000-0000-000020030000}"/>
    <cellStyle name="Normal 4" xfId="685" xr:uid="{00000000-0005-0000-0000-000021030000}"/>
    <cellStyle name="Normal 4 2" xfId="917" xr:uid="{00000000-0005-0000-0000-000022030000}"/>
    <cellStyle name="Normal 40" xfId="686" xr:uid="{00000000-0005-0000-0000-000023030000}"/>
    <cellStyle name="Normal 41" xfId="687" xr:uid="{00000000-0005-0000-0000-000024030000}"/>
    <cellStyle name="Normal 41 2" xfId="688" xr:uid="{00000000-0005-0000-0000-000025030000}"/>
    <cellStyle name="Normal 41 2 2" xfId="919" xr:uid="{00000000-0005-0000-0000-000026030000}"/>
    <cellStyle name="Normal 41 3" xfId="918" xr:uid="{00000000-0005-0000-0000-000027030000}"/>
    <cellStyle name="Normal 42" xfId="689" xr:uid="{00000000-0005-0000-0000-000028030000}"/>
    <cellStyle name="Normal 42 2" xfId="690" xr:uid="{00000000-0005-0000-0000-000029030000}"/>
    <cellStyle name="Normal 43" xfId="894" xr:uid="{00000000-0005-0000-0000-00002A030000}"/>
    <cellStyle name="Normal 5" xfId="691" xr:uid="{00000000-0005-0000-0000-00002B030000}"/>
    <cellStyle name="Normal 5 2" xfId="920" xr:uid="{00000000-0005-0000-0000-00002C030000}"/>
    <cellStyle name="Normal 6" xfId="692" xr:uid="{00000000-0005-0000-0000-00002D030000}"/>
    <cellStyle name="Normal 6 2" xfId="921" xr:uid="{00000000-0005-0000-0000-00002E030000}"/>
    <cellStyle name="Normal 7" xfId="693" xr:uid="{00000000-0005-0000-0000-00002F030000}"/>
    <cellStyle name="Normal 7 2" xfId="922" xr:uid="{00000000-0005-0000-0000-000030030000}"/>
    <cellStyle name="Normal 8" xfId="694" xr:uid="{00000000-0005-0000-0000-000031030000}"/>
    <cellStyle name="Normal 8 2" xfId="923" xr:uid="{00000000-0005-0000-0000-000032030000}"/>
    <cellStyle name="Normal 9" xfId="695" xr:uid="{00000000-0005-0000-0000-000033030000}"/>
    <cellStyle name="Normal 9 2" xfId="924" xr:uid="{00000000-0005-0000-0000-000034030000}"/>
    <cellStyle name="Normal_Plantilla Mediciones" xfId="696" xr:uid="{00000000-0005-0000-0000-000035030000}"/>
    <cellStyle name="Normal_Recuento Conjuntos" xfId="697" xr:uid="{00000000-0005-0000-0000-000036030000}"/>
    <cellStyle name="Notas" xfId="717" builtinId="10" customBuiltin="1"/>
    <cellStyle name="Notas 10" xfId="698" xr:uid="{00000000-0005-0000-0000-000038030000}"/>
    <cellStyle name="Notas 10 2" xfId="925" xr:uid="{00000000-0005-0000-0000-000039030000}"/>
    <cellStyle name="Notas 11" xfId="699" xr:uid="{00000000-0005-0000-0000-00003A030000}"/>
    <cellStyle name="Notas 11 2" xfId="926" xr:uid="{00000000-0005-0000-0000-00003B030000}"/>
    <cellStyle name="Notas 12" xfId="700" xr:uid="{00000000-0005-0000-0000-00003C030000}"/>
    <cellStyle name="Notas 12 2" xfId="927" xr:uid="{00000000-0005-0000-0000-00003D030000}"/>
    <cellStyle name="Notas 13" xfId="701" xr:uid="{00000000-0005-0000-0000-00003E030000}"/>
    <cellStyle name="Notas 13 2" xfId="928" xr:uid="{00000000-0005-0000-0000-00003F030000}"/>
    <cellStyle name="Notas 14" xfId="702" xr:uid="{00000000-0005-0000-0000-000040030000}"/>
    <cellStyle name="Notas 14 2" xfId="929" xr:uid="{00000000-0005-0000-0000-000041030000}"/>
    <cellStyle name="Notas 15" xfId="703" xr:uid="{00000000-0005-0000-0000-000042030000}"/>
    <cellStyle name="Notas 15 2" xfId="930" xr:uid="{00000000-0005-0000-0000-000043030000}"/>
    <cellStyle name="Notas 16" xfId="704" xr:uid="{00000000-0005-0000-0000-000044030000}"/>
    <cellStyle name="Notas 16 2" xfId="931" xr:uid="{00000000-0005-0000-0000-000045030000}"/>
    <cellStyle name="Notas 17" xfId="705" xr:uid="{00000000-0005-0000-0000-000046030000}"/>
    <cellStyle name="Notas 17 2" xfId="932" xr:uid="{00000000-0005-0000-0000-000047030000}"/>
    <cellStyle name="Notas 18" xfId="706" xr:uid="{00000000-0005-0000-0000-000048030000}"/>
    <cellStyle name="Notas 18 2" xfId="933" xr:uid="{00000000-0005-0000-0000-000049030000}"/>
    <cellStyle name="Notas 19" xfId="707" xr:uid="{00000000-0005-0000-0000-00004A030000}"/>
    <cellStyle name="Notas 19 2" xfId="934" xr:uid="{00000000-0005-0000-0000-00004B030000}"/>
    <cellStyle name="Notas 2" xfId="708" xr:uid="{00000000-0005-0000-0000-00004C030000}"/>
    <cellStyle name="Notas 2 2" xfId="935" xr:uid="{00000000-0005-0000-0000-00004D030000}"/>
    <cellStyle name="Notas 20" xfId="709" xr:uid="{00000000-0005-0000-0000-00004E030000}"/>
    <cellStyle name="Notas 20 2" xfId="936" xr:uid="{00000000-0005-0000-0000-00004F030000}"/>
    <cellStyle name="Notas 3" xfId="710" xr:uid="{00000000-0005-0000-0000-000050030000}"/>
    <cellStyle name="Notas 3 2" xfId="937" xr:uid="{00000000-0005-0000-0000-000051030000}"/>
    <cellStyle name="Notas 4" xfId="711" xr:uid="{00000000-0005-0000-0000-000052030000}"/>
    <cellStyle name="Notas 4 2" xfId="938" xr:uid="{00000000-0005-0000-0000-000053030000}"/>
    <cellStyle name="Notas 5" xfId="712" xr:uid="{00000000-0005-0000-0000-000054030000}"/>
    <cellStyle name="Notas 5 2" xfId="939" xr:uid="{00000000-0005-0000-0000-000055030000}"/>
    <cellStyle name="Notas 6" xfId="713" xr:uid="{00000000-0005-0000-0000-000056030000}"/>
    <cellStyle name="Notas 6 2" xfId="940" xr:uid="{00000000-0005-0000-0000-000057030000}"/>
    <cellStyle name="Notas 7" xfId="714" xr:uid="{00000000-0005-0000-0000-000058030000}"/>
    <cellStyle name="Notas 7 2" xfId="941" xr:uid="{00000000-0005-0000-0000-000059030000}"/>
    <cellStyle name="Notas 8" xfId="715" xr:uid="{00000000-0005-0000-0000-00005A030000}"/>
    <cellStyle name="Notas 8 2" xfId="942" xr:uid="{00000000-0005-0000-0000-00005B030000}"/>
    <cellStyle name="Notas 9" xfId="716" xr:uid="{00000000-0005-0000-0000-00005C030000}"/>
    <cellStyle name="Notas 9 2" xfId="943" xr:uid="{00000000-0005-0000-0000-00005D030000}"/>
    <cellStyle name="Note 2" xfId="718" xr:uid="{00000000-0005-0000-0000-00005E030000}"/>
    <cellStyle name="Output" xfId="741" xr:uid="{00000000-0005-0000-0000-00005F030000}"/>
    <cellStyle name="Output 2" xfId="719" xr:uid="{00000000-0005-0000-0000-000060030000}"/>
    <cellStyle name="Porcentual 10" xfId="720" xr:uid="{00000000-0005-0000-0000-000061030000}"/>
    <cellStyle name="Porcentual 11" xfId="721" xr:uid="{00000000-0005-0000-0000-000062030000}"/>
    <cellStyle name="Porcentual 12" xfId="722" xr:uid="{00000000-0005-0000-0000-000063030000}"/>
    <cellStyle name="Porcentual 13" xfId="723" xr:uid="{00000000-0005-0000-0000-000064030000}"/>
    <cellStyle name="Porcentual 14" xfId="724" xr:uid="{00000000-0005-0000-0000-000065030000}"/>
    <cellStyle name="Porcentual 15" xfId="725" xr:uid="{00000000-0005-0000-0000-000066030000}"/>
    <cellStyle name="Porcentual 16" xfId="726" xr:uid="{00000000-0005-0000-0000-000067030000}"/>
    <cellStyle name="Porcentual 17" xfId="727" xr:uid="{00000000-0005-0000-0000-000068030000}"/>
    <cellStyle name="Porcentual 18" xfId="728" xr:uid="{00000000-0005-0000-0000-000069030000}"/>
    <cellStyle name="Porcentual 19" xfId="729" xr:uid="{00000000-0005-0000-0000-00006A030000}"/>
    <cellStyle name="Porcentual 19 2" xfId="730" xr:uid="{00000000-0005-0000-0000-00006B030000}"/>
    <cellStyle name="Porcentual 19 2 2" xfId="945" xr:uid="{00000000-0005-0000-0000-00006C030000}"/>
    <cellStyle name="Porcentual 19 3" xfId="944" xr:uid="{00000000-0005-0000-0000-00006D030000}"/>
    <cellStyle name="Porcentual 2" xfId="731" xr:uid="{00000000-0005-0000-0000-00006E030000}"/>
    <cellStyle name="Porcentual 20" xfId="732" xr:uid="{00000000-0005-0000-0000-00006F030000}"/>
    <cellStyle name="Porcentual 20 2" xfId="733" xr:uid="{00000000-0005-0000-0000-000070030000}"/>
    <cellStyle name="Porcentual 3" xfId="734" xr:uid="{00000000-0005-0000-0000-000071030000}"/>
    <cellStyle name="Porcentual 4" xfId="735" xr:uid="{00000000-0005-0000-0000-000072030000}"/>
    <cellStyle name="Porcentual 5" xfId="736" xr:uid="{00000000-0005-0000-0000-000073030000}"/>
    <cellStyle name="Porcentual 6" xfId="737" xr:uid="{00000000-0005-0000-0000-000074030000}"/>
    <cellStyle name="Porcentual 7" xfId="738" xr:uid="{00000000-0005-0000-0000-000075030000}"/>
    <cellStyle name="Porcentual 8" xfId="739" xr:uid="{00000000-0005-0000-0000-000076030000}"/>
    <cellStyle name="Porcentual 9" xfId="740" xr:uid="{00000000-0005-0000-0000-000077030000}"/>
    <cellStyle name="Salida 10" xfId="742" xr:uid="{00000000-0005-0000-0000-000078030000}"/>
    <cellStyle name="Salida 11" xfId="743" xr:uid="{00000000-0005-0000-0000-000079030000}"/>
    <cellStyle name="Salida 12" xfId="744" xr:uid="{00000000-0005-0000-0000-00007A030000}"/>
    <cellStyle name="Salida 13" xfId="745" xr:uid="{00000000-0005-0000-0000-00007B030000}"/>
    <cellStyle name="Salida 14" xfId="746" xr:uid="{00000000-0005-0000-0000-00007C030000}"/>
    <cellStyle name="Salida 15" xfId="747" xr:uid="{00000000-0005-0000-0000-00007D030000}"/>
    <cellStyle name="Salida 16" xfId="748" xr:uid="{00000000-0005-0000-0000-00007E030000}"/>
    <cellStyle name="Salida 17" xfId="749" xr:uid="{00000000-0005-0000-0000-00007F030000}"/>
    <cellStyle name="Salida 18" xfId="750" xr:uid="{00000000-0005-0000-0000-000080030000}"/>
    <cellStyle name="Salida 19" xfId="751" xr:uid="{00000000-0005-0000-0000-000081030000}"/>
    <cellStyle name="Salida 2" xfId="752" xr:uid="{00000000-0005-0000-0000-000082030000}"/>
    <cellStyle name="Salida 3" xfId="753" xr:uid="{00000000-0005-0000-0000-000083030000}"/>
    <cellStyle name="Salida 4" xfId="754" xr:uid="{00000000-0005-0000-0000-000084030000}"/>
    <cellStyle name="Salida 5" xfId="755" xr:uid="{00000000-0005-0000-0000-000085030000}"/>
    <cellStyle name="Salida 6" xfId="756" xr:uid="{00000000-0005-0000-0000-000086030000}"/>
    <cellStyle name="Salida 7" xfId="757" xr:uid="{00000000-0005-0000-0000-000087030000}"/>
    <cellStyle name="Salida 8" xfId="758" xr:uid="{00000000-0005-0000-0000-000088030000}"/>
    <cellStyle name="Salida 9" xfId="759" xr:uid="{00000000-0005-0000-0000-000089030000}"/>
    <cellStyle name="Texto de advertencia" xfId="892" builtinId="11" customBuiltin="1"/>
    <cellStyle name="Texto de advertencia 10" xfId="760" xr:uid="{00000000-0005-0000-0000-00008B030000}"/>
    <cellStyle name="Texto de advertencia 11" xfId="761" xr:uid="{00000000-0005-0000-0000-00008C030000}"/>
    <cellStyle name="Texto de advertencia 12" xfId="762" xr:uid="{00000000-0005-0000-0000-00008D030000}"/>
    <cellStyle name="Texto de advertencia 13" xfId="763" xr:uid="{00000000-0005-0000-0000-00008E030000}"/>
    <cellStyle name="Texto de advertencia 14" xfId="764" xr:uid="{00000000-0005-0000-0000-00008F030000}"/>
    <cellStyle name="Texto de advertencia 15" xfId="765" xr:uid="{00000000-0005-0000-0000-000090030000}"/>
    <cellStyle name="Texto de advertencia 16" xfId="766" xr:uid="{00000000-0005-0000-0000-000091030000}"/>
    <cellStyle name="Texto de advertencia 17" xfId="767" xr:uid="{00000000-0005-0000-0000-000092030000}"/>
    <cellStyle name="Texto de advertencia 18" xfId="768" xr:uid="{00000000-0005-0000-0000-000093030000}"/>
    <cellStyle name="Texto de advertencia 19" xfId="769" xr:uid="{00000000-0005-0000-0000-000094030000}"/>
    <cellStyle name="Texto de advertencia 2" xfId="770" xr:uid="{00000000-0005-0000-0000-000095030000}"/>
    <cellStyle name="Texto de advertencia 3" xfId="771" xr:uid="{00000000-0005-0000-0000-000096030000}"/>
    <cellStyle name="Texto de advertencia 4" xfId="772" xr:uid="{00000000-0005-0000-0000-000097030000}"/>
    <cellStyle name="Texto de advertencia 5" xfId="773" xr:uid="{00000000-0005-0000-0000-000098030000}"/>
    <cellStyle name="Texto de advertencia 6" xfId="774" xr:uid="{00000000-0005-0000-0000-000099030000}"/>
    <cellStyle name="Texto de advertencia 7" xfId="775" xr:uid="{00000000-0005-0000-0000-00009A030000}"/>
    <cellStyle name="Texto de advertencia 8" xfId="776" xr:uid="{00000000-0005-0000-0000-00009B030000}"/>
    <cellStyle name="Texto de advertencia 9" xfId="777" xr:uid="{00000000-0005-0000-0000-00009C030000}"/>
    <cellStyle name="Texto explicativo 10" xfId="779" xr:uid="{00000000-0005-0000-0000-00009D030000}"/>
    <cellStyle name="Texto explicativo 11" xfId="780" xr:uid="{00000000-0005-0000-0000-00009E030000}"/>
    <cellStyle name="Texto explicativo 12" xfId="781" xr:uid="{00000000-0005-0000-0000-00009F030000}"/>
    <cellStyle name="Texto explicativo 13" xfId="782" xr:uid="{00000000-0005-0000-0000-0000A0030000}"/>
    <cellStyle name="Texto explicativo 14" xfId="783" xr:uid="{00000000-0005-0000-0000-0000A1030000}"/>
    <cellStyle name="Texto explicativo 15" xfId="784" xr:uid="{00000000-0005-0000-0000-0000A2030000}"/>
    <cellStyle name="Texto explicativo 16" xfId="785" xr:uid="{00000000-0005-0000-0000-0000A3030000}"/>
    <cellStyle name="Texto explicativo 17" xfId="786" xr:uid="{00000000-0005-0000-0000-0000A4030000}"/>
    <cellStyle name="Texto explicativo 18" xfId="787" xr:uid="{00000000-0005-0000-0000-0000A5030000}"/>
    <cellStyle name="Texto explicativo 19" xfId="788" xr:uid="{00000000-0005-0000-0000-0000A6030000}"/>
    <cellStyle name="Texto explicativo 2" xfId="789" xr:uid="{00000000-0005-0000-0000-0000A7030000}"/>
    <cellStyle name="Texto explicativo 3" xfId="790" xr:uid="{00000000-0005-0000-0000-0000A8030000}"/>
    <cellStyle name="Texto explicativo 4" xfId="791" xr:uid="{00000000-0005-0000-0000-0000A9030000}"/>
    <cellStyle name="Texto explicativo 5" xfId="792" xr:uid="{00000000-0005-0000-0000-0000AA030000}"/>
    <cellStyle name="Texto explicativo 6" xfId="793" xr:uid="{00000000-0005-0000-0000-0000AB030000}"/>
    <cellStyle name="Texto explicativo 7" xfId="794" xr:uid="{00000000-0005-0000-0000-0000AC030000}"/>
    <cellStyle name="Texto explicativo 8" xfId="795" xr:uid="{00000000-0005-0000-0000-0000AD030000}"/>
    <cellStyle name="Texto explicativo 9" xfId="796" xr:uid="{00000000-0005-0000-0000-0000AE030000}"/>
    <cellStyle name="Title" xfId="798" xr:uid="{00000000-0005-0000-0000-0000AF030000}"/>
    <cellStyle name="Title 2" xfId="797" xr:uid="{00000000-0005-0000-0000-0000B0030000}"/>
    <cellStyle name="Título 1 10" xfId="799" xr:uid="{00000000-0005-0000-0000-0000B1030000}"/>
    <cellStyle name="Título 1 11" xfId="800" xr:uid="{00000000-0005-0000-0000-0000B2030000}"/>
    <cellStyle name="Título 1 12" xfId="801" xr:uid="{00000000-0005-0000-0000-0000B3030000}"/>
    <cellStyle name="Título 1 13" xfId="802" xr:uid="{00000000-0005-0000-0000-0000B4030000}"/>
    <cellStyle name="Título 1 14" xfId="803" xr:uid="{00000000-0005-0000-0000-0000B5030000}"/>
    <cellStyle name="Título 1 15" xfId="804" xr:uid="{00000000-0005-0000-0000-0000B6030000}"/>
    <cellStyle name="Título 1 16" xfId="805" xr:uid="{00000000-0005-0000-0000-0000B7030000}"/>
    <cellStyle name="Título 1 17" xfId="806" xr:uid="{00000000-0005-0000-0000-0000B8030000}"/>
    <cellStyle name="Título 1 18" xfId="807" xr:uid="{00000000-0005-0000-0000-0000B9030000}"/>
    <cellStyle name="Título 1 19" xfId="808" xr:uid="{00000000-0005-0000-0000-0000BA030000}"/>
    <cellStyle name="Título 1 2" xfId="809" xr:uid="{00000000-0005-0000-0000-0000BB030000}"/>
    <cellStyle name="Título 1 3" xfId="810" xr:uid="{00000000-0005-0000-0000-0000BC030000}"/>
    <cellStyle name="Título 1 4" xfId="811" xr:uid="{00000000-0005-0000-0000-0000BD030000}"/>
    <cellStyle name="Título 1 5" xfId="812" xr:uid="{00000000-0005-0000-0000-0000BE030000}"/>
    <cellStyle name="Título 1 6" xfId="813" xr:uid="{00000000-0005-0000-0000-0000BF030000}"/>
    <cellStyle name="Título 1 7" xfId="814" xr:uid="{00000000-0005-0000-0000-0000C0030000}"/>
    <cellStyle name="Título 1 8" xfId="815" xr:uid="{00000000-0005-0000-0000-0000C1030000}"/>
    <cellStyle name="Título 1 9" xfId="816" xr:uid="{00000000-0005-0000-0000-0000C2030000}"/>
    <cellStyle name="Título 10" xfId="817" xr:uid="{00000000-0005-0000-0000-0000C3030000}"/>
    <cellStyle name="Título 11" xfId="818" xr:uid="{00000000-0005-0000-0000-0000C4030000}"/>
    <cellStyle name="Título 12" xfId="819" xr:uid="{00000000-0005-0000-0000-0000C5030000}"/>
    <cellStyle name="Título 13" xfId="820" xr:uid="{00000000-0005-0000-0000-0000C6030000}"/>
    <cellStyle name="Título 14" xfId="821" xr:uid="{00000000-0005-0000-0000-0000C7030000}"/>
    <cellStyle name="Título 15" xfId="822" xr:uid="{00000000-0005-0000-0000-0000C8030000}"/>
    <cellStyle name="Título 16" xfId="823" xr:uid="{00000000-0005-0000-0000-0000C9030000}"/>
    <cellStyle name="Título 17" xfId="824" xr:uid="{00000000-0005-0000-0000-0000CA030000}"/>
    <cellStyle name="Título 18" xfId="825" xr:uid="{00000000-0005-0000-0000-0000CB030000}"/>
    <cellStyle name="Título 19" xfId="826" xr:uid="{00000000-0005-0000-0000-0000CC030000}"/>
    <cellStyle name="Título 2 10" xfId="828" xr:uid="{00000000-0005-0000-0000-0000CD030000}"/>
    <cellStyle name="Título 2 11" xfId="829" xr:uid="{00000000-0005-0000-0000-0000CE030000}"/>
    <cellStyle name="Título 2 12" xfId="830" xr:uid="{00000000-0005-0000-0000-0000CF030000}"/>
    <cellStyle name="Título 2 13" xfId="831" xr:uid="{00000000-0005-0000-0000-0000D0030000}"/>
    <cellStyle name="Título 2 14" xfId="832" xr:uid="{00000000-0005-0000-0000-0000D1030000}"/>
    <cellStyle name="Título 2 15" xfId="833" xr:uid="{00000000-0005-0000-0000-0000D2030000}"/>
    <cellStyle name="Título 2 16" xfId="834" xr:uid="{00000000-0005-0000-0000-0000D3030000}"/>
    <cellStyle name="Título 2 17" xfId="835" xr:uid="{00000000-0005-0000-0000-0000D4030000}"/>
    <cellStyle name="Título 2 18" xfId="836" xr:uid="{00000000-0005-0000-0000-0000D5030000}"/>
    <cellStyle name="Título 2 19" xfId="837" xr:uid="{00000000-0005-0000-0000-0000D6030000}"/>
    <cellStyle name="Título 2 2" xfId="838" xr:uid="{00000000-0005-0000-0000-0000D7030000}"/>
    <cellStyle name="Título 2 3" xfId="839" xr:uid="{00000000-0005-0000-0000-0000D8030000}"/>
    <cellStyle name="Título 2 4" xfId="840" xr:uid="{00000000-0005-0000-0000-0000D9030000}"/>
    <cellStyle name="Título 2 5" xfId="841" xr:uid="{00000000-0005-0000-0000-0000DA030000}"/>
    <cellStyle name="Título 2 6" xfId="842" xr:uid="{00000000-0005-0000-0000-0000DB030000}"/>
    <cellStyle name="Título 2 7" xfId="843" xr:uid="{00000000-0005-0000-0000-0000DC030000}"/>
    <cellStyle name="Título 2 8" xfId="844" xr:uid="{00000000-0005-0000-0000-0000DD030000}"/>
    <cellStyle name="Título 2 9" xfId="845" xr:uid="{00000000-0005-0000-0000-0000DE030000}"/>
    <cellStyle name="Título 20" xfId="846" xr:uid="{00000000-0005-0000-0000-0000DF030000}"/>
    <cellStyle name="Título 21" xfId="847" xr:uid="{00000000-0005-0000-0000-0000E0030000}"/>
    <cellStyle name="Título 3 10" xfId="849" xr:uid="{00000000-0005-0000-0000-0000E1030000}"/>
    <cellStyle name="Título 3 11" xfId="850" xr:uid="{00000000-0005-0000-0000-0000E2030000}"/>
    <cellStyle name="Título 3 12" xfId="851" xr:uid="{00000000-0005-0000-0000-0000E3030000}"/>
    <cellStyle name="Título 3 13" xfId="852" xr:uid="{00000000-0005-0000-0000-0000E4030000}"/>
    <cellStyle name="Título 3 14" xfId="853" xr:uid="{00000000-0005-0000-0000-0000E5030000}"/>
    <cellStyle name="Título 3 15" xfId="854" xr:uid="{00000000-0005-0000-0000-0000E6030000}"/>
    <cellStyle name="Título 3 16" xfId="855" xr:uid="{00000000-0005-0000-0000-0000E7030000}"/>
    <cellStyle name="Título 3 17" xfId="856" xr:uid="{00000000-0005-0000-0000-0000E8030000}"/>
    <cellStyle name="Título 3 18" xfId="857" xr:uid="{00000000-0005-0000-0000-0000E9030000}"/>
    <cellStyle name="Título 3 19" xfId="858" xr:uid="{00000000-0005-0000-0000-0000EA030000}"/>
    <cellStyle name="Título 3 2" xfId="859" xr:uid="{00000000-0005-0000-0000-0000EB030000}"/>
    <cellStyle name="Título 3 3" xfId="860" xr:uid="{00000000-0005-0000-0000-0000EC030000}"/>
    <cellStyle name="Título 3 4" xfId="861" xr:uid="{00000000-0005-0000-0000-0000ED030000}"/>
    <cellStyle name="Título 3 5" xfId="862" xr:uid="{00000000-0005-0000-0000-0000EE030000}"/>
    <cellStyle name="Título 3 6" xfId="863" xr:uid="{00000000-0005-0000-0000-0000EF030000}"/>
    <cellStyle name="Título 3 7" xfId="864" xr:uid="{00000000-0005-0000-0000-0000F0030000}"/>
    <cellStyle name="Título 3 8" xfId="865" xr:uid="{00000000-0005-0000-0000-0000F1030000}"/>
    <cellStyle name="Título 3 9" xfId="866" xr:uid="{00000000-0005-0000-0000-0000F2030000}"/>
    <cellStyle name="Título 4" xfId="867" xr:uid="{00000000-0005-0000-0000-0000F3030000}"/>
    <cellStyle name="Título 5" xfId="868" xr:uid="{00000000-0005-0000-0000-0000F4030000}"/>
    <cellStyle name="Título 6" xfId="869" xr:uid="{00000000-0005-0000-0000-0000F5030000}"/>
    <cellStyle name="Título 7" xfId="870" xr:uid="{00000000-0005-0000-0000-0000F6030000}"/>
    <cellStyle name="Título 8" xfId="871" xr:uid="{00000000-0005-0000-0000-0000F7030000}"/>
    <cellStyle name="Título 9" xfId="872" xr:uid="{00000000-0005-0000-0000-0000F8030000}"/>
    <cellStyle name="Total" xfId="873" builtinId="25" customBuiltin="1"/>
    <cellStyle name="Total 10" xfId="874" xr:uid="{00000000-0005-0000-0000-0000FA030000}"/>
    <cellStyle name="Total 11" xfId="875" xr:uid="{00000000-0005-0000-0000-0000FB030000}"/>
    <cellStyle name="Total 12" xfId="876" xr:uid="{00000000-0005-0000-0000-0000FC030000}"/>
    <cellStyle name="Total 13" xfId="877" xr:uid="{00000000-0005-0000-0000-0000FD030000}"/>
    <cellStyle name="Total 14" xfId="878" xr:uid="{00000000-0005-0000-0000-0000FE030000}"/>
    <cellStyle name="Total 15" xfId="879" xr:uid="{00000000-0005-0000-0000-0000FF030000}"/>
    <cellStyle name="Total 16" xfId="880" xr:uid="{00000000-0005-0000-0000-000000040000}"/>
    <cellStyle name="Total 17" xfId="881" xr:uid="{00000000-0005-0000-0000-000001040000}"/>
    <cellStyle name="Total 18" xfId="882" xr:uid="{00000000-0005-0000-0000-000002040000}"/>
    <cellStyle name="Total 19" xfId="883" xr:uid="{00000000-0005-0000-0000-000003040000}"/>
    <cellStyle name="Total 2" xfId="884" xr:uid="{00000000-0005-0000-0000-000004040000}"/>
    <cellStyle name="Total 3" xfId="885" xr:uid="{00000000-0005-0000-0000-000005040000}"/>
    <cellStyle name="Total 4" xfId="886" xr:uid="{00000000-0005-0000-0000-000006040000}"/>
    <cellStyle name="Total 5" xfId="887" xr:uid="{00000000-0005-0000-0000-000007040000}"/>
    <cellStyle name="Total 6" xfId="888" xr:uid="{00000000-0005-0000-0000-000008040000}"/>
    <cellStyle name="Total 7" xfId="889" xr:uid="{00000000-0005-0000-0000-000009040000}"/>
    <cellStyle name="Total 8" xfId="890" xr:uid="{00000000-0005-0000-0000-00000A040000}"/>
    <cellStyle name="Total 9" xfId="891" xr:uid="{00000000-0005-0000-0000-00000B040000}"/>
    <cellStyle name="Warning Text 2" xfId="893" xr:uid="{00000000-0005-0000-0000-00000C040000}"/>
  </cellStyles>
  <dxfs count="46"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colors>
    <mruColors>
      <color rgb="FFFF0066"/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tif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tif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tif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jpeg"/><Relationship Id="rId1" Type="http://schemas.openxmlformats.org/officeDocument/2006/relationships/image" Target="../media/image2.tif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tiff"/><Relationship Id="rId1" Type="http://schemas.openxmlformats.org/officeDocument/2006/relationships/image" Target="../media/image3.jpe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tif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tiff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84043</xdr:rowOff>
    </xdr:from>
    <xdr:to>
      <xdr:col>11</xdr:col>
      <xdr:colOff>867034</xdr:colOff>
      <xdr:row>18</xdr:row>
      <xdr:rowOff>122144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275043"/>
          <a:ext cx="18223965" cy="103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70</xdr:row>
      <xdr:rowOff>0</xdr:rowOff>
    </xdr:from>
    <xdr:to>
      <xdr:col>15</xdr:col>
      <xdr:colOff>2790824</xdr:colOff>
      <xdr:row>75</xdr:row>
      <xdr:rowOff>38101</xdr:rowOff>
    </xdr:to>
    <xdr:sp macro="" textlink="">
      <xdr:nvSpPr>
        <xdr:cNvPr id="3" name="Auto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8677275" y="13477875"/>
          <a:ext cx="18230849" cy="1038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523874</xdr:colOff>
      <xdr:row>36</xdr:row>
      <xdr:rowOff>11906</xdr:rowOff>
    </xdr:from>
    <xdr:to>
      <xdr:col>4</xdr:col>
      <xdr:colOff>498942</xdr:colOff>
      <xdr:row>39</xdr:row>
      <xdr:rowOff>118362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B2367C-A09B-4DB1-BC78-D5F834D116D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4" y="202406"/>
          <a:ext cx="2919413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919165</xdr:colOff>
      <xdr:row>36</xdr:row>
      <xdr:rowOff>33337</xdr:rowOff>
    </xdr:from>
    <xdr:to>
      <xdr:col>16</xdr:col>
      <xdr:colOff>758261</xdr:colOff>
      <xdr:row>39</xdr:row>
      <xdr:rowOff>21011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475005-A529-45DF-BBA9-91C7A0443E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48129" y="1339623"/>
          <a:ext cx="764382" cy="4775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523874</xdr:colOff>
      <xdr:row>9</xdr:row>
      <xdr:rowOff>11906</xdr:rowOff>
    </xdr:from>
    <xdr:to>
      <xdr:col>8</xdr:col>
      <xdr:colOff>753174</xdr:colOff>
      <xdr:row>12</xdr:row>
      <xdr:rowOff>102487</xdr:rowOff>
    </xdr:to>
    <xdr:pic>
      <xdr:nvPicPr>
        <xdr:cNvPr id="4" name="Imagen 1">
          <a:extLst>
            <a:ext uri="{FF2B5EF4-FFF2-40B4-BE49-F238E27FC236}">
              <a16:creationId xmlns:a16="http://schemas.microsoft.com/office/drawing/2014/main" id="{9DEEB984-9204-4846-9D57-51A2A9A26B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4" y="202406"/>
          <a:ext cx="291703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1042990</xdr:colOff>
      <xdr:row>9</xdr:row>
      <xdr:rowOff>33337</xdr:rowOff>
    </xdr:from>
    <xdr:to>
      <xdr:col>16</xdr:col>
      <xdr:colOff>758262</xdr:colOff>
      <xdr:row>12</xdr:row>
      <xdr:rowOff>5135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9DE73105-606D-4E79-81F1-C92F323AAD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6415" y="223837"/>
          <a:ext cx="1250158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/>
  <dimension ref="A1:P66"/>
  <sheetViews>
    <sheetView view="pageBreakPreview" zoomScale="80" zoomScaleNormal="80" zoomScaleSheetLayoutView="80" workbookViewId="0">
      <pane xSplit="8" ySplit="3" topLeftCell="AA4" activePane="bottomRight" state="frozen"/>
      <selection activeCell="S632" sqref="S632"/>
      <selection pane="topRight" activeCell="S632" sqref="S632"/>
      <selection pane="bottomLeft" activeCell="S632" sqref="S632"/>
      <selection pane="bottomRight" activeCell="C29" sqref="C29"/>
    </sheetView>
  </sheetViews>
  <sheetFormatPr baseColWidth="10" defaultColWidth="11.44140625" defaultRowHeight="13.2"/>
  <cols>
    <col min="1" max="1" width="15" customWidth="1"/>
    <col min="2" max="2" width="14.44140625" customWidth="1"/>
    <col min="3" max="3" width="74.109375" customWidth="1"/>
    <col min="4" max="4" width="13.109375" customWidth="1"/>
    <col min="5" max="5" width="13.44140625" customWidth="1"/>
    <col min="6" max="6" width="9.6640625" customWidth="1"/>
    <col min="7" max="7" width="15.109375" customWidth="1"/>
    <col min="8" max="8" width="39" customWidth="1"/>
    <col min="9" max="9" width="15.109375" customWidth="1"/>
    <col min="10" max="10" width="35.5546875" customWidth="1"/>
    <col min="11" max="11" width="15.109375" customWidth="1"/>
    <col min="12" max="12" width="35.5546875" customWidth="1"/>
    <col min="13" max="13" width="15.109375" customWidth="1"/>
    <col min="14" max="14" width="35.5546875" customWidth="1"/>
    <col min="15" max="15" width="15.109375" customWidth="1"/>
    <col min="16" max="16" width="42.109375" customWidth="1"/>
  </cols>
  <sheetData>
    <row r="1" spans="1:14">
      <c r="A1" s="1347" t="s">
        <v>2520</v>
      </c>
      <c r="B1" s="1347" t="s">
        <v>2495</v>
      </c>
      <c r="C1" s="1347" t="s">
        <v>2519</v>
      </c>
      <c r="D1" s="1347" t="s">
        <v>2980</v>
      </c>
    </row>
    <row r="2" spans="1:14" ht="24" customHeight="1">
      <c r="A2" s="1347"/>
      <c r="B2" s="1347"/>
      <c r="C2" s="1347"/>
      <c r="D2" s="1347"/>
    </row>
    <row r="3" spans="1:14" ht="33.75" customHeight="1">
      <c r="A3" s="657">
        <v>0</v>
      </c>
      <c r="B3" s="1334" t="s">
        <v>494</v>
      </c>
      <c r="C3" s="1336" t="s">
        <v>3155</v>
      </c>
      <c r="D3" s="1334" t="s">
        <v>727</v>
      </c>
    </row>
    <row r="4" spans="1:14" ht="33.75" customHeight="1">
      <c r="A4" s="657">
        <v>1</v>
      </c>
      <c r="B4" s="1334">
        <v>43039</v>
      </c>
      <c r="C4" s="1336" t="s">
        <v>3156</v>
      </c>
      <c r="D4" s="1334" t="s">
        <v>727</v>
      </c>
      <c r="L4" s="1254"/>
    </row>
    <row r="5" spans="1:14" ht="45" customHeight="1">
      <c r="A5" s="657">
        <v>2</v>
      </c>
      <c r="B5" s="1334">
        <v>43082</v>
      </c>
      <c r="C5" s="1336" t="s">
        <v>3157</v>
      </c>
      <c r="D5" s="1335" t="s">
        <v>2981</v>
      </c>
      <c r="G5" s="65"/>
    </row>
    <row r="6" spans="1:14" ht="33.75" customHeight="1">
      <c r="A6" s="657">
        <v>3</v>
      </c>
      <c r="B6" s="1335">
        <v>43133</v>
      </c>
      <c r="C6" s="1336" t="s">
        <v>3158</v>
      </c>
      <c r="D6" s="1335" t="s">
        <v>2981</v>
      </c>
    </row>
    <row r="7" spans="1:14" ht="33.75" customHeight="1">
      <c r="A7" s="657">
        <v>4</v>
      </c>
      <c r="B7" s="1334">
        <v>43138</v>
      </c>
      <c r="C7" s="1336" t="s">
        <v>3159</v>
      </c>
      <c r="D7" s="1335" t="s">
        <v>2981</v>
      </c>
    </row>
    <row r="8" spans="1:14" ht="33.75" customHeight="1">
      <c r="A8" s="657">
        <v>5</v>
      </c>
      <c r="B8" s="1334">
        <v>43327</v>
      </c>
      <c r="C8" s="1336" t="s">
        <v>3160</v>
      </c>
      <c r="D8" s="1335" t="s">
        <v>3161</v>
      </c>
    </row>
    <row r="9" spans="1:14" ht="33.75" customHeight="1">
      <c r="A9" s="1348">
        <v>6</v>
      </c>
      <c r="B9" s="1334">
        <v>43480</v>
      </c>
      <c r="C9" s="1336" t="s">
        <v>3164</v>
      </c>
      <c r="D9" s="1335" t="s">
        <v>3161</v>
      </c>
    </row>
    <row r="10" spans="1:14" ht="39.75" customHeight="1">
      <c r="A10" s="1348"/>
      <c r="B10" s="1334">
        <v>43551</v>
      </c>
      <c r="C10" s="1336" t="s">
        <v>3166</v>
      </c>
      <c r="D10" s="1335" t="s">
        <v>3161</v>
      </c>
      <c r="G10" s="47"/>
      <c r="H10" s="1254"/>
      <c r="J10" s="1254"/>
      <c r="L10" s="1254"/>
      <c r="N10" s="1254"/>
    </row>
    <row r="11" spans="1:14" ht="33.75" customHeight="1">
      <c r="A11" s="1348"/>
      <c r="B11" s="1334">
        <v>43551</v>
      </c>
      <c r="C11" s="1336" t="s">
        <v>3167</v>
      </c>
      <c r="D11" s="1335" t="s">
        <v>3161</v>
      </c>
      <c r="L11" s="1254"/>
      <c r="N11" s="1254"/>
    </row>
    <row r="12" spans="1:14">
      <c r="L12" s="1254"/>
      <c r="N12" s="1254"/>
    </row>
    <row r="61" spans="6:16">
      <c r="F61" s="1268"/>
      <c r="G61" s="1268"/>
      <c r="H61" s="1268"/>
      <c r="I61" s="1268"/>
      <c r="J61" s="1268"/>
      <c r="K61" s="1268"/>
      <c r="L61" s="1268"/>
      <c r="M61" s="1268"/>
      <c r="N61" s="1268"/>
      <c r="O61" s="1268"/>
      <c r="P61" s="1268"/>
    </row>
    <row r="62" spans="6:16">
      <c r="F62" s="1268"/>
      <c r="G62" s="1268"/>
      <c r="H62" s="1268"/>
      <c r="I62" s="1268"/>
      <c r="J62" s="1268"/>
      <c r="K62" s="1268"/>
      <c r="L62" s="1268"/>
      <c r="M62" s="1268"/>
      <c r="N62" s="1268"/>
      <c r="O62" s="1268"/>
      <c r="P62" s="1268"/>
    </row>
    <row r="63" spans="6:16" ht="13.8">
      <c r="F63" s="1268"/>
      <c r="G63" s="1255"/>
      <c r="H63" s="1267" t="s">
        <v>2982</v>
      </c>
      <c r="I63" s="1256"/>
      <c r="J63" s="1268" t="s">
        <v>2983</v>
      </c>
      <c r="K63" s="1257"/>
      <c r="L63" s="1267" t="s">
        <v>1023</v>
      </c>
      <c r="M63" s="1258"/>
      <c r="N63" s="1267" t="s">
        <v>1020</v>
      </c>
      <c r="O63" s="1259"/>
      <c r="P63" s="1267" t="s">
        <v>2984</v>
      </c>
    </row>
    <row r="64" spans="6:16" ht="13.8">
      <c r="F64" s="1268"/>
      <c r="G64" s="1260"/>
      <c r="H64" s="1267" t="s">
        <v>2985</v>
      </c>
      <c r="I64" s="1261"/>
      <c r="J64" s="1267" t="s">
        <v>2986</v>
      </c>
      <c r="K64" s="1262"/>
      <c r="L64" s="1267" t="s">
        <v>1022</v>
      </c>
      <c r="M64" s="1263"/>
      <c r="N64" s="1267" t="s">
        <v>1024</v>
      </c>
      <c r="O64" s="1264"/>
      <c r="P64" s="1267" t="s">
        <v>2987</v>
      </c>
    </row>
    <row r="65" spans="6:16" ht="13.8">
      <c r="F65" s="1268"/>
      <c r="G65" s="1265"/>
      <c r="H65" s="1267" t="s">
        <v>2988</v>
      </c>
      <c r="I65" s="1266"/>
      <c r="J65" s="1268" t="s">
        <v>2989</v>
      </c>
      <c r="K65" s="1269"/>
      <c r="L65" s="1267" t="s">
        <v>2990</v>
      </c>
      <c r="M65" s="1268"/>
      <c r="N65" s="1268"/>
      <c r="O65" s="1268"/>
      <c r="P65" s="1268"/>
    </row>
    <row r="66" spans="6:16">
      <c r="F66" s="1268"/>
      <c r="G66" s="1268"/>
      <c r="H66" s="1268"/>
      <c r="I66" s="1268"/>
      <c r="J66" s="1268"/>
      <c r="K66" s="1268"/>
      <c r="L66" s="1268"/>
      <c r="M66" s="1268"/>
      <c r="N66" s="1268"/>
      <c r="O66" s="1268"/>
      <c r="P66" s="1268"/>
    </row>
  </sheetData>
  <mergeCells count="5">
    <mergeCell ref="B1:B2"/>
    <mergeCell ref="C1:C2"/>
    <mergeCell ref="D1:D2"/>
    <mergeCell ref="A1:A2"/>
    <mergeCell ref="A9:A11"/>
  </mergeCells>
  <conditionalFormatting sqref="AQ16 AQ70 AQ18 AQ68 AQ72">
    <cfRule type="cellIs" dxfId="45" priority="1" stopIfTrue="1" operator="notBetween">
      <formula>-0.36</formula>
      <formula>0.36</formula>
    </cfRule>
  </conditionalFormatting>
  <printOptions horizontalCentered="1" gridLines="1"/>
  <pageMargins left="0.39370078740157483" right="0.39370078740157483" top="1.3779527559055118" bottom="0.9055118110236221" header="0.31496062992125984" footer="0.31496062992125984"/>
  <pageSetup paperSize="9" scale="83" fitToHeight="0" orientation="portrait" cellComments="asDisplayed" r:id="rId1"/>
  <headerFooter scaleWithDoc="0" alignWithMargins="0">
    <oddHeader>&amp;L&amp;G&amp;C
LAYOUT AND EQUIPMENT
EP 15 KP 30-48
REVISION DATA
&amp;R&amp;G</oddHeader>
    <oddFooter>&amp;L&amp;F&amp;R&amp;D 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>
    <tabColor theme="6" tint="-0.499984740745262"/>
    <pageSetUpPr fitToPage="1"/>
  </sheetPr>
  <dimension ref="A1:BO4597"/>
  <sheetViews>
    <sheetView view="pageBreakPreview" zoomScale="70" zoomScaleNormal="80" zoomScaleSheetLayoutView="70" workbookViewId="0">
      <pane xSplit="8" ySplit="3" topLeftCell="N673" activePane="bottomRight" state="frozen"/>
      <selection activeCell="G8" sqref="G8"/>
      <selection pane="topRight" activeCell="G8" sqref="G8"/>
      <selection pane="bottomLeft" activeCell="G8" sqref="G8"/>
      <selection pane="bottomRight" activeCell="H717" sqref="H717"/>
    </sheetView>
  </sheetViews>
  <sheetFormatPr baseColWidth="10" defaultColWidth="11.44140625" defaultRowHeight="15.75" customHeight="1"/>
  <cols>
    <col min="1" max="1" width="19" style="531" customWidth="1"/>
    <col min="2" max="2" width="9.6640625" style="532" customWidth="1"/>
    <col min="3" max="3" width="13.44140625" style="531" hidden="1" customWidth="1"/>
    <col min="4" max="4" width="13.88671875" style="532" hidden="1" customWidth="1"/>
    <col min="5" max="5" width="10.5546875" style="532" hidden="1" customWidth="1"/>
    <col min="6" max="6" width="9.33203125" style="533" hidden="1" customWidth="1"/>
    <col min="7" max="7" width="10" style="533" hidden="1" customWidth="1"/>
    <col min="8" max="8" width="17.44140625" style="532" customWidth="1"/>
    <col min="9" max="9" width="15.5546875" style="533" customWidth="1"/>
    <col min="10" max="10" width="13.5546875" style="534" customWidth="1"/>
    <col min="11" max="11" width="15.33203125" style="532" customWidth="1"/>
    <col min="12" max="12" width="16.33203125" style="532" customWidth="1"/>
    <col min="13" max="13" width="15.88671875" style="532" customWidth="1"/>
    <col min="14" max="15" width="9" style="532" customWidth="1"/>
    <col min="16" max="16" width="9" style="532" hidden="1" customWidth="1"/>
    <col min="17" max="19" width="11.6640625" style="532" customWidth="1"/>
    <col min="20" max="21" width="6.33203125" style="532" customWidth="1"/>
    <col min="22" max="22" width="6.33203125" style="532" hidden="1" customWidth="1"/>
    <col min="23" max="24" width="6.33203125" style="532" customWidth="1"/>
    <col min="25" max="25" width="6.33203125" style="532" hidden="1" customWidth="1"/>
    <col min="26" max="27" width="6.33203125" style="532" customWidth="1"/>
    <col min="28" max="28" width="6.33203125" style="532" hidden="1" customWidth="1"/>
    <col min="29" max="30" width="9.88671875" style="532" customWidth="1"/>
    <col min="31" max="31" width="6.109375" style="532" hidden="1" customWidth="1"/>
    <col min="32" max="32" width="12.5546875" style="532" customWidth="1"/>
    <col min="33" max="33" width="12.5546875" style="1338" customWidth="1"/>
    <col min="34" max="35" width="12.5546875" style="532" customWidth="1"/>
    <col min="36" max="36" width="12.6640625" style="532" customWidth="1"/>
    <col min="37" max="38" width="11" style="532" hidden="1" customWidth="1"/>
    <col min="39" max="39" width="13.44140625" style="532" customWidth="1"/>
    <col min="40" max="40" width="8.33203125" style="532" customWidth="1"/>
    <col min="41" max="42" width="7.33203125" style="532" hidden="1" customWidth="1"/>
    <col min="43" max="43" width="8.33203125" style="532" hidden="1" customWidth="1"/>
    <col min="44" max="45" width="7.33203125" style="532" hidden="1" customWidth="1"/>
    <col min="46" max="46" width="8.33203125" style="532" hidden="1" customWidth="1"/>
    <col min="47" max="48" width="7.33203125" style="532" hidden="1" customWidth="1"/>
    <col min="49" max="51" width="8.88671875" style="532" hidden="1" customWidth="1"/>
    <col min="52" max="52" width="13.33203125" style="532" customWidth="1"/>
    <col min="53" max="53" width="7.44140625" style="517" customWidth="1"/>
    <col min="54" max="54" width="56.88671875" style="518" customWidth="1"/>
    <col min="55" max="55" width="15.6640625" style="517" customWidth="1"/>
    <col min="56" max="56" width="2.6640625" style="517" customWidth="1"/>
    <col min="57" max="57" width="45.6640625" style="517" customWidth="1"/>
    <col min="58" max="58" width="19.109375" style="517" customWidth="1"/>
    <col min="59" max="59" width="4.6640625" style="517" customWidth="1"/>
    <col min="60" max="60" width="22.88671875" style="519" customWidth="1"/>
    <col min="61" max="16384" width="11.44140625" style="517"/>
  </cols>
  <sheetData>
    <row r="1" spans="1:67" ht="36" customHeight="1" thickBot="1">
      <c r="A1" s="1349" t="s">
        <v>466</v>
      </c>
      <c r="B1" s="1350"/>
      <c r="C1" s="1350"/>
      <c r="D1" s="1350"/>
      <c r="E1" s="1350"/>
      <c r="F1" s="1350"/>
      <c r="G1" s="1350"/>
      <c r="H1" s="1350"/>
      <c r="I1" s="1350"/>
      <c r="J1" s="1350"/>
      <c r="K1" s="1350"/>
      <c r="L1" s="1350"/>
      <c r="M1" s="1350"/>
      <c r="N1" s="1350"/>
      <c r="O1" s="1350"/>
      <c r="P1" s="1350"/>
      <c r="Q1" s="1350"/>
      <c r="R1" s="1350"/>
      <c r="S1" s="1350"/>
      <c r="T1" s="1350"/>
      <c r="U1" s="1350"/>
      <c r="V1" s="1350"/>
      <c r="W1" s="1350"/>
      <c r="X1" s="1350"/>
      <c r="Y1" s="1350"/>
      <c r="Z1" s="1350"/>
      <c r="AA1" s="1350"/>
      <c r="AB1" s="1350"/>
      <c r="AC1" s="1350"/>
      <c r="AD1" s="1350"/>
      <c r="AE1" s="1350"/>
      <c r="AF1" s="1350"/>
      <c r="AG1" s="1350"/>
      <c r="AH1" s="1350"/>
      <c r="AI1" s="1350"/>
      <c r="AJ1" s="1350"/>
      <c r="AK1" s="1350"/>
      <c r="AL1" s="1350"/>
      <c r="AM1" s="1350"/>
      <c r="AN1" s="1350"/>
      <c r="AO1" s="1350"/>
      <c r="AP1" s="1350"/>
      <c r="AQ1" s="1350"/>
      <c r="AR1" s="1350"/>
      <c r="AS1" s="1350"/>
      <c r="AT1" s="1350"/>
      <c r="AU1" s="1350"/>
      <c r="AV1" s="1350"/>
      <c r="AW1" s="1350"/>
      <c r="AX1" s="1350"/>
      <c r="AY1" s="1350"/>
      <c r="AZ1" s="517"/>
    </row>
    <row r="2" spans="1:67" ht="42" customHeight="1" thickBot="1">
      <c r="A2" s="520" t="s">
        <v>2457</v>
      </c>
      <c r="B2" s="521" t="s">
        <v>467</v>
      </c>
      <c r="C2" s="520" t="s">
        <v>468</v>
      </c>
      <c r="D2" s="522" t="s">
        <v>2458</v>
      </c>
      <c r="E2" s="523" t="s">
        <v>681</v>
      </c>
      <c r="F2" s="524" t="s">
        <v>470</v>
      </c>
      <c r="G2" s="524" t="s">
        <v>684</v>
      </c>
      <c r="H2" s="521" t="s">
        <v>473</v>
      </c>
      <c r="I2" s="525" t="s">
        <v>472</v>
      </c>
      <c r="J2" s="526" t="s">
        <v>1017</v>
      </c>
      <c r="K2" s="527" t="s">
        <v>679</v>
      </c>
      <c r="L2" s="527" t="s">
        <v>474</v>
      </c>
      <c r="M2" s="527" t="s">
        <v>471</v>
      </c>
      <c r="N2" s="1351" t="s">
        <v>475</v>
      </c>
      <c r="O2" s="1352"/>
      <c r="P2" s="1353"/>
      <c r="Q2" s="527" t="s">
        <v>680</v>
      </c>
      <c r="R2" s="524" t="s">
        <v>682</v>
      </c>
      <c r="S2" s="527" t="s">
        <v>683</v>
      </c>
      <c r="T2" s="1354" t="s">
        <v>481</v>
      </c>
      <c r="U2" s="1355"/>
      <c r="V2" s="1356"/>
      <c r="W2" s="1351" t="s">
        <v>484</v>
      </c>
      <c r="X2" s="1352"/>
      <c r="Y2" s="1353"/>
      <c r="Z2" s="1351" t="s">
        <v>2459</v>
      </c>
      <c r="AA2" s="1352"/>
      <c r="AB2" s="1353"/>
      <c r="AC2" s="1357" t="s">
        <v>685</v>
      </c>
      <c r="AD2" s="1355"/>
      <c r="AE2" s="1356"/>
      <c r="AF2" s="527" t="s">
        <v>686</v>
      </c>
      <c r="AG2" s="1337" t="s">
        <v>687</v>
      </c>
      <c r="AH2" s="527" t="s">
        <v>688</v>
      </c>
      <c r="AI2" s="527" t="s">
        <v>689</v>
      </c>
      <c r="AJ2" s="528" t="s">
        <v>690</v>
      </c>
      <c r="AK2" s="527" t="s">
        <v>476</v>
      </c>
      <c r="AL2" s="527" t="s">
        <v>477</v>
      </c>
      <c r="AM2" s="529" t="s">
        <v>692</v>
      </c>
      <c r="AN2" s="1351" t="s">
        <v>482</v>
      </c>
      <c r="AO2" s="1352"/>
      <c r="AP2" s="1353"/>
      <c r="AQ2" s="1351" t="s">
        <v>483</v>
      </c>
      <c r="AR2" s="1352"/>
      <c r="AS2" s="1353"/>
      <c r="AT2" s="1351" t="s">
        <v>691</v>
      </c>
      <c r="AU2" s="1352"/>
      <c r="AV2" s="1353"/>
      <c r="AW2" s="527" t="s">
        <v>2460</v>
      </c>
      <c r="AX2" s="527" t="s">
        <v>2461</v>
      </c>
      <c r="AY2" s="527" t="s">
        <v>2462</v>
      </c>
      <c r="AZ2" s="530"/>
      <c r="BA2" s="530"/>
      <c r="BB2" s="1277" t="s">
        <v>1018</v>
      </c>
      <c r="BC2" s="1278"/>
      <c r="BD2" s="1279"/>
      <c r="BE2" s="1280" t="s">
        <v>1018</v>
      </c>
      <c r="BF2" s="1281"/>
      <c r="BG2" s="514"/>
      <c r="BH2" s="515" t="s">
        <v>1019</v>
      </c>
      <c r="BI2" s="515" t="s">
        <v>962</v>
      </c>
      <c r="BJ2" s="515" t="s">
        <v>963</v>
      </c>
      <c r="BK2" s="515" t="s">
        <v>964</v>
      </c>
      <c r="BL2" s="516" t="s">
        <v>200</v>
      </c>
      <c r="BM2" s="514"/>
      <c r="BN2" s="514"/>
      <c r="BO2" s="514"/>
    </row>
    <row r="3" spans="1:67" ht="15.75" hidden="1" customHeight="1">
      <c r="N3" s="694" t="s">
        <v>123</v>
      </c>
      <c r="O3" s="694" t="s">
        <v>124</v>
      </c>
      <c r="P3" s="694" t="s">
        <v>125</v>
      </c>
      <c r="T3" s="694" t="s">
        <v>126</v>
      </c>
      <c r="U3" s="694" t="s">
        <v>127</v>
      </c>
      <c r="V3" s="694" t="s">
        <v>128</v>
      </c>
      <c r="W3" s="694" t="s">
        <v>129</v>
      </c>
      <c r="X3" s="694" t="s">
        <v>130</v>
      </c>
      <c r="Y3" s="694" t="s">
        <v>131</v>
      </c>
      <c r="Z3" s="694" t="s">
        <v>132</v>
      </c>
      <c r="AA3" s="694" t="s">
        <v>133</v>
      </c>
      <c r="AB3" s="694" t="s">
        <v>134</v>
      </c>
      <c r="AC3" s="694" t="s">
        <v>135</v>
      </c>
      <c r="AD3" s="694" t="s">
        <v>136</v>
      </c>
      <c r="AE3" s="694" t="s">
        <v>137</v>
      </c>
      <c r="AN3" s="694" t="s">
        <v>129</v>
      </c>
      <c r="AO3" s="694" t="s">
        <v>130</v>
      </c>
      <c r="AP3" s="694" t="s">
        <v>131</v>
      </c>
      <c r="AQ3" s="694" t="s">
        <v>662</v>
      </c>
      <c r="AR3" s="694" t="s">
        <v>663</v>
      </c>
      <c r="AS3" s="694" t="s">
        <v>664</v>
      </c>
      <c r="AT3" s="694" t="s">
        <v>665</v>
      </c>
      <c r="AU3" s="694" t="s">
        <v>666</v>
      </c>
      <c r="AV3" s="694" t="s">
        <v>667</v>
      </c>
      <c r="AW3" s="517"/>
      <c r="AX3" s="517"/>
      <c r="AY3" s="517"/>
      <c r="AZ3" s="517"/>
      <c r="BB3" s="1282"/>
      <c r="BC3" s="1283"/>
      <c r="BD3" s="1279"/>
      <c r="BE3" s="1282"/>
      <c r="BF3" s="1283"/>
      <c r="BH3" s="517"/>
      <c r="BL3" s="519"/>
    </row>
    <row r="4" spans="1:67" ht="15.75" hidden="1" customHeight="1">
      <c r="A4" s="695"/>
      <c r="B4" s="696"/>
      <c r="C4" s="695"/>
      <c r="D4" s="696"/>
      <c r="E4" s="696"/>
      <c r="F4" s="697"/>
      <c r="G4" s="697"/>
      <c r="H4" s="696"/>
      <c r="I4" s="698"/>
      <c r="J4" s="699"/>
      <c r="K4" s="696"/>
      <c r="L4" s="696"/>
      <c r="M4" s="696"/>
      <c r="N4" s="696"/>
      <c r="O4" s="696"/>
      <c r="P4" s="696"/>
      <c r="Q4" s="696"/>
      <c r="R4" s="696"/>
      <c r="S4" s="696"/>
      <c r="T4" s="696"/>
      <c r="U4" s="696"/>
      <c r="V4" s="696"/>
      <c r="W4" s="696"/>
      <c r="X4" s="696"/>
      <c r="Y4" s="696"/>
      <c r="Z4" s="696"/>
      <c r="AA4" s="696"/>
      <c r="AB4" s="696"/>
      <c r="AC4" s="696"/>
      <c r="AD4" s="696"/>
      <c r="AE4" s="696"/>
      <c r="AF4" s="696"/>
      <c r="AG4" s="1339"/>
      <c r="AH4" s="696"/>
      <c r="AI4" s="696"/>
      <c r="AJ4" s="696"/>
      <c r="AK4" s="696"/>
      <c r="AL4" s="696"/>
      <c r="AM4" s="696"/>
      <c r="AN4" s="696"/>
      <c r="AO4" s="696"/>
      <c r="AP4" s="696"/>
      <c r="AQ4" s="700"/>
      <c r="AR4" s="700"/>
      <c r="AS4" s="700"/>
      <c r="AT4" s="700"/>
      <c r="AU4" s="700"/>
      <c r="AV4" s="700"/>
      <c r="AW4" s="696"/>
      <c r="AX4" s="696"/>
      <c r="AY4" s="696"/>
      <c r="BA4" s="532"/>
      <c r="BB4" s="1284"/>
      <c r="BC4" s="1285"/>
      <c r="BD4" s="1279"/>
      <c r="BE4" s="1284"/>
      <c r="BF4" s="1285"/>
      <c r="BH4" s="518" t="s">
        <v>965</v>
      </c>
      <c r="BI4" s="531">
        <v>30800</v>
      </c>
      <c r="BJ4" s="531">
        <v>37000</v>
      </c>
      <c r="BK4" s="532">
        <v>2</v>
      </c>
      <c r="BL4" s="519">
        <f>+(BJ4-BI4)*BK4/1000</f>
        <v>12.4</v>
      </c>
    </row>
    <row r="5" spans="1:67" ht="15.75" hidden="1" customHeight="1">
      <c r="A5" s="743" t="s">
        <v>677</v>
      </c>
      <c r="B5" s="744" t="s">
        <v>1303</v>
      </c>
      <c r="C5" s="745">
        <v>30675</v>
      </c>
      <c r="D5" s="746"/>
      <c r="E5" s="746"/>
      <c r="F5" s="747">
        <v>0</v>
      </c>
      <c r="G5" s="748"/>
      <c r="H5" s="749" t="s">
        <v>138</v>
      </c>
      <c r="I5" s="750"/>
      <c r="J5" s="751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6"/>
      <c r="Z5" s="746"/>
      <c r="AA5" s="746"/>
      <c r="AB5" s="746"/>
      <c r="AC5" s="746"/>
      <c r="AD5" s="746"/>
      <c r="AE5" s="746"/>
      <c r="AF5" s="746"/>
      <c r="AG5" s="1340"/>
      <c r="AH5" s="746"/>
      <c r="AI5" s="746"/>
      <c r="AJ5" s="746"/>
      <c r="AK5" s="746"/>
      <c r="AL5" s="746"/>
      <c r="AM5" s="746"/>
      <c r="AN5" s="746"/>
      <c r="AO5" s="746"/>
      <c r="AP5" s="746"/>
      <c r="AQ5" s="752"/>
      <c r="AR5" s="752"/>
      <c r="AS5" s="752"/>
      <c r="AT5" s="752"/>
      <c r="AU5" s="752"/>
      <c r="AV5" s="752"/>
      <c r="AW5" s="746"/>
      <c r="AX5" s="746"/>
      <c r="AY5" s="746"/>
      <c r="BA5" s="532"/>
      <c r="BB5" s="1286" t="s">
        <v>3027</v>
      </c>
      <c r="BC5" s="1287"/>
      <c r="BD5" s="1279"/>
      <c r="BE5" s="1286" t="s">
        <v>1044</v>
      </c>
      <c r="BF5" s="1287"/>
      <c r="BH5" s="518" t="s">
        <v>966</v>
      </c>
      <c r="BI5" s="531">
        <v>37000</v>
      </c>
      <c r="BJ5" s="531">
        <v>48500</v>
      </c>
      <c r="BK5" s="532">
        <v>1</v>
      </c>
      <c r="BL5" s="519">
        <f>+(BJ5-BI5)*BK5/1000</f>
        <v>11.5</v>
      </c>
    </row>
    <row r="6" spans="1:67" ht="15.75" hidden="1" customHeight="1">
      <c r="A6" s="743" t="s">
        <v>2577</v>
      </c>
      <c r="B6" s="744"/>
      <c r="C6" s="745"/>
      <c r="D6" s="746"/>
      <c r="E6" s="746"/>
      <c r="F6" s="747"/>
      <c r="G6" s="748">
        <v>41</v>
      </c>
      <c r="H6" s="746"/>
      <c r="I6" s="750"/>
      <c r="J6" s="751"/>
      <c r="K6" s="746"/>
      <c r="L6" s="746"/>
      <c r="M6" s="746"/>
      <c r="N6" s="746"/>
      <c r="O6" s="746"/>
      <c r="P6" s="746"/>
      <c r="Q6" s="746"/>
      <c r="R6" s="746"/>
      <c r="S6" s="746"/>
      <c r="T6" s="746"/>
      <c r="U6" s="746"/>
      <c r="V6" s="746"/>
      <c r="W6" s="746"/>
      <c r="X6" s="746"/>
      <c r="Y6" s="746"/>
      <c r="Z6" s="746"/>
      <c r="AA6" s="746"/>
      <c r="AB6" s="746"/>
      <c r="AC6" s="746"/>
      <c r="AD6" s="746"/>
      <c r="AE6" s="746"/>
      <c r="AF6" s="746"/>
      <c r="AG6" s="1340"/>
      <c r="AH6" s="746"/>
      <c r="AI6" s="746"/>
      <c r="AJ6" s="746"/>
      <c r="AK6" s="746"/>
      <c r="AL6" s="746"/>
      <c r="AM6" s="746"/>
      <c r="AN6" s="746"/>
      <c r="AO6" s="746"/>
      <c r="AP6" s="746"/>
      <c r="AQ6" s="752"/>
      <c r="AR6" s="752"/>
      <c r="AS6" s="752"/>
      <c r="AT6" s="752"/>
      <c r="AU6" s="752"/>
      <c r="AV6" s="752"/>
      <c r="AW6" s="753"/>
      <c r="AX6" s="754"/>
      <c r="AY6" s="754"/>
      <c r="BA6" s="532"/>
      <c r="BB6" s="1284" t="s">
        <v>1025</v>
      </c>
      <c r="BC6" s="1288"/>
      <c r="BD6" s="1279"/>
      <c r="BE6" s="1284" t="s">
        <v>3028</v>
      </c>
      <c r="BF6" s="1285" t="s">
        <v>3029</v>
      </c>
      <c r="BH6" s="518"/>
      <c r="BI6" s="531"/>
      <c r="BJ6" s="531"/>
      <c r="BK6" s="532"/>
      <c r="BL6" s="519"/>
    </row>
    <row r="7" spans="1:67" ht="15.75" hidden="1" customHeight="1">
      <c r="A7" s="743"/>
      <c r="B7" s="744" t="s">
        <v>1304</v>
      </c>
      <c r="C7" s="745">
        <v>30716</v>
      </c>
      <c r="D7" s="746"/>
      <c r="E7" s="746"/>
      <c r="F7" s="747">
        <v>0</v>
      </c>
      <c r="G7" s="748"/>
      <c r="H7" s="749" t="s">
        <v>668</v>
      </c>
      <c r="I7" s="750"/>
      <c r="J7" s="751"/>
      <c r="K7" s="746"/>
      <c r="L7" s="746"/>
      <c r="M7" s="746"/>
      <c r="N7" s="746"/>
      <c r="O7" s="746"/>
      <c r="P7" s="746"/>
      <c r="Q7" s="746"/>
      <c r="R7" s="746"/>
      <c r="S7" s="746"/>
      <c r="T7" s="746"/>
      <c r="U7" s="746"/>
      <c r="V7" s="746"/>
      <c r="W7" s="746"/>
      <c r="X7" s="746"/>
      <c r="Y7" s="746"/>
      <c r="Z7" s="746"/>
      <c r="AA7" s="746"/>
      <c r="AB7" s="746"/>
      <c r="AC7" s="746"/>
      <c r="AD7" s="746"/>
      <c r="AE7" s="746"/>
      <c r="AF7" s="746"/>
      <c r="AG7" s="1340"/>
      <c r="AH7" s="746"/>
      <c r="AI7" s="746"/>
      <c r="AJ7" s="746"/>
      <c r="AK7" s="746"/>
      <c r="AL7" s="746"/>
      <c r="AM7" s="746"/>
      <c r="AN7" s="746"/>
      <c r="AO7" s="746"/>
      <c r="AP7" s="746"/>
      <c r="AQ7" s="752"/>
      <c r="AR7" s="752"/>
      <c r="AS7" s="752"/>
      <c r="AT7" s="752"/>
      <c r="AU7" s="752"/>
      <c r="AV7" s="752"/>
      <c r="AW7" s="755"/>
      <c r="AX7" s="756"/>
      <c r="AY7" s="755"/>
      <c r="BA7" s="532"/>
      <c r="BB7" s="1284" t="s">
        <v>2987</v>
      </c>
      <c r="BC7" s="1289"/>
      <c r="BD7" s="1279"/>
      <c r="BE7" s="1284" t="s">
        <v>3030</v>
      </c>
      <c r="BF7" s="1285" t="s">
        <v>3031</v>
      </c>
      <c r="BH7" s="518"/>
      <c r="BI7" s="531"/>
      <c r="BJ7" s="531"/>
      <c r="BK7" s="532"/>
      <c r="BL7" s="519"/>
    </row>
    <row r="8" spans="1:67" ht="15.75" hidden="1" customHeight="1">
      <c r="A8" s="743"/>
      <c r="B8" s="744" t="s">
        <v>2972</v>
      </c>
      <c r="C8" s="745">
        <v>30719</v>
      </c>
      <c r="D8" s="746"/>
      <c r="E8" s="746"/>
      <c r="F8" s="747"/>
      <c r="G8" s="748">
        <v>42</v>
      </c>
      <c r="H8" s="749"/>
      <c r="I8" s="750"/>
      <c r="J8" s="751"/>
      <c r="K8" s="746"/>
      <c r="L8" s="746"/>
      <c r="M8" s="746"/>
      <c r="N8" s="746"/>
      <c r="O8" s="746"/>
      <c r="P8" s="746"/>
      <c r="Q8" s="746"/>
      <c r="R8" s="746"/>
      <c r="S8" s="746"/>
      <c r="T8" s="746"/>
      <c r="U8" s="746"/>
      <c r="V8" s="746"/>
      <c r="W8" s="746"/>
      <c r="X8" s="746"/>
      <c r="Y8" s="746"/>
      <c r="Z8" s="746"/>
      <c r="AA8" s="746"/>
      <c r="AB8" s="746"/>
      <c r="AC8" s="746"/>
      <c r="AD8" s="746"/>
      <c r="AE8" s="746"/>
      <c r="AF8" s="746"/>
      <c r="AG8" s="1340"/>
      <c r="AH8" s="746"/>
      <c r="AI8" s="746"/>
      <c r="AJ8" s="746"/>
      <c r="AK8" s="746"/>
      <c r="AL8" s="746"/>
      <c r="AM8" s="746"/>
      <c r="AN8" s="746"/>
      <c r="AO8" s="746"/>
      <c r="AP8" s="746"/>
      <c r="AQ8" s="752"/>
      <c r="AR8" s="752"/>
      <c r="AS8" s="752"/>
      <c r="AT8" s="752"/>
      <c r="AU8" s="752"/>
      <c r="AV8" s="752"/>
      <c r="AW8" s="755"/>
      <c r="AX8" s="755"/>
      <c r="AY8" s="756"/>
      <c r="BA8" s="532"/>
      <c r="BB8" s="1284" t="s">
        <v>2986</v>
      </c>
      <c r="BC8" s="541"/>
      <c r="BD8" s="1279"/>
      <c r="BE8" s="1284" t="s">
        <v>3032</v>
      </c>
      <c r="BF8" s="1285" t="s">
        <v>3033</v>
      </c>
      <c r="BH8" s="545" t="s">
        <v>1015</v>
      </c>
      <c r="BI8" s="546"/>
      <c r="BJ8" s="546"/>
      <c r="BK8" s="546"/>
      <c r="BL8" s="547">
        <f>SUM(BL4:BL7)</f>
        <v>23.9</v>
      </c>
    </row>
    <row r="9" spans="1:67" ht="15.75" hidden="1" customHeight="1">
      <c r="A9" s="743"/>
      <c r="B9" s="744" t="s">
        <v>2578</v>
      </c>
      <c r="C9" s="745">
        <v>30758</v>
      </c>
      <c r="D9" s="746"/>
      <c r="E9" s="746"/>
      <c r="F9" s="747">
        <v>0</v>
      </c>
      <c r="G9" s="748"/>
      <c r="H9" s="749"/>
      <c r="I9" s="750"/>
      <c r="J9" s="751"/>
      <c r="K9" s="746"/>
      <c r="L9" s="746"/>
      <c r="M9" s="746"/>
      <c r="N9" s="746"/>
      <c r="O9" s="746"/>
      <c r="P9" s="746"/>
      <c r="Q9" s="746"/>
      <c r="R9" s="746"/>
      <c r="S9" s="746"/>
      <c r="T9" s="746"/>
      <c r="U9" s="746"/>
      <c r="V9" s="746"/>
      <c r="W9" s="746"/>
      <c r="X9" s="746"/>
      <c r="Y9" s="746"/>
      <c r="Z9" s="746"/>
      <c r="AA9" s="746"/>
      <c r="AB9" s="746"/>
      <c r="AC9" s="746"/>
      <c r="AD9" s="746"/>
      <c r="AE9" s="746"/>
      <c r="AF9" s="746"/>
      <c r="AG9" s="1340"/>
      <c r="AH9" s="746"/>
      <c r="AI9" s="746"/>
      <c r="AJ9" s="746"/>
      <c r="AK9" s="746"/>
      <c r="AL9" s="746"/>
      <c r="AM9" s="746"/>
      <c r="AN9" s="746"/>
      <c r="AO9" s="746"/>
      <c r="AP9" s="746"/>
      <c r="AQ9" s="752"/>
      <c r="AR9" s="752"/>
      <c r="AS9" s="752"/>
      <c r="AT9" s="752"/>
      <c r="AU9" s="752"/>
      <c r="AV9" s="752"/>
      <c r="AW9" s="746"/>
      <c r="AX9" s="746"/>
      <c r="AY9" s="746"/>
      <c r="BA9" s="532"/>
      <c r="BB9" s="1284" t="s">
        <v>1023</v>
      </c>
      <c r="BC9" s="1290"/>
      <c r="BD9" s="1279"/>
      <c r="BE9" s="1284" t="s">
        <v>1074</v>
      </c>
      <c r="BF9" s="1285" t="s">
        <v>3034</v>
      </c>
      <c r="BH9" s="517"/>
    </row>
    <row r="10" spans="1:67" ht="15.75" hidden="1" customHeight="1">
      <c r="A10" s="743"/>
      <c r="B10" s="744"/>
      <c r="C10" s="745" t="s">
        <v>3165</v>
      </c>
      <c r="D10" s="746"/>
      <c r="E10" s="746"/>
      <c r="F10" s="747"/>
      <c r="G10" s="748">
        <v>5</v>
      </c>
      <c r="H10" s="749"/>
      <c r="I10" s="750"/>
      <c r="J10" s="751"/>
      <c r="K10" s="746"/>
      <c r="L10" s="746"/>
      <c r="M10" s="746"/>
      <c r="N10" s="746"/>
      <c r="O10" s="746"/>
      <c r="P10" s="746"/>
      <c r="Q10" s="746"/>
      <c r="R10" s="746"/>
      <c r="S10" s="746"/>
      <c r="T10" s="746"/>
      <c r="U10" s="746"/>
      <c r="V10" s="746"/>
      <c r="W10" s="746"/>
      <c r="X10" s="746"/>
      <c r="Y10" s="746"/>
      <c r="Z10" s="746"/>
      <c r="AA10" s="746"/>
      <c r="AB10" s="746"/>
      <c r="AC10" s="746"/>
      <c r="AD10" s="746"/>
      <c r="AE10" s="746"/>
      <c r="AF10" s="746"/>
      <c r="AG10" s="1340"/>
      <c r="AH10" s="746"/>
      <c r="AI10" s="746"/>
      <c r="AJ10" s="746"/>
      <c r="AK10" s="746"/>
      <c r="AL10" s="746"/>
      <c r="AM10" s="746"/>
      <c r="AN10" s="746"/>
      <c r="AO10" s="746"/>
      <c r="AP10" s="746"/>
      <c r="AQ10" s="752"/>
      <c r="AR10" s="752"/>
      <c r="AS10" s="752"/>
      <c r="AT10" s="752"/>
      <c r="AU10" s="752"/>
      <c r="AV10" s="752"/>
      <c r="AW10" s="746"/>
      <c r="AX10" s="746"/>
      <c r="AY10" s="746"/>
      <c r="BA10" s="532"/>
      <c r="BB10" s="1284" t="s">
        <v>1022</v>
      </c>
      <c r="BC10" s="1291"/>
      <c r="BD10" s="1279"/>
      <c r="BE10" s="1284" t="s">
        <v>3035</v>
      </c>
      <c r="BF10" s="1285" t="s">
        <v>3036</v>
      </c>
      <c r="BH10" s="545" t="s">
        <v>1016</v>
      </c>
      <c r="BI10" s="546"/>
      <c r="BJ10" s="546"/>
      <c r="BK10" s="546"/>
      <c r="BL10" s="547">
        <f>+(BJ5-BI4)/1000</f>
        <v>17.7</v>
      </c>
    </row>
    <row r="11" spans="1:67" ht="15.75" hidden="1" customHeight="1">
      <c r="A11" s="743" t="s">
        <v>2579</v>
      </c>
      <c r="B11" s="744" t="s">
        <v>1305</v>
      </c>
      <c r="C11" s="745">
        <v>30763</v>
      </c>
      <c r="D11" s="746"/>
      <c r="E11" s="746"/>
      <c r="F11" s="747">
        <v>0</v>
      </c>
      <c r="G11" s="748"/>
      <c r="H11" s="749" t="s">
        <v>668</v>
      </c>
      <c r="I11" s="750"/>
      <c r="J11" s="751"/>
      <c r="K11" s="746"/>
      <c r="L11" s="746"/>
      <c r="M11" s="746"/>
      <c r="N11" s="746"/>
      <c r="O11" s="746"/>
      <c r="P11" s="746"/>
      <c r="Q11" s="746"/>
      <c r="R11" s="746"/>
      <c r="S11" s="746"/>
      <c r="T11" s="746"/>
      <c r="U11" s="746"/>
      <c r="V11" s="746"/>
      <c r="W11" s="746"/>
      <c r="X11" s="746"/>
      <c r="Y11" s="746"/>
      <c r="Z11" s="746"/>
      <c r="AA11" s="746"/>
      <c r="AB11" s="746"/>
      <c r="AC11" s="746"/>
      <c r="AD11" s="746"/>
      <c r="AE11" s="746"/>
      <c r="AF11" s="746"/>
      <c r="AG11" s="1340"/>
      <c r="AH11" s="746"/>
      <c r="AI11" s="746"/>
      <c r="AJ11" s="746"/>
      <c r="AK11" s="746"/>
      <c r="AL11" s="746"/>
      <c r="AM11" s="746"/>
      <c r="AN11" s="746"/>
      <c r="AO11" s="746"/>
      <c r="AP11" s="746"/>
      <c r="AQ11" s="752"/>
      <c r="AR11" s="752"/>
      <c r="AS11" s="752"/>
      <c r="AT11" s="752"/>
      <c r="AU11" s="752"/>
      <c r="AV11" s="752"/>
      <c r="AW11" s="746"/>
      <c r="AX11" s="746"/>
      <c r="AY11" s="746"/>
      <c r="BA11" s="532"/>
      <c r="BB11" s="1284" t="s">
        <v>1020</v>
      </c>
      <c r="BC11" s="1292"/>
      <c r="BD11" s="1279"/>
      <c r="BE11" s="1284" t="s">
        <v>3037</v>
      </c>
      <c r="BF11" s="1285" t="s">
        <v>3038</v>
      </c>
      <c r="BH11" s="517"/>
    </row>
    <row r="12" spans="1:67" ht="15.75" hidden="1" customHeight="1">
      <c r="A12" s="743"/>
      <c r="B12" s="744"/>
      <c r="C12" s="745"/>
      <c r="D12" s="746"/>
      <c r="E12" s="746"/>
      <c r="F12" s="747"/>
      <c r="G12" s="748">
        <v>47</v>
      </c>
      <c r="H12" s="749"/>
      <c r="I12" s="750"/>
      <c r="J12" s="751"/>
      <c r="K12" s="746"/>
      <c r="L12" s="746"/>
      <c r="M12" s="746"/>
      <c r="N12" s="746"/>
      <c r="O12" s="746"/>
      <c r="P12" s="746"/>
      <c r="Q12" s="746"/>
      <c r="R12" s="746"/>
      <c r="S12" s="746"/>
      <c r="T12" s="746"/>
      <c r="U12" s="746"/>
      <c r="V12" s="746"/>
      <c r="W12" s="746"/>
      <c r="X12" s="746"/>
      <c r="Y12" s="746"/>
      <c r="Z12" s="746"/>
      <c r="AA12" s="746"/>
      <c r="AB12" s="746"/>
      <c r="AC12" s="746"/>
      <c r="AD12" s="746"/>
      <c r="AE12" s="746"/>
      <c r="AF12" s="746"/>
      <c r="AG12" s="1340"/>
      <c r="AH12" s="746"/>
      <c r="AI12" s="746"/>
      <c r="AJ12" s="746"/>
      <c r="AK12" s="746"/>
      <c r="AL12" s="746"/>
      <c r="AM12" s="746"/>
      <c r="AN12" s="746"/>
      <c r="AO12" s="746"/>
      <c r="AP12" s="746"/>
      <c r="AQ12" s="752"/>
      <c r="AR12" s="752"/>
      <c r="AS12" s="752"/>
      <c r="AT12" s="752"/>
      <c r="AU12" s="752"/>
      <c r="AV12" s="752"/>
      <c r="AW12" s="746"/>
      <c r="AX12" s="746"/>
      <c r="AY12" s="746"/>
      <c r="BA12" s="532"/>
      <c r="BB12" s="1284" t="s">
        <v>1024</v>
      </c>
      <c r="BC12" s="1293"/>
      <c r="BD12" s="1279"/>
      <c r="BE12" s="1284" t="s">
        <v>3039</v>
      </c>
      <c r="BF12" s="1285" t="s">
        <v>3040</v>
      </c>
      <c r="BH12" s="515" t="s">
        <v>969</v>
      </c>
      <c r="BI12" s="515" t="s">
        <v>962</v>
      </c>
      <c r="BJ12" s="515" t="s">
        <v>963</v>
      </c>
      <c r="BK12" s="515" t="s">
        <v>964</v>
      </c>
      <c r="BL12" s="516" t="s">
        <v>200</v>
      </c>
    </row>
    <row r="13" spans="1:67" ht="15.75" hidden="1" customHeight="1" thickBot="1">
      <c r="A13" s="743"/>
      <c r="B13" s="744" t="s">
        <v>1306</v>
      </c>
      <c r="C13" s="745">
        <v>30810</v>
      </c>
      <c r="D13" s="746"/>
      <c r="E13" s="746"/>
      <c r="F13" s="747">
        <v>0</v>
      </c>
      <c r="G13" s="748"/>
      <c r="H13" s="749" t="s">
        <v>668</v>
      </c>
      <c r="I13" s="749"/>
      <c r="J13" s="751"/>
      <c r="K13" s="746"/>
      <c r="L13" s="746"/>
      <c r="M13" s="746"/>
      <c r="N13" s="746"/>
      <c r="O13" s="746"/>
      <c r="P13" s="746"/>
      <c r="Q13" s="746"/>
      <c r="R13" s="746"/>
      <c r="S13" s="746"/>
      <c r="T13" s="746"/>
      <c r="U13" s="746"/>
      <c r="V13" s="746"/>
      <c r="W13" s="746"/>
      <c r="X13" s="746"/>
      <c r="Y13" s="746"/>
      <c r="Z13" s="746"/>
      <c r="AA13" s="746"/>
      <c r="AB13" s="746"/>
      <c r="AC13" s="746"/>
      <c r="AD13" s="746"/>
      <c r="AE13" s="746"/>
      <c r="AF13" s="746"/>
      <c r="AG13" s="1340"/>
      <c r="AH13" s="746"/>
      <c r="AI13" s="746"/>
      <c r="AJ13" s="746"/>
      <c r="AK13" s="746"/>
      <c r="AL13" s="746"/>
      <c r="AM13" s="746"/>
      <c r="AN13" s="746"/>
      <c r="AO13" s="746"/>
      <c r="AP13" s="746"/>
      <c r="AQ13" s="752"/>
      <c r="AR13" s="752"/>
      <c r="AS13" s="752"/>
      <c r="AT13" s="752"/>
      <c r="AU13" s="752"/>
      <c r="AV13" s="752"/>
      <c r="AW13" s="746"/>
      <c r="AX13" s="746"/>
      <c r="AY13" s="746"/>
      <c r="BA13" s="532"/>
      <c r="BB13" s="1284" t="s">
        <v>2989</v>
      </c>
      <c r="BC13" s="1294"/>
      <c r="BD13" s="1279"/>
      <c r="BE13" s="1284"/>
      <c r="BF13" s="1285"/>
      <c r="BH13" s="545"/>
      <c r="BI13" s="546"/>
      <c r="BJ13" s="546"/>
      <c r="BK13" s="546"/>
      <c r="BL13" s="547">
        <f>SUM(BL14:BL19)+SUM(BL24:BL32)</f>
        <v>0</v>
      </c>
    </row>
    <row r="14" spans="1:67" ht="15.75" hidden="1" customHeight="1">
      <c r="A14" s="743"/>
      <c r="B14" s="744"/>
      <c r="C14" s="745"/>
      <c r="D14" s="746"/>
      <c r="E14" s="746"/>
      <c r="F14" s="747"/>
      <c r="G14" s="748">
        <v>5</v>
      </c>
      <c r="H14" s="746"/>
      <c r="I14" s="750"/>
      <c r="J14" s="751"/>
      <c r="K14" s="746"/>
      <c r="L14" s="746"/>
      <c r="M14" s="746"/>
      <c r="N14" s="746"/>
      <c r="O14" s="746"/>
      <c r="P14" s="746"/>
      <c r="Q14" s="746"/>
      <c r="R14" s="746"/>
      <c r="S14" s="746"/>
      <c r="T14" s="746"/>
      <c r="U14" s="746"/>
      <c r="V14" s="746"/>
      <c r="W14" s="746"/>
      <c r="X14" s="746"/>
      <c r="Y14" s="746"/>
      <c r="Z14" s="746"/>
      <c r="AA14" s="746"/>
      <c r="AB14" s="746"/>
      <c r="AC14" s="746"/>
      <c r="AD14" s="746"/>
      <c r="AE14" s="746"/>
      <c r="AF14" s="746"/>
      <c r="AG14" s="1340"/>
      <c r="AH14" s="746"/>
      <c r="AI14" s="746"/>
      <c r="AJ14" s="746"/>
      <c r="AK14" s="746"/>
      <c r="AL14" s="746"/>
      <c r="AM14" s="746"/>
      <c r="AN14" s="746"/>
      <c r="AO14" s="746"/>
      <c r="AP14" s="746"/>
      <c r="AQ14" s="752"/>
      <c r="AR14" s="752"/>
      <c r="AS14" s="752"/>
      <c r="AT14" s="752"/>
      <c r="AU14" s="752"/>
      <c r="AV14" s="752"/>
      <c r="AW14" s="746"/>
      <c r="AX14" s="746"/>
      <c r="AY14" s="746"/>
      <c r="BA14" s="532"/>
      <c r="BB14" s="1284" t="s">
        <v>2984</v>
      </c>
      <c r="BC14" s="1295"/>
      <c r="BD14" s="1279"/>
      <c r="BE14" s="1286" t="s">
        <v>919</v>
      </c>
      <c r="BF14" s="1287"/>
      <c r="BH14" s="681" t="s">
        <v>970</v>
      </c>
      <c r="BI14" s="682">
        <v>30900</v>
      </c>
      <c r="BJ14" s="682">
        <v>32060</v>
      </c>
      <c r="BK14" s="683">
        <v>0</v>
      </c>
      <c r="BL14" s="684">
        <f t="shared" ref="BL14:BL19" si="0">+(BJ14-BI14)*BK14/1000</f>
        <v>0</v>
      </c>
    </row>
    <row r="15" spans="1:67" ht="15.75" hidden="1" customHeight="1">
      <c r="A15" s="743"/>
      <c r="B15" s="744" t="s">
        <v>1307</v>
      </c>
      <c r="C15" s="745">
        <v>30815</v>
      </c>
      <c r="D15" s="746"/>
      <c r="E15" s="746"/>
      <c r="F15" s="747">
        <v>0</v>
      </c>
      <c r="G15" s="748"/>
      <c r="H15" s="746"/>
      <c r="I15" s="750"/>
      <c r="J15" s="751"/>
      <c r="K15" s="746"/>
      <c r="L15" s="746"/>
      <c r="M15" s="746"/>
      <c r="N15" s="746"/>
      <c r="O15" s="746"/>
      <c r="P15" s="746"/>
      <c r="Q15" s="746"/>
      <c r="R15" s="746"/>
      <c r="S15" s="746"/>
      <c r="T15" s="746"/>
      <c r="U15" s="746"/>
      <c r="V15" s="746"/>
      <c r="W15" s="746"/>
      <c r="X15" s="746"/>
      <c r="Y15" s="746"/>
      <c r="Z15" s="746"/>
      <c r="AA15" s="746"/>
      <c r="AB15" s="746"/>
      <c r="AC15" s="746"/>
      <c r="AD15" s="746"/>
      <c r="AE15" s="746"/>
      <c r="AF15" s="746"/>
      <c r="AG15" s="1340"/>
      <c r="AH15" s="746"/>
      <c r="AI15" s="746"/>
      <c r="AJ15" s="746"/>
      <c r="AK15" s="746"/>
      <c r="AL15" s="746"/>
      <c r="AM15" s="746"/>
      <c r="AN15" s="746"/>
      <c r="AO15" s="746"/>
      <c r="AP15" s="746"/>
      <c r="AQ15" s="752"/>
      <c r="AR15" s="752"/>
      <c r="AS15" s="752"/>
      <c r="AT15" s="752"/>
      <c r="AU15" s="752"/>
      <c r="AV15" s="752"/>
      <c r="AW15" s="746"/>
      <c r="AX15" s="746"/>
      <c r="AY15" s="746"/>
      <c r="BA15" s="532"/>
      <c r="BB15" s="1284"/>
      <c r="BC15" s="1285"/>
      <c r="BD15" s="1279"/>
      <c r="BE15" s="1284" t="s">
        <v>3041</v>
      </c>
      <c r="BF15" s="1285" t="s">
        <v>3042</v>
      </c>
      <c r="BH15" s="685" t="s">
        <v>971</v>
      </c>
      <c r="BI15" s="531">
        <v>32310</v>
      </c>
      <c r="BJ15" s="531">
        <v>43945</v>
      </c>
      <c r="BK15" s="532">
        <v>0</v>
      </c>
      <c r="BL15" s="686">
        <f t="shared" si="0"/>
        <v>0</v>
      </c>
    </row>
    <row r="16" spans="1:67" ht="15.75" hidden="1" customHeight="1">
      <c r="A16" s="743" t="s">
        <v>693</v>
      </c>
      <c r="B16" s="744"/>
      <c r="C16" s="745"/>
      <c r="D16" s="746"/>
      <c r="E16" s="746"/>
      <c r="F16" s="747"/>
      <c r="G16" s="748">
        <v>42</v>
      </c>
      <c r="H16" s="746"/>
      <c r="I16" s="750"/>
      <c r="J16" s="751"/>
      <c r="K16" s="746"/>
      <c r="L16" s="746"/>
      <c r="M16" s="746"/>
      <c r="N16" s="746"/>
      <c r="O16" s="746"/>
      <c r="P16" s="746"/>
      <c r="Q16" s="746"/>
      <c r="R16" s="746"/>
      <c r="S16" s="746"/>
      <c r="T16" s="746"/>
      <c r="U16" s="746"/>
      <c r="V16" s="746"/>
      <c r="W16" s="746"/>
      <c r="X16" s="746"/>
      <c r="Y16" s="746"/>
      <c r="Z16" s="746"/>
      <c r="AA16" s="746"/>
      <c r="AB16" s="746"/>
      <c r="AC16" s="746"/>
      <c r="AD16" s="746"/>
      <c r="AE16" s="746"/>
      <c r="AF16" s="746"/>
      <c r="AG16" s="1340"/>
      <c r="AH16" s="746"/>
      <c r="AI16" s="746"/>
      <c r="AJ16" s="746"/>
      <c r="AK16" s="746"/>
      <c r="AL16" s="746"/>
      <c r="AM16" s="746"/>
      <c r="AN16" s="746"/>
      <c r="AO16" s="746"/>
      <c r="AP16" s="746"/>
      <c r="AQ16" s="752"/>
      <c r="AR16" s="752"/>
      <c r="AS16" s="752"/>
      <c r="AT16" s="752"/>
      <c r="AU16" s="752"/>
      <c r="AV16" s="752"/>
      <c r="AW16" s="746"/>
      <c r="AX16" s="746"/>
      <c r="AY16" s="746"/>
      <c r="BA16" s="532"/>
      <c r="BB16" s="1284" t="s">
        <v>2982</v>
      </c>
      <c r="BC16" s="1296"/>
      <c r="BD16" s="1279"/>
      <c r="BE16" s="1284" t="s">
        <v>2642</v>
      </c>
      <c r="BF16" s="1285" t="s">
        <v>924</v>
      </c>
      <c r="BH16" s="685" t="s">
        <v>1140</v>
      </c>
      <c r="BI16" s="531">
        <v>44205</v>
      </c>
      <c r="BJ16" s="531">
        <v>45025</v>
      </c>
      <c r="BK16" s="532">
        <v>0</v>
      </c>
      <c r="BL16" s="686">
        <f t="shared" si="0"/>
        <v>0</v>
      </c>
    </row>
    <row r="17" spans="1:64" ht="15.75" hidden="1" customHeight="1">
      <c r="A17" s="743"/>
      <c r="B17" s="744" t="s">
        <v>1308</v>
      </c>
      <c r="C17" s="745">
        <v>30857</v>
      </c>
      <c r="D17" s="746"/>
      <c r="E17" s="746"/>
      <c r="F17" s="747">
        <v>-6021.5053763440865</v>
      </c>
      <c r="G17" s="748"/>
      <c r="H17" s="746" t="s">
        <v>668</v>
      </c>
      <c r="I17" s="750"/>
      <c r="J17" s="751"/>
      <c r="K17" s="746"/>
      <c r="L17" s="746"/>
      <c r="M17" s="746"/>
      <c r="N17" s="746"/>
      <c r="O17" s="746"/>
      <c r="P17" s="746"/>
      <c r="Q17" s="746"/>
      <c r="R17" s="746"/>
      <c r="S17" s="746"/>
      <c r="T17" s="746"/>
      <c r="U17" s="746"/>
      <c r="V17" s="746"/>
      <c r="W17" s="746"/>
      <c r="X17" s="746"/>
      <c r="Y17" s="746"/>
      <c r="Z17" s="746"/>
      <c r="AA17" s="746"/>
      <c r="AB17" s="746"/>
      <c r="AC17" s="746"/>
      <c r="AD17" s="746"/>
      <c r="AE17" s="746"/>
      <c r="AF17" s="746"/>
      <c r="AG17" s="1340"/>
      <c r="AH17" s="746"/>
      <c r="AI17" s="746"/>
      <c r="AJ17" s="746"/>
      <c r="AK17" s="746"/>
      <c r="AL17" s="746"/>
      <c r="AM17" s="746"/>
      <c r="AN17" s="746"/>
      <c r="AO17" s="746"/>
      <c r="AP17" s="746"/>
      <c r="AQ17" s="752"/>
      <c r="AR17" s="752"/>
      <c r="AS17" s="752"/>
      <c r="AT17" s="752"/>
      <c r="AU17" s="752"/>
      <c r="AV17" s="752"/>
      <c r="AW17" s="746"/>
      <c r="AX17" s="746"/>
      <c r="AY17" s="746"/>
      <c r="BA17" s="532"/>
      <c r="BB17" s="1284" t="s">
        <v>2985</v>
      </c>
      <c r="BC17" s="1297"/>
      <c r="BD17" s="1279"/>
      <c r="BE17" s="1284" t="s">
        <v>2643</v>
      </c>
      <c r="BF17" s="1285" t="s">
        <v>923</v>
      </c>
      <c r="BH17" s="685" t="s">
        <v>972</v>
      </c>
      <c r="BI17" s="551">
        <v>46230</v>
      </c>
      <c r="BJ17" s="551">
        <v>47535</v>
      </c>
      <c r="BK17" s="552">
        <v>0</v>
      </c>
      <c r="BL17" s="686">
        <f t="shared" si="0"/>
        <v>0</v>
      </c>
    </row>
    <row r="18" spans="1:64" ht="15.75" hidden="1" customHeight="1">
      <c r="A18" s="743"/>
      <c r="B18" s="744" t="s">
        <v>2997</v>
      </c>
      <c r="C18" s="745">
        <v>30860</v>
      </c>
      <c r="D18" s="746"/>
      <c r="E18" s="746"/>
      <c r="F18" s="747"/>
      <c r="G18" s="748">
        <v>43</v>
      </c>
      <c r="H18" s="746"/>
      <c r="I18" s="750"/>
      <c r="J18" s="751"/>
      <c r="K18" s="746"/>
      <c r="L18" s="746"/>
      <c r="M18" s="746"/>
      <c r="N18" s="746"/>
      <c r="O18" s="746"/>
      <c r="P18" s="746"/>
      <c r="Q18" s="746"/>
      <c r="R18" s="746"/>
      <c r="S18" s="746"/>
      <c r="T18" s="746"/>
      <c r="U18" s="746"/>
      <c r="V18" s="746"/>
      <c r="W18" s="746"/>
      <c r="X18" s="746"/>
      <c r="Y18" s="746"/>
      <c r="Z18" s="746"/>
      <c r="AA18" s="746"/>
      <c r="AB18" s="746"/>
      <c r="AC18" s="746"/>
      <c r="AD18" s="746"/>
      <c r="AE18" s="746"/>
      <c r="AF18" s="746"/>
      <c r="AG18" s="1340"/>
      <c r="AH18" s="746"/>
      <c r="AI18" s="746"/>
      <c r="AJ18" s="746"/>
      <c r="AK18" s="746"/>
      <c r="AL18" s="746"/>
      <c r="AM18" s="746"/>
      <c r="AN18" s="746"/>
      <c r="AO18" s="746"/>
      <c r="AP18" s="746"/>
      <c r="AQ18" s="752"/>
      <c r="AR18" s="752"/>
      <c r="AS18" s="752"/>
      <c r="AT18" s="752"/>
      <c r="AU18" s="752"/>
      <c r="AV18" s="752"/>
      <c r="AW18" s="746"/>
      <c r="AX18" s="746"/>
      <c r="AY18" s="746"/>
      <c r="BA18" s="532"/>
      <c r="BB18" s="1284" t="s">
        <v>2988</v>
      </c>
      <c r="BC18" s="1298"/>
      <c r="BD18" s="1279"/>
      <c r="BE18" s="1284"/>
      <c r="BF18" s="1285"/>
      <c r="BH18" s="685"/>
      <c r="BI18" s="531"/>
      <c r="BJ18" s="531"/>
      <c r="BK18" s="532"/>
      <c r="BL18" s="686">
        <f t="shared" si="0"/>
        <v>0</v>
      </c>
    </row>
    <row r="19" spans="1:64" ht="15.75" hidden="1" customHeight="1">
      <c r="A19" s="743" t="s">
        <v>2973</v>
      </c>
      <c r="B19" s="744" t="s">
        <v>1309</v>
      </c>
      <c r="C19" s="745">
        <v>30900</v>
      </c>
      <c r="D19" s="746"/>
      <c r="E19" s="746"/>
      <c r="F19" s="747">
        <v>-4117.6470588235297</v>
      </c>
      <c r="G19" s="748"/>
      <c r="H19" s="746" t="s">
        <v>138</v>
      </c>
      <c r="I19" s="750"/>
      <c r="J19" s="751"/>
      <c r="K19" s="746"/>
      <c r="L19" s="746"/>
      <c r="M19" s="746"/>
      <c r="N19" s="746"/>
      <c r="O19" s="746"/>
      <c r="P19" s="746"/>
      <c r="Q19" s="746">
        <v>-50</v>
      </c>
      <c r="R19" s="746">
        <v>-4000</v>
      </c>
      <c r="S19" s="746"/>
      <c r="T19" s="746"/>
      <c r="U19" s="746"/>
      <c r="V19" s="746"/>
      <c r="W19" s="746"/>
      <c r="X19" s="746"/>
      <c r="Y19" s="746"/>
      <c r="Z19" s="746"/>
      <c r="AA19" s="746"/>
      <c r="AB19" s="746"/>
      <c r="AC19" s="746" t="s">
        <v>2612</v>
      </c>
      <c r="AD19" s="746"/>
      <c r="AE19" s="746"/>
      <c r="AF19" s="746">
        <v>200</v>
      </c>
      <c r="AG19" s="1340">
        <v>30902.080000000002</v>
      </c>
      <c r="AH19" s="746">
        <v>1475</v>
      </c>
      <c r="AI19" s="746">
        <v>-4960</v>
      </c>
      <c r="AJ19" s="746"/>
      <c r="AK19" s="746"/>
      <c r="AL19" s="746"/>
      <c r="AM19" s="746"/>
      <c r="AN19" s="746"/>
      <c r="AO19" s="746"/>
      <c r="AP19" s="746"/>
      <c r="AQ19" s="752"/>
      <c r="AR19" s="752"/>
      <c r="AS19" s="752"/>
      <c r="AT19" s="752"/>
      <c r="AU19" s="752"/>
      <c r="AV19" s="752"/>
      <c r="AW19" s="746"/>
      <c r="AX19" s="746"/>
      <c r="AY19" s="746"/>
      <c r="BA19" s="532"/>
      <c r="BB19" s="1284" t="s">
        <v>2983</v>
      </c>
      <c r="BC19" s="1299"/>
      <c r="BD19" s="1279"/>
      <c r="BE19" s="1286" t="s">
        <v>897</v>
      </c>
      <c r="BF19" s="1287"/>
      <c r="BH19" s="685"/>
      <c r="BI19" s="551"/>
      <c r="BJ19" s="551"/>
      <c r="BK19" s="552"/>
      <c r="BL19" s="691">
        <f t="shared" si="0"/>
        <v>0</v>
      </c>
    </row>
    <row r="20" spans="1:64" ht="15.75" hidden="1" customHeight="1">
      <c r="A20" s="743"/>
      <c r="B20" s="744"/>
      <c r="C20" s="745"/>
      <c r="D20" s="746"/>
      <c r="E20" s="746"/>
      <c r="F20" s="747"/>
      <c r="G20" s="748">
        <v>50</v>
      </c>
      <c r="H20" s="746"/>
      <c r="I20" s="750"/>
      <c r="J20" s="751"/>
      <c r="K20" s="746"/>
      <c r="L20" s="746"/>
      <c r="M20" s="746"/>
      <c r="N20" s="746"/>
      <c r="O20" s="746"/>
      <c r="P20" s="746"/>
      <c r="Q20" s="746"/>
      <c r="R20" s="746"/>
      <c r="S20" s="746">
        <f>AG21-AG19</f>
        <v>47.969999999997526</v>
      </c>
      <c r="T20" s="746"/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1340" t="s">
        <v>723</v>
      </c>
      <c r="AH20" s="746" t="s">
        <v>723</v>
      </c>
      <c r="AI20" s="746" t="s">
        <v>723</v>
      </c>
      <c r="AJ20" s="746"/>
      <c r="AK20" s="746"/>
      <c r="AL20" s="746"/>
      <c r="AM20" s="746"/>
      <c r="AN20" s="746"/>
      <c r="AO20" s="746"/>
      <c r="AP20" s="746"/>
      <c r="AQ20" s="752"/>
      <c r="AR20" s="752"/>
      <c r="AS20" s="752"/>
      <c r="AT20" s="752"/>
      <c r="AU20" s="752"/>
      <c r="AV20" s="752"/>
      <c r="AW20" s="746"/>
      <c r="AX20" s="746"/>
      <c r="AY20" s="746"/>
      <c r="BA20" s="532"/>
      <c r="BB20" s="1284" t="s">
        <v>3043</v>
      </c>
      <c r="BC20" s="1300"/>
      <c r="BD20" s="1279"/>
      <c r="BE20" s="1284" t="s">
        <v>1065</v>
      </c>
      <c r="BF20" s="1285" t="s">
        <v>144</v>
      </c>
      <c r="BH20" s="688" t="s">
        <v>1139</v>
      </c>
      <c r="BL20" s="692">
        <f>SUM(BL14:BL19)</f>
        <v>0</v>
      </c>
    </row>
    <row r="21" spans="1:64" ht="15.75" hidden="1" customHeight="1">
      <c r="A21" s="716" t="s">
        <v>676</v>
      </c>
      <c r="B21" s="725" t="s">
        <v>2582</v>
      </c>
      <c r="C21" s="718">
        <v>30950</v>
      </c>
      <c r="D21" s="719"/>
      <c r="E21" s="719">
        <v>-50</v>
      </c>
      <c r="F21" s="720">
        <v>-4000</v>
      </c>
      <c r="G21" s="721"/>
      <c r="H21" s="719"/>
      <c r="I21" s="722"/>
      <c r="J21" s="723"/>
      <c r="K21" s="719"/>
      <c r="L21" s="719" t="s">
        <v>241</v>
      </c>
      <c r="M21" s="719"/>
      <c r="N21" s="719" t="s">
        <v>696</v>
      </c>
      <c r="O21" s="719"/>
      <c r="P21" s="719"/>
      <c r="Q21" s="719">
        <v>-50</v>
      </c>
      <c r="R21" s="719">
        <v>-4000</v>
      </c>
      <c r="S21" s="719"/>
      <c r="T21" s="719">
        <v>20</v>
      </c>
      <c r="U21" s="719"/>
      <c r="V21" s="719"/>
      <c r="W21" s="719">
        <v>1.1000000000000001</v>
      </c>
      <c r="X21" s="719"/>
      <c r="Y21" s="719"/>
      <c r="Z21" s="719"/>
      <c r="AA21" s="719"/>
      <c r="AB21" s="719"/>
      <c r="AC21" s="719" t="s">
        <v>2612</v>
      </c>
      <c r="AD21" s="719"/>
      <c r="AE21" s="719"/>
      <c r="AF21" s="719">
        <v>200</v>
      </c>
      <c r="AG21" s="1341">
        <v>30950.05</v>
      </c>
      <c r="AH21" s="719">
        <v>1480</v>
      </c>
      <c r="AI21" s="719">
        <v>-5001</v>
      </c>
      <c r="AJ21" s="719"/>
      <c r="AK21" s="719"/>
      <c r="AL21" s="719"/>
      <c r="AM21" s="719" t="s">
        <v>2608</v>
      </c>
      <c r="AN21" s="724">
        <v>5.3</v>
      </c>
      <c r="AO21" s="719"/>
      <c r="AP21" s="719"/>
      <c r="AQ21" s="724"/>
      <c r="AR21" s="724"/>
      <c r="AS21" s="724"/>
      <c r="AT21" s="724">
        <f>+ab($T$21,$T$19,$T$23,$G$20,$G$22,-1*$F$21,1200)</f>
        <v>12.386483251131668</v>
      </c>
      <c r="AU21" s="724"/>
      <c r="AV21" s="724"/>
      <c r="AW21" s="719"/>
      <c r="AX21" s="719"/>
      <c r="AY21" s="719"/>
      <c r="BA21" s="532"/>
      <c r="BB21" s="1284"/>
      <c r="BC21" s="1285"/>
      <c r="BD21" s="1279"/>
      <c r="BE21" s="1284" t="s">
        <v>1094</v>
      </c>
      <c r="BF21" s="1285" t="s">
        <v>145</v>
      </c>
      <c r="BH21" s="673"/>
      <c r="BL21" s="686"/>
    </row>
    <row r="22" spans="1:64" ht="15.75" hidden="1" customHeight="1" thickBot="1">
      <c r="A22" s="716"/>
      <c r="B22" s="717"/>
      <c r="C22" s="718"/>
      <c r="D22" s="719"/>
      <c r="E22" s="719"/>
      <c r="F22" s="720"/>
      <c r="G22" s="721">
        <v>40</v>
      </c>
      <c r="H22" s="719"/>
      <c r="I22" s="722"/>
      <c r="J22" s="723"/>
      <c r="K22" s="719"/>
      <c r="L22" s="719"/>
      <c r="M22" s="719"/>
      <c r="N22" s="719"/>
      <c r="O22" s="719"/>
      <c r="P22" s="719"/>
      <c r="Q22" s="719"/>
      <c r="R22" s="719"/>
      <c r="S22" s="719">
        <f t="shared" ref="S22" si="1">AG23-AG21</f>
        <v>39.970000000001164</v>
      </c>
      <c r="T22" s="719"/>
      <c r="U22" s="719"/>
      <c r="V22" s="719"/>
      <c r="W22" s="719"/>
      <c r="X22" s="719"/>
      <c r="Y22" s="719"/>
      <c r="Z22" s="719"/>
      <c r="AA22" s="719"/>
      <c r="AB22" s="719"/>
      <c r="AC22" s="719"/>
      <c r="AD22" s="719"/>
      <c r="AE22" s="719"/>
      <c r="AF22" s="719"/>
      <c r="AG22" s="1341" t="s">
        <v>723</v>
      </c>
      <c r="AH22" s="719" t="s">
        <v>723</v>
      </c>
      <c r="AI22" s="719" t="s">
        <v>723</v>
      </c>
      <c r="AJ22" s="719"/>
      <c r="AK22" s="719"/>
      <c r="AL22" s="719"/>
      <c r="AM22" s="719"/>
      <c r="AN22" s="719"/>
      <c r="AO22" s="719"/>
      <c r="AP22" s="719"/>
      <c r="AQ22" s="724">
        <f>+FL_1($T$23,$T$21,$G$22,1200,9.28,-1*$F$23)</f>
        <v>0.30466635416274102</v>
      </c>
      <c r="AR22" s="724"/>
      <c r="AS22" s="724"/>
      <c r="AT22" s="724"/>
      <c r="AU22" s="724"/>
      <c r="AV22" s="724"/>
      <c r="AW22" s="719"/>
      <c r="AX22" s="719"/>
      <c r="AY22" s="719"/>
      <c r="BA22" s="532"/>
      <c r="BB22" s="1286" t="s">
        <v>1026</v>
      </c>
      <c r="BC22" s="1287"/>
      <c r="BD22" s="1279"/>
      <c r="BE22" s="1284" t="s">
        <v>1066</v>
      </c>
      <c r="BF22" s="1285" t="s">
        <v>140</v>
      </c>
      <c r="BH22" s="689" t="s">
        <v>1142</v>
      </c>
      <c r="BI22" s="690"/>
      <c r="BJ22" s="690"/>
      <c r="BK22" s="690"/>
      <c r="BL22" s="547">
        <f>(SUM(BJ14:BJ19)-SUM(BI14:BI19))/1000</f>
        <v>14.92</v>
      </c>
    </row>
    <row r="23" spans="1:64" ht="15.75" hidden="1" customHeight="1" thickBot="1">
      <c r="A23" s="716" t="s">
        <v>676</v>
      </c>
      <c r="B23" s="725" t="s">
        <v>2600</v>
      </c>
      <c r="C23" s="718">
        <f>+$C$21+$G$22</f>
        <v>30990</v>
      </c>
      <c r="D23" s="719"/>
      <c r="E23" s="719">
        <v>-50</v>
      </c>
      <c r="F23" s="720">
        <v>-4000</v>
      </c>
      <c r="G23" s="721"/>
      <c r="H23" s="726"/>
      <c r="I23" s="722"/>
      <c r="J23" s="723"/>
      <c r="K23" s="719"/>
      <c r="L23" s="719" t="s">
        <v>241</v>
      </c>
      <c r="M23" s="719"/>
      <c r="N23" s="719" t="s">
        <v>696</v>
      </c>
      <c r="O23" s="719"/>
      <c r="P23" s="719"/>
      <c r="Q23" s="719">
        <v>-50</v>
      </c>
      <c r="R23" s="719">
        <v>-4000</v>
      </c>
      <c r="S23" s="719"/>
      <c r="T23" s="719">
        <v>20</v>
      </c>
      <c r="U23" s="719"/>
      <c r="V23" s="719"/>
      <c r="W23" s="719">
        <v>1.1000000000000001</v>
      </c>
      <c r="X23" s="719"/>
      <c r="Y23" s="719"/>
      <c r="Z23" s="719"/>
      <c r="AA23" s="719"/>
      <c r="AB23" s="719"/>
      <c r="AC23" s="719" t="s">
        <v>2612</v>
      </c>
      <c r="AD23" s="719"/>
      <c r="AE23" s="719"/>
      <c r="AF23" s="719">
        <v>200</v>
      </c>
      <c r="AG23" s="1341">
        <v>30990.02</v>
      </c>
      <c r="AH23" s="719">
        <v>1480</v>
      </c>
      <c r="AI23" s="719">
        <v>-4996</v>
      </c>
      <c r="AJ23" s="719"/>
      <c r="AK23" s="719"/>
      <c r="AL23" s="719"/>
      <c r="AM23" s="719" t="s">
        <v>2608</v>
      </c>
      <c r="AN23" s="719">
        <v>5.25</v>
      </c>
      <c r="AO23" s="719"/>
      <c r="AP23" s="719"/>
      <c r="AQ23" s="724"/>
      <c r="AR23" s="724"/>
      <c r="AS23" s="724"/>
      <c r="AT23" s="724">
        <f>+ab($T$23,$T$21,$T$25,$G$22,$G$24,-1*$F$23,1200)</f>
        <v>18.516513190211953</v>
      </c>
      <c r="AU23" s="724"/>
      <c r="AV23" s="724"/>
      <c r="AW23" s="719"/>
      <c r="AX23" s="719"/>
      <c r="AY23" s="719"/>
      <c r="BA23" s="532"/>
      <c r="BB23" s="1284" t="s">
        <v>1029</v>
      </c>
      <c r="BC23" s="1285" t="s">
        <v>138</v>
      </c>
      <c r="BD23" s="1279"/>
      <c r="BE23" s="1284" t="s">
        <v>1067</v>
      </c>
      <c r="BF23" s="1285" t="s">
        <v>695</v>
      </c>
      <c r="BH23" s="517"/>
      <c r="BL23" s="519"/>
    </row>
    <row r="24" spans="1:64" ht="15.75" hidden="1" customHeight="1">
      <c r="A24" s="716"/>
      <c r="B24" s="718"/>
      <c r="C24" s="718"/>
      <c r="D24" s="719"/>
      <c r="E24" s="719"/>
      <c r="F24" s="720"/>
      <c r="G24" s="721">
        <v>40</v>
      </c>
      <c r="H24" s="726"/>
      <c r="I24" s="726"/>
      <c r="J24" s="727"/>
      <c r="K24" s="719"/>
      <c r="L24" s="719"/>
      <c r="M24" s="719"/>
      <c r="N24" s="726"/>
      <c r="O24" s="726"/>
      <c r="P24" s="726"/>
      <c r="Q24" s="719"/>
      <c r="R24" s="719"/>
      <c r="S24" s="719">
        <f t="shared" ref="S24" si="2">AG25-AG23</f>
        <v>35.079999999998108</v>
      </c>
      <c r="T24" s="719"/>
      <c r="U24" s="719"/>
      <c r="V24" s="719"/>
      <c r="W24" s="719"/>
      <c r="X24" s="719"/>
      <c r="Y24" s="719"/>
      <c r="Z24" s="719"/>
      <c r="AA24" s="719"/>
      <c r="AB24" s="719"/>
      <c r="AC24" s="719"/>
      <c r="AD24" s="719"/>
      <c r="AE24" s="719"/>
      <c r="AF24" s="719"/>
      <c r="AG24" s="1341" t="s">
        <v>723</v>
      </c>
      <c r="AH24" s="719" t="s">
        <v>723</v>
      </c>
      <c r="AI24" s="719" t="s">
        <v>723</v>
      </c>
      <c r="AJ24" s="719"/>
      <c r="AK24" s="719"/>
      <c r="AL24" s="719"/>
      <c r="AM24" s="719"/>
      <c r="AN24" s="719"/>
      <c r="AO24" s="719"/>
      <c r="AP24" s="719"/>
      <c r="AQ24" s="724">
        <f>+FL_1($T$25,$T$23,$G$24,1200,9.28,-1*$F$25)</f>
        <v>0.30466635416274102</v>
      </c>
      <c r="AR24" s="724"/>
      <c r="AS24" s="724"/>
      <c r="AT24" s="724"/>
      <c r="AU24" s="724"/>
      <c r="AV24" s="724"/>
      <c r="AW24" s="719"/>
      <c r="AX24" s="719"/>
      <c r="AY24" s="719"/>
      <c r="BB24" s="1284" t="s">
        <v>1030</v>
      </c>
      <c r="BC24" s="1285" t="s">
        <v>1028</v>
      </c>
      <c r="BD24" s="1301"/>
      <c r="BE24" s="1284" t="s">
        <v>1068</v>
      </c>
      <c r="BF24" s="1285" t="s">
        <v>696</v>
      </c>
      <c r="BH24" s="681" t="s">
        <v>1143</v>
      </c>
      <c r="BI24" s="682">
        <v>32075</v>
      </c>
      <c r="BJ24" s="682">
        <v>32310</v>
      </c>
      <c r="BK24" s="683">
        <v>0</v>
      </c>
      <c r="BL24" s="684">
        <f t="shared" ref="BL24:BL26" si="3">+(BJ24-BI24)*BK24/1000</f>
        <v>0</v>
      </c>
    </row>
    <row r="25" spans="1:64" ht="15.75" hidden="1" customHeight="1">
      <c r="A25" s="716" t="s">
        <v>676</v>
      </c>
      <c r="B25" s="728" t="s">
        <v>1310</v>
      </c>
      <c r="C25" s="718">
        <f>+$C$23+$G$24</f>
        <v>31030</v>
      </c>
      <c r="D25" s="719"/>
      <c r="E25" s="719">
        <v>-50</v>
      </c>
      <c r="F25" s="720">
        <v>-4000</v>
      </c>
      <c r="G25" s="721"/>
      <c r="H25" s="726"/>
      <c r="I25" s="726"/>
      <c r="J25" s="727"/>
      <c r="K25" s="719"/>
      <c r="L25" s="719" t="s">
        <v>241</v>
      </c>
      <c r="M25" s="719"/>
      <c r="N25" s="726" t="s">
        <v>696</v>
      </c>
      <c r="O25" s="726"/>
      <c r="P25" s="726"/>
      <c r="Q25" s="719">
        <v>-50</v>
      </c>
      <c r="R25" s="719">
        <v>-4000</v>
      </c>
      <c r="S25" s="719"/>
      <c r="T25" s="719">
        <v>20</v>
      </c>
      <c r="U25" s="719"/>
      <c r="V25" s="719"/>
      <c r="W25" s="719">
        <v>1.1000000000000001</v>
      </c>
      <c r="X25" s="719"/>
      <c r="Y25" s="719"/>
      <c r="Z25" s="719"/>
      <c r="AA25" s="719"/>
      <c r="AB25" s="719"/>
      <c r="AC25" s="719" t="s">
        <v>2612</v>
      </c>
      <c r="AD25" s="719"/>
      <c r="AE25" s="719"/>
      <c r="AF25" s="719">
        <v>200</v>
      </c>
      <c r="AG25" s="1341">
        <v>31025.1</v>
      </c>
      <c r="AH25" s="719">
        <v>1517</v>
      </c>
      <c r="AI25" s="719">
        <v>-4959</v>
      </c>
      <c r="AJ25" s="719"/>
      <c r="AK25" s="719"/>
      <c r="AL25" s="719"/>
      <c r="AM25" s="719" t="s">
        <v>2608</v>
      </c>
      <c r="AN25" s="719">
        <v>5.25</v>
      </c>
      <c r="AO25" s="719"/>
      <c r="AP25" s="719"/>
      <c r="AQ25" s="724"/>
      <c r="AR25" s="724"/>
      <c r="AS25" s="724"/>
      <c r="AT25" s="724">
        <f>+ab($T$25,$T$23,$T$27,$G$24,$G$26,-1*$F$25,1200)</f>
        <v>17.495628103202119</v>
      </c>
      <c r="AU25" s="724"/>
      <c r="AV25" s="724"/>
      <c r="AW25" s="719"/>
      <c r="AX25" s="719"/>
      <c r="AY25" s="719"/>
      <c r="BB25" s="1284" t="s">
        <v>1032</v>
      </c>
      <c r="BC25" s="1285" t="s">
        <v>668</v>
      </c>
      <c r="BD25" s="1301"/>
      <c r="BE25" s="1284" t="s">
        <v>1069</v>
      </c>
      <c r="BF25" s="1285" t="s">
        <v>697</v>
      </c>
      <c r="BH25" s="685" t="s">
        <v>1144</v>
      </c>
      <c r="BI25" s="531">
        <v>43985</v>
      </c>
      <c r="BJ25" s="531">
        <v>44185</v>
      </c>
      <c r="BK25" s="532">
        <v>0</v>
      </c>
      <c r="BL25" s="686">
        <f t="shared" si="3"/>
        <v>0</v>
      </c>
    </row>
    <row r="26" spans="1:64" ht="15.75" hidden="1" customHeight="1">
      <c r="A26" s="716"/>
      <c r="B26" s="718"/>
      <c r="C26" s="718"/>
      <c r="D26" s="719"/>
      <c r="E26" s="719"/>
      <c r="F26" s="720"/>
      <c r="G26" s="721">
        <v>45</v>
      </c>
      <c r="H26" s="726"/>
      <c r="I26" s="726"/>
      <c r="J26" s="727"/>
      <c r="K26" s="719"/>
      <c r="L26" s="719"/>
      <c r="M26" s="719"/>
      <c r="N26" s="726"/>
      <c r="O26" s="726"/>
      <c r="P26" s="726"/>
      <c r="Q26" s="719"/>
      <c r="R26" s="719"/>
      <c r="S26" s="719">
        <f t="shared" ref="S26" si="4">AG27-AG25</f>
        <v>49.260000000002037</v>
      </c>
      <c r="T26" s="719"/>
      <c r="U26" s="719"/>
      <c r="V26" s="719"/>
      <c r="W26" s="719"/>
      <c r="X26" s="719"/>
      <c r="Y26" s="719"/>
      <c r="Z26" s="719"/>
      <c r="AA26" s="719"/>
      <c r="AB26" s="719"/>
      <c r="AC26" s="719"/>
      <c r="AD26" s="719"/>
      <c r="AE26" s="719"/>
      <c r="AF26" s="719"/>
      <c r="AG26" s="1341" t="s">
        <v>723</v>
      </c>
      <c r="AH26" s="719" t="s">
        <v>723</v>
      </c>
      <c r="AI26" s="719" t="s">
        <v>723</v>
      </c>
      <c r="AJ26" s="719"/>
      <c r="AK26" s="719"/>
      <c r="AL26" s="719"/>
      <c r="AM26" s="719"/>
      <c r="AN26" s="719"/>
      <c r="AO26" s="719"/>
      <c r="AP26" s="719"/>
      <c r="AQ26" s="724">
        <f>+FL_1($T$27,$T$25,$G$26,1200,9.28,-1*$F$27)</f>
        <v>0.33246824942748571</v>
      </c>
      <c r="AR26" s="724"/>
      <c r="AS26" s="724"/>
      <c r="AT26" s="724"/>
      <c r="AU26" s="724"/>
      <c r="AV26" s="724"/>
      <c r="AW26" s="719"/>
      <c r="AX26" s="719"/>
      <c r="AY26" s="719"/>
      <c r="BB26" s="1284" t="s">
        <v>1031</v>
      </c>
      <c r="BC26" s="1285" t="s">
        <v>669</v>
      </c>
      <c r="BD26" s="1301"/>
      <c r="BE26" s="1284" t="s">
        <v>1070</v>
      </c>
      <c r="BF26" s="1285" t="s">
        <v>952</v>
      </c>
      <c r="BH26" s="685" t="s">
        <v>1145</v>
      </c>
      <c r="BI26" s="531">
        <v>45085</v>
      </c>
      <c r="BJ26" s="531">
        <v>46205</v>
      </c>
      <c r="BK26" s="532">
        <v>0</v>
      </c>
      <c r="BL26" s="686">
        <f t="shared" si="3"/>
        <v>0</v>
      </c>
    </row>
    <row r="27" spans="1:64" ht="15.75" hidden="1" customHeight="1">
      <c r="A27" s="716" t="s">
        <v>676</v>
      </c>
      <c r="B27" s="728" t="s">
        <v>1311</v>
      </c>
      <c r="C27" s="718">
        <f>+$C$25+$G$26</f>
        <v>31075</v>
      </c>
      <c r="D27" s="719"/>
      <c r="E27" s="719">
        <v>-50</v>
      </c>
      <c r="F27" s="720">
        <v>-4000</v>
      </c>
      <c r="G27" s="721"/>
      <c r="H27" s="726"/>
      <c r="I27" s="726"/>
      <c r="J27" s="727"/>
      <c r="K27" s="719"/>
      <c r="L27" s="719" t="s">
        <v>241</v>
      </c>
      <c r="M27" s="719"/>
      <c r="N27" s="726" t="s">
        <v>696</v>
      </c>
      <c r="O27" s="726"/>
      <c r="P27" s="726"/>
      <c r="Q27" s="719">
        <v>-50</v>
      </c>
      <c r="R27" s="719">
        <v>-4000</v>
      </c>
      <c r="S27" s="719"/>
      <c r="T27" s="719">
        <v>20</v>
      </c>
      <c r="U27" s="719"/>
      <c r="V27" s="719"/>
      <c r="W27" s="719">
        <v>1.1000000000000001</v>
      </c>
      <c r="X27" s="719"/>
      <c r="Y27" s="719"/>
      <c r="Z27" s="719"/>
      <c r="AA27" s="719"/>
      <c r="AB27" s="719"/>
      <c r="AC27" s="719" t="s">
        <v>2612</v>
      </c>
      <c r="AD27" s="719"/>
      <c r="AE27" s="719"/>
      <c r="AF27" s="719">
        <v>200</v>
      </c>
      <c r="AG27" s="1341">
        <v>31074.36</v>
      </c>
      <c r="AH27" s="719">
        <v>1654</v>
      </c>
      <c r="AI27" s="719">
        <v>-4999</v>
      </c>
      <c r="AJ27" s="719"/>
      <c r="AK27" s="719"/>
      <c r="AL27" s="719"/>
      <c r="AM27" s="719" t="s">
        <v>2608</v>
      </c>
      <c r="AN27" s="719">
        <v>5.25</v>
      </c>
      <c r="AO27" s="719"/>
      <c r="AP27" s="719"/>
      <c r="AQ27" s="724"/>
      <c r="AR27" s="724"/>
      <c r="AS27" s="724"/>
      <c r="AT27" s="724">
        <f>+ab($T$27,$T$25,$T$29,$G$26,$G$28,-1*$F$27,1200)</f>
        <v>15.750277337028471</v>
      </c>
      <c r="AU27" s="724"/>
      <c r="AV27" s="724"/>
      <c r="AW27" s="719"/>
      <c r="AX27" s="719"/>
      <c r="AY27" s="719"/>
      <c r="BB27" s="1284" t="s">
        <v>1034</v>
      </c>
      <c r="BC27" s="1285" t="s">
        <v>996</v>
      </c>
      <c r="BD27" s="1301"/>
      <c r="BE27" s="1284" t="s">
        <v>1071</v>
      </c>
      <c r="BF27" s="1285" t="s">
        <v>953</v>
      </c>
      <c r="BH27" s="685"/>
      <c r="BI27" s="531"/>
      <c r="BJ27" s="531"/>
      <c r="BK27" s="532"/>
      <c r="BL27" s="686"/>
    </row>
    <row r="28" spans="1:64" ht="15.75" hidden="1" customHeight="1">
      <c r="A28" s="716"/>
      <c r="B28" s="718"/>
      <c r="C28" s="718"/>
      <c r="D28" s="719"/>
      <c r="E28" s="719"/>
      <c r="F28" s="720"/>
      <c r="G28" s="721">
        <v>50</v>
      </c>
      <c r="H28" s="726"/>
      <c r="I28" s="729"/>
      <c r="J28" s="727"/>
      <c r="K28" s="719"/>
      <c r="L28" s="719"/>
      <c r="M28" s="719"/>
      <c r="N28" s="726"/>
      <c r="O28" s="726"/>
      <c r="P28" s="726"/>
      <c r="Q28" s="719"/>
      <c r="R28" s="719"/>
      <c r="S28" s="719">
        <f t="shared" ref="S28" si="5">AG29-AG27</f>
        <v>50.729999999999563</v>
      </c>
      <c r="T28" s="719"/>
      <c r="U28" s="719"/>
      <c r="V28" s="719"/>
      <c r="W28" s="719"/>
      <c r="X28" s="719"/>
      <c r="Y28" s="719"/>
      <c r="Z28" s="719"/>
      <c r="AA28" s="719"/>
      <c r="AB28" s="719"/>
      <c r="AC28" s="719"/>
      <c r="AD28" s="719"/>
      <c r="AE28" s="719"/>
      <c r="AF28" s="719"/>
      <c r="AG28" s="1341" t="s">
        <v>723</v>
      </c>
      <c r="AH28" s="719" t="s">
        <v>723</v>
      </c>
      <c r="AI28" s="719" t="s">
        <v>723</v>
      </c>
      <c r="AJ28" s="719"/>
      <c r="AK28" s="719"/>
      <c r="AL28" s="719"/>
      <c r="AM28" s="719"/>
      <c r="AN28" s="719"/>
      <c r="AO28" s="719"/>
      <c r="AP28" s="719"/>
      <c r="AQ28" s="724">
        <f>+FL_1($T$29,$T$27,$G$28,1200,9.28,-1*$F$29)</f>
        <v>0.36354090371247971</v>
      </c>
      <c r="AR28" s="724"/>
      <c r="AS28" s="724"/>
      <c r="AT28" s="724"/>
      <c r="AU28" s="724"/>
      <c r="AV28" s="724"/>
      <c r="AW28" s="719"/>
      <c r="AX28" s="719"/>
      <c r="AY28" s="719"/>
      <c r="BB28" s="1284" t="s">
        <v>1033</v>
      </c>
      <c r="BC28" s="1285" t="s">
        <v>997</v>
      </c>
      <c r="BD28" s="1301"/>
      <c r="BE28" s="1284" t="s">
        <v>1072</v>
      </c>
      <c r="BF28" s="1285" t="s">
        <v>954</v>
      </c>
      <c r="BH28" s="685"/>
      <c r="BI28" s="531"/>
      <c r="BJ28" s="531"/>
      <c r="BK28" s="532"/>
      <c r="BL28" s="686"/>
    </row>
    <row r="29" spans="1:64" ht="15.75" customHeight="1">
      <c r="A29" s="716" t="s">
        <v>676</v>
      </c>
      <c r="B29" s="728" t="s">
        <v>1312</v>
      </c>
      <c r="C29" s="718">
        <f>+$C$27+$G$28</f>
        <v>31125</v>
      </c>
      <c r="D29" s="719"/>
      <c r="E29" s="719">
        <v>-50</v>
      </c>
      <c r="F29" s="720">
        <v>-4000</v>
      </c>
      <c r="G29" s="721"/>
      <c r="H29" s="726" t="s">
        <v>1101</v>
      </c>
      <c r="I29" s="726"/>
      <c r="J29" s="727"/>
      <c r="K29" s="719"/>
      <c r="L29" s="719" t="s">
        <v>241</v>
      </c>
      <c r="M29" s="719"/>
      <c r="N29" s="726" t="s">
        <v>696</v>
      </c>
      <c r="O29" s="726"/>
      <c r="P29" s="726"/>
      <c r="Q29" s="719">
        <v>-50</v>
      </c>
      <c r="R29" s="719">
        <v>-4000</v>
      </c>
      <c r="S29" s="719"/>
      <c r="T29" s="719">
        <v>20</v>
      </c>
      <c r="U29" s="719"/>
      <c r="V29" s="719"/>
      <c r="W29" s="719">
        <v>1.1000000000000001</v>
      </c>
      <c r="X29" s="719"/>
      <c r="Y29" s="719"/>
      <c r="Z29" s="719"/>
      <c r="AA29" s="719"/>
      <c r="AB29" s="719"/>
      <c r="AC29" s="719" t="s">
        <v>2612</v>
      </c>
      <c r="AD29" s="719"/>
      <c r="AE29" s="719"/>
      <c r="AF29" s="719">
        <v>200</v>
      </c>
      <c r="AG29" s="1341">
        <v>31125.09</v>
      </c>
      <c r="AH29" s="719">
        <v>1508</v>
      </c>
      <c r="AI29" s="719">
        <v>-4905</v>
      </c>
      <c r="AJ29" s="719"/>
      <c r="AK29" s="719"/>
      <c r="AL29" s="719"/>
      <c r="AM29" s="719" t="s">
        <v>2608</v>
      </c>
      <c r="AN29" s="719">
        <v>5.25</v>
      </c>
      <c r="AO29" s="719"/>
      <c r="AP29" s="719"/>
      <c r="AQ29" s="724"/>
      <c r="AR29" s="724"/>
      <c r="AS29" s="724"/>
      <c r="AT29" s="724">
        <f>+ab($T$29,$T$27,$T$31,$G$28,$G$30,-1*$F$29,1200)</f>
        <v>14.999117131444221</v>
      </c>
      <c r="AU29" s="724"/>
      <c r="AV29" s="724"/>
      <c r="AW29" s="719"/>
      <c r="AX29" s="719"/>
      <c r="AY29" s="719"/>
      <c r="BB29" s="1284" t="s">
        <v>1035</v>
      </c>
      <c r="BC29" s="1285" t="s">
        <v>995</v>
      </c>
      <c r="BD29" s="1301"/>
      <c r="BE29" s="1284"/>
      <c r="BF29" s="1285"/>
      <c r="BH29" s="685"/>
      <c r="BI29" s="531"/>
      <c r="BJ29" s="531"/>
      <c r="BK29" s="532"/>
      <c r="BL29" s="686"/>
    </row>
    <row r="30" spans="1:64" ht="15.75" hidden="1" customHeight="1">
      <c r="A30" s="716"/>
      <c r="B30" s="718"/>
      <c r="C30" s="718"/>
      <c r="D30" s="719"/>
      <c r="E30" s="719"/>
      <c r="F30" s="720"/>
      <c r="G30" s="721">
        <v>50</v>
      </c>
      <c r="H30" s="726"/>
      <c r="I30" s="722">
        <f>SUM(G6:G30)</f>
        <v>500</v>
      </c>
      <c r="J30" s="727">
        <v>31126.98</v>
      </c>
      <c r="K30" s="719" t="s">
        <v>1102</v>
      </c>
      <c r="L30" s="719"/>
      <c r="M30" s="719"/>
      <c r="N30" s="726"/>
      <c r="O30" s="726"/>
      <c r="P30" s="726"/>
      <c r="Q30" s="719"/>
      <c r="R30" s="719"/>
      <c r="S30" s="719">
        <f t="shared" ref="S30" si="6">AG31-AG29</f>
        <v>49.919999999998254</v>
      </c>
      <c r="T30" s="719"/>
      <c r="U30" s="719"/>
      <c r="V30" s="719"/>
      <c r="W30" s="719"/>
      <c r="X30" s="719"/>
      <c r="Y30" s="719"/>
      <c r="Z30" s="719"/>
      <c r="AA30" s="719"/>
      <c r="AB30" s="719"/>
      <c r="AC30" s="719"/>
      <c r="AD30" s="719"/>
      <c r="AE30" s="719"/>
      <c r="AF30" s="719"/>
      <c r="AG30" s="1341" t="s">
        <v>723</v>
      </c>
      <c r="AH30" s="719" t="s">
        <v>723</v>
      </c>
      <c r="AI30" s="719" t="s">
        <v>723</v>
      </c>
      <c r="AJ30" s="719"/>
      <c r="AK30" s="719"/>
      <c r="AL30" s="719"/>
      <c r="AM30" s="719"/>
      <c r="AN30" s="719"/>
      <c r="AO30" s="719"/>
      <c r="AP30" s="719"/>
      <c r="AQ30" s="724">
        <f>+FL_1($T$31,$T$29,$G$30,1200,9.28,-1*$F$31)</f>
        <v>0.36354090371247971</v>
      </c>
      <c r="AR30" s="724"/>
      <c r="AS30" s="724"/>
      <c r="AT30" s="724"/>
      <c r="AU30" s="724"/>
      <c r="AV30" s="724"/>
      <c r="AW30" s="719"/>
      <c r="AX30" s="719"/>
      <c r="AY30" s="719"/>
      <c r="BB30" s="1284" t="s">
        <v>2468</v>
      </c>
      <c r="BC30" s="1285" t="s">
        <v>1101</v>
      </c>
      <c r="BD30" s="1301"/>
      <c r="BE30" s="1286" t="s">
        <v>1045</v>
      </c>
      <c r="BF30" s="1287"/>
      <c r="BH30" s="685"/>
      <c r="BI30" s="531"/>
      <c r="BJ30" s="531"/>
      <c r="BK30" s="532"/>
      <c r="BL30" s="686"/>
    </row>
    <row r="31" spans="1:64" ht="15.75" customHeight="1">
      <c r="A31" s="716" t="s">
        <v>676</v>
      </c>
      <c r="B31" s="728" t="s">
        <v>1313</v>
      </c>
      <c r="C31" s="718">
        <f>+$C$29+$G$30</f>
        <v>31175</v>
      </c>
      <c r="D31" s="719"/>
      <c r="E31" s="719">
        <v>-50</v>
      </c>
      <c r="F31" s="720">
        <v>-4000</v>
      </c>
      <c r="G31" s="721"/>
      <c r="H31" s="726" t="s">
        <v>997</v>
      </c>
      <c r="I31" s="722"/>
      <c r="J31" s="723"/>
      <c r="K31" s="719"/>
      <c r="L31" s="719" t="s">
        <v>241</v>
      </c>
      <c r="M31" s="719"/>
      <c r="N31" s="719" t="s">
        <v>696</v>
      </c>
      <c r="O31" s="719"/>
      <c r="P31" s="719"/>
      <c r="Q31" s="719">
        <v>-50</v>
      </c>
      <c r="R31" s="719">
        <v>-4000</v>
      </c>
      <c r="S31" s="719"/>
      <c r="T31" s="719">
        <v>20</v>
      </c>
      <c r="U31" s="719"/>
      <c r="V31" s="719"/>
      <c r="W31" s="719">
        <v>1.1000000000000001</v>
      </c>
      <c r="X31" s="719"/>
      <c r="Y31" s="719"/>
      <c r="Z31" s="719"/>
      <c r="AA31" s="719"/>
      <c r="AB31" s="719"/>
      <c r="AC31" s="719" t="s">
        <v>2612</v>
      </c>
      <c r="AD31" s="719"/>
      <c r="AE31" s="719"/>
      <c r="AF31" s="719">
        <v>200</v>
      </c>
      <c r="AG31" s="1341">
        <v>31175.01</v>
      </c>
      <c r="AH31" s="719">
        <v>1509</v>
      </c>
      <c r="AI31" s="719">
        <v>-4893</v>
      </c>
      <c r="AJ31" s="719"/>
      <c r="AK31" s="719"/>
      <c r="AL31" s="719"/>
      <c r="AM31" s="719" t="s">
        <v>2608</v>
      </c>
      <c r="AN31" s="719">
        <v>5.25</v>
      </c>
      <c r="AO31" s="719"/>
      <c r="AP31" s="719"/>
      <c r="AQ31" s="724"/>
      <c r="AR31" s="724"/>
      <c r="AS31" s="724"/>
      <c r="AT31" s="724">
        <f>+ab($T$31,$T$29,$T$33,$G$30,$G$32,-1*$F$31,1200)</f>
        <v>14.999117131444221</v>
      </c>
      <c r="AU31" s="724"/>
      <c r="AV31" s="724"/>
      <c r="AW31" s="719"/>
      <c r="AX31" s="719"/>
      <c r="AY31" s="719"/>
      <c r="BA31" s="532"/>
      <c r="BB31" s="1284" t="s">
        <v>1081</v>
      </c>
      <c r="BC31" s="1285" t="s">
        <v>143</v>
      </c>
      <c r="BD31" s="1301"/>
      <c r="BE31" s="1284" t="s">
        <v>1062</v>
      </c>
      <c r="BF31" s="1285" t="s">
        <v>1001</v>
      </c>
      <c r="BH31" s="685"/>
      <c r="BI31" s="531"/>
      <c r="BJ31" s="531"/>
      <c r="BK31" s="532"/>
      <c r="BL31" s="686"/>
    </row>
    <row r="32" spans="1:64" ht="15.75" hidden="1" customHeight="1">
      <c r="A32" s="716"/>
      <c r="B32" s="718"/>
      <c r="C32" s="718"/>
      <c r="D32" s="719"/>
      <c r="E32" s="719"/>
      <c r="F32" s="720"/>
      <c r="G32" s="721">
        <v>50</v>
      </c>
      <c r="H32" s="719"/>
      <c r="I32" s="722">
        <f>SUM(G32:G50)</f>
        <v>500</v>
      </c>
      <c r="J32" s="1253">
        <v>31222.98</v>
      </c>
      <c r="K32" s="719" t="s">
        <v>1102</v>
      </c>
      <c r="L32" s="719"/>
      <c r="M32" s="719"/>
      <c r="N32" s="719"/>
      <c r="O32" s="719"/>
      <c r="P32" s="719"/>
      <c r="Q32" s="719"/>
      <c r="R32" s="719"/>
      <c r="S32" s="719">
        <f t="shared" ref="S32" si="7">AG33-AG31</f>
        <v>50.030000000002474</v>
      </c>
      <c r="T32" s="719"/>
      <c r="U32" s="719"/>
      <c r="V32" s="719"/>
      <c r="W32" s="719"/>
      <c r="X32" s="719"/>
      <c r="Y32" s="719"/>
      <c r="Z32" s="719"/>
      <c r="AA32" s="719"/>
      <c r="AB32" s="719"/>
      <c r="AC32" s="719"/>
      <c r="AD32" s="719"/>
      <c r="AE32" s="719"/>
      <c r="AF32" s="719"/>
      <c r="AG32" s="1341" t="s">
        <v>723</v>
      </c>
      <c r="AH32" s="719" t="s">
        <v>723</v>
      </c>
      <c r="AI32" s="719" t="s">
        <v>723</v>
      </c>
      <c r="AJ32" s="719"/>
      <c r="AK32" s="719"/>
      <c r="AL32" s="719"/>
      <c r="AM32" s="719"/>
      <c r="AN32" s="719"/>
      <c r="AO32" s="719"/>
      <c r="AP32" s="719"/>
      <c r="AQ32" s="724">
        <f>+FL_1($T$33,$T$31,$G$32,1200,9.28,-1*$F$33)</f>
        <v>0.36354090371247971</v>
      </c>
      <c r="AR32" s="724"/>
      <c r="AS32" s="724"/>
      <c r="AT32" s="724"/>
      <c r="AU32" s="724"/>
      <c r="AV32" s="724"/>
      <c r="AW32" s="719"/>
      <c r="AX32" s="719"/>
      <c r="AY32" s="719"/>
      <c r="BA32" s="532"/>
      <c r="BB32" s="1284" t="s">
        <v>1082</v>
      </c>
      <c r="BC32" s="1285" t="s">
        <v>142</v>
      </c>
      <c r="BD32" s="1301"/>
      <c r="BE32" s="1284" t="s">
        <v>1063</v>
      </c>
      <c r="BF32" s="1285" t="s">
        <v>1000</v>
      </c>
      <c r="BH32" s="687"/>
      <c r="BL32" s="555"/>
    </row>
    <row r="33" spans="1:64" ht="15.75" customHeight="1">
      <c r="A33" s="716" t="s">
        <v>676</v>
      </c>
      <c r="B33" s="728" t="s">
        <v>1314</v>
      </c>
      <c r="C33" s="718">
        <f>+$C$31+$G$32</f>
        <v>31225</v>
      </c>
      <c r="D33" s="719"/>
      <c r="E33" s="719">
        <v>-50</v>
      </c>
      <c r="F33" s="720">
        <v>-4000</v>
      </c>
      <c r="G33" s="721"/>
      <c r="H33" s="719" t="s">
        <v>1101</v>
      </c>
      <c r="I33" s="722"/>
      <c r="J33" s="723"/>
      <c r="K33" s="719"/>
      <c r="L33" s="719" t="s">
        <v>241</v>
      </c>
      <c r="M33" s="719"/>
      <c r="N33" s="719" t="s">
        <v>696</v>
      </c>
      <c r="O33" s="719"/>
      <c r="P33" s="719"/>
      <c r="Q33" s="719">
        <v>-50</v>
      </c>
      <c r="R33" s="719">
        <v>-4000</v>
      </c>
      <c r="S33" s="719"/>
      <c r="T33" s="719">
        <v>20</v>
      </c>
      <c r="U33" s="719"/>
      <c r="V33" s="719"/>
      <c r="W33" s="719">
        <v>1.1000000000000001</v>
      </c>
      <c r="X33" s="719"/>
      <c r="Y33" s="719"/>
      <c r="Z33" s="719"/>
      <c r="AA33" s="719"/>
      <c r="AB33" s="719"/>
      <c r="AC33" s="719" t="s">
        <v>2612</v>
      </c>
      <c r="AD33" s="719"/>
      <c r="AE33" s="719"/>
      <c r="AF33" s="719">
        <v>200</v>
      </c>
      <c r="AG33" s="1341">
        <v>31225.040000000001</v>
      </c>
      <c r="AH33" s="719">
        <v>1524</v>
      </c>
      <c r="AI33" s="719">
        <v>-4901</v>
      </c>
      <c r="AJ33" s="719"/>
      <c r="AK33" s="719"/>
      <c r="AL33" s="719"/>
      <c r="AM33" s="719" t="s">
        <v>2608</v>
      </c>
      <c r="AN33" s="719">
        <v>5.25</v>
      </c>
      <c r="AO33" s="719"/>
      <c r="AP33" s="719"/>
      <c r="AQ33" s="724"/>
      <c r="AR33" s="724"/>
      <c r="AS33" s="724"/>
      <c r="AT33" s="724">
        <f>+ab($T$33,$T$31,$T$35,$G$32,$G$34,-1*$F$33,1200)</f>
        <v>14.999117131444221</v>
      </c>
      <c r="AU33" s="724"/>
      <c r="AV33" s="724"/>
      <c r="AW33" s="719"/>
      <c r="AX33" s="719"/>
      <c r="AY33" s="719"/>
      <c r="BA33" s="532"/>
      <c r="BB33" s="1284"/>
      <c r="BC33" s="1285"/>
      <c r="BD33" s="1279"/>
      <c r="BE33" s="1284" t="s">
        <v>3044</v>
      </c>
      <c r="BF33" s="1285" t="s">
        <v>1004</v>
      </c>
      <c r="BH33" s="688" t="s">
        <v>2624</v>
      </c>
      <c r="BL33" s="555">
        <f>SUM(BL24:BL32)</f>
        <v>0</v>
      </c>
    </row>
    <row r="34" spans="1:64" ht="15.75" hidden="1" customHeight="1">
      <c r="A34" s="716"/>
      <c r="B34" s="718"/>
      <c r="C34" s="718"/>
      <c r="D34" s="719"/>
      <c r="E34" s="719"/>
      <c r="F34" s="720"/>
      <c r="G34" s="721">
        <v>50</v>
      </c>
      <c r="H34" s="719"/>
      <c r="I34" s="722"/>
      <c r="J34" s="723"/>
      <c r="K34" s="719"/>
      <c r="L34" s="719"/>
      <c r="M34" s="719"/>
      <c r="N34" s="719"/>
      <c r="O34" s="719"/>
      <c r="P34" s="719"/>
      <c r="Q34" s="719"/>
      <c r="R34" s="719"/>
      <c r="S34" s="719">
        <f t="shared" ref="S34" si="8">AG35-AG33</f>
        <v>50.119999999998981</v>
      </c>
      <c r="T34" s="719"/>
      <c r="U34" s="719"/>
      <c r="V34" s="719"/>
      <c r="W34" s="719"/>
      <c r="X34" s="719"/>
      <c r="Y34" s="719"/>
      <c r="Z34" s="719"/>
      <c r="AA34" s="719"/>
      <c r="AB34" s="719"/>
      <c r="AC34" s="719"/>
      <c r="AD34" s="719"/>
      <c r="AE34" s="719"/>
      <c r="AF34" s="719"/>
      <c r="AG34" s="1341" t="s">
        <v>723</v>
      </c>
      <c r="AH34" s="719" t="s">
        <v>723</v>
      </c>
      <c r="AI34" s="719" t="s">
        <v>723</v>
      </c>
      <c r="AJ34" s="719"/>
      <c r="AK34" s="719"/>
      <c r="AL34" s="719"/>
      <c r="AM34" s="719"/>
      <c r="AN34" s="719"/>
      <c r="AO34" s="719"/>
      <c r="AP34" s="719"/>
      <c r="AQ34" s="724">
        <f>+FL_1($T$35,$T$33,$G$34,1200,9.28,-1*$F$35)</f>
        <v>0.36354090371247971</v>
      </c>
      <c r="AR34" s="724"/>
      <c r="AS34" s="724"/>
      <c r="AT34" s="724"/>
      <c r="AU34" s="724"/>
      <c r="AV34" s="724"/>
      <c r="AW34" s="719"/>
      <c r="AX34" s="719"/>
      <c r="AY34" s="719"/>
      <c r="BA34" s="532"/>
      <c r="BB34" s="1284"/>
      <c r="BC34" s="1285"/>
      <c r="BD34" s="1279"/>
      <c r="BE34" s="1284" t="s">
        <v>3045</v>
      </c>
      <c r="BF34" s="1285" t="s">
        <v>3046</v>
      </c>
      <c r="BH34" s="687"/>
      <c r="BL34" s="555"/>
    </row>
    <row r="35" spans="1:64" ht="15.75" hidden="1" customHeight="1">
      <c r="A35" s="716" t="s">
        <v>676</v>
      </c>
      <c r="B35" s="728" t="s">
        <v>1315</v>
      </c>
      <c r="C35" s="718">
        <f>+$C$33+$G$34</f>
        <v>31275</v>
      </c>
      <c r="D35" s="719"/>
      <c r="E35" s="719">
        <v>-50</v>
      </c>
      <c r="F35" s="720">
        <v>-4000</v>
      </c>
      <c r="G35" s="721"/>
      <c r="H35" s="719"/>
      <c r="I35" s="722"/>
      <c r="J35" s="723"/>
      <c r="K35" s="719"/>
      <c r="L35" s="719" t="s">
        <v>241</v>
      </c>
      <c r="M35" s="719"/>
      <c r="N35" s="719" t="s">
        <v>696</v>
      </c>
      <c r="O35" s="719"/>
      <c r="P35" s="719"/>
      <c r="Q35" s="719">
        <v>-50</v>
      </c>
      <c r="R35" s="719">
        <v>-4000</v>
      </c>
      <c r="S35" s="719"/>
      <c r="T35" s="719">
        <v>20</v>
      </c>
      <c r="U35" s="719"/>
      <c r="V35" s="719"/>
      <c r="W35" s="719">
        <v>1.1000000000000001</v>
      </c>
      <c r="X35" s="719"/>
      <c r="Y35" s="719"/>
      <c r="Z35" s="719"/>
      <c r="AA35" s="719"/>
      <c r="AB35" s="719"/>
      <c r="AC35" s="719" t="s">
        <v>2612</v>
      </c>
      <c r="AD35" s="719"/>
      <c r="AE35" s="719"/>
      <c r="AF35" s="719">
        <v>200</v>
      </c>
      <c r="AG35" s="1341">
        <v>31275.16</v>
      </c>
      <c r="AH35" s="719">
        <v>1553</v>
      </c>
      <c r="AI35" s="719">
        <v>-4925</v>
      </c>
      <c r="AJ35" s="719"/>
      <c r="AK35" s="719"/>
      <c r="AL35" s="719"/>
      <c r="AM35" s="719" t="s">
        <v>2608</v>
      </c>
      <c r="AN35" s="719">
        <v>5.25</v>
      </c>
      <c r="AO35" s="719"/>
      <c r="AP35" s="719"/>
      <c r="AQ35" s="724"/>
      <c r="AR35" s="724"/>
      <c r="AS35" s="724"/>
      <c r="AT35" s="724">
        <f>+ab($T$35,$T$33,$T$37,$G$34,$G$36,-1*$F$35,1200)</f>
        <v>14.581129174389064</v>
      </c>
      <c r="AU35" s="724"/>
      <c r="AV35" s="724"/>
      <c r="AW35" s="719"/>
      <c r="AX35" s="719"/>
      <c r="AY35" s="719"/>
      <c r="BA35" s="532"/>
      <c r="BB35" s="1286" t="s">
        <v>3047</v>
      </c>
      <c r="BC35" s="1287"/>
      <c r="BD35" s="1279"/>
      <c r="BE35" s="1284" t="s">
        <v>2454</v>
      </c>
      <c r="BF35" s="1285" t="s">
        <v>2455</v>
      </c>
      <c r="BH35" s="687"/>
      <c r="BL35" s="555"/>
    </row>
    <row r="36" spans="1:64" ht="15.75" hidden="1" customHeight="1" thickBot="1">
      <c r="A36" s="716"/>
      <c r="B36" s="718"/>
      <c r="C36" s="718"/>
      <c r="D36" s="719"/>
      <c r="E36" s="719"/>
      <c r="F36" s="720"/>
      <c r="G36" s="721">
        <v>53</v>
      </c>
      <c r="H36" s="719"/>
      <c r="I36" s="726"/>
      <c r="J36" s="723"/>
      <c r="K36" s="719"/>
      <c r="L36" s="719"/>
      <c r="M36" s="730"/>
      <c r="N36" s="726"/>
      <c r="O36" s="726"/>
      <c r="P36" s="726"/>
      <c r="Q36" s="719"/>
      <c r="R36" s="719"/>
      <c r="S36" s="719">
        <f t="shared" ref="S36" si="9">AG37-AG35</f>
        <v>49.889999999999418</v>
      </c>
      <c r="T36" s="719"/>
      <c r="U36" s="719"/>
      <c r="V36" s="719"/>
      <c r="W36" s="719"/>
      <c r="X36" s="719"/>
      <c r="Y36" s="719"/>
      <c r="Z36" s="719"/>
      <c r="AA36" s="719"/>
      <c r="AB36" s="719"/>
      <c r="AC36" s="719"/>
      <c r="AD36" s="719"/>
      <c r="AE36" s="719"/>
      <c r="AF36" s="719"/>
      <c r="AG36" s="1341" t="s">
        <v>723</v>
      </c>
      <c r="AH36" s="719" t="s">
        <v>723</v>
      </c>
      <c r="AI36" s="719" t="s">
        <v>723</v>
      </c>
      <c r="AJ36" s="719"/>
      <c r="AK36" s="719"/>
      <c r="AL36" s="719"/>
      <c r="AM36" s="719"/>
      <c r="AN36" s="719"/>
      <c r="AO36" s="719"/>
      <c r="AP36" s="719"/>
      <c r="AQ36" s="724">
        <f>+FL_1($T$37,$T$35,$G$36,1200,9.28,-1*$F$37)</f>
        <v>0.38375445345194364</v>
      </c>
      <c r="AR36" s="724"/>
      <c r="AS36" s="724"/>
      <c r="AT36" s="724"/>
      <c r="AU36" s="724"/>
      <c r="AV36" s="724"/>
      <c r="AW36" s="719"/>
      <c r="AX36" s="719"/>
      <c r="AY36" s="719"/>
      <c r="BB36" s="1284" t="s">
        <v>1037</v>
      </c>
      <c r="BC36" s="1285" t="s">
        <v>673</v>
      </c>
      <c r="BD36" s="1301"/>
      <c r="BE36" s="1284" t="s">
        <v>3048</v>
      </c>
      <c r="BF36" s="1285" t="s">
        <v>3049</v>
      </c>
      <c r="BH36" s="689" t="s">
        <v>1141</v>
      </c>
      <c r="BI36" s="690"/>
      <c r="BJ36" s="690"/>
      <c r="BK36" s="690"/>
      <c r="BL36" s="802">
        <f>(SUM(BJ24:BJ31)-SUM(BI24:BI31))/1000</f>
        <v>1.5549999999999999</v>
      </c>
    </row>
    <row r="37" spans="1:64" ht="15.75" hidden="1" customHeight="1">
      <c r="A37" s="716" t="s">
        <v>676</v>
      </c>
      <c r="B37" s="725" t="s">
        <v>1316</v>
      </c>
      <c r="C37" s="718">
        <f>+$C$35+$G$36</f>
        <v>31328</v>
      </c>
      <c r="D37" s="719"/>
      <c r="E37" s="719">
        <v>-50</v>
      </c>
      <c r="F37" s="720">
        <v>-4000</v>
      </c>
      <c r="G37" s="721"/>
      <c r="H37" s="719"/>
      <c r="I37" s="726"/>
      <c r="J37" s="723"/>
      <c r="K37" s="719"/>
      <c r="L37" s="719" t="s">
        <v>241</v>
      </c>
      <c r="M37" s="730"/>
      <c r="N37" s="726" t="s">
        <v>696</v>
      </c>
      <c r="O37" s="726"/>
      <c r="P37" s="726"/>
      <c r="Q37" s="719">
        <v>-50</v>
      </c>
      <c r="R37" s="719">
        <v>-4000</v>
      </c>
      <c r="S37" s="719"/>
      <c r="T37" s="719">
        <v>20</v>
      </c>
      <c r="U37" s="719"/>
      <c r="V37" s="719"/>
      <c r="W37" s="719">
        <v>1.1000000000000001</v>
      </c>
      <c r="X37" s="719"/>
      <c r="Y37" s="719"/>
      <c r="Z37" s="719"/>
      <c r="AA37" s="719"/>
      <c r="AB37" s="719"/>
      <c r="AC37" s="719" t="s">
        <v>2612</v>
      </c>
      <c r="AD37" s="719"/>
      <c r="AE37" s="719"/>
      <c r="AF37" s="719">
        <v>200</v>
      </c>
      <c r="AG37" s="1341">
        <v>31325.05</v>
      </c>
      <c r="AH37" s="719">
        <v>1465</v>
      </c>
      <c r="AI37" s="719">
        <v>-4966</v>
      </c>
      <c r="AJ37" s="719"/>
      <c r="AK37" s="719"/>
      <c r="AL37" s="719"/>
      <c r="AM37" s="719" t="s">
        <v>2608</v>
      </c>
      <c r="AN37" s="719">
        <v>5.25</v>
      </c>
      <c r="AO37" s="719"/>
      <c r="AP37" s="719"/>
      <c r="AQ37" s="724"/>
      <c r="AR37" s="724"/>
      <c r="AS37" s="724"/>
      <c r="AT37" s="724">
        <f>+ab($T$37,$T$35,$T$39,$G$36,$G$38,-1*$F$37,1200)</f>
        <v>14.999117131444221</v>
      </c>
      <c r="AU37" s="724"/>
      <c r="AV37" s="724"/>
      <c r="AW37" s="719"/>
      <c r="AX37" s="719"/>
      <c r="AY37" s="719"/>
      <c r="BB37" s="1284" t="s">
        <v>1038</v>
      </c>
      <c r="BC37" s="1285" t="s">
        <v>674</v>
      </c>
      <c r="BD37" s="1301"/>
      <c r="BE37" s="1284" t="s">
        <v>1047</v>
      </c>
      <c r="BF37" s="1285" t="s">
        <v>1002</v>
      </c>
    </row>
    <row r="38" spans="1:64" ht="15.75" hidden="1" customHeight="1">
      <c r="A38" s="716"/>
      <c r="B38" s="717"/>
      <c r="C38" s="718"/>
      <c r="D38" s="719"/>
      <c r="E38" s="719"/>
      <c r="F38" s="720"/>
      <c r="G38" s="721">
        <v>47</v>
      </c>
      <c r="H38" s="719"/>
      <c r="I38" s="726"/>
      <c r="J38" s="723"/>
      <c r="K38" s="719"/>
      <c r="L38" s="719"/>
      <c r="M38" s="730"/>
      <c r="N38" s="726"/>
      <c r="O38" s="726"/>
      <c r="P38" s="726"/>
      <c r="Q38" s="719"/>
      <c r="R38" s="719"/>
      <c r="S38" s="719">
        <f t="shared" ref="S38" si="10">AG39-AG37</f>
        <v>49.970000000001164</v>
      </c>
      <c r="T38" s="719"/>
      <c r="U38" s="719"/>
      <c r="V38" s="719"/>
      <c r="W38" s="719"/>
      <c r="X38" s="719"/>
      <c r="Y38" s="719"/>
      <c r="Z38" s="719"/>
      <c r="AA38" s="719"/>
      <c r="AB38" s="719"/>
      <c r="AC38" s="719"/>
      <c r="AD38" s="719"/>
      <c r="AE38" s="719"/>
      <c r="AF38" s="719"/>
      <c r="AG38" s="1341" t="s">
        <v>723</v>
      </c>
      <c r="AH38" s="719" t="s">
        <v>723</v>
      </c>
      <c r="AI38" s="719" t="s">
        <v>723</v>
      </c>
      <c r="AJ38" s="719"/>
      <c r="AK38" s="719"/>
      <c r="AL38" s="719"/>
      <c r="AM38" s="719"/>
      <c r="AN38" s="719"/>
      <c r="AO38" s="719"/>
      <c r="AP38" s="719"/>
      <c r="AQ38" s="724">
        <f>+FL_1($T$39,$T$37,$G$38,1200,9.28,-1*$F$39)</f>
        <v>0.34450482099212221</v>
      </c>
      <c r="AR38" s="724"/>
      <c r="AS38" s="724"/>
      <c r="AT38" s="724"/>
      <c r="AU38" s="724"/>
      <c r="AV38" s="724"/>
      <c r="AW38" s="719"/>
      <c r="AX38" s="719"/>
      <c r="AY38" s="719"/>
      <c r="BB38" s="1284" t="s">
        <v>1039</v>
      </c>
      <c r="BC38" s="1285" t="s">
        <v>948</v>
      </c>
      <c r="BD38" s="1301"/>
      <c r="BE38" s="1284" t="s">
        <v>2465</v>
      </c>
      <c r="BF38" s="1285" t="s">
        <v>2466</v>
      </c>
    </row>
    <row r="39" spans="1:64" ht="15.75" hidden="1" customHeight="1">
      <c r="A39" s="716" t="s">
        <v>676</v>
      </c>
      <c r="B39" s="725" t="s">
        <v>1317</v>
      </c>
      <c r="C39" s="718">
        <f>+$C$37+$G$38</f>
        <v>31375</v>
      </c>
      <c r="D39" s="719"/>
      <c r="E39" s="719">
        <v>-50</v>
      </c>
      <c r="F39" s="720">
        <v>-4000</v>
      </c>
      <c r="G39" s="721"/>
      <c r="H39" s="719"/>
      <c r="I39" s="726"/>
      <c r="J39" s="723"/>
      <c r="K39" s="719"/>
      <c r="L39" s="719" t="s">
        <v>241</v>
      </c>
      <c r="M39" s="730"/>
      <c r="N39" s="726" t="s">
        <v>696</v>
      </c>
      <c r="O39" s="726"/>
      <c r="P39" s="726"/>
      <c r="Q39" s="719">
        <v>-50</v>
      </c>
      <c r="R39" s="719">
        <v>-4000</v>
      </c>
      <c r="S39" s="719"/>
      <c r="T39" s="719">
        <v>20</v>
      </c>
      <c r="U39" s="719"/>
      <c r="V39" s="719"/>
      <c r="W39" s="719">
        <v>1.1000000000000001</v>
      </c>
      <c r="X39" s="719"/>
      <c r="Y39" s="719"/>
      <c r="Z39" s="719"/>
      <c r="AA39" s="719"/>
      <c r="AB39" s="719"/>
      <c r="AC39" s="719" t="s">
        <v>2612</v>
      </c>
      <c r="AD39" s="719"/>
      <c r="AE39" s="719"/>
      <c r="AF39" s="719">
        <v>200</v>
      </c>
      <c r="AG39" s="1341">
        <v>31375.02</v>
      </c>
      <c r="AH39" s="719">
        <v>1566</v>
      </c>
      <c r="AI39" s="719">
        <v>-4984</v>
      </c>
      <c r="AJ39" s="719"/>
      <c r="AK39" s="719"/>
      <c r="AL39" s="719"/>
      <c r="AM39" s="719" t="s">
        <v>2608</v>
      </c>
      <c r="AN39" s="719">
        <v>5.25</v>
      </c>
      <c r="AO39" s="719"/>
      <c r="AP39" s="719"/>
      <c r="AQ39" s="724"/>
      <c r="AR39" s="724"/>
      <c r="AS39" s="724"/>
      <c r="AT39" s="724">
        <f>+ab($T$39,$T$37,$T$41,$G$38,$G$40,-1*$F$39,1200)</f>
        <v>15.441177455171482</v>
      </c>
      <c r="AU39" s="724"/>
      <c r="AV39" s="724"/>
      <c r="AW39" s="719"/>
      <c r="AX39" s="719"/>
      <c r="AY39" s="719"/>
      <c r="BB39" s="1284" t="s">
        <v>1040</v>
      </c>
      <c r="BC39" s="1285" t="s">
        <v>947</v>
      </c>
      <c r="BD39" s="1301"/>
      <c r="BE39" s="1284" t="s">
        <v>2216</v>
      </c>
      <c r="BF39" s="1285" t="s">
        <v>2453</v>
      </c>
    </row>
    <row r="40" spans="1:64" ht="15.75" hidden="1" customHeight="1">
      <c r="A40" s="716"/>
      <c r="B40" s="717"/>
      <c r="C40" s="718"/>
      <c r="D40" s="719"/>
      <c r="E40" s="719"/>
      <c r="F40" s="720"/>
      <c r="G40" s="721">
        <v>50</v>
      </c>
      <c r="H40" s="719"/>
      <c r="I40" s="726"/>
      <c r="J40" s="723"/>
      <c r="K40" s="719"/>
      <c r="L40" s="719"/>
      <c r="M40" s="730"/>
      <c r="N40" s="726"/>
      <c r="O40" s="726"/>
      <c r="P40" s="726"/>
      <c r="Q40" s="719"/>
      <c r="R40" s="719"/>
      <c r="S40" s="719">
        <f t="shared" ref="S40" si="11">AG41-AG39</f>
        <v>49.959999999999127</v>
      </c>
      <c r="T40" s="719"/>
      <c r="U40" s="719"/>
      <c r="V40" s="719"/>
      <c r="W40" s="719"/>
      <c r="X40" s="719"/>
      <c r="Y40" s="719"/>
      <c r="Z40" s="719"/>
      <c r="AA40" s="719"/>
      <c r="AB40" s="719"/>
      <c r="AC40" s="719"/>
      <c r="AD40" s="719"/>
      <c r="AE40" s="719"/>
      <c r="AF40" s="719"/>
      <c r="AG40" s="1341" t="s">
        <v>723</v>
      </c>
      <c r="AH40" s="719" t="s">
        <v>723</v>
      </c>
      <c r="AI40" s="719" t="s">
        <v>723</v>
      </c>
      <c r="AJ40" s="719"/>
      <c r="AK40" s="719"/>
      <c r="AL40" s="719"/>
      <c r="AM40" s="719"/>
      <c r="AN40" s="719"/>
      <c r="AO40" s="719"/>
      <c r="AP40" s="719"/>
      <c r="AQ40" s="724">
        <f>+FL_1($T$41,$T$39,$G$40,1200,9.28,-1*$F$41)</f>
        <v>0.37860822976569275</v>
      </c>
      <c r="AR40" s="724"/>
      <c r="AS40" s="724"/>
      <c r="AT40" s="724"/>
      <c r="AU40" s="724"/>
      <c r="AV40" s="724"/>
      <c r="AW40" s="719"/>
      <c r="AX40" s="719"/>
      <c r="AY40" s="719"/>
      <c r="BB40" s="1284" t="s">
        <v>3050</v>
      </c>
      <c r="BC40" s="1285" t="s">
        <v>2831</v>
      </c>
      <c r="BD40" s="1301"/>
      <c r="BE40" s="1284" t="s">
        <v>2217</v>
      </c>
      <c r="BF40" s="1285" t="s">
        <v>2456</v>
      </c>
    </row>
    <row r="41" spans="1:64" ht="15.75" hidden="1" customHeight="1">
      <c r="A41" s="716" t="s">
        <v>676</v>
      </c>
      <c r="B41" s="725" t="s">
        <v>1318</v>
      </c>
      <c r="C41" s="718">
        <f>+$C$39+$G$40</f>
        <v>31425</v>
      </c>
      <c r="D41" s="719"/>
      <c r="E41" s="719"/>
      <c r="F41" s="720">
        <f>-560000/(31538-C41)</f>
        <v>-4955.7522123893805</v>
      </c>
      <c r="G41" s="721"/>
      <c r="H41" s="719"/>
      <c r="I41" s="726"/>
      <c r="J41" s="723"/>
      <c r="K41" s="719"/>
      <c r="L41" s="719" t="s">
        <v>241</v>
      </c>
      <c r="M41" s="730"/>
      <c r="N41" s="726" t="s">
        <v>696</v>
      </c>
      <c r="O41" s="726"/>
      <c r="P41" s="726"/>
      <c r="Q41" s="719">
        <v>-44</v>
      </c>
      <c r="R41" s="719">
        <v>-4908</v>
      </c>
      <c r="S41" s="719"/>
      <c r="T41" s="719">
        <v>20</v>
      </c>
      <c r="U41" s="719"/>
      <c r="V41" s="719"/>
      <c r="W41" s="719">
        <v>1.1000000000000001</v>
      </c>
      <c r="X41" s="719"/>
      <c r="Y41" s="719"/>
      <c r="Z41" s="719"/>
      <c r="AA41" s="719"/>
      <c r="AB41" s="719"/>
      <c r="AC41" s="719" t="s">
        <v>2612</v>
      </c>
      <c r="AD41" s="719"/>
      <c r="AE41" s="719"/>
      <c r="AF41" s="719">
        <v>200</v>
      </c>
      <c r="AG41" s="1341">
        <v>31424.98</v>
      </c>
      <c r="AH41" s="719">
        <v>1517</v>
      </c>
      <c r="AI41" s="719">
        <v>-4946</v>
      </c>
      <c r="AJ41" s="719"/>
      <c r="AK41" s="719"/>
      <c r="AL41" s="719"/>
      <c r="AM41" s="719" t="s">
        <v>2608</v>
      </c>
      <c r="AN41" s="719">
        <v>5.25</v>
      </c>
      <c r="AO41" s="719"/>
      <c r="AP41" s="719"/>
      <c r="AQ41" s="724"/>
      <c r="AR41" s="724"/>
      <c r="AS41" s="724"/>
      <c r="AT41" s="724">
        <f>+ab($T$41,$T$39,$T$43,$G$40,$G$42,-1*$F$41,1200)</f>
        <v>9.4649428869052556</v>
      </c>
      <c r="AU41" s="724"/>
      <c r="AV41" s="724"/>
      <c r="AW41" s="719"/>
      <c r="AX41" s="719"/>
      <c r="AY41" s="719"/>
      <c r="BB41" s="1284" t="s">
        <v>3051</v>
      </c>
      <c r="BC41" s="1285" t="s">
        <v>2827</v>
      </c>
      <c r="BD41" s="1301"/>
      <c r="BE41" s="1284" t="s">
        <v>2213</v>
      </c>
      <c r="BF41" s="1285" t="s">
        <v>985</v>
      </c>
    </row>
    <row r="42" spans="1:64" ht="15.75" hidden="1" customHeight="1">
      <c r="A42" s="716"/>
      <c r="B42" s="717"/>
      <c r="C42" s="718"/>
      <c r="D42" s="719"/>
      <c r="E42" s="719"/>
      <c r="F42" s="720"/>
      <c r="G42" s="721">
        <v>50</v>
      </c>
      <c r="H42" s="719"/>
      <c r="I42" s="726"/>
      <c r="J42" s="723"/>
      <c r="K42" s="719"/>
      <c r="L42" s="719"/>
      <c r="M42" s="730"/>
      <c r="N42" s="726"/>
      <c r="O42" s="726"/>
      <c r="P42" s="726"/>
      <c r="Q42" s="719"/>
      <c r="R42" s="719"/>
      <c r="S42" s="719">
        <f t="shared" ref="S42" si="12">AG43-AG41</f>
        <v>50.06000000000131</v>
      </c>
      <c r="T42" s="719"/>
      <c r="U42" s="719"/>
      <c r="V42" s="719"/>
      <c r="W42" s="719"/>
      <c r="X42" s="719"/>
      <c r="Y42" s="719"/>
      <c r="Z42" s="719"/>
      <c r="AA42" s="719"/>
      <c r="AB42" s="719"/>
      <c r="AC42" s="719"/>
      <c r="AD42" s="719"/>
      <c r="AE42" s="719"/>
      <c r="AF42" s="719"/>
      <c r="AG42" s="1341" t="s">
        <v>723</v>
      </c>
      <c r="AH42" s="719" t="s">
        <v>723</v>
      </c>
      <c r="AI42" s="719" t="s">
        <v>723</v>
      </c>
      <c r="AJ42" s="719"/>
      <c r="AK42" s="719"/>
      <c r="AL42" s="719"/>
      <c r="AM42" s="719"/>
      <c r="AN42" s="719"/>
      <c r="AO42" s="719"/>
      <c r="AP42" s="719"/>
      <c r="AQ42" s="724">
        <f>+FL_2($T$43,$T$41,$G$42,1200,9.28,-1*$F$43)</f>
        <v>-0.38326698643198109</v>
      </c>
      <c r="AR42" s="724"/>
      <c r="AS42" s="724"/>
      <c r="AT42" s="724"/>
      <c r="AU42" s="724"/>
      <c r="AV42" s="724"/>
      <c r="AW42" s="719"/>
      <c r="AX42" s="719"/>
      <c r="AY42" s="719"/>
      <c r="BB42" s="1284" t="s">
        <v>3052</v>
      </c>
      <c r="BC42" s="1285" t="s">
        <v>2828</v>
      </c>
      <c r="BD42" s="1301"/>
      <c r="BE42" s="1284" t="s">
        <v>3053</v>
      </c>
      <c r="BF42" s="1285" t="s">
        <v>3054</v>
      </c>
    </row>
    <row r="43" spans="1:64" ht="15.75" hidden="1" customHeight="1">
      <c r="A43" s="716" t="s">
        <v>676</v>
      </c>
      <c r="B43" s="725" t="s">
        <v>1319</v>
      </c>
      <c r="C43" s="718">
        <f>+$C$41+$G$42</f>
        <v>31475</v>
      </c>
      <c r="D43" s="719"/>
      <c r="E43" s="719"/>
      <c r="F43" s="720">
        <f>-560000/(31538-C43)</f>
        <v>-8888.8888888888887</v>
      </c>
      <c r="G43" s="721"/>
      <c r="H43" s="719"/>
      <c r="I43" s="726"/>
      <c r="J43" s="723"/>
      <c r="K43" s="719"/>
      <c r="L43" s="719" t="s">
        <v>241</v>
      </c>
      <c r="M43" s="730"/>
      <c r="N43" s="726" t="s">
        <v>695</v>
      </c>
      <c r="O43" s="726"/>
      <c r="P43" s="726"/>
      <c r="Q43" s="719">
        <v>-24</v>
      </c>
      <c r="R43" s="719">
        <v>-8881</v>
      </c>
      <c r="S43" s="719"/>
      <c r="T43" s="719">
        <v>-30</v>
      </c>
      <c r="U43" s="719"/>
      <c r="V43" s="719"/>
      <c r="W43" s="719">
        <v>1.1000000000000001</v>
      </c>
      <c r="X43" s="719"/>
      <c r="Y43" s="719"/>
      <c r="Z43" s="719"/>
      <c r="AA43" s="719"/>
      <c r="AB43" s="719"/>
      <c r="AC43" s="719" t="s">
        <v>2612</v>
      </c>
      <c r="AD43" s="719"/>
      <c r="AE43" s="719"/>
      <c r="AF43" s="719">
        <v>350</v>
      </c>
      <c r="AG43" s="1341">
        <v>31475.040000000001</v>
      </c>
      <c r="AH43" s="719">
        <v>1439</v>
      </c>
      <c r="AI43" s="719">
        <v>-4970</v>
      </c>
      <c r="AJ43" s="719"/>
      <c r="AK43" s="719"/>
      <c r="AL43" s="719"/>
      <c r="AM43" s="719" t="s">
        <v>2608</v>
      </c>
      <c r="AN43" s="719">
        <v>5.25</v>
      </c>
      <c r="AO43" s="719"/>
      <c r="AP43" s="719"/>
      <c r="AQ43" s="724"/>
      <c r="AR43" s="724"/>
      <c r="AS43" s="724"/>
      <c r="AT43" s="724">
        <f>+ab($T$43,$T$41,$T$45,$G$42,$G$44,-1*$F$43,1200)</f>
        <v>-11.559213258933491</v>
      </c>
      <c r="AU43" s="724"/>
      <c r="AV43" s="724"/>
      <c r="AW43" s="719"/>
      <c r="AX43" s="719"/>
      <c r="AY43" s="719"/>
      <c r="BB43" s="1284" t="s">
        <v>1083</v>
      </c>
      <c r="BC43" s="1285" t="s">
        <v>2051</v>
      </c>
      <c r="BD43" s="1301"/>
      <c r="BE43" s="1284"/>
      <c r="BF43" s="1285"/>
    </row>
    <row r="44" spans="1:64" ht="15.75" hidden="1" customHeight="1">
      <c r="A44" s="716"/>
      <c r="B44" s="717"/>
      <c r="C44" s="718"/>
      <c r="D44" s="719"/>
      <c r="E44" s="719"/>
      <c r="F44" s="720"/>
      <c r="G44" s="721">
        <v>50</v>
      </c>
      <c r="H44" s="719"/>
      <c r="I44" s="726"/>
      <c r="J44" s="723"/>
      <c r="K44" s="719"/>
      <c r="L44" s="719"/>
      <c r="M44" s="730"/>
      <c r="N44" s="726"/>
      <c r="O44" s="726"/>
      <c r="P44" s="726"/>
      <c r="Q44" s="719"/>
      <c r="R44" s="719"/>
      <c r="S44" s="719">
        <f t="shared" ref="S44" si="13">AG45-AG43</f>
        <v>49.93999999999869</v>
      </c>
      <c r="T44" s="719"/>
      <c r="U44" s="719"/>
      <c r="V44" s="719"/>
      <c r="W44" s="719"/>
      <c r="X44" s="719"/>
      <c r="Y44" s="719"/>
      <c r="Z44" s="719"/>
      <c r="AA44" s="719"/>
      <c r="AB44" s="719"/>
      <c r="AC44" s="719"/>
      <c r="AD44" s="719"/>
      <c r="AE44" s="719"/>
      <c r="AF44" s="719"/>
      <c r="AG44" s="1341" t="s">
        <v>723</v>
      </c>
      <c r="AH44" s="719" t="s">
        <v>723</v>
      </c>
      <c r="AI44" s="719" t="s">
        <v>723</v>
      </c>
      <c r="AJ44" s="719"/>
      <c r="AK44" s="719"/>
      <c r="AL44" s="719"/>
      <c r="AM44" s="719"/>
      <c r="AN44" s="719"/>
      <c r="AO44" s="719"/>
      <c r="AP44" s="719"/>
      <c r="AQ44" s="724">
        <f>+FL_1($T$45,$T$43,$G$44,1200,9.28,-1*$F$45)</f>
        <v>0.33477011200000001</v>
      </c>
      <c r="AR44" s="724"/>
      <c r="AS44" s="724"/>
      <c r="AT44" s="724"/>
      <c r="AU44" s="724"/>
      <c r="AV44" s="724"/>
      <c r="AW44" s="719"/>
      <c r="AX44" s="719"/>
      <c r="AY44" s="719"/>
      <c r="BB44" s="1284" t="s">
        <v>1086</v>
      </c>
      <c r="BC44" s="1285" t="s">
        <v>2050</v>
      </c>
      <c r="BD44" s="1301"/>
      <c r="BE44" s="1284" t="s">
        <v>1050</v>
      </c>
      <c r="BF44" s="1285" t="s">
        <v>1009</v>
      </c>
    </row>
    <row r="45" spans="1:64" ht="15.75" hidden="1" customHeight="1">
      <c r="A45" s="716" t="s">
        <v>676</v>
      </c>
      <c r="B45" s="725" t="s">
        <v>1320</v>
      </c>
      <c r="C45" s="718">
        <f>+$C$43+$G$44</f>
        <v>31525</v>
      </c>
      <c r="D45" s="719"/>
      <c r="E45" s="719"/>
      <c r="F45" s="720">
        <v>0</v>
      </c>
      <c r="G45" s="721"/>
      <c r="H45" s="719" t="s">
        <v>138</v>
      </c>
      <c r="I45" s="726" t="s">
        <v>948</v>
      </c>
      <c r="J45" s="723"/>
      <c r="K45" s="719"/>
      <c r="L45" s="719" t="s">
        <v>241</v>
      </c>
      <c r="M45" s="730"/>
      <c r="N45" s="726" t="s">
        <v>696</v>
      </c>
      <c r="O45" s="726"/>
      <c r="P45" s="726"/>
      <c r="Q45" s="719">
        <v>-6</v>
      </c>
      <c r="R45" s="719">
        <v>-39965</v>
      </c>
      <c r="S45" s="719"/>
      <c r="T45" s="719">
        <v>30</v>
      </c>
      <c r="U45" s="719"/>
      <c r="V45" s="719"/>
      <c r="W45" s="719">
        <v>1.1000000000000001</v>
      </c>
      <c r="X45" s="719"/>
      <c r="Y45" s="719"/>
      <c r="Z45" s="719"/>
      <c r="AA45" s="719"/>
      <c r="AB45" s="719"/>
      <c r="AC45" s="719" t="s">
        <v>2978</v>
      </c>
      <c r="AD45" s="719"/>
      <c r="AE45" s="719"/>
      <c r="AF45" s="719">
        <v>200</v>
      </c>
      <c r="AG45" s="1341">
        <v>31524.98</v>
      </c>
      <c r="AH45" s="719">
        <v>1424</v>
      </c>
      <c r="AI45" s="719">
        <v>-4957</v>
      </c>
      <c r="AJ45" s="719"/>
      <c r="AK45" s="719"/>
      <c r="AL45" s="719"/>
      <c r="AM45" s="719" t="s">
        <v>2608</v>
      </c>
      <c r="AN45" s="719">
        <v>5.25</v>
      </c>
      <c r="AO45" s="719"/>
      <c r="AP45" s="719"/>
      <c r="AQ45" s="724"/>
      <c r="AR45" s="724"/>
      <c r="AS45" s="724"/>
      <c r="AT45" s="724">
        <f>+ab($T$45,$T$43,$T$47,$G$44,$G$46,-1*$F$45,1200)</f>
        <v>9.9968917440918084</v>
      </c>
      <c r="AU45" s="724"/>
      <c r="AV45" s="724"/>
      <c r="AW45" s="719"/>
      <c r="AX45" s="719"/>
      <c r="AY45" s="719"/>
      <c r="BB45" s="1284" t="s">
        <v>1084</v>
      </c>
      <c r="BC45" s="1285" t="s">
        <v>2052</v>
      </c>
      <c r="BD45" s="1301"/>
      <c r="BE45" s="1284" t="s">
        <v>1051</v>
      </c>
      <c r="BF45" s="1285" t="s">
        <v>1048</v>
      </c>
    </row>
    <row r="46" spans="1:64" ht="15.75" hidden="1" customHeight="1">
      <c r="A46" s="716"/>
      <c r="B46" s="717"/>
      <c r="C46" s="718"/>
      <c r="D46" s="719"/>
      <c r="E46" s="719"/>
      <c r="F46" s="720"/>
      <c r="G46" s="721">
        <v>50</v>
      </c>
      <c r="H46" s="719"/>
      <c r="I46" s="726"/>
      <c r="J46" s="723">
        <v>31536.47</v>
      </c>
      <c r="K46" s="719" t="s">
        <v>1097</v>
      </c>
      <c r="L46" s="719"/>
      <c r="M46" s="730"/>
      <c r="N46" s="726"/>
      <c r="O46" s="726"/>
      <c r="P46" s="726"/>
      <c r="Q46" s="719"/>
      <c r="R46" s="719"/>
      <c r="S46" s="719">
        <f t="shared" ref="S46" si="14">AG47-AG45</f>
        <v>50</v>
      </c>
      <c r="T46" s="719"/>
      <c r="U46" s="719"/>
      <c r="V46" s="719"/>
      <c r="W46" s="719"/>
      <c r="X46" s="719"/>
      <c r="Y46" s="719"/>
      <c r="Z46" s="719"/>
      <c r="AA46" s="719"/>
      <c r="AB46" s="719"/>
      <c r="AC46" s="719"/>
      <c r="AD46" s="719"/>
      <c r="AE46" s="719"/>
      <c r="AF46" s="719"/>
      <c r="AG46" s="1341" t="s">
        <v>723</v>
      </c>
      <c r="AH46" s="719" t="s">
        <v>723</v>
      </c>
      <c r="AI46" s="719" t="s">
        <v>723</v>
      </c>
      <c r="AJ46" s="719"/>
      <c r="AK46" s="719"/>
      <c r="AL46" s="719"/>
      <c r="AM46" s="719"/>
      <c r="AN46" s="719"/>
      <c r="AO46" s="719"/>
      <c r="AP46" s="719"/>
      <c r="AQ46" s="724">
        <f>+FL_2($U$47,$T$45,$G$46,1200,9.28,-1*$F$47)</f>
        <v>-0.29489941866666664</v>
      </c>
      <c r="AR46" s="724"/>
      <c r="AS46" s="724"/>
      <c r="AT46" s="724"/>
      <c r="AU46" s="724"/>
      <c r="AV46" s="724"/>
      <c r="AW46" s="719"/>
      <c r="AX46" s="719"/>
      <c r="AY46" s="719"/>
      <c r="BB46" s="1284" t="s">
        <v>1085</v>
      </c>
      <c r="BC46" s="1285" t="s">
        <v>2053</v>
      </c>
      <c r="BD46" s="1301"/>
      <c r="BE46" s="1284" t="s">
        <v>1052</v>
      </c>
      <c r="BF46" s="1285" t="s">
        <v>1003</v>
      </c>
    </row>
    <row r="47" spans="1:64" ht="15.75" hidden="1" customHeight="1">
      <c r="A47" s="716" t="s">
        <v>676</v>
      </c>
      <c r="B47" s="725" t="s">
        <v>1321</v>
      </c>
      <c r="C47" s="718">
        <f>+$C$45+$G$46</f>
        <v>31575</v>
      </c>
      <c r="D47" s="719"/>
      <c r="E47" s="719"/>
      <c r="F47" s="720">
        <v>0</v>
      </c>
      <c r="G47" s="721"/>
      <c r="H47" s="719" t="s">
        <v>668</v>
      </c>
      <c r="I47" s="726"/>
      <c r="J47" s="723"/>
      <c r="K47" s="719"/>
      <c r="L47" s="719" t="s">
        <v>465</v>
      </c>
      <c r="M47" s="730"/>
      <c r="N47" s="726" t="s">
        <v>697</v>
      </c>
      <c r="O47" s="726" t="s">
        <v>695</v>
      </c>
      <c r="P47" s="726"/>
      <c r="Q47" s="719">
        <v>0</v>
      </c>
      <c r="R47" s="719">
        <v>0</v>
      </c>
      <c r="S47" s="719">
        <f>AG48-AG47</f>
        <v>1.5</v>
      </c>
      <c r="T47" s="719">
        <v>-5</v>
      </c>
      <c r="U47" s="719">
        <v>-25</v>
      </c>
      <c r="V47" s="719"/>
      <c r="W47" s="719">
        <v>1.1000000000000001</v>
      </c>
      <c r="X47" s="719">
        <v>1.2</v>
      </c>
      <c r="Y47" s="719"/>
      <c r="Z47" s="719">
        <v>0.45</v>
      </c>
      <c r="AA47" s="719"/>
      <c r="AB47" s="719"/>
      <c r="AC47" s="719"/>
      <c r="AD47" s="719" t="s">
        <v>2612</v>
      </c>
      <c r="AE47" s="719"/>
      <c r="AF47" s="719">
        <v>200</v>
      </c>
      <c r="AG47" s="1341">
        <v>31574.98</v>
      </c>
      <c r="AH47" s="719">
        <v>1454</v>
      </c>
      <c r="AI47" s="719">
        <v>-4920</v>
      </c>
      <c r="AJ47" s="719"/>
      <c r="AK47" s="719"/>
      <c r="AL47" s="719"/>
      <c r="AM47" s="719" t="s">
        <v>2608</v>
      </c>
      <c r="AN47" s="719">
        <v>5.25</v>
      </c>
      <c r="AO47" s="719"/>
      <c r="AP47" s="719"/>
      <c r="AQ47" s="724"/>
      <c r="AR47" s="724"/>
      <c r="AS47" s="724"/>
      <c r="AT47" s="724">
        <f>+ab($U$47,$T$45,$U$49,$G$46,$G$48,-1*$F$47,1200)</f>
        <v>-11.145107873316856</v>
      </c>
      <c r="AU47" s="724"/>
      <c r="AV47" s="724"/>
      <c r="AW47" s="719"/>
      <c r="AX47" s="719"/>
      <c r="AY47" s="719"/>
      <c r="BB47" s="1284" t="s">
        <v>1087</v>
      </c>
      <c r="BC47" s="1285" t="s">
        <v>1046</v>
      </c>
      <c r="BD47" s="1301"/>
      <c r="BE47" s="1284" t="s">
        <v>1053</v>
      </c>
      <c r="BF47" s="1285" t="s">
        <v>1013</v>
      </c>
    </row>
    <row r="48" spans="1:64" ht="15.75" hidden="1" customHeight="1">
      <c r="A48" s="716"/>
      <c r="B48" s="717"/>
      <c r="C48" s="718"/>
      <c r="D48" s="719"/>
      <c r="E48" s="719"/>
      <c r="F48" s="720"/>
      <c r="G48" s="721">
        <v>50</v>
      </c>
      <c r="H48" s="719"/>
      <c r="I48" s="726"/>
      <c r="J48" s="723"/>
      <c r="K48" s="719"/>
      <c r="L48" s="719"/>
      <c r="M48" s="730"/>
      <c r="N48" s="726"/>
      <c r="O48" s="726"/>
      <c r="P48" s="726"/>
      <c r="Q48" s="719">
        <v>0</v>
      </c>
      <c r="R48" s="719">
        <v>0</v>
      </c>
      <c r="S48" s="719">
        <f t="shared" ref="S48" si="15">AG49-AG47</f>
        <v>50.080000000001746</v>
      </c>
      <c r="T48" s="719"/>
      <c r="U48" s="719"/>
      <c r="V48" s="719"/>
      <c r="W48" s="719"/>
      <c r="X48" s="719"/>
      <c r="Y48" s="719"/>
      <c r="Z48" s="719"/>
      <c r="AA48" s="719"/>
      <c r="AB48" s="719"/>
      <c r="AC48" s="719"/>
      <c r="AD48" s="719"/>
      <c r="AE48" s="719"/>
      <c r="AF48" s="719">
        <v>300</v>
      </c>
      <c r="AG48" s="1341">
        <v>31576.48</v>
      </c>
      <c r="AH48" s="719">
        <v>1394</v>
      </c>
      <c r="AI48" s="719">
        <v>-4943</v>
      </c>
      <c r="AJ48" s="719"/>
      <c r="AK48" s="719"/>
      <c r="AL48" s="719"/>
      <c r="AM48" s="719"/>
      <c r="AN48" s="719"/>
      <c r="AO48" s="719"/>
      <c r="AP48" s="719"/>
      <c r="AQ48" s="724">
        <f>+FL_1($T$49,$U$47,$G$48,1200,9.28,-1*$F$49)</f>
        <v>0.30632183866666668</v>
      </c>
      <c r="AR48" s="724"/>
      <c r="AS48" s="724"/>
      <c r="AT48" s="724"/>
      <c r="AU48" s="724"/>
      <c r="AV48" s="724"/>
      <c r="AW48" s="719"/>
      <c r="AX48" s="719"/>
      <c r="AY48" s="719"/>
      <c r="BB48" s="1284" t="s">
        <v>2644</v>
      </c>
      <c r="BC48" s="1285" t="s">
        <v>2645</v>
      </c>
      <c r="BD48" s="1301"/>
      <c r="BE48" s="1284" t="s">
        <v>1054</v>
      </c>
      <c r="BF48" s="1285" t="s">
        <v>1007</v>
      </c>
    </row>
    <row r="49" spans="1:58" ht="15.75" hidden="1" customHeight="1">
      <c r="A49" s="716" t="s">
        <v>676</v>
      </c>
      <c r="B49" s="725" t="s">
        <v>1322</v>
      </c>
      <c r="C49" s="718">
        <f>+$C$47+$G$48</f>
        <v>31625</v>
      </c>
      <c r="D49" s="719"/>
      <c r="E49" s="719"/>
      <c r="F49" s="720">
        <v>0</v>
      </c>
      <c r="G49" s="721"/>
      <c r="H49" s="719" t="s">
        <v>668</v>
      </c>
      <c r="I49" s="726"/>
      <c r="J49" s="723"/>
      <c r="K49" s="719"/>
      <c r="L49" s="719" t="s">
        <v>465</v>
      </c>
      <c r="M49" s="730"/>
      <c r="N49" s="726" t="s">
        <v>696</v>
      </c>
      <c r="O49" s="726" t="s">
        <v>697</v>
      </c>
      <c r="P49" s="726"/>
      <c r="Q49" s="719">
        <v>0</v>
      </c>
      <c r="R49" s="719">
        <v>0</v>
      </c>
      <c r="S49" s="719">
        <f>AG50-AG49</f>
        <v>1.4899999999979627</v>
      </c>
      <c r="T49" s="719">
        <v>25</v>
      </c>
      <c r="U49" s="719">
        <v>5</v>
      </c>
      <c r="V49" s="719"/>
      <c r="W49" s="719">
        <v>1.1000000000000001</v>
      </c>
      <c r="X49" s="719">
        <v>1.2</v>
      </c>
      <c r="Y49" s="719"/>
      <c r="Z49" s="719"/>
      <c r="AA49" s="719">
        <v>0.45</v>
      </c>
      <c r="AB49" s="719"/>
      <c r="AC49" s="719" t="s">
        <v>2612</v>
      </c>
      <c r="AD49" s="719"/>
      <c r="AE49" s="719"/>
      <c r="AF49" s="719">
        <v>200</v>
      </c>
      <c r="AG49" s="1341">
        <v>31625.06</v>
      </c>
      <c r="AH49" s="719">
        <v>1411</v>
      </c>
      <c r="AI49" s="719">
        <v>-4933</v>
      </c>
      <c r="AJ49" s="719"/>
      <c r="AK49" s="719"/>
      <c r="AL49" s="719"/>
      <c r="AM49" s="719" t="s">
        <v>2608</v>
      </c>
      <c r="AN49" s="719">
        <v>5.25</v>
      </c>
      <c r="AO49" s="719"/>
      <c r="AP49" s="719"/>
      <c r="AQ49" s="724"/>
      <c r="AR49" s="724"/>
      <c r="AS49" s="724"/>
      <c r="AT49" s="724">
        <f>+ab($T$49,$T$47,$T$51,$G$48,$G$50,-1*$F$49,1200)</f>
        <v>11.14504395531122</v>
      </c>
      <c r="AU49" s="724"/>
      <c r="AV49" s="724"/>
      <c r="AW49" s="719"/>
      <c r="AX49" s="719"/>
      <c r="AY49" s="719"/>
      <c r="BB49" s="1284"/>
      <c r="BC49" s="1285"/>
      <c r="BD49" s="1301"/>
      <c r="BE49" s="1284" t="s">
        <v>1055</v>
      </c>
      <c r="BF49" s="1285" t="s">
        <v>1049</v>
      </c>
    </row>
    <row r="50" spans="1:58" ht="15.75" hidden="1" customHeight="1">
      <c r="A50" s="716"/>
      <c r="B50" s="717"/>
      <c r="C50" s="718"/>
      <c r="D50" s="719"/>
      <c r="E50" s="719"/>
      <c r="F50" s="720"/>
      <c r="G50" s="721">
        <v>50</v>
      </c>
      <c r="H50" s="719"/>
      <c r="I50" s="726"/>
      <c r="J50" s="723">
        <v>31664.93</v>
      </c>
      <c r="K50" s="719" t="s">
        <v>1097</v>
      </c>
      <c r="L50" s="719"/>
      <c r="M50" s="730"/>
      <c r="N50" s="726"/>
      <c r="O50" s="726"/>
      <c r="P50" s="726"/>
      <c r="Q50" s="719">
        <v>0</v>
      </c>
      <c r="R50" s="719">
        <v>0</v>
      </c>
      <c r="S50" s="719">
        <f>AG51-AG49</f>
        <v>50.029999999998836</v>
      </c>
      <c r="T50" s="719"/>
      <c r="U50" s="719"/>
      <c r="V50" s="719"/>
      <c r="W50" s="719"/>
      <c r="X50" s="719"/>
      <c r="Y50" s="719"/>
      <c r="Z50" s="719"/>
      <c r="AA50" s="719"/>
      <c r="AB50" s="719"/>
      <c r="AC50" s="719"/>
      <c r="AD50" s="719"/>
      <c r="AE50" s="719"/>
      <c r="AF50" s="719">
        <v>200</v>
      </c>
      <c r="AG50" s="1341">
        <v>31626.55</v>
      </c>
      <c r="AH50" s="719">
        <v>1322</v>
      </c>
      <c r="AI50" s="719">
        <v>-4974</v>
      </c>
      <c r="AJ50" s="719"/>
      <c r="AK50" s="719"/>
      <c r="AL50" s="719"/>
      <c r="AM50" s="719"/>
      <c r="AN50" s="719"/>
      <c r="AO50" s="719"/>
      <c r="AP50" s="719"/>
      <c r="AQ50" s="724">
        <f>+FL_1($T$51,$T$49,$G$50,1200,9.28,-1*$F$51)</f>
        <v>0.29489941866666669</v>
      </c>
      <c r="AR50" s="724"/>
      <c r="AS50" s="724"/>
      <c r="AT50" s="724"/>
      <c r="AU50" s="724"/>
      <c r="AV50" s="724"/>
      <c r="AW50" s="719"/>
      <c r="AX50" s="719"/>
      <c r="AY50" s="719"/>
      <c r="BB50" s="1286" t="s">
        <v>1041</v>
      </c>
      <c r="BC50" s="1287"/>
      <c r="BD50" s="1301"/>
      <c r="BE50" s="1284" t="s">
        <v>1056</v>
      </c>
      <c r="BF50" s="1285" t="s">
        <v>1012</v>
      </c>
    </row>
    <row r="51" spans="1:58" ht="15.75" hidden="1" customHeight="1">
      <c r="A51" s="716" t="s">
        <v>676</v>
      </c>
      <c r="B51" s="725" t="s">
        <v>1323</v>
      </c>
      <c r="C51" s="718">
        <f>+$C$49+$G$50</f>
        <v>31675</v>
      </c>
      <c r="D51" s="719"/>
      <c r="E51" s="719"/>
      <c r="F51" s="720">
        <v>0</v>
      </c>
      <c r="G51" s="721"/>
      <c r="H51" s="719" t="s">
        <v>138</v>
      </c>
      <c r="I51" s="726" t="s">
        <v>948</v>
      </c>
      <c r="J51" s="723"/>
      <c r="K51" s="719"/>
      <c r="L51" s="719" t="s">
        <v>241</v>
      </c>
      <c r="M51" s="730"/>
      <c r="N51" s="726" t="s">
        <v>695</v>
      </c>
      <c r="O51" s="726"/>
      <c r="P51" s="726"/>
      <c r="Q51" s="719">
        <v>0</v>
      </c>
      <c r="R51" s="719">
        <v>0</v>
      </c>
      <c r="S51" s="719"/>
      <c r="T51" s="719">
        <v>-30</v>
      </c>
      <c r="U51" s="719"/>
      <c r="V51" s="719"/>
      <c r="W51" s="719">
        <v>1.1000000000000001</v>
      </c>
      <c r="X51" s="719"/>
      <c r="Y51" s="719"/>
      <c r="Z51" s="719"/>
      <c r="AA51" s="719"/>
      <c r="AB51" s="719"/>
      <c r="AC51" s="719" t="s">
        <v>2977</v>
      </c>
      <c r="AD51" s="719"/>
      <c r="AE51" s="719"/>
      <c r="AF51" s="719">
        <v>250</v>
      </c>
      <c r="AG51" s="1341">
        <v>31675.09</v>
      </c>
      <c r="AH51" s="719">
        <v>1391</v>
      </c>
      <c r="AI51" s="719">
        <v>-4991</v>
      </c>
      <c r="AJ51" s="719"/>
      <c r="AK51" s="719"/>
      <c r="AL51" s="719"/>
      <c r="AM51" s="719" t="s">
        <v>2608</v>
      </c>
      <c r="AN51" s="719">
        <v>5.25</v>
      </c>
      <c r="AO51" s="719"/>
      <c r="AP51" s="719"/>
      <c r="AQ51" s="724"/>
      <c r="AR51" s="724"/>
      <c r="AS51" s="724"/>
      <c r="AT51" s="724">
        <f>+ab($T$51,$T$49,$T$53,$G$50,$G$52,-1*$F$51,1200)</f>
        <v>-8.2849467556123688</v>
      </c>
      <c r="AU51" s="724"/>
      <c r="AV51" s="724"/>
      <c r="AW51" s="719"/>
      <c r="AX51" s="719"/>
      <c r="AY51" s="719"/>
      <c r="BB51" s="1284" t="s">
        <v>1088</v>
      </c>
      <c r="BC51" s="1285"/>
      <c r="BD51" s="1301"/>
      <c r="BE51" s="1284"/>
      <c r="BF51" s="1285"/>
    </row>
    <row r="52" spans="1:58" ht="15.75" hidden="1" customHeight="1">
      <c r="A52" s="716"/>
      <c r="B52" s="717"/>
      <c r="C52" s="718"/>
      <c r="D52" s="719"/>
      <c r="E52" s="719"/>
      <c r="F52" s="720"/>
      <c r="G52" s="721">
        <v>50</v>
      </c>
      <c r="H52" s="719"/>
      <c r="I52" s="726"/>
      <c r="J52" s="723"/>
      <c r="K52" s="719"/>
      <c r="L52" s="719"/>
      <c r="M52" s="730"/>
      <c r="N52" s="726"/>
      <c r="O52" s="726"/>
      <c r="P52" s="726"/>
      <c r="Q52" s="719"/>
      <c r="R52" s="719"/>
      <c r="S52" s="719">
        <f>AG53-AG51</f>
        <v>49.909999999999854</v>
      </c>
      <c r="T52" s="719"/>
      <c r="U52" s="719"/>
      <c r="V52" s="719"/>
      <c r="W52" s="719"/>
      <c r="X52" s="719"/>
      <c r="Y52" s="719"/>
      <c r="Z52" s="719"/>
      <c r="AA52" s="719"/>
      <c r="AB52" s="719"/>
      <c r="AC52" s="719"/>
      <c r="AD52" s="719"/>
      <c r="AE52" s="719"/>
      <c r="AF52" s="719"/>
      <c r="AG52" s="1341" t="s">
        <v>723</v>
      </c>
      <c r="AH52" s="719" t="s">
        <v>723</v>
      </c>
      <c r="AI52" s="719" t="s">
        <v>723</v>
      </c>
      <c r="AJ52" s="719"/>
      <c r="AK52" s="719"/>
      <c r="AL52" s="719"/>
      <c r="AM52" s="719"/>
      <c r="AN52" s="719"/>
      <c r="AO52" s="719"/>
      <c r="AP52" s="719"/>
      <c r="AQ52" s="724">
        <f>+FL_1($T$53,$T$51,$G$52,1200,9.28,-1*$F$53)</f>
        <v>0.33477011200000001</v>
      </c>
      <c r="AR52" s="724"/>
      <c r="AS52" s="724"/>
      <c r="AT52" s="724"/>
      <c r="AU52" s="724"/>
      <c r="AV52" s="724"/>
      <c r="AW52" s="719"/>
      <c r="AX52" s="719"/>
      <c r="AY52" s="719"/>
      <c r="BB52" s="1284" t="s">
        <v>3030</v>
      </c>
      <c r="BC52" s="1285" t="s">
        <v>3055</v>
      </c>
      <c r="BD52" s="1301"/>
      <c r="BE52" s="1286" t="s">
        <v>1057</v>
      </c>
      <c r="BF52" s="1287"/>
    </row>
    <row r="53" spans="1:58" ht="15.75" hidden="1" customHeight="1">
      <c r="A53" s="716" t="s">
        <v>676</v>
      </c>
      <c r="B53" s="725" t="s">
        <v>1324</v>
      </c>
      <c r="C53" s="718">
        <f>+$C$51+$G$52</f>
        <v>31725</v>
      </c>
      <c r="D53" s="719"/>
      <c r="E53" s="719"/>
      <c r="F53" s="720">
        <v>0</v>
      </c>
      <c r="G53" s="721"/>
      <c r="H53" s="719"/>
      <c r="I53" s="726"/>
      <c r="J53" s="723"/>
      <c r="K53" s="719"/>
      <c r="L53" s="719" t="s">
        <v>241</v>
      </c>
      <c r="M53" s="730"/>
      <c r="N53" s="726" t="s">
        <v>696</v>
      </c>
      <c r="O53" s="726"/>
      <c r="P53" s="726"/>
      <c r="Q53" s="719">
        <v>0</v>
      </c>
      <c r="R53" s="719">
        <v>0</v>
      </c>
      <c r="S53" s="719"/>
      <c r="T53" s="719">
        <v>30</v>
      </c>
      <c r="U53" s="719"/>
      <c r="V53" s="719"/>
      <c r="W53" s="719">
        <v>1.1000000000000001</v>
      </c>
      <c r="X53" s="719"/>
      <c r="Y53" s="719"/>
      <c r="Z53" s="719"/>
      <c r="AA53" s="719"/>
      <c r="AB53" s="719"/>
      <c r="AC53" s="719" t="s">
        <v>2977</v>
      </c>
      <c r="AD53" s="719"/>
      <c r="AE53" s="719"/>
      <c r="AF53" s="719">
        <v>200</v>
      </c>
      <c r="AG53" s="1341">
        <v>31725</v>
      </c>
      <c r="AH53" s="719">
        <v>1521</v>
      </c>
      <c r="AI53" s="719">
        <v>-4967</v>
      </c>
      <c r="AJ53" s="719"/>
      <c r="AK53" s="719"/>
      <c r="AL53" s="719"/>
      <c r="AM53" s="719" t="s">
        <v>2608</v>
      </c>
      <c r="AN53" s="719">
        <v>5.25</v>
      </c>
      <c r="AO53" s="719"/>
      <c r="AP53" s="719"/>
      <c r="AQ53" s="724"/>
      <c r="AR53" s="724"/>
      <c r="AS53" s="724"/>
      <c r="AT53" s="724">
        <f>+ab($T$53,$T$51,$T$55,$G$52,$G$54,-1*$F$53,1200)</f>
        <v>7.9442083933778509</v>
      </c>
      <c r="AU53" s="724"/>
      <c r="AV53" s="724"/>
      <c r="AW53" s="719"/>
      <c r="AX53" s="719"/>
      <c r="AY53" s="719"/>
      <c r="BB53" s="1284" t="s">
        <v>1089</v>
      </c>
      <c r="BC53" s="1285"/>
      <c r="BD53" s="1301"/>
      <c r="BE53" s="1284" t="s">
        <v>1058</v>
      </c>
      <c r="BF53" s="1285" t="s">
        <v>1043</v>
      </c>
    </row>
    <row r="54" spans="1:58" ht="15.75" hidden="1" customHeight="1">
      <c r="A54" s="716"/>
      <c r="B54" s="717"/>
      <c r="C54" s="718"/>
      <c r="D54" s="719"/>
      <c r="E54" s="719"/>
      <c r="F54" s="720"/>
      <c r="G54" s="721">
        <v>50</v>
      </c>
      <c r="H54" s="719"/>
      <c r="I54" s="726"/>
      <c r="J54" s="723"/>
      <c r="K54" s="719"/>
      <c r="L54" s="719"/>
      <c r="M54" s="730"/>
      <c r="N54" s="726"/>
      <c r="O54" s="726"/>
      <c r="P54" s="726"/>
      <c r="Q54" s="719"/>
      <c r="R54" s="719"/>
      <c r="S54" s="719">
        <f t="shared" ref="S54" si="16">AG55-AG53</f>
        <v>49.580000000001746</v>
      </c>
      <c r="T54" s="719"/>
      <c r="U54" s="719"/>
      <c r="V54" s="719"/>
      <c r="W54" s="719"/>
      <c r="X54" s="719"/>
      <c r="Y54" s="719"/>
      <c r="Z54" s="719"/>
      <c r="AA54" s="719"/>
      <c r="AB54" s="719"/>
      <c r="AC54" s="719"/>
      <c r="AD54" s="719"/>
      <c r="AE54" s="719"/>
      <c r="AF54" s="719"/>
      <c r="AG54" s="1341" t="s">
        <v>723</v>
      </c>
      <c r="AH54" s="719" t="s">
        <v>723</v>
      </c>
      <c r="AI54" s="719" t="s">
        <v>723</v>
      </c>
      <c r="AJ54" s="719"/>
      <c r="AK54" s="719"/>
      <c r="AL54" s="719"/>
      <c r="AM54" s="719"/>
      <c r="AN54" s="719"/>
      <c r="AO54" s="719"/>
      <c r="AP54" s="719"/>
      <c r="AQ54" s="724">
        <f>+FL_2($T$55,$T$53,$G$54,1200,9.28,-1*$F$55)</f>
        <v>-0.33477011200000001</v>
      </c>
      <c r="AR54" s="724"/>
      <c r="AS54" s="724"/>
      <c r="AT54" s="724"/>
      <c r="AU54" s="724"/>
      <c r="AV54" s="724"/>
      <c r="AW54" s="719"/>
      <c r="AX54" s="719"/>
      <c r="AY54" s="719"/>
      <c r="BB54" s="1284" t="s">
        <v>3030</v>
      </c>
      <c r="BC54" s="1285" t="s">
        <v>3056</v>
      </c>
      <c r="BD54" s="1301"/>
      <c r="BE54" s="1284" t="s">
        <v>1059</v>
      </c>
      <c r="BF54" s="1285" t="s">
        <v>3057</v>
      </c>
    </row>
    <row r="55" spans="1:58" ht="15.75" hidden="1" customHeight="1">
      <c r="A55" s="716" t="s">
        <v>676</v>
      </c>
      <c r="B55" s="725" t="s">
        <v>1325</v>
      </c>
      <c r="C55" s="718">
        <f>+$C$53+$G$54</f>
        <v>31775</v>
      </c>
      <c r="D55" s="719"/>
      <c r="E55" s="719"/>
      <c r="F55" s="720">
        <v>0</v>
      </c>
      <c r="G55" s="721"/>
      <c r="H55" s="719"/>
      <c r="I55" s="726"/>
      <c r="J55" s="723"/>
      <c r="K55" s="719"/>
      <c r="L55" s="719" t="s">
        <v>241</v>
      </c>
      <c r="M55" s="730"/>
      <c r="N55" s="726" t="s">
        <v>695</v>
      </c>
      <c r="O55" s="726"/>
      <c r="P55" s="726"/>
      <c r="Q55" s="719">
        <v>0</v>
      </c>
      <c r="R55" s="719">
        <v>0</v>
      </c>
      <c r="S55" s="719"/>
      <c r="T55" s="719">
        <v>-30</v>
      </c>
      <c r="U55" s="719"/>
      <c r="V55" s="719"/>
      <c r="W55" s="719">
        <v>1.1000000000000001</v>
      </c>
      <c r="X55" s="719"/>
      <c r="Y55" s="719"/>
      <c r="Z55" s="719"/>
      <c r="AA55" s="719"/>
      <c r="AB55" s="719"/>
      <c r="AC55" s="719" t="s">
        <v>2977</v>
      </c>
      <c r="AD55" s="719"/>
      <c r="AE55" s="719"/>
      <c r="AF55" s="719">
        <v>200</v>
      </c>
      <c r="AG55" s="1341">
        <v>31774.58</v>
      </c>
      <c r="AH55" s="719">
        <v>1473</v>
      </c>
      <c r="AI55" s="719">
        <v>-4966</v>
      </c>
      <c r="AJ55" s="719"/>
      <c r="AK55" s="719"/>
      <c r="AL55" s="719"/>
      <c r="AM55" s="719" t="s">
        <v>2608</v>
      </c>
      <c r="AN55" s="719">
        <v>5.25</v>
      </c>
      <c r="AO55" s="719"/>
      <c r="AP55" s="719"/>
      <c r="AQ55" s="724"/>
      <c r="AR55" s="724"/>
      <c r="AS55" s="724"/>
      <c r="AT55" s="724">
        <f>+ab($T$55,$T$53,$T$57,$G$54,$G$56,-1*$F$55,1200)</f>
        <v>-7.9442410717051439</v>
      </c>
      <c r="AU55" s="724"/>
      <c r="AV55" s="724"/>
      <c r="AW55" s="719"/>
      <c r="AX55" s="719"/>
      <c r="AY55" s="719"/>
      <c r="BB55" s="1284" t="s">
        <v>1091</v>
      </c>
      <c r="BC55" s="1285" t="s">
        <v>671</v>
      </c>
      <c r="BD55" s="1279"/>
      <c r="BE55" s="1284" t="s">
        <v>1060</v>
      </c>
      <c r="BF55" s="1285" t="s">
        <v>3058</v>
      </c>
    </row>
    <row r="56" spans="1:58" ht="15.75" hidden="1" customHeight="1">
      <c r="A56" s="716"/>
      <c r="B56" s="717"/>
      <c r="C56" s="718"/>
      <c r="D56" s="719"/>
      <c r="E56" s="719"/>
      <c r="F56" s="720"/>
      <c r="G56" s="721">
        <v>50</v>
      </c>
      <c r="H56" s="719"/>
      <c r="I56" s="726"/>
      <c r="J56" s="723"/>
      <c r="K56" s="719"/>
      <c r="L56" s="719"/>
      <c r="M56" s="730"/>
      <c r="N56" s="726"/>
      <c r="O56" s="726"/>
      <c r="P56" s="726"/>
      <c r="Q56" s="719"/>
      <c r="R56" s="719"/>
      <c r="S56" s="719">
        <f t="shared" ref="S56" si="17">AG57-AG55</f>
        <v>50.509999999998399</v>
      </c>
      <c r="T56" s="719"/>
      <c r="U56" s="719"/>
      <c r="V56" s="719"/>
      <c r="W56" s="719"/>
      <c r="X56" s="719"/>
      <c r="Y56" s="719"/>
      <c r="Z56" s="719"/>
      <c r="AA56" s="719"/>
      <c r="AB56" s="719"/>
      <c r="AC56" s="719"/>
      <c r="AD56" s="719"/>
      <c r="AE56" s="719"/>
      <c r="AF56" s="719"/>
      <c r="AG56" s="1341" t="s">
        <v>723</v>
      </c>
      <c r="AH56" s="719" t="s">
        <v>723</v>
      </c>
      <c r="AI56" s="719" t="s">
        <v>723</v>
      </c>
      <c r="AJ56" s="719"/>
      <c r="AK56" s="719"/>
      <c r="AL56" s="719"/>
      <c r="AM56" s="719"/>
      <c r="AN56" s="719"/>
      <c r="AO56" s="719"/>
      <c r="AP56" s="719"/>
      <c r="AQ56" s="724">
        <f>+FL_1($T$57,$T$55,$G$56,1200,9.28,-1*$F$57)</f>
        <v>0.33477011200000001</v>
      </c>
      <c r="AR56" s="724"/>
      <c r="AS56" s="724"/>
      <c r="AT56" s="724"/>
      <c r="AU56" s="724"/>
      <c r="AV56" s="724"/>
      <c r="AW56" s="719"/>
      <c r="AX56" s="719"/>
      <c r="AY56" s="719"/>
      <c r="BB56" s="1284" t="s">
        <v>1090</v>
      </c>
      <c r="BC56" s="1285" t="s">
        <v>678</v>
      </c>
      <c r="BD56" s="1279"/>
      <c r="BE56" s="1284" t="s">
        <v>1061</v>
      </c>
      <c r="BF56" s="1285" t="s">
        <v>141</v>
      </c>
    </row>
    <row r="57" spans="1:58" ht="15.75" hidden="1" customHeight="1">
      <c r="A57" s="716" t="s">
        <v>676</v>
      </c>
      <c r="B57" s="725" t="s">
        <v>1326</v>
      </c>
      <c r="C57" s="718">
        <f>+$C$55+$G$56</f>
        <v>31825</v>
      </c>
      <c r="D57" s="719"/>
      <c r="E57" s="719"/>
      <c r="F57" s="720">
        <v>0</v>
      </c>
      <c r="G57" s="721"/>
      <c r="H57" s="719"/>
      <c r="I57" s="722"/>
      <c r="J57" s="723"/>
      <c r="K57" s="719"/>
      <c r="L57" s="719" t="s">
        <v>241</v>
      </c>
      <c r="M57" s="719"/>
      <c r="N57" s="719" t="s">
        <v>696</v>
      </c>
      <c r="O57" s="719"/>
      <c r="P57" s="719"/>
      <c r="Q57" s="719">
        <v>0</v>
      </c>
      <c r="R57" s="719">
        <v>0</v>
      </c>
      <c r="S57" s="719"/>
      <c r="T57" s="719">
        <v>30</v>
      </c>
      <c r="U57" s="719"/>
      <c r="V57" s="719"/>
      <c r="W57" s="719">
        <v>1.1000000000000001</v>
      </c>
      <c r="X57" s="719"/>
      <c r="Y57" s="719"/>
      <c r="Z57" s="719"/>
      <c r="AA57" s="719"/>
      <c r="AB57" s="719"/>
      <c r="AC57" s="719" t="s">
        <v>2977</v>
      </c>
      <c r="AD57" s="719"/>
      <c r="AE57" s="719"/>
      <c r="AF57" s="719">
        <v>200</v>
      </c>
      <c r="AG57" s="1341">
        <v>31825.09</v>
      </c>
      <c r="AH57" s="719">
        <v>1495</v>
      </c>
      <c r="AI57" s="719">
        <v>-4957</v>
      </c>
      <c r="AJ57" s="719"/>
      <c r="AK57" s="719"/>
      <c r="AL57" s="719"/>
      <c r="AM57" s="719" t="s">
        <v>2608</v>
      </c>
      <c r="AN57" s="719">
        <v>5.25</v>
      </c>
      <c r="AO57" s="719"/>
      <c r="AP57" s="719"/>
      <c r="AQ57" s="724"/>
      <c r="AR57" s="724"/>
      <c r="AS57" s="724"/>
      <c r="AT57" s="724">
        <f>+ab($T$57,$T$55,$T$59,$G$56,$G$58,-1*$F$57,1200)</f>
        <v>7.9442083933778509</v>
      </c>
      <c r="AU57" s="724"/>
      <c r="AV57" s="724"/>
      <c r="AW57" s="719"/>
      <c r="AX57" s="719"/>
      <c r="AY57" s="719"/>
      <c r="BB57" s="1284" t="s">
        <v>3059</v>
      </c>
      <c r="BC57" s="1285" t="s">
        <v>3060</v>
      </c>
      <c r="BD57" s="1279"/>
      <c r="BE57" s="1302"/>
      <c r="BF57" s="1303"/>
    </row>
    <row r="58" spans="1:58" ht="15.75" hidden="1" customHeight="1">
      <c r="A58" s="716"/>
      <c r="B58" s="717"/>
      <c r="C58" s="718"/>
      <c r="D58" s="719"/>
      <c r="E58" s="719"/>
      <c r="F58" s="720"/>
      <c r="G58" s="721">
        <v>50</v>
      </c>
      <c r="H58" s="719"/>
      <c r="I58" s="722"/>
      <c r="J58" s="723"/>
      <c r="K58" s="719"/>
      <c r="L58" s="719"/>
      <c r="M58" s="719"/>
      <c r="N58" s="726"/>
      <c r="O58" s="719"/>
      <c r="P58" s="719"/>
      <c r="Q58" s="719"/>
      <c r="R58" s="719"/>
      <c r="S58" s="719">
        <f t="shared" ref="S58" si="18">AG59-AG57</f>
        <v>49.869999999998981</v>
      </c>
      <c r="T58" s="719"/>
      <c r="U58" s="719"/>
      <c r="V58" s="719"/>
      <c r="W58" s="719"/>
      <c r="X58" s="719"/>
      <c r="Y58" s="719"/>
      <c r="Z58" s="719"/>
      <c r="AA58" s="719"/>
      <c r="AB58" s="719"/>
      <c r="AC58" s="719"/>
      <c r="AD58" s="719"/>
      <c r="AE58" s="719"/>
      <c r="AF58" s="719"/>
      <c r="AG58" s="1341" t="s">
        <v>723</v>
      </c>
      <c r="AH58" s="719" t="s">
        <v>723</v>
      </c>
      <c r="AI58" s="719" t="s">
        <v>723</v>
      </c>
      <c r="AJ58" s="719"/>
      <c r="AK58" s="719"/>
      <c r="AL58" s="719"/>
      <c r="AM58" s="719"/>
      <c r="AN58" s="719"/>
      <c r="AO58" s="719"/>
      <c r="AP58" s="719"/>
      <c r="AQ58" s="724">
        <f>+FL_2($T$59,$T$57,$G$58,1200,9.28,-1*$F$59)</f>
        <v>-0.33477011200000001</v>
      </c>
      <c r="AR58" s="724"/>
      <c r="AS58" s="724"/>
      <c r="AT58" s="724"/>
      <c r="AU58" s="724"/>
      <c r="AV58" s="724"/>
      <c r="AW58" s="719"/>
      <c r="AX58" s="719"/>
      <c r="AY58" s="719"/>
      <c r="BB58" s="1284" t="s">
        <v>3061</v>
      </c>
      <c r="BC58" s="1285" t="s">
        <v>3062</v>
      </c>
      <c r="BD58" s="1279"/>
      <c r="BE58" s="1286" t="s">
        <v>692</v>
      </c>
      <c r="BF58" s="1287"/>
    </row>
    <row r="59" spans="1:58" ht="15.75" hidden="1" customHeight="1">
      <c r="A59" s="716" t="s">
        <v>676</v>
      </c>
      <c r="B59" s="725" t="s">
        <v>1327</v>
      </c>
      <c r="C59" s="718">
        <f>+$C$57+$G$58</f>
        <v>31875</v>
      </c>
      <c r="D59" s="719"/>
      <c r="E59" s="719"/>
      <c r="F59" s="720">
        <v>0</v>
      </c>
      <c r="G59" s="721"/>
      <c r="H59" s="726"/>
      <c r="I59" s="722"/>
      <c r="J59" s="723"/>
      <c r="K59" s="719"/>
      <c r="L59" s="719" t="s">
        <v>241</v>
      </c>
      <c r="M59" s="719"/>
      <c r="N59" s="726" t="s">
        <v>695</v>
      </c>
      <c r="O59" s="726"/>
      <c r="P59" s="719"/>
      <c r="Q59" s="719">
        <v>0</v>
      </c>
      <c r="R59" s="719">
        <v>0</v>
      </c>
      <c r="S59" s="719"/>
      <c r="T59" s="719">
        <v>-30</v>
      </c>
      <c r="U59" s="719"/>
      <c r="V59" s="719"/>
      <c r="W59" s="719">
        <v>1.1000000000000001</v>
      </c>
      <c r="X59" s="719"/>
      <c r="Y59" s="719"/>
      <c r="Z59" s="719"/>
      <c r="AA59" s="719"/>
      <c r="AB59" s="719"/>
      <c r="AC59" s="719" t="s">
        <v>2977</v>
      </c>
      <c r="AD59" s="719"/>
      <c r="AE59" s="719"/>
      <c r="AF59" s="719">
        <v>200</v>
      </c>
      <c r="AG59" s="1341">
        <v>31874.959999999999</v>
      </c>
      <c r="AH59" s="719">
        <v>1491</v>
      </c>
      <c r="AI59" s="719">
        <v>-4955</v>
      </c>
      <c r="AJ59" s="719"/>
      <c r="AK59" s="719"/>
      <c r="AL59" s="719"/>
      <c r="AM59" s="719" t="s">
        <v>2608</v>
      </c>
      <c r="AN59" s="719">
        <v>5.25</v>
      </c>
      <c r="AO59" s="719"/>
      <c r="AP59" s="719"/>
      <c r="AQ59" s="724"/>
      <c r="AR59" s="724"/>
      <c r="AS59" s="724"/>
      <c r="AT59" s="724">
        <f>+ab($T$59,$T$57,$T$61,$G$58,$G$60,-1*$F$59,1200)</f>
        <v>-7.9442410717051439</v>
      </c>
      <c r="AU59" s="724"/>
      <c r="AV59" s="724"/>
      <c r="AW59" s="719"/>
      <c r="AX59" s="719"/>
      <c r="AY59" s="719"/>
      <c r="BB59" s="1284" t="s">
        <v>2471</v>
      </c>
      <c r="BC59" s="1285" t="s">
        <v>1097</v>
      </c>
      <c r="BD59" s="1279"/>
      <c r="BE59" s="1284" t="s">
        <v>2563</v>
      </c>
      <c r="BF59" s="1285" t="s">
        <v>2054</v>
      </c>
    </row>
    <row r="60" spans="1:58" ht="15.75" hidden="1" customHeight="1">
      <c r="A60" s="716"/>
      <c r="B60" s="717"/>
      <c r="C60" s="718"/>
      <c r="D60" s="719"/>
      <c r="E60" s="719"/>
      <c r="F60" s="720"/>
      <c r="G60" s="721">
        <v>50</v>
      </c>
      <c r="H60" s="726"/>
      <c r="I60" s="722"/>
      <c r="J60" s="723"/>
      <c r="K60" s="719"/>
      <c r="L60" s="719"/>
      <c r="M60" s="719"/>
      <c r="N60" s="726"/>
      <c r="O60" s="726"/>
      <c r="P60" s="719"/>
      <c r="Q60" s="719"/>
      <c r="R60" s="719"/>
      <c r="S60" s="719">
        <f t="shared" ref="S60" si="19">AG61-AG59</f>
        <v>50.06000000000131</v>
      </c>
      <c r="T60" s="719"/>
      <c r="U60" s="719"/>
      <c r="V60" s="719"/>
      <c r="W60" s="719"/>
      <c r="X60" s="719"/>
      <c r="Y60" s="719"/>
      <c r="Z60" s="719"/>
      <c r="AA60" s="719"/>
      <c r="AB60" s="719"/>
      <c r="AC60" s="719"/>
      <c r="AD60" s="719"/>
      <c r="AE60" s="719"/>
      <c r="AF60" s="719"/>
      <c r="AG60" s="1341" t="s">
        <v>723</v>
      </c>
      <c r="AH60" s="719" t="s">
        <v>723</v>
      </c>
      <c r="AI60" s="719" t="s">
        <v>723</v>
      </c>
      <c r="AJ60" s="719"/>
      <c r="AK60" s="719"/>
      <c r="AL60" s="719"/>
      <c r="AM60" s="719"/>
      <c r="AN60" s="719"/>
      <c r="AO60" s="719"/>
      <c r="AP60" s="719"/>
      <c r="AQ60" s="724">
        <f>+FL_1($T$61,$T$59,$G$60,1200,9.28,-1*$F$61)</f>
        <v>0.33477011200000001</v>
      </c>
      <c r="AR60" s="724"/>
      <c r="AS60" s="724"/>
      <c r="AT60" s="724"/>
      <c r="AU60" s="724"/>
      <c r="AV60" s="724"/>
      <c r="AW60" s="719"/>
      <c r="AX60" s="719"/>
      <c r="AY60" s="719"/>
      <c r="BB60" s="1284" t="s">
        <v>2470</v>
      </c>
      <c r="BC60" s="1285" t="s">
        <v>1102</v>
      </c>
      <c r="BD60" s="1279"/>
      <c r="BE60" s="1284" t="s">
        <v>2564</v>
      </c>
      <c r="BF60" s="1285" t="s">
        <v>2055</v>
      </c>
    </row>
    <row r="61" spans="1:58" ht="15.75" hidden="1" customHeight="1">
      <c r="A61" s="716" t="s">
        <v>676</v>
      </c>
      <c r="B61" s="725" t="s">
        <v>1328</v>
      </c>
      <c r="C61" s="718">
        <f>+$C$59+$G$60</f>
        <v>31925</v>
      </c>
      <c r="D61" s="719"/>
      <c r="E61" s="719"/>
      <c r="F61" s="720">
        <v>0</v>
      </c>
      <c r="G61" s="721"/>
      <c r="H61" s="726"/>
      <c r="I61" s="722"/>
      <c r="J61" s="723"/>
      <c r="K61" s="719"/>
      <c r="L61" s="719" t="s">
        <v>241</v>
      </c>
      <c r="M61" s="719"/>
      <c r="N61" s="726" t="s">
        <v>696</v>
      </c>
      <c r="O61" s="726"/>
      <c r="P61" s="719"/>
      <c r="Q61" s="719">
        <v>0</v>
      </c>
      <c r="R61" s="719">
        <v>0</v>
      </c>
      <c r="S61" s="719"/>
      <c r="T61" s="719">
        <v>30</v>
      </c>
      <c r="U61" s="719"/>
      <c r="V61" s="719"/>
      <c r="W61" s="719">
        <v>1.1000000000000001</v>
      </c>
      <c r="X61" s="719"/>
      <c r="Y61" s="719"/>
      <c r="Z61" s="719"/>
      <c r="AA61" s="719"/>
      <c r="AB61" s="719"/>
      <c r="AC61" s="719" t="s">
        <v>2977</v>
      </c>
      <c r="AD61" s="719"/>
      <c r="AE61" s="719"/>
      <c r="AF61" s="719">
        <v>200</v>
      </c>
      <c r="AG61" s="1341">
        <v>31925.02</v>
      </c>
      <c r="AH61" s="719">
        <v>1550</v>
      </c>
      <c r="AI61" s="719">
        <v>-4948</v>
      </c>
      <c r="AJ61" s="719"/>
      <c r="AK61" s="719"/>
      <c r="AL61" s="719"/>
      <c r="AM61" s="719" t="s">
        <v>2608</v>
      </c>
      <c r="AN61" s="719">
        <v>5.25</v>
      </c>
      <c r="AO61" s="719"/>
      <c r="AP61" s="719"/>
      <c r="AQ61" s="724"/>
      <c r="AR61" s="724"/>
      <c r="AS61" s="724"/>
      <c r="AT61" s="724">
        <f>+ab($T$61,$T$59,$T$63,$G$60,$G$62,-1*$F$61,1200)</f>
        <v>7.9442083933778509</v>
      </c>
      <c r="AU61" s="724"/>
      <c r="AV61" s="724"/>
      <c r="AW61" s="719"/>
      <c r="AX61" s="719"/>
      <c r="AY61" s="719"/>
      <c r="BB61" s="1284" t="s">
        <v>3063</v>
      </c>
      <c r="BC61" s="1285" t="s">
        <v>3064</v>
      </c>
      <c r="BD61" s="1279"/>
      <c r="BE61" s="1284" t="s">
        <v>2565</v>
      </c>
      <c r="BF61" s="1285" t="s">
        <v>2567</v>
      </c>
    </row>
    <row r="62" spans="1:58" ht="15.75" hidden="1" customHeight="1">
      <c r="A62" s="716"/>
      <c r="B62" s="717"/>
      <c r="C62" s="718"/>
      <c r="D62" s="719"/>
      <c r="E62" s="719"/>
      <c r="F62" s="720"/>
      <c r="G62" s="721">
        <v>50</v>
      </c>
      <c r="H62" s="726"/>
      <c r="I62" s="722"/>
      <c r="J62" s="723"/>
      <c r="K62" s="719"/>
      <c r="L62" s="719"/>
      <c r="M62" s="719"/>
      <c r="N62" s="726"/>
      <c r="O62" s="726"/>
      <c r="P62" s="719"/>
      <c r="Q62" s="719"/>
      <c r="R62" s="719"/>
      <c r="S62" s="719">
        <f t="shared" ref="S62" si="20">AG63-AG61</f>
        <v>50.009999999998399</v>
      </c>
      <c r="T62" s="719"/>
      <c r="U62" s="719"/>
      <c r="V62" s="719"/>
      <c r="W62" s="719"/>
      <c r="X62" s="719"/>
      <c r="Y62" s="719"/>
      <c r="Z62" s="719"/>
      <c r="AA62" s="719"/>
      <c r="AB62" s="719"/>
      <c r="AC62" s="719"/>
      <c r="AD62" s="719"/>
      <c r="AE62" s="719"/>
      <c r="AF62" s="719"/>
      <c r="AG62" s="1341" t="s">
        <v>723</v>
      </c>
      <c r="AH62" s="719" t="s">
        <v>723</v>
      </c>
      <c r="AI62" s="719" t="s">
        <v>723</v>
      </c>
      <c r="AJ62" s="719"/>
      <c r="AK62" s="719"/>
      <c r="AL62" s="719"/>
      <c r="AM62" s="719"/>
      <c r="AN62" s="719"/>
      <c r="AO62" s="719"/>
      <c r="AP62" s="719"/>
      <c r="AQ62" s="724">
        <f>+FL_2($T$63,$T$61,$G$62,1200,9.28,-1*$F$63)</f>
        <v>-0.33477011200000001</v>
      </c>
      <c r="AR62" s="724"/>
      <c r="AS62" s="724"/>
      <c r="AT62" s="724"/>
      <c r="AU62" s="724"/>
      <c r="AV62" s="724"/>
      <c r="AW62" s="719"/>
      <c r="AX62" s="719"/>
      <c r="AY62" s="719"/>
      <c r="BB62" s="1284" t="s">
        <v>3065</v>
      </c>
      <c r="BC62" s="1285" t="s">
        <v>3066</v>
      </c>
      <c r="BD62" s="1279"/>
      <c r="BE62" s="1284" t="s">
        <v>2566</v>
      </c>
      <c r="BF62" s="1285" t="s">
        <v>2568</v>
      </c>
    </row>
    <row r="63" spans="1:58" ht="15.75" customHeight="1" thickBot="1">
      <c r="A63" s="716" t="s">
        <v>676</v>
      </c>
      <c r="B63" s="725" t="s">
        <v>1329</v>
      </c>
      <c r="C63" s="718">
        <f>+$C$61+$G$62</f>
        <v>31975</v>
      </c>
      <c r="D63" s="719"/>
      <c r="E63" s="719"/>
      <c r="F63" s="720">
        <v>0</v>
      </c>
      <c r="G63" s="721"/>
      <c r="H63" s="726" t="s">
        <v>1101</v>
      </c>
      <c r="I63" s="722"/>
      <c r="J63" s="723"/>
      <c r="K63" s="719"/>
      <c r="L63" s="719" t="s">
        <v>241</v>
      </c>
      <c r="M63" s="719"/>
      <c r="N63" s="726" t="s">
        <v>695</v>
      </c>
      <c r="O63" s="726"/>
      <c r="P63" s="719"/>
      <c r="Q63" s="719">
        <v>0</v>
      </c>
      <c r="R63" s="719">
        <v>0</v>
      </c>
      <c r="S63" s="719"/>
      <c r="T63" s="719">
        <v>-30</v>
      </c>
      <c r="U63" s="719"/>
      <c r="V63" s="719"/>
      <c r="W63" s="719">
        <v>1.1000000000000001</v>
      </c>
      <c r="X63" s="719"/>
      <c r="Y63" s="719"/>
      <c r="Z63" s="719"/>
      <c r="AA63" s="719"/>
      <c r="AB63" s="719"/>
      <c r="AC63" s="719" t="s">
        <v>2977</v>
      </c>
      <c r="AD63" s="719"/>
      <c r="AE63" s="719"/>
      <c r="AF63" s="719">
        <v>200</v>
      </c>
      <c r="AG63" s="1341">
        <v>31975.03</v>
      </c>
      <c r="AH63" s="719">
        <v>1509</v>
      </c>
      <c r="AI63" s="719">
        <v>-4977</v>
      </c>
      <c r="AJ63" s="719"/>
      <c r="AK63" s="719"/>
      <c r="AL63" s="719"/>
      <c r="AM63" s="719" t="s">
        <v>2608</v>
      </c>
      <c r="AN63" s="719">
        <v>5.25</v>
      </c>
      <c r="AO63" s="719"/>
      <c r="AP63" s="719"/>
      <c r="AQ63" s="724"/>
      <c r="AR63" s="724"/>
      <c r="AS63" s="724"/>
      <c r="AT63" s="724">
        <f>+ab($T$63,$T$61,$T$65,$G$62,$G$64,-1*$F$63,1200)</f>
        <v>-7.9442410717051439</v>
      </c>
      <c r="AU63" s="724"/>
      <c r="AV63" s="724"/>
      <c r="AW63" s="719"/>
      <c r="AX63" s="719"/>
      <c r="AY63" s="719"/>
      <c r="BB63" s="1284" t="s">
        <v>2472</v>
      </c>
      <c r="BC63" s="1285" t="s">
        <v>2469</v>
      </c>
      <c r="BD63" s="1279"/>
      <c r="BE63" s="1304"/>
      <c r="BF63" s="1305"/>
    </row>
    <row r="64" spans="1:58" ht="15.75" hidden="1" customHeight="1">
      <c r="A64" s="716"/>
      <c r="B64" s="717"/>
      <c r="C64" s="718"/>
      <c r="D64" s="719"/>
      <c r="E64" s="719"/>
      <c r="F64" s="720"/>
      <c r="G64" s="721">
        <v>50</v>
      </c>
      <c r="H64" s="726"/>
      <c r="I64" s="722">
        <f>SUM(G46:G64)</f>
        <v>500</v>
      </c>
      <c r="J64" s="723">
        <v>31977</v>
      </c>
      <c r="K64" s="719" t="s">
        <v>1102</v>
      </c>
      <c r="L64" s="719"/>
      <c r="M64" s="719"/>
      <c r="N64" s="726"/>
      <c r="O64" s="726"/>
      <c r="P64" s="719"/>
      <c r="Q64" s="719"/>
      <c r="R64" s="719"/>
      <c r="S64" s="719">
        <f t="shared" ref="S64" si="21">AG65-AG63</f>
        <v>49.270000000000437</v>
      </c>
      <c r="T64" s="719"/>
      <c r="U64" s="719"/>
      <c r="V64" s="719"/>
      <c r="W64" s="719"/>
      <c r="X64" s="719"/>
      <c r="Y64" s="719"/>
      <c r="Z64" s="719"/>
      <c r="AA64" s="719"/>
      <c r="AB64" s="719"/>
      <c r="AC64" s="719"/>
      <c r="AD64" s="719"/>
      <c r="AE64" s="719"/>
      <c r="AF64" s="719"/>
      <c r="AG64" s="1341" t="s">
        <v>723</v>
      </c>
      <c r="AH64" s="719" t="s">
        <v>723</v>
      </c>
      <c r="AI64" s="719" t="s">
        <v>723</v>
      </c>
      <c r="AJ64" s="719"/>
      <c r="AK64" s="719"/>
      <c r="AL64" s="719"/>
      <c r="AM64" s="719"/>
      <c r="AN64" s="719"/>
      <c r="AO64" s="719"/>
      <c r="AP64" s="719"/>
      <c r="AQ64" s="724">
        <f>+FL_1($T$65,$T$63,$G$64,1200,9.28,-1*$F$65)</f>
        <v>0.33477011200000001</v>
      </c>
      <c r="AR64" s="724"/>
      <c r="AS64" s="724"/>
      <c r="AT64" s="724"/>
      <c r="AU64" s="724"/>
      <c r="AV64" s="724"/>
      <c r="AW64" s="719"/>
      <c r="AX64" s="719"/>
      <c r="AY64" s="719"/>
      <c r="BB64" s="1284"/>
      <c r="BC64" s="1303"/>
      <c r="BD64" s="1279"/>
      <c r="BE64" s="1301"/>
      <c r="BF64" s="1301"/>
    </row>
    <row r="65" spans="1:61" ht="15.75" customHeight="1">
      <c r="A65" s="716" t="s">
        <v>676</v>
      </c>
      <c r="B65" s="725" t="s">
        <v>1330</v>
      </c>
      <c r="C65" s="718">
        <f>+$C$63+$G$64</f>
        <v>32025</v>
      </c>
      <c r="D65" s="719"/>
      <c r="E65" s="719"/>
      <c r="F65" s="720">
        <v>0</v>
      </c>
      <c r="G65" s="721"/>
      <c r="H65" s="726" t="s">
        <v>997</v>
      </c>
      <c r="I65" s="722"/>
      <c r="J65" s="723"/>
      <c r="K65" s="719"/>
      <c r="L65" s="719" t="s">
        <v>241</v>
      </c>
      <c r="M65" s="719"/>
      <c r="N65" s="726" t="s">
        <v>696</v>
      </c>
      <c r="O65" s="726"/>
      <c r="P65" s="719"/>
      <c r="Q65" s="719">
        <v>0</v>
      </c>
      <c r="R65" s="719">
        <v>0</v>
      </c>
      <c r="S65" s="719"/>
      <c r="T65" s="719">
        <v>30</v>
      </c>
      <c r="U65" s="719"/>
      <c r="V65" s="719"/>
      <c r="W65" s="719">
        <v>1.1000000000000001</v>
      </c>
      <c r="X65" s="719"/>
      <c r="Y65" s="719"/>
      <c r="Z65" s="719"/>
      <c r="AA65" s="719"/>
      <c r="AB65" s="719"/>
      <c r="AC65" s="719" t="s">
        <v>2977</v>
      </c>
      <c r="AD65" s="719"/>
      <c r="AE65" s="719"/>
      <c r="AF65" s="719">
        <v>200</v>
      </c>
      <c r="AG65" s="1341">
        <v>32024.3</v>
      </c>
      <c r="AH65" s="719">
        <v>1449</v>
      </c>
      <c r="AI65" s="719">
        <v>-4902</v>
      </c>
      <c r="AJ65" s="719"/>
      <c r="AK65" s="719"/>
      <c r="AL65" s="719"/>
      <c r="AM65" s="719" t="s">
        <v>2608</v>
      </c>
      <c r="AN65" s="719">
        <v>5.25</v>
      </c>
      <c r="AO65" s="719"/>
      <c r="AP65" s="719"/>
      <c r="AQ65" s="724"/>
      <c r="AR65" s="724"/>
      <c r="AS65" s="724"/>
      <c r="AT65" s="724">
        <f>+ab($T$65,$T$63,$T$67,$G$64,$G$66,-1*$F$65,1200)</f>
        <v>7.0710051562936558</v>
      </c>
      <c r="AU65" s="724"/>
      <c r="AV65" s="724"/>
      <c r="AW65" s="719"/>
      <c r="AX65" s="719"/>
      <c r="AY65" s="719"/>
      <c r="BB65" s="1286" t="s">
        <v>1042</v>
      </c>
      <c r="BC65" s="1287"/>
      <c r="BD65" s="1279"/>
      <c r="BE65" s="1301"/>
      <c r="BF65" s="1301"/>
      <c r="BH65" s="517"/>
    </row>
    <row r="66" spans="1:61" ht="15.75" hidden="1" customHeight="1">
      <c r="A66" s="716"/>
      <c r="B66" s="717"/>
      <c r="C66" s="718"/>
      <c r="D66" s="719"/>
      <c r="E66" s="719"/>
      <c r="F66" s="720"/>
      <c r="G66" s="721">
        <v>40</v>
      </c>
      <c r="H66" s="726"/>
      <c r="I66" s="722">
        <f>SUM(G66:G86)</f>
        <v>480</v>
      </c>
      <c r="J66" s="723">
        <v>32062.27</v>
      </c>
      <c r="K66" s="719" t="s">
        <v>1102</v>
      </c>
      <c r="L66" s="719"/>
      <c r="M66" s="719"/>
      <c r="N66" s="726"/>
      <c r="O66" s="726"/>
      <c r="P66" s="719"/>
      <c r="Q66" s="719"/>
      <c r="R66" s="719"/>
      <c r="S66" s="719">
        <f t="shared" ref="S66:S76" si="22">AG67-AG65</f>
        <v>39.880000000001019</v>
      </c>
      <c r="T66" s="719"/>
      <c r="U66" s="719"/>
      <c r="V66" s="719"/>
      <c r="W66" s="719"/>
      <c r="X66" s="719"/>
      <c r="Y66" s="719"/>
      <c r="Z66" s="719"/>
      <c r="AA66" s="719"/>
      <c r="AB66" s="719"/>
      <c r="AC66" s="719"/>
      <c r="AD66" s="719"/>
      <c r="AE66" s="719"/>
      <c r="AF66" s="719"/>
      <c r="AG66" s="1341" t="s">
        <v>723</v>
      </c>
      <c r="AH66" s="719" t="s">
        <v>723</v>
      </c>
      <c r="AI66" s="719" t="s">
        <v>723</v>
      </c>
      <c r="AJ66" s="719"/>
      <c r="AK66" s="719"/>
      <c r="AL66" s="719"/>
      <c r="AM66" s="719"/>
      <c r="AN66" s="719"/>
      <c r="AO66" s="719"/>
      <c r="AP66" s="719"/>
      <c r="AQ66" s="724">
        <f>+FL_2($T$67,$T$65,$G$66,1200,9.28,-1*$F$67)</f>
        <v>-0.30014079999999999</v>
      </c>
      <c r="AR66" s="724"/>
      <c r="AS66" s="724"/>
      <c r="AT66" s="724"/>
      <c r="AU66" s="724"/>
      <c r="AV66" s="724"/>
      <c r="AW66" s="719"/>
      <c r="AX66" s="719"/>
      <c r="AY66" s="719"/>
      <c r="BB66" s="1284" t="s">
        <v>3067</v>
      </c>
      <c r="BC66" s="1285" t="s">
        <v>3068</v>
      </c>
      <c r="BD66" s="1279"/>
      <c r="BE66" s="1301"/>
      <c r="BF66" s="1301"/>
      <c r="BH66" s="517"/>
    </row>
    <row r="67" spans="1:61" ht="15.75" customHeight="1">
      <c r="A67" s="716" t="s">
        <v>2601</v>
      </c>
      <c r="B67" s="725" t="s">
        <v>1331</v>
      </c>
      <c r="C67" s="718">
        <f>+$C$65+$G$66</f>
        <v>32065</v>
      </c>
      <c r="D67" s="719"/>
      <c r="E67" s="719"/>
      <c r="F67" s="720">
        <v>0</v>
      </c>
      <c r="G67" s="721"/>
      <c r="H67" s="726" t="s">
        <v>1101</v>
      </c>
      <c r="I67" s="726" t="s">
        <v>2053</v>
      </c>
      <c r="J67" s="723"/>
      <c r="K67" s="719" t="s">
        <v>1102</v>
      </c>
      <c r="L67" s="719" t="s">
        <v>241</v>
      </c>
      <c r="M67" s="719"/>
      <c r="N67" s="726" t="s">
        <v>695</v>
      </c>
      <c r="O67" s="726"/>
      <c r="P67" s="719"/>
      <c r="Q67" s="719">
        <v>0</v>
      </c>
      <c r="R67" s="719">
        <v>0</v>
      </c>
      <c r="S67" s="719"/>
      <c r="T67" s="719">
        <v>-30</v>
      </c>
      <c r="U67" s="719"/>
      <c r="V67" s="719"/>
      <c r="W67" s="719">
        <v>1.1000000000000001</v>
      </c>
      <c r="X67" s="719"/>
      <c r="Y67" s="719"/>
      <c r="Z67" s="719"/>
      <c r="AA67" s="719"/>
      <c r="AB67" s="719"/>
      <c r="AC67" s="719" t="s">
        <v>2977</v>
      </c>
      <c r="AD67" s="719"/>
      <c r="AE67" s="719"/>
      <c r="AF67" s="719">
        <v>200</v>
      </c>
      <c r="AG67" s="1341">
        <v>32064.18</v>
      </c>
      <c r="AH67" s="719">
        <v>1542</v>
      </c>
      <c r="AI67" s="719">
        <v>-4951</v>
      </c>
      <c r="AJ67" s="719"/>
      <c r="AK67" s="719"/>
      <c r="AL67" s="719"/>
      <c r="AM67" s="719" t="s">
        <v>2608</v>
      </c>
      <c r="AN67" s="719">
        <v>5.25</v>
      </c>
      <c r="AO67" s="719"/>
      <c r="AP67" s="719"/>
      <c r="AQ67" s="724"/>
      <c r="AR67" s="724"/>
      <c r="AS67" s="724"/>
      <c r="AT67" s="724">
        <f>+ab($T$67,$T$65,$T$69,$G$66,$G$68,-1*$F$67,1200)</f>
        <v>-6.4182768092697184</v>
      </c>
      <c r="AU67" s="724"/>
      <c r="AV67" s="724"/>
      <c r="AW67" s="719"/>
      <c r="AX67" s="719"/>
      <c r="AY67" s="719"/>
      <c r="BB67" s="1284" t="s">
        <v>1076</v>
      </c>
      <c r="BC67" s="1285" t="s">
        <v>139</v>
      </c>
      <c r="BD67" s="1279"/>
      <c r="BE67" s="1301"/>
      <c r="BF67" s="1301"/>
      <c r="BH67" s="517"/>
    </row>
    <row r="68" spans="1:61" ht="15.75" hidden="1" customHeight="1">
      <c r="A68" s="766" t="s">
        <v>2583</v>
      </c>
      <c r="B68" s="777"/>
      <c r="C68" s="768"/>
      <c r="D68" s="769"/>
      <c r="E68" s="769"/>
      <c r="F68" s="770"/>
      <c r="G68" s="771">
        <v>44</v>
      </c>
      <c r="H68" s="772"/>
      <c r="I68" s="726" t="s">
        <v>2053</v>
      </c>
      <c r="J68" s="778"/>
      <c r="K68" s="726" t="s">
        <v>1102</v>
      </c>
      <c r="L68" s="769"/>
      <c r="M68" s="769"/>
      <c r="N68" s="772"/>
      <c r="O68" s="772"/>
      <c r="P68" s="769"/>
      <c r="Q68" s="769"/>
      <c r="R68" s="769"/>
      <c r="S68" s="769">
        <f t="shared" si="22"/>
        <v>45.169999999998254</v>
      </c>
      <c r="T68" s="769"/>
      <c r="U68" s="769"/>
      <c r="V68" s="769"/>
      <c r="W68" s="769"/>
      <c r="X68" s="769"/>
      <c r="Y68" s="769"/>
      <c r="Z68" s="769"/>
      <c r="AA68" s="769"/>
      <c r="AB68" s="769"/>
      <c r="AC68" s="769"/>
      <c r="AD68" s="769"/>
      <c r="AE68" s="769"/>
      <c r="AF68" s="769"/>
      <c r="AG68" s="1342" t="s">
        <v>723</v>
      </c>
      <c r="AH68" s="769" t="s">
        <v>723</v>
      </c>
      <c r="AI68" s="769" t="s">
        <v>723</v>
      </c>
      <c r="AJ68" s="769"/>
      <c r="AK68" s="769"/>
      <c r="AL68" s="769"/>
      <c r="AM68" s="769"/>
      <c r="AN68" s="769"/>
      <c r="AO68" s="769"/>
      <c r="AP68" s="769"/>
      <c r="AQ68" s="774">
        <f>+FL_1($T$69,$T$67,$G$68,1200,9.28,-1*$F$69)</f>
        <v>0.35324589090909086</v>
      </c>
      <c r="AR68" s="774"/>
      <c r="AS68" s="774"/>
      <c r="AT68" s="774"/>
      <c r="AU68" s="774"/>
      <c r="AV68" s="774"/>
      <c r="AW68" s="769"/>
      <c r="AX68" s="769"/>
      <c r="AY68" s="769"/>
      <c r="BB68" s="1284" t="s">
        <v>1077</v>
      </c>
      <c r="BC68" s="1285" t="s">
        <v>231</v>
      </c>
      <c r="BD68" s="1279"/>
      <c r="BE68" s="1301"/>
      <c r="BF68" s="1301"/>
      <c r="BH68" s="517"/>
      <c r="BI68" s="519"/>
    </row>
    <row r="69" spans="1:61" ht="15.75" hidden="1" customHeight="1">
      <c r="A69" s="766"/>
      <c r="B69" s="779" t="s">
        <v>1332</v>
      </c>
      <c r="C69" s="768">
        <f>+$C$67+$G$68</f>
        <v>32109</v>
      </c>
      <c r="D69" s="769"/>
      <c r="E69" s="769"/>
      <c r="F69" s="770">
        <v>0</v>
      </c>
      <c r="G69" s="771"/>
      <c r="H69" s="769"/>
      <c r="I69" s="770"/>
      <c r="J69" s="778"/>
      <c r="K69" s="769"/>
      <c r="L69" s="769" t="s">
        <v>1118</v>
      </c>
      <c r="M69" s="769" t="s">
        <v>2667</v>
      </c>
      <c r="N69" s="772" t="s">
        <v>145</v>
      </c>
      <c r="O69" s="769"/>
      <c r="P69" s="769"/>
      <c r="Q69" s="769">
        <v>0</v>
      </c>
      <c r="R69" s="769">
        <v>0</v>
      </c>
      <c r="S69" s="769"/>
      <c r="T69" s="769">
        <v>35</v>
      </c>
      <c r="U69" s="769"/>
      <c r="V69" s="769"/>
      <c r="W69" s="769">
        <v>1.4</v>
      </c>
      <c r="X69" s="769"/>
      <c r="Y69" s="769"/>
      <c r="Z69" s="769"/>
      <c r="AA69" s="769"/>
      <c r="AB69" s="769"/>
      <c r="AC69" s="769" t="s">
        <v>2978</v>
      </c>
      <c r="AD69" s="769"/>
      <c r="AE69" s="769"/>
      <c r="AF69" s="769">
        <v>5400</v>
      </c>
      <c r="AG69" s="1342">
        <v>32109.35</v>
      </c>
      <c r="AH69" s="769">
        <v>2801</v>
      </c>
      <c r="AI69" s="769">
        <v>-51</v>
      </c>
      <c r="AJ69" s="769"/>
      <c r="AK69" s="769"/>
      <c r="AL69" s="769"/>
      <c r="AM69" s="769" t="s">
        <v>2055</v>
      </c>
      <c r="AN69" s="769">
        <v>5.31</v>
      </c>
      <c r="AO69" s="769"/>
      <c r="AP69" s="769"/>
      <c r="AQ69" s="774"/>
      <c r="AR69" s="774"/>
      <c r="AS69" s="774"/>
      <c r="AT69" s="774">
        <f>+ab($T$69,$T$67,$T$71,$G$68,$G$70,-1*$F$69,1200)</f>
        <v>6.2658228700458034</v>
      </c>
      <c r="AU69" s="774"/>
      <c r="AV69" s="774"/>
      <c r="AW69" s="769"/>
      <c r="AX69" s="769"/>
      <c r="AY69" s="769"/>
      <c r="BB69" s="1284" t="s">
        <v>1078</v>
      </c>
      <c r="BC69" s="1285" t="s">
        <v>241</v>
      </c>
      <c r="BD69" s="1279"/>
      <c r="BE69" s="1279"/>
      <c r="BF69" s="1279"/>
      <c r="BH69" s="517"/>
    </row>
    <row r="70" spans="1:61" ht="15.75" hidden="1" customHeight="1">
      <c r="A70" s="766"/>
      <c r="B70" s="777"/>
      <c r="C70" s="768"/>
      <c r="D70" s="769"/>
      <c r="E70" s="769"/>
      <c r="F70" s="770"/>
      <c r="G70" s="771">
        <v>44.5</v>
      </c>
      <c r="H70" s="769"/>
      <c r="I70" s="770"/>
      <c r="J70" s="778"/>
      <c r="K70" s="769"/>
      <c r="L70" s="769"/>
      <c r="M70" s="769"/>
      <c r="N70" s="772"/>
      <c r="O70" s="769"/>
      <c r="P70" s="769"/>
      <c r="Q70" s="769"/>
      <c r="R70" s="769"/>
      <c r="S70" s="769">
        <f t="shared" si="22"/>
        <v>44.420000000001892</v>
      </c>
      <c r="T70" s="769"/>
      <c r="U70" s="769"/>
      <c r="V70" s="769"/>
      <c r="W70" s="769"/>
      <c r="X70" s="769"/>
      <c r="Y70" s="769"/>
      <c r="Z70" s="769"/>
      <c r="AA70" s="769"/>
      <c r="AB70" s="769"/>
      <c r="AC70" s="769"/>
      <c r="AD70" s="769"/>
      <c r="AE70" s="769"/>
      <c r="AF70" s="769"/>
      <c r="AG70" s="1342"/>
      <c r="AH70" s="769"/>
      <c r="AI70" s="769"/>
      <c r="AJ70" s="769"/>
      <c r="AK70" s="769"/>
      <c r="AL70" s="769"/>
      <c r="AM70" s="769"/>
      <c r="AN70" s="769"/>
      <c r="AO70" s="769"/>
      <c r="AP70" s="769"/>
      <c r="AQ70" s="780">
        <f>+FL_2($T$71,$T$69,$G$70,1200,9.28,-1*$F$71)</f>
        <v>-0.35140919084644195</v>
      </c>
      <c r="AR70" s="774"/>
      <c r="AS70" s="774"/>
      <c r="AT70" s="774"/>
      <c r="AU70" s="774"/>
      <c r="AV70" s="774"/>
      <c r="AW70" s="769"/>
      <c r="AX70" s="769"/>
      <c r="AY70" s="769"/>
      <c r="BB70" s="1284" t="s">
        <v>3069</v>
      </c>
      <c r="BC70" s="1285" t="s">
        <v>465</v>
      </c>
      <c r="BD70" s="1279"/>
      <c r="BE70" s="1279"/>
      <c r="BF70" s="1279"/>
      <c r="BH70" s="517"/>
    </row>
    <row r="71" spans="1:61" ht="15.75" hidden="1" customHeight="1">
      <c r="A71" s="766"/>
      <c r="B71" s="779" t="s">
        <v>1333</v>
      </c>
      <c r="C71" s="768">
        <f>+$C$69+$G$70</f>
        <v>32153.5</v>
      </c>
      <c r="D71" s="769"/>
      <c r="E71" s="769"/>
      <c r="F71" s="770">
        <v>0</v>
      </c>
      <c r="G71" s="771"/>
      <c r="H71" s="769"/>
      <c r="I71" s="770"/>
      <c r="J71" s="778"/>
      <c r="K71" s="769"/>
      <c r="L71" s="769" t="s">
        <v>1118</v>
      </c>
      <c r="M71" s="769" t="s">
        <v>2667</v>
      </c>
      <c r="N71" s="772" t="s">
        <v>144</v>
      </c>
      <c r="O71" s="769"/>
      <c r="P71" s="769"/>
      <c r="Q71" s="769">
        <v>0</v>
      </c>
      <c r="R71" s="769">
        <v>0</v>
      </c>
      <c r="S71" s="769"/>
      <c r="T71" s="769">
        <v>-35</v>
      </c>
      <c r="U71" s="769"/>
      <c r="V71" s="769"/>
      <c r="W71" s="769">
        <v>1.4</v>
      </c>
      <c r="X71" s="769"/>
      <c r="Y71" s="769"/>
      <c r="Z71" s="769"/>
      <c r="AA71" s="769"/>
      <c r="AB71" s="769"/>
      <c r="AC71" s="769" t="s">
        <v>2978</v>
      </c>
      <c r="AD71" s="769"/>
      <c r="AE71" s="769"/>
      <c r="AF71" s="769">
        <v>5400</v>
      </c>
      <c r="AG71" s="1342">
        <v>32153.77</v>
      </c>
      <c r="AH71" s="769">
        <v>2806</v>
      </c>
      <c r="AI71" s="769">
        <v>-78</v>
      </c>
      <c r="AJ71" s="769"/>
      <c r="AK71" s="769"/>
      <c r="AL71" s="769"/>
      <c r="AM71" s="769" t="s">
        <v>2055</v>
      </c>
      <c r="AN71" s="769">
        <v>5.44</v>
      </c>
      <c r="AO71" s="769"/>
      <c r="AP71" s="769"/>
      <c r="AQ71" s="774"/>
      <c r="AR71" s="774"/>
      <c r="AS71" s="774"/>
      <c r="AT71" s="780">
        <f>+ab($T$71,$T$69,$T$73,$G$70,$G$72,-1*$F$71,1200)</f>
        <v>-6.042491843084786</v>
      </c>
      <c r="AU71" s="774"/>
      <c r="AV71" s="774"/>
      <c r="AW71" s="769"/>
      <c r="AX71" s="769"/>
      <c r="AY71" s="769"/>
      <c r="BB71" s="1284" t="s">
        <v>3070</v>
      </c>
      <c r="BC71" s="1285" t="s">
        <v>3071</v>
      </c>
      <c r="BD71" s="1279"/>
      <c r="BE71" s="1279"/>
      <c r="BF71" s="1279"/>
      <c r="BH71" s="517"/>
    </row>
    <row r="72" spans="1:61" ht="15.75" hidden="1" customHeight="1">
      <c r="A72" s="766"/>
      <c r="B72" s="777"/>
      <c r="C72" s="768"/>
      <c r="D72" s="769"/>
      <c r="E72" s="769"/>
      <c r="F72" s="770"/>
      <c r="G72" s="771">
        <v>44</v>
      </c>
      <c r="H72" s="772"/>
      <c r="I72" s="772"/>
      <c r="J72" s="778"/>
      <c r="K72" s="769"/>
      <c r="L72" s="769"/>
      <c r="M72" s="769"/>
      <c r="N72" s="772"/>
      <c r="O72" s="769"/>
      <c r="P72" s="769"/>
      <c r="Q72" s="769"/>
      <c r="R72" s="769"/>
      <c r="S72" s="769">
        <f t="shared" si="22"/>
        <v>44.040000000000873</v>
      </c>
      <c r="T72" s="769"/>
      <c r="U72" s="769"/>
      <c r="V72" s="769"/>
      <c r="W72" s="769"/>
      <c r="X72" s="769"/>
      <c r="Y72" s="769"/>
      <c r="Z72" s="769"/>
      <c r="AA72" s="769"/>
      <c r="AB72" s="769"/>
      <c r="AC72" s="769"/>
      <c r="AD72" s="769"/>
      <c r="AE72" s="769"/>
      <c r="AF72" s="769"/>
      <c r="AG72" s="1342"/>
      <c r="AH72" s="769"/>
      <c r="AI72" s="769"/>
      <c r="AJ72" s="769"/>
      <c r="AK72" s="769"/>
      <c r="AL72" s="769"/>
      <c r="AM72" s="769"/>
      <c r="AN72" s="769"/>
      <c r="AO72" s="769"/>
      <c r="AP72" s="769"/>
      <c r="AQ72" s="780">
        <f>+FL_1($T$73,$T$71,$G$72,1200,9.28,-1*$F$73)</f>
        <v>0.35078837199999996</v>
      </c>
      <c r="AR72" s="774"/>
      <c r="AS72" s="774"/>
      <c r="AT72" s="774"/>
      <c r="AU72" s="774"/>
      <c r="AV72" s="774"/>
      <c r="AW72" s="769"/>
      <c r="AX72" s="769"/>
      <c r="AY72" s="769"/>
      <c r="BB72" s="1284" t="s">
        <v>3072</v>
      </c>
      <c r="BC72" s="1285" t="s">
        <v>3073</v>
      </c>
      <c r="BD72" s="1279"/>
      <c r="BE72" s="1279"/>
      <c r="BF72" s="1279"/>
      <c r="BH72" s="517"/>
    </row>
    <row r="73" spans="1:61" ht="15.75" hidden="1" customHeight="1">
      <c r="A73" s="766"/>
      <c r="B73" s="779" t="s">
        <v>1334</v>
      </c>
      <c r="C73" s="768">
        <f>+$C$71+$G$72</f>
        <v>32197.5</v>
      </c>
      <c r="D73" s="769"/>
      <c r="E73" s="769"/>
      <c r="F73" s="770">
        <v>0</v>
      </c>
      <c r="G73" s="771"/>
      <c r="H73" s="772"/>
      <c r="I73" s="775"/>
      <c r="J73" s="778"/>
      <c r="K73" s="769"/>
      <c r="L73" s="769" t="s">
        <v>1118</v>
      </c>
      <c r="M73" s="769" t="s">
        <v>2667</v>
      </c>
      <c r="N73" s="772" t="s">
        <v>145</v>
      </c>
      <c r="O73" s="772"/>
      <c r="P73" s="781"/>
      <c r="Q73" s="769">
        <v>0</v>
      </c>
      <c r="R73" s="769">
        <v>0</v>
      </c>
      <c r="S73" s="769"/>
      <c r="T73" s="769">
        <v>35</v>
      </c>
      <c r="U73" s="769"/>
      <c r="V73" s="769"/>
      <c r="W73" s="769">
        <v>1.4</v>
      </c>
      <c r="X73" s="769"/>
      <c r="Y73" s="769"/>
      <c r="Z73" s="769"/>
      <c r="AA73" s="769"/>
      <c r="AB73" s="769"/>
      <c r="AC73" s="769" t="s">
        <v>2978</v>
      </c>
      <c r="AD73" s="769"/>
      <c r="AE73" s="769"/>
      <c r="AF73" s="769">
        <v>5400</v>
      </c>
      <c r="AG73" s="1342">
        <v>32197.81</v>
      </c>
      <c r="AH73" s="769">
        <v>2836</v>
      </c>
      <c r="AI73" s="769">
        <v>-106</v>
      </c>
      <c r="AJ73" s="769"/>
      <c r="AK73" s="769"/>
      <c r="AL73" s="769"/>
      <c r="AM73" s="769" t="s">
        <v>2055</v>
      </c>
      <c r="AN73" s="774">
        <v>5.5</v>
      </c>
      <c r="AO73" s="769"/>
      <c r="AP73" s="769"/>
      <c r="AQ73" s="774"/>
      <c r="AR73" s="774"/>
      <c r="AS73" s="774"/>
      <c r="AT73" s="780">
        <f>+ab($T$73,$T$71,$T$75,$G$72,$G$74,-1*$F$73,1200)</f>
        <v>6.035766426785953</v>
      </c>
      <c r="AU73" s="774"/>
      <c r="AV73" s="774"/>
      <c r="AW73" s="769"/>
      <c r="AX73" s="769"/>
      <c r="AY73" s="769"/>
      <c r="BB73" s="1284" t="s">
        <v>3074</v>
      </c>
      <c r="BC73" s="1285" t="s">
        <v>3075</v>
      </c>
      <c r="BD73" s="1279"/>
      <c r="BE73" s="1279"/>
      <c r="BF73" s="1279"/>
    </row>
    <row r="74" spans="1:61" ht="15.75" hidden="1" customHeight="1">
      <c r="A74" s="766"/>
      <c r="B74" s="777"/>
      <c r="C74" s="768"/>
      <c r="D74" s="769"/>
      <c r="E74" s="769"/>
      <c r="F74" s="770"/>
      <c r="G74" s="771">
        <v>44.4</v>
      </c>
      <c r="H74" s="772"/>
      <c r="I74" s="772"/>
      <c r="J74" s="778"/>
      <c r="K74" s="769"/>
      <c r="L74" s="769"/>
      <c r="M74" s="769"/>
      <c r="N74" s="772"/>
      <c r="O74" s="772"/>
      <c r="P74" s="781"/>
      <c r="Q74" s="769"/>
      <c r="R74" s="769"/>
      <c r="S74" s="769">
        <f t="shared" si="22"/>
        <v>44.459999999999127</v>
      </c>
      <c r="T74" s="769"/>
      <c r="U74" s="769"/>
      <c r="V74" s="769"/>
      <c r="W74" s="769"/>
      <c r="X74" s="769"/>
      <c r="Y74" s="769"/>
      <c r="Z74" s="769"/>
      <c r="AA74" s="769"/>
      <c r="AB74" s="769"/>
      <c r="AC74" s="769"/>
      <c r="AD74" s="769"/>
      <c r="AE74" s="769"/>
      <c r="AF74" s="769"/>
      <c r="AG74" s="1342"/>
      <c r="AH74" s="769"/>
      <c r="AI74" s="769"/>
      <c r="AJ74" s="769"/>
      <c r="AK74" s="769"/>
      <c r="AL74" s="769"/>
      <c r="AM74" s="769"/>
      <c r="AN74" s="774"/>
      <c r="AO74" s="769"/>
      <c r="AP74" s="769"/>
      <c r="AQ74" s="774">
        <f>+FL_1($T$75,$T$73,$G$74,1200,9.28,-1*$F$75)</f>
        <v>0.35127128529729729</v>
      </c>
      <c r="AR74" s="774"/>
      <c r="AS74" s="774"/>
      <c r="AT74" s="774"/>
      <c r="AU74" s="774"/>
      <c r="AV74" s="774"/>
      <c r="AW74" s="769"/>
      <c r="AX74" s="769"/>
      <c r="AY74" s="769"/>
      <c r="BB74" s="1284" t="s">
        <v>3076</v>
      </c>
      <c r="BC74" s="1285" t="s">
        <v>3077</v>
      </c>
      <c r="BD74" s="1279"/>
      <c r="BE74" s="1301"/>
      <c r="BF74" s="1301"/>
    </row>
    <row r="75" spans="1:61" ht="15.75" hidden="1" customHeight="1">
      <c r="A75" s="766"/>
      <c r="B75" s="779" t="s">
        <v>1335</v>
      </c>
      <c r="C75" s="768">
        <f>+$C$73+$G$74</f>
        <v>32241.9</v>
      </c>
      <c r="D75" s="769"/>
      <c r="E75" s="769"/>
      <c r="F75" s="770">
        <v>0</v>
      </c>
      <c r="G75" s="771"/>
      <c r="H75" s="772"/>
      <c r="I75" s="775"/>
      <c r="J75" s="778"/>
      <c r="K75" s="769"/>
      <c r="L75" s="769" t="s">
        <v>1118</v>
      </c>
      <c r="M75" s="769" t="s">
        <v>2667</v>
      </c>
      <c r="N75" s="772" t="s">
        <v>144</v>
      </c>
      <c r="O75" s="772"/>
      <c r="P75" s="781"/>
      <c r="Q75" s="769">
        <v>0</v>
      </c>
      <c r="R75" s="769">
        <v>0</v>
      </c>
      <c r="S75" s="769"/>
      <c r="T75" s="769">
        <v>-35</v>
      </c>
      <c r="U75" s="769"/>
      <c r="V75" s="769"/>
      <c r="W75" s="769">
        <v>1.4</v>
      </c>
      <c r="X75" s="769"/>
      <c r="Y75" s="769"/>
      <c r="Z75" s="769"/>
      <c r="AA75" s="769"/>
      <c r="AB75" s="769"/>
      <c r="AC75" s="769" t="s">
        <v>2978</v>
      </c>
      <c r="AD75" s="769"/>
      <c r="AE75" s="769"/>
      <c r="AF75" s="769">
        <v>5400</v>
      </c>
      <c r="AG75" s="1342">
        <v>32242.27</v>
      </c>
      <c r="AH75" s="769">
        <v>2840</v>
      </c>
      <c r="AI75" s="769">
        <v>-74</v>
      </c>
      <c r="AJ75" s="769"/>
      <c r="AK75" s="769"/>
      <c r="AL75" s="769"/>
      <c r="AM75" s="769" t="s">
        <v>2055</v>
      </c>
      <c r="AN75" s="774">
        <v>5.5</v>
      </c>
      <c r="AO75" s="769"/>
      <c r="AP75" s="769"/>
      <c r="AQ75" s="774"/>
      <c r="AR75" s="774"/>
      <c r="AS75" s="774"/>
      <c r="AT75" s="774">
        <f>+ab($T$75,$T$73,$T$77,$G$74,$G$76,-1*$F$75,1200)</f>
        <v>-5.8597745969184052</v>
      </c>
      <c r="AU75" s="774"/>
      <c r="AV75" s="774"/>
      <c r="AW75" s="769"/>
      <c r="AX75" s="769"/>
      <c r="AY75" s="769"/>
      <c r="BB75" s="1284" t="s">
        <v>3074</v>
      </c>
      <c r="BC75" s="1285" t="s">
        <v>2999</v>
      </c>
      <c r="BD75" s="1279"/>
      <c r="BE75" s="1279"/>
      <c r="BF75" s="1279"/>
    </row>
    <row r="76" spans="1:61" ht="15.75" hidden="1" customHeight="1">
      <c r="A76" s="766"/>
      <c r="B76" s="777"/>
      <c r="C76" s="768"/>
      <c r="D76" s="769"/>
      <c r="E76" s="769"/>
      <c r="F76" s="770"/>
      <c r="G76" s="771">
        <v>41.5</v>
      </c>
      <c r="H76" s="769"/>
      <c r="I76" s="770"/>
      <c r="J76" s="778"/>
      <c r="K76" s="769"/>
      <c r="L76" s="769"/>
      <c r="M76" s="769"/>
      <c r="N76" s="772"/>
      <c r="O76" s="772"/>
      <c r="P76" s="781"/>
      <c r="Q76" s="769"/>
      <c r="R76" s="769"/>
      <c r="S76" s="769">
        <f t="shared" si="22"/>
        <v>41.419999999998254</v>
      </c>
      <c r="T76" s="769"/>
      <c r="U76" s="769"/>
      <c r="V76" s="769"/>
      <c r="W76" s="769"/>
      <c r="X76" s="769"/>
      <c r="Y76" s="769"/>
      <c r="Z76" s="769"/>
      <c r="AA76" s="769"/>
      <c r="AB76" s="769"/>
      <c r="AC76" s="769"/>
      <c r="AD76" s="769"/>
      <c r="AE76" s="769"/>
      <c r="AF76" s="769"/>
      <c r="AG76" s="1342"/>
      <c r="AH76" s="769"/>
      <c r="AI76" s="769"/>
      <c r="AJ76" s="769"/>
      <c r="AK76" s="769"/>
      <c r="AL76" s="769"/>
      <c r="AM76" s="769"/>
      <c r="AN76" s="774"/>
      <c r="AO76" s="769"/>
      <c r="AP76" s="769"/>
      <c r="AQ76" s="774">
        <f>+FL_2($T$77,$T$75,$G$76,1200,9.28,-1*$F$77)</f>
        <v>-0.35000000000000014</v>
      </c>
      <c r="AR76" s="774"/>
      <c r="AS76" s="774"/>
      <c r="AT76" s="774"/>
      <c r="AU76" s="774"/>
      <c r="AV76" s="774"/>
      <c r="AW76" s="769"/>
      <c r="AX76" s="769"/>
      <c r="AY76" s="769"/>
      <c r="BB76" s="1284" t="s">
        <v>3076</v>
      </c>
      <c r="BC76" s="1285" t="s">
        <v>3000</v>
      </c>
      <c r="BD76" s="1279"/>
      <c r="BE76" s="1279"/>
      <c r="BF76" s="1279"/>
    </row>
    <row r="77" spans="1:61" ht="15.75" hidden="1" customHeight="1">
      <c r="A77" s="782"/>
      <c r="B77" s="779" t="s">
        <v>1336</v>
      </c>
      <c r="C77" s="768">
        <f>+$C$75+$G$76</f>
        <v>32283.4</v>
      </c>
      <c r="D77" s="769"/>
      <c r="E77" s="769"/>
      <c r="F77" s="770">
        <v>0</v>
      </c>
      <c r="G77" s="771"/>
      <c r="H77" s="772"/>
      <c r="I77" s="772"/>
      <c r="J77" s="778"/>
      <c r="K77" s="769"/>
      <c r="L77" s="769" t="s">
        <v>1118</v>
      </c>
      <c r="M77" s="769" t="s">
        <v>2667</v>
      </c>
      <c r="N77" s="772" t="s">
        <v>145</v>
      </c>
      <c r="O77" s="772"/>
      <c r="P77" s="781"/>
      <c r="Q77" s="769">
        <v>0</v>
      </c>
      <c r="R77" s="769">
        <v>0</v>
      </c>
      <c r="S77" s="769"/>
      <c r="T77" s="769">
        <v>35</v>
      </c>
      <c r="U77" s="769"/>
      <c r="V77" s="769"/>
      <c r="W77" s="769">
        <v>1.4</v>
      </c>
      <c r="X77" s="769"/>
      <c r="Y77" s="769"/>
      <c r="Z77" s="769"/>
      <c r="AA77" s="769"/>
      <c r="AB77" s="769"/>
      <c r="AC77" s="769" t="s">
        <v>2978</v>
      </c>
      <c r="AD77" s="769"/>
      <c r="AE77" s="769"/>
      <c r="AF77" s="769">
        <v>5400</v>
      </c>
      <c r="AG77" s="1342">
        <v>32283.69</v>
      </c>
      <c r="AH77" s="769">
        <v>2854</v>
      </c>
      <c r="AI77" s="769">
        <v>-77</v>
      </c>
      <c r="AJ77" s="769"/>
      <c r="AK77" s="769"/>
      <c r="AL77" s="769"/>
      <c r="AM77" s="769" t="s">
        <v>2055</v>
      </c>
      <c r="AN77" s="774">
        <v>5.45</v>
      </c>
      <c r="AO77" s="769"/>
      <c r="AP77" s="769"/>
      <c r="AQ77" s="774"/>
      <c r="AR77" s="774"/>
      <c r="AS77" s="774"/>
      <c r="AT77" s="774">
        <f>+ab($T$77,$T$75,$T$79,$G$76,$G$78,-1*$F$77,1200)</f>
        <v>5.7433258640015508</v>
      </c>
      <c r="AU77" s="774"/>
      <c r="AV77" s="774"/>
      <c r="AW77" s="769"/>
      <c r="AX77" s="769"/>
      <c r="AY77" s="769"/>
      <c r="BB77" s="1284" t="s">
        <v>1080</v>
      </c>
      <c r="BC77" s="1285" t="s">
        <v>941</v>
      </c>
      <c r="BD77" s="1279"/>
      <c r="BE77" s="1279"/>
      <c r="BF77" s="1279"/>
    </row>
    <row r="78" spans="1:61" ht="15.75" hidden="1" customHeight="1">
      <c r="A78" s="766" t="s">
        <v>2584</v>
      </c>
      <c r="B78" s="777"/>
      <c r="C78" s="768"/>
      <c r="D78" s="769"/>
      <c r="E78" s="769"/>
      <c r="F78" s="770"/>
      <c r="G78" s="771">
        <v>42.6</v>
      </c>
      <c r="H78" s="772"/>
      <c r="I78" s="772"/>
      <c r="J78" s="778"/>
      <c r="K78" s="769"/>
      <c r="L78" s="769"/>
      <c r="M78" s="769"/>
      <c r="N78" s="772"/>
      <c r="O78" s="772"/>
      <c r="P78" s="781"/>
      <c r="Q78" s="769"/>
      <c r="R78" s="769"/>
      <c r="S78" s="769"/>
      <c r="T78" s="769"/>
      <c r="U78" s="769"/>
      <c r="V78" s="769"/>
      <c r="W78" s="769"/>
      <c r="X78" s="769"/>
      <c r="Y78" s="769"/>
      <c r="Z78" s="769"/>
      <c r="AA78" s="769"/>
      <c r="AB78" s="769"/>
      <c r="AC78" s="769"/>
      <c r="AD78" s="769"/>
      <c r="AE78" s="769"/>
      <c r="AF78" s="769"/>
      <c r="AG78" s="1342" t="s">
        <v>723</v>
      </c>
      <c r="AH78" s="769" t="s">
        <v>723</v>
      </c>
      <c r="AI78" s="769" t="s">
        <v>723</v>
      </c>
      <c r="AJ78" s="769"/>
      <c r="AK78" s="769"/>
      <c r="AL78" s="769"/>
      <c r="AM78" s="769"/>
      <c r="AN78" s="774"/>
      <c r="AO78" s="769"/>
      <c r="AP78" s="769"/>
      <c r="AQ78" s="774">
        <f>+FL_1($T$79,$T$77,$G$78,1200,9.28,-1*$F$79)</f>
        <v>0.35000103708920183</v>
      </c>
      <c r="AR78" s="774"/>
      <c r="AS78" s="774"/>
      <c r="AT78" s="774"/>
      <c r="AU78" s="774"/>
      <c r="AV78" s="774"/>
      <c r="AW78" s="769"/>
      <c r="AX78" s="769"/>
      <c r="AY78" s="769"/>
      <c r="BB78" s="1284" t="s">
        <v>3078</v>
      </c>
      <c r="BC78" s="1285" t="s">
        <v>3079</v>
      </c>
      <c r="BD78" s="1279"/>
      <c r="BE78" s="1279"/>
      <c r="BF78" s="1279"/>
    </row>
    <row r="79" spans="1:61" ht="15.75" hidden="1" customHeight="1" thickBot="1">
      <c r="A79" s="701" t="s">
        <v>2944</v>
      </c>
      <c r="B79" s="702" t="s">
        <v>1337</v>
      </c>
      <c r="C79" s="703">
        <f>+$C$77+$G$78</f>
        <v>32326</v>
      </c>
      <c r="D79" s="704"/>
      <c r="E79" s="704"/>
      <c r="F79" s="705">
        <v>0</v>
      </c>
      <c r="G79" s="706"/>
      <c r="H79" s="707"/>
      <c r="I79" s="726" t="s">
        <v>2053</v>
      </c>
      <c r="J79" s="709"/>
      <c r="K79" s="726" t="s">
        <v>1102</v>
      </c>
      <c r="L79" s="704" t="s">
        <v>232</v>
      </c>
      <c r="M79" s="704" t="s">
        <v>3153</v>
      </c>
      <c r="N79" s="707" t="s">
        <v>144</v>
      </c>
      <c r="O79" s="707"/>
      <c r="P79" s="710"/>
      <c r="Q79" s="704"/>
      <c r="R79" s="704"/>
      <c r="S79" s="704"/>
      <c r="T79" s="704">
        <v>-35</v>
      </c>
      <c r="U79" s="704"/>
      <c r="V79" s="704"/>
      <c r="W79" s="704">
        <v>1.4</v>
      </c>
      <c r="X79" s="704"/>
      <c r="Y79" s="704"/>
      <c r="Z79" s="704"/>
      <c r="AA79" s="704"/>
      <c r="AB79" s="704"/>
      <c r="AC79" s="704" t="str">
        <f>IF(OR(AT79&gt;8,AT79&lt;-8),"PH",IF(OR(AT79&gt;5,AT79&lt;-5),"PH-Q",IF(OR(AT79&gt;1,AT79&lt;-1),"PH-C")))</f>
        <v>PH-Q</v>
      </c>
      <c r="AD79" s="704"/>
      <c r="AE79" s="704"/>
      <c r="AF79" s="704">
        <v>4400</v>
      </c>
      <c r="AG79" s="1343">
        <v>32326</v>
      </c>
      <c r="AH79" s="704">
        <v>2260</v>
      </c>
      <c r="AI79" s="704">
        <v>-1020</v>
      </c>
      <c r="AJ79" s="704" t="s">
        <v>2466</v>
      </c>
      <c r="AK79" s="704"/>
      <c r="AL79" s="704"/>
      <c r="AM79" s="704" t="s">
        <v>2055</v>
      </c>
      <c r="AN79" s="711">
        <v>5.4</v>
      </c>
      <c r="AO79" s="704"/>
      <c r="AP79" s="704"/>
      <c r="AQ79" s="711"/>
      <c r="AR79" s="711"/>
      <c r="AS79" s="711"/>
      <c r="AT79" s="711">
        <f>+ab($T$79,$T$77,$T$81,$G$78,$G$80,-1*$F$79,1200)</f>
        <v>-5.7779488650677902</v>
      </c>
      <c r="AU79" s="711"/>
      <c r="AV79" s="711"/>
      <c r="AW79" s="704"/>
      <c r="AX79" s="704"/>
      <c r="AY79" s="704"/>
      <c r="BB79" s="1304"/>
      <c r="BC79" s="1306"/>
      <c r="BD79" s="1279"/>
      <c r="BE79" s="1301"/>
      <c r="BF79" s="1301"/>
    </row>
    <row r="80" spans="1:61" ht="15.75" hidden="1" customHeight="1">
      <c r="A80" s="701"/>
      <c r="B80" s="712"/>
      <c r="C80" s="703"/>
      <c r="D80" s="704"/>
      <c r="E80" s="704"/>
      <c r="F80" s="705"/>
      <c r="G80" s="706">
        <v>39</v>
      </c>
      <c r="H80" s="707"/>
      <c r="I80" s="726" t="s">
        <v>2053</v>
      </c>
      <c r="J80" s="709"/>
      <c r="K80" s="726" t="s">
        <v>1102</v>
      </c>
      <c r="L80" s="704"/>
      <c r="M80" s="704"/>
      <c r="N80" s="707"/>
      <c r="O80" s="707"/>
      <c r="P80" s="710"/>
      <c r="Q80" s="704"/>
      <c r="R80" s="704"/>
      <c r="S80" s="704"/>
      <c r="T80" s="704"/>
      <c r="U80" s="704"/>
      <c r="V80" s="704"/>
      <c r="W80" s="704"/>
      <c r="X80" s="704"/>
      <c r="Y80" s="704"/>
      <c r="Z80" s="704"/>
      <c r="AA80" s="704"/>
      <c r="AB80" s="704"/>
      <c r="AC80" s="704"/>
      <c r="AD80" s="704"/>
      <c r="AE80" s="704"/>
      <c r="AF80" s="704"/>
      <c r="AG80" s="1343" t="s">
        <v>723</v>
      </c>
      <c r="AH80" s="704" t="s">
        <v>723</v>
      </c>
      <c r="AI80" s="704" t="s">
        <v>723</v>
      </c>
      <c r="AJ80" s="704" t="s">
        <v>2976</v>
      </c>
      <c r="AK80" s="704"/>
      <c r="AL80" s="704"/>
      <c r="AM80" s="704"/>
      <c r="AN80" s="711"/>
      <c r="AO80" s="704"/>
      <c r="AP80" s="704"/>
      <c r="AQ80" s="711">
        <f>+FL_2($T$81,$T$79,$G$80,1200,9.28,-1*$F$81)</f>
        <v>-0.35000000000000114</v>
      </c>
      <c r="AR80" s="711"/>
      <c r="AS80" s="711"/>
      <c r="AT80" s="711"/>
      <c r="AU80" s="711"/>
      <c r="AV80" s="711"/>
      <c r="AW80" s="704"/>
      <c r="AX80" s="704"/>
      <c r="AY80" s="704"/>
    </row>
    <row r="81" spans="1:58" ht="15.75" hidden="1" customHeight="1">
      <c r="A81" s="716" t="s">
        <v>2602</v>
      </c>
      <c r="B81" s="725" t="s">
        <v>1338</v>
      </c>
      <c r="C81" s="718">
        <f>+$C$79+$G$80</f>
        <v>32365</v>
      </c>
      <c r="D81" s="719"/>
      <c r="E81" s="719"/>
      <c r="F81" s="720">
        <v>0</v>
      </c>
      <c r="G81" s="721"/>
      <c r="H81" s="726" t="s">
        <v>138</v>
      </c>
      <c r="I81" s="726" t="s">
        <v>948</v>
      </c>
      <c r="J81" s="723"/>
      <c r="K81" s="719"/>
      <c r="L81" s="719" t="s">
        <v>241</v>
      </c>
      <c r="M81" s="719"/>
      <c r="N81" s="726" t="s">
        <v>696</v>
      </c>
      <c r="O81" s="726"/>
      <c r="P81" s="731"/>
      <c r="Q81" s="719">
        <v>0</v>
      </c>
      <c r="R81" s="719">
        <v>0</v>
      </c>
      <c r="S81" s="719"/>
      <c r="T81" s="719">
        <v>30</v>
      </c>
      <c r="U81" s="719"/>
      <c r="V81" s="719"/>
      <c r="W81" s="719">
        <v>1.1000000000000001</v>
      </c>
      <c r="X81" s="719"/>
      <c r="Y81" s="719"/>
      <c r="Z81" s="719"/>
      <c r="AA81" s="719"/>
      <c r="AB81" s="719"/>
      <c r="AC81" s="719" t="s">
        <v>2977</v>
      </c>
      <c r="AD81" s="719"/>
      <c r="AE81" s="719"/>
      <c r="AF81" s="719">
        <v>200</v>
      </c>
      <c r="AG81" s="1341">
        <v>32364.959999999999</v>
      </c>
      <c r="AH81" s="719">
        <v>1568</v>
      </c>
      <c r="AI81" s="719">
        <v>-4881</v>
      </c>
      <c r="AJ81" s="719"/>
      <c r="AK81" s="719"/>
      <c r="AL81" s="719"/>
      <c r="AM81" s="719" t="s">
        <v>2608</v>
      </c>
      <c r="AN81" s="724">
        <v>5.34</v>
      </c>
      <c r="AO81" s="719"/>
      <c r="AP81" s="719"/>
      <c r="AQ81" s="724"/>
      <c r="AR81" s="724"/>
      <c r="AS81" s="724"/>
      <c r="AT81" s="724">
        <f>+ab($T$81,$T$79,$T$83,$G$80,$G$82,-1*$F$81,1200)</f>
        <v>7.8015659087582669</v>
      </c>
      <c r="AU81" s="724"/>
      <c r="AV81" s="724"/>
      <c r="AW81" s="719"/>
      <c r="AX81" s="719"/>
      <c r="AY81" s="719"/>
    </row>
    <row r="82" spans="1:58" ht="15.75" hidden="1" customHeight="1">
      <c r="A82" s="716"/>
      <c r="B82" s="717"/>
      <c r="C82" s="718"/>
      <c r="D82" s="719"/>
      <c r="E82" s="719"/>
      <c r="F82" s="720"/>
      <c r="G82" s="721">
        <v>45</v>
      </c>
      <c r="H82" s="726"/>
      <c r="I82" s="726"/>
      <c r="J82" s="723">
        <v>32375.98</v>
      </c>
      <c r="K82" s="719" t="s">
        <v>1097</v>
      </c>
      <c r="L82" s="719"/>
      <c r="M82" s="719"/>
      <c r="N82" s="726"/>
      <c r="O82" s="726"/>
      <c r="P82" s="731"/>
      <c r="Q82" s="719"/>
      <c r="R82" s="719"/>
      <c r="S82" s="719">
        <f>AG83-AG81</f>
        <v>43.330000000001746</v>
      </c>
      <c r="T82" s="719"/>
      <c r="U82" s="719"/>
      <c r="V82" s="719"/>
      <c r="W82" s="719"/>
      <c r="X82" s="719"/>
      <c r="Y82" s="719"/>
      <c r="Z82" s="719"/>
      <c r="AA82" s="719"/>
      <c r="AB82" s="719"/>
      <c r="AC82" s="719"/>
      <c r="AD82" s="719"/>
      <c r="AE82" s="719"/>
      <c r="AF82" s="719"/>
      <c r="AG82" s="1341" t="s">
        <v>723</v>
      </c>
      <c r="AH82" s="719" t="s">
        <v>723</v>
      </c>
      <c r="AI82" s="719" t="s">
        <v>723</v>
      </c>
      <c r="AJ82" s="719"/>
      <c r="AK82" s="719"/>
      <c r="AL82" s="719"/>
      <c r="AM82" s="719"/>
      <c r="AN82" s="719"/>
      <c r="AO82" s="719"/>
      <c r="AP82" s="719"/>
      <c r="AQ82" s="724">
        <f>+FL_2($U$83,$T$81,$G$82,1200,9.28,-1*$F$83)</f>
        <v>-0.26733364444444441</v>
      </c>
      <c r="AR82" s="724"/>
      <c r="AS82" s="724"/>
      <c r="AT82" s="724"/>
      <c r="AU82" s="724"/>
      <c r="AV82" s="724"/>
      <c r="AW82" s="719"/>
      <c r="AX82" s="719"/>
      <c r="AY82" s="719"/>
    </row>
    <row r="83" spans="1:58" ht="15.75" hidden="1" customHeight="1">
      <c r="A83" s="716" t="s">
        <v>677</v>
      </c>
      <c r="B83" s="725" t="s">
        <v>1339</v>
      </c>
      <c r="C83" s="718">
        <f>+$C$81+$G$82</f>
        <v>32410</v>
      </c>
      <c r="D83" s="719"/>
      <c r="E83" s="719"/>
      <c r="F83" s="720">
        <v>0</v>
      </c>
      <c r="G83" s="721"/>
      <c r="H83" s="726" t="s">
        <v>668</v>
      </c>
      <c r="I83" s="726"/>
      <c r="J83" s="723"/>
      <c r="K83" s="719"/>
      <c r="L83" s="719" t="s">
        <v>465</v>
      </c>
      <c r="M83" s="719"/>
      <c r="N83" s="726" t="s">
        <v>697</v>
      </c>
      <c r="O83" s="726" t="s">
        <v>695</v>
      </c>
      <c r="P83" s="731"/>
      <c r="Q83" s="719">
        <v>0</v>
      </c>
      <c r="R83" s="719">
        <v>0</v>
      </c>
      <c r="S83" s="719">
        <f>AG84-AG83</f>
        <v>1.75</v>
      </c>
      <c r="T83" s="719">
        <v>-5</v>
      </c>
      <c r="U83" s="719">
        <v>-25</v>
      </c>
      <c r="V83" s="719"/>
      <c r="W83" s="719">
        <v>1.1000000000000001</v>
      </c>
      <c r="X83" s="719">
        <v>1.2</v>
      </c>
      <c r="Y83" s="719"/>
      <c r="Z83" s="719">
        <v>0.45</v>
      </c>
      <c r="AA83" s="719"/>
      <c r="AB83" s="719"/>
      <c r="AC83" s="719"/>
      <c r="AD83" s="719" t="s">
        <v>2614</v>
      </c>
      <c r="AE83" s="719"/>
      <c r="AF83" s="719">
        <v>200</v>
      </c>
      <c r="AG83" s="1341">
        <v>32408.29</v>
      </c>
      <c r="AH83" s="719">
        <v>1580</v>
      </c>
      <c r="AI83" s="719">
        <v>-5059</v>
      </c>
      <c r="AJ83" s="719"/>
      <c r="AK83" s="719"/>
      <c r="AL83" s="719"/>
      <c r="AM83" s="719" t="s">
        <v>2608</v>
      </c>
      <c r="AN83" s="719">
        <v>5.26</v>
      </c>
      <c r="AO83" s="719"/>
      <c r="AP83" s="719"/>
      <c r="AQ83" s="724"/>
      <c r="AR83" s="724"/>
      <c r="AS83" s="724"/>
      <c r="AT83" s="724">
        <f>+ab($U$83,$T$81,$U$85,$G$82,$G$84,-1*$F$83,1200)</f>
        <v>-10.41448986839249</v>
      </c>
      <c r="AU83" s="724"/>
      <c r="AV83" s="724"/>
      <c r="AW83" s="719"/>
      <c r="AX83" s="719"/>
      <c r="AY83" s="719"/>
    </row>
    <row r="84" spans="1:58" ht="15.75" hidden="1" customHeight="1">
      <c r="A84" s="716"/>
      <c r="B84" s="717"/>
      <c r="C84" s="718"/>
      <c r="D84" s="719"/>
      <c r="E84" s="719"/>
      <c r="F84" s="720"/>
      <c r="G84" s="721">
        <v>50</v>
      </c>
      <c r="H84" s="719"/>
      <c r="I84" s="722"/>
      <c r="J84" s="723"/>
      <c r="K84" s="719"/>
      <c r="L84" s="719"/>
      <c r="M84" s="719"/>
      <c r="N84" s="726"/>
      <c r="O84" s="726"/>
      <c r="P84" s="731"/>
      <c r="Q84" s="719">
        <v>0</v>
      </c>
      <c r="R84" s="719">
        <v>0</v>
      </c>
      <c r="S84" s="719">
        <f>AG85-AG84</f>
        <v>47.869999999998981</v>
      </c>
      <c r="T84" s="719"/>
      <c r="U84" s="719"/>
      <c r="V84" s="719"/>
      <c r="W84" s="719"/>
      <c r="X84" s="719"/>
      <c r="Y84" s="719"/>
      <c r="Z84" s="719"/>
      <c r="AA84" s="719"/>
      <c r="AB84" s="719"/>
      <c r="AC84" s="719"/>
      <c r="AD84" s="719"/>
      <c r="AE84" s="719"/>
      <c r="AF84" s="719">
        <v>200</v>
      </c>
      <c r="AG84" s="1341">
        <v>32410.04</v>
      </c>
      <c r="AH84" s="719">
        <v>1571</v>
      </c>
      <c r="AI84" s="719">
        <v>-5030</v>
      </c>
      <c r="AJ84" s="719"/>
      <c r="AK84" s="719"/>
      <c r="AL84" s="719"/>
      <c r="AM84" s="719"/>
      <c r="AN84" s="719"/>
      <c r="AO84" s="719"/>
      <c r="AP84" s="719"/>
      <c r="AQ84" s="724">
        <f>+FL_1($T$85,$U$83,$G$84,1200,9.28,-1*$F$85)</f>
        <v>0.30632183866666668</v>
      </c>
      <c r="AR84" s="724"/>
      <c r="AS84" s="724"/>
      <c r="AT84" s="724"/>
      <c r="AU84" s="724"/>
      <c r="AV84" s="724"/>
      <c r="AW84" s="719"/>
      <c r="AX84" s="719"/>
      <c r="AY84" s="719"/>
    </row>
    <row r="85" spans="1:58" ht="15.75" hidden="1" customHeight="1">
      <c r="A85" s="716" t="s">
        <v>677</v>
      </c>
      <c r="B85" s="725" t="s">
        <v>1340</v>
      </c>
      <c r="C85" s="718">
        <f>+$C$83+$G$84</f>
        <v>32460</v>
      </c>
      <c r="D85" s="719"/>
      <c r="E85" s="719"/>
      <c r="F85" s="720">
        <v>0</v>
      </c>
      <c r="G85" s="721"/>
      <c r="H85" s="726" t="s">
        <v>668</v>
      </c>
      <c r="I85" s="722"/>
      <c r="J85" s="723"/>
      <c r="K85" s="719"/>
      <c r="L85" s="719" t="s">
        <v>465</v>
      </c>
      <c r="M85" s="719"/>
      <c r="N85" s="726" t="s">
        <v>696</v>
      </c>
      <c r="O85" s="726" t="s">
        <v>697</v>
      </c>
      <c r="P85" s="731"/>
      <c r="Q85" s="719">
        <v>0</v>
      </c>
      <c r="R85" s="719">
        <v>0</v>
      </c>
      <c r="S85" s="719">
        <f>AG86-AG85</f>
        <v>1.5600000000013097</v>
      </c>
      <c r="T85" s="719">
        <v>25</v>
      </c>
      <c r="U85" s="719">
        <v>5</v>
      </c>
      <c r="V85" s="719"/>
      <c r="W85" s="719">
        <v>1.1000000000000001</v>
      </c>
      <c r="X85" s="719">
        <v>1.2</v>
      </c>
      <c r="Y85" s="719"/>
      <c r="Z85" s="719"/>
      <c r="AA85" s="719">
        <v>0.45</v>
      </c>
      <c r="AB85" s="719"/>
      <c r="AC85" s="719" t="s">
        <v>2616</v>
      </c>
      <c r="AD85" s="719"/>
      <c r="AE85" s="719"/>
      <c r="AF85" s="719">
        <v>200</v>
      </c>
      <c r="AG85" s="1341">
        <v>32457.91</v>
      </c>
      <c r="AH85" s="719">
        <v>1477</v>
      </c>
      <c r="AI85" s="719">
        <v>-5139</v>
      </c>
      <c r="AJ85" s="719"/>
      <c r="AK85" s="719"/>
      <c r="AL85" s="719"/>
      <c r="AM85" s="719" t="s">
        <v>2608</v>
      </c>
      <c r="AN85" s="719">
        <v>5.25</v>
      </c>
      <c r="AO85" s="719"/>
      <c r="AP85" s="719"/>
      <c r="AQ85" s="724"/>
      <c r="AR85" s="724"/>
      <c r="AS85" s="724"/>
      <c r="AT85" s="724">
        <f>+ab($T$85,$T$83,$T$87,$G$84,$G$86,-1*$F$85,1200)</f>
        <v>10.414436761509348</v>
      </c>
      <c r="AU85" s="724"/>
      <c r="AV85" s="724"/>
      <c r="AW85" s="719"/>
      <c r="AX85" s="719"/>
      <c r="AY85" s="719"/>
      <c r="BD85" s="560"/>
    </row>
    <row r="86" spans="1:58" ht="15.75" hidden="1" customHeight="1">
      <c r="A86" s="716"/>
      <c r="B86" s="717"/>
      <c r="C86" s="718"/>
      <c r="D86" s="719"/>
      <c r="E86" s="719"/>
      <c r="F86" s="720"/>
      <c r="G86" s="721">
        <v>45</v>
      </c>
      <c r="H86" s="726"/>
      <c r="I86" s="726"/>
      <c r="J86" s="727">
        <v>32496.62</v>
      </c>
      <c r="K86" s="726" t="s">
        <v>1097</v>
      </c>
      <c r="L86" s="719"/>
      <c r="M86" s="719"/>
      <c r="N86" s="726"/>
      <c r="O86" s="726"/>
      <c r="P86" s="731"/>
      <c r="Q86" s="719">
        <v>0</v>
      </c>
      <c r="R86" s="719">
        <v>0</v>
      </c>
      <c r="S86" s="719">
        <f>AG87-AG86</f>
        <v>46.479999999999563</v>
      </c>
      <c r="T86" s="719"/>
      <c r="U86" s="719"/>
      <c r="V86" s="719"/>
      <c r="W86" s="719"/>
      <c r="X86" s="719"/>
      <c r="Y86" s="719"/>
      <c r="Z86" s="719"/>
      <c r="AA86" s="719"/>
      <c r="AB86" s="719"/>
      <c r="AC86" s="719"/>
      <c r="AD86" s="719"/>
      <c r="AE86" s="719"/>
      <c r="AF86" s="719">
        <v>200</v>
      </c>
      <c r="AG86" s="1341">
        <v>32459.47</v>
      </c>
      <c r="AH86" s="719">
        <v>1574</v>
      </c>
      <c r="AI86" s="719">
        <v>-5132</v>
      </c>
      <c r="AJ86" s="719"/>
      <c r="AK86" s="719"/>
      <c r="AL86" s="719"/>
      <c r="AM86" s="719"/>
      <c r="AN86" s="719"/>
      <c r="AO86" s="719"/>
      <c r="AP86" s="719"/>
      <c r="AQ86" s="724">
        <f>+FL_1($T$87,$T$85,$G$86,1200,9.28,-1*$F$87)</f>
        <v>0.26733364444444441</v>
      </c>
      <c r="AR86" s="724"/>
      <c r="AS86" s="724"/>
      <c r="AT86" s="724"/>
      <c r="AU86" s="724"/>
      <c r="AV86" s="724"/>
      <c r="AW86" s="719"/>
      <c r="AX86" s="719"/>
      <c r="AY86" s="719"/>
    </row>
    <row r="87" spans="1:58" ht="15.75" hidden="1" customHeight="1">
      <c r="A87" s="716" t="s">
        <v>677</v>
      </c>
      <c r="B87" s="725" t="s">
        <v>1341</v>
      </c>
      <c r="C87" s="718">
        <f>+$C$85+$G$86</f>
        <v>32505</v>
      </c>
      <c r="D87" s="719"/>
      <c r="E87" s="719"/>
      <c r="F87" s="720">
        <v>0</v>
      </c>
      <c r="G87" s="721"/>
      <c r="H87" s="726" t="s">
        <v>138</v>
      </c>
      <c r="I87" s="726" t="s">
        <v>948</v>
      </c>
      <c r="J87" s="727"/>
      <c r="K87" s="726"/>
      <c r="L87" s="719" t="s">
        <v>241</v>
      </c>
      <c r="M87" s="719"/>
      <c r="N87" s="726" t="s">
        <v>695</v>
      </c>
      <c r="O87" s="726"/>
      <c r="P87" s="731"/>
      <c r="Q87" s="719">
        <v>0</v>
      </c>
      <c r="R87" s="719">
        <v>0</v>
      </c>
      <c r="S87" s="719"/>
      <c r="T87" s="719">
        <v>-30</v>
      </c>
      <c r="U87" s="719"/>
      <c r="V87" s="719"/>
      <c r="W87" s="719">
        <v>1.1000000000000001</v>
      </c>
      <c r="X87" s="719"/>
      <c r="Y87" s="719"/>
      <c r="Z87" s="719"/>
      <c r="AA87" s="719"/>
      <c r="AB87" s="719"/>
      <c r="AC87" s="719" t="s">
        <v>2978</v>
      </c>
      <c r="AD87" s="719"/>
      <c r="AE87" s="719"/>
      <c r="AF87" s="719">
        <v>200</v>
      </c>
      <c r="AG87" s="1341">
        <v>32505.95</v>
      </c>
      <c r="AH87" s="719">
        <v>1502</v>
      </c>
      <c r="AI87" s="719">
        <v>-5164</v>
      </c>
      <c r="AJ87" s="719"/>
      <c r="AK87" s="719"/>
      <c r="AL87" s="719"/>
      <c r="AM87" s="719" t="s">
        <v>2608</v>
      </c>
      <c r="AN87" s="719">
        <v>5.25</v>
      </c>
      <c r="AO87" s="719"/>
      <c r="AP87" s="719"/>
      <c r="AQ87" s="724"/>
      <c r="AR87" s="724"/>
      <c r="AS87" s="724"/>
      <c r="AT87" s="724">
        <f>+ab($T$87,$T$85,$T$89,$G$86,$G$88,-1*$F$87,1200)</f>
        <v>-7.8722751225595831</v>
      </c>
      <c r="AU87" s="724"/>
      <c r="AV87" s="724"/>
      <c r="AW87" s="719"/>
      <c r="AX87" s="719"/>
      <c r="AY87" s="719"/>
    </row>
    <row r="88" spans="1:58" ht="15.75" hidden="1" customHeight="1">
      <c r="A88" s="716"/>
      <c r="B88" s="717"/>
      <c r="C88" s="718"/>
      <c r="D88" s="719"/>
      <c r="E88" s="719"/>
      <c r="F88" s="720"/>
      <c r="G88" s="721">
        <v>50</v>
      </c>
      <c r="H88" s="726"/>
      <c r="I88" s="726"/>
      <c r="J88" s="727"/>
      <c r="K88" s="726"/>
      <c r="L88" s="719"/>
      <c r="M88" s="719"/>
      <c r="N88" s="726"/>
      <c r="O88" s="726"/>
      <c r="P88" s="731"/>
      <c r="Q88" s="719"/>
      <c r="R88" s="719"/>
      <c r="S88" s="719">
        <f>AG89-AG87</f>
        <v>51.209999999999127</v>
      </c>
      <c r="T88" s="719"/>
      <c r="U88" s="719"/>
      <c r="V88" s="719"/>
      <c r="W88" s="719"/>
      <c r="X88" s="719"/>
      <c r="Y88" s="719"/>
      <c r="Z88" s="719"/>
      <c r="AA88" s="719"/>
      <c r="AB88" s="719"/>
      <c r="AC88" s="719"/>
      <c r="AD88" s="719"/>
      <c r="AE88" s="719"/>
      <c r="AF88" s="719"/>
      <c r="AG88" s="1341" t="s">
        <v>723</v>
      </c>
      <c r="AH88" s="719" t="s">
        <v>723</v>
      </c>
      <c r="AI88" s="719" t="s">
        <v>723</v>
      </c>
      <c r="AJ88" s="719"/>
      <c r="AK88" s="719"/>
      <c r="AL88" s="719"/>
      <c r="AM88" s="719"/>
      <c r="AN88" s="719"/>
      <c r="AO88" s="719"/>
      <c r="AP88" s="719"/>
      <c r="AQ88" s="724">
        <f>+FL_1($T$89,$T$87,$G$88,1200,9.28,-1*$F$89)</f>
        <v>0.33477011200000001</v>
      </c>
      <c r="AR88" s="724"/>
      <c r="AS88" s="724"/>
      <c r="AT88" s="724"/>
      <c r="AU88" s="724"/>
      <c r="AV88" s="724"/>
      <c r="AW88" s="719"/>
      <c r="AX88" s="719"/>
      <c r="AY88" s="719"/>
    </row>
    <row r="89" spans="1:58" ht="15.75" hidden="1" customHeight="1">
      <c r="A89" s="716" t="s">
        <v>677</v>
      </c>
      <c r="B89" s="725" t="s">
        <v>1342</v>
      </c>
      <c r="C89" s="718">
        <f>+$C$87+$G$88</f>
        <v>32555</v>
      </c>
      <c r="D89" s="719"/>
      <c r="E89" s="719"/>
      <c r="F89" s="720">
        <v>0</v>
      </c>
      <c r="G89" s="721"/>
      <c r="H89" s="726"/>
      <c r="I89" s="726"/>
      <c r="J89" s="723"/>
      <c r="K89" s="719"/>
      <c r="L89" s="719" t="s">
        <v>241</v>
      </c>
      <c r="M89" s="719"/>
      <c r="N89" s="726" t="s">
        <v>696</v>
      </c>
      <c r="O89" s="726"/>
      <c r="P89" s="731"/>
      <c r="Q89" s="719">
        <v>0</v>
      </c>
      <c r="R89" s="719">
        <v>0</v>
      </c>
      <c r="S89" s="719"/>
      <c r="T89" s="719">
        <v>30</v>
      </c>
      <c r="U89" s="719"/>
      <c r="V89" s="719"/>
      <c r="W89" s="719">
        <v>1.1000000000000001</v>
      </c>
      <c r="X89" s="719"/>
      <c r="Y89" s="719"/>
      <c r="Z89" s="719"/>
      <c r="AA89" s="719"/>
      <c r="AB89" s="719"/>
      <c r="AC89" s="719" t="s">
        <v>2977</v>
      </c>
      <c r="AD89" s="719"/>
      <c r="AE89" s="719"/>
      <c r="AF89" s="719">
        <v>200</v>
      </c>
      <c r="AG89" s="1341">
        <v>32557.16</v>
      </c>
      <c r="AH89" s="719">
        <v>1524</v>
      </c>
      <c r="AI89" s="719">
        <v>-5142</v>
      </c>
      <c r="AJ89" s="719"/>
      <c r="AK89" s="719"/>
      <c r="AL89" s="719"/>
      <c r="AM89" s="719" t="s">
        <v>2608</v>
      </c>
      <c r="AN89" s="719">
        <v>5.25</v>
      </c>
      <c r="AO89" s="719"/>
      <c r="AP89" s="719"/>
      <c r="AQ89" s="724"/>
      <c r="AR89" s="724"/>
      <c r="AS89" s="724"/>
      <c r="AT89" s="724">
        <f>+ab($T$89,$T$87,$T$91,$G$88,$G$90,-1*$F$89,1200)</f>
        <v>7.9442083933778509</v>
      </c>
      <c r="AU89" s="724"/>
      <c r="AV89" s="724"/>
      <c r="AW89" s="719"/>
      <c r="AX89" s="719"/>
      <c r="AY89" s="719"/>
    </row>
    <row r="90" spans="1:58" ht="15.75" hidden="1" customHeight="1">
      <c r="A90" s="716"/>
      <c r="B90" s="717"/>
      <c r="C90" s="718"/>
      <c r="D90" s="719"/>
      <c r="E90" s="719"/>
      <c r="F90" s="720"/>
      <c r="G90" s="721">
        <v>50</v>
      </c>
      <c r="H90" s="726"/>
      <c r="I90" s="722"/>
      <c r="J90" s="723"/>
      <c r="K90" s="719"/>
      <c r="L90" s="719"/>
      <c r="M90" s="719"/>
      <c r="N90" s="726"/>
      <c r="O90" s="726"/>
      <c r="P90" s="731"/>
      <c r="Q90" s="719"/>
      <c r="R90" s="719"/>
      <c r="S90" s="719">
        <f>AG91-AG89</f>
        <v>48.090000000000146</v>
      </c>
      <c r="T90" s="719"/>
      <c r="U90" s="719"/>
      <c r="V90" s="719"/>
      <c r="W90" s="719"/>
      <c r="X90" s="719"/>
      <c r="Y90" s="719"/>
      <c r="Z90" s="719"/>
      <c r="AA90" s="719"/>
      <c r="AB90" s="719"/>
      <c r="AC90" s="719"/>
      <c r="AD90" s="719"/>
      <c r="AE90" s="719"/>
      <c r="AF90" s="719"/>
      <c r="AG90" s="1341" t="s">
        <v>723</v>
      </c>
      <c r="AH90" s="719" t="s">
        <v>723</v>
      </c>
      <c r="AI90" s="719" t="s">
        <v>723</v>
      </c>
      <c r="AJ90" s="719"/>
      <c r="AK90" s="719"/>
      <c r="AL90" s="719"/>
      <c r="AM90" s="719"/>
      <c r="AN90" s="719"/>
      <c r="AO90" s="719"/>
      <c r="AP90" s="719"/>
      <c r="AQ90" s="724">
        <f>+FL_2($T$91,$T$89,$G$90,1200,9.28,-1*$F$91)</f>
        <v>-0.33477011200000001</v>
      </c>
      <c r="AR90" s="724"/>
      <c r="AS90" s="724"/>
      <c r="AT90" s="724"/>
      <c r="AU90" s="724"/>
      <c r="AV90" s="724"/>
      <c r="AW90" s="719"/>
      <c r="AX90" s="719"/>
      <c r="AY90" s="719"/>
    </row>
    <row r="91" spans="1:58" ht="15.75" hidden="1" customHeight="1">
      <c r="A91" s="716" t="s">
        <v>677</v>
      </c>
      <c r="B91" s="725" t="s">
        <v>1343</v>
      </c>
      <c r="C91" s="718">
        <f>+$C$89+$G$90</f>
        <v>32605</v>
      </c>
      <c r="D91" s="719"/>
      <c r="E91" s="719"/>
      <c r="F91" s="720">
        <v>0</v>
      </c>
      <c r="G91" s="721"/>
      <c r="H91" s="726"/>
      <c r="I91" s="726"/>
      <c r="J91" s="723"/>
      <c r="K91" s="719"/>
      <c r="L91" s="719" t="s">
        <v>241</v>
      </c>
      <c r="M91" s="719"/>
      <c r="N91" s="726" t="s">
        <v>695</v>
      </c>
      <c r="O91" s="726"/>
      <c r="P91" s="731"/>
      <c r="Q91" s="719">
        <v>0</v>
      </c>
      <c r="R91" s="719">
        <v>0</v>
      </c>
      <c r="S91" s="719"/>
      <c r="T91" s="719">
        <v>-30</v>
      </c>
      <c r="U91" s="719"/>
      <c r="V91" s="719"/>
      <c r="W91" s="719">
        <v>1.1000000000000001</v>
      </c>
      <c r="X91" s="719"/>
      <c r="Y91" s="719"/>
      <c r="Z91" s="719"/>
      <c r="AA91" s="719"/>
      <c r="AB91" s="719"/>
      <c r="AC91" s="719" t="s">
        <v>2979</v>
      </c>
      <c r="AD91" s="719"/>
      <c r="AE91" s="719"/>
      <c r="AF91" s="719">
        <v>200</v>
      </c>
      <c r="AG91" s="1341">
        <v>32605.25</v>
      </c>
      <c r="AH91" s="719">
        <v>1589</v>
      </c>
      <c r="AI91" s="719">
        <v>-5096</v>
      </c>
      <c r="AJ91" s="719"/>
      <c r="AK91" s="719"/>
      <c r="AL91" s="719"/>
      <c r="AM91" s="719" t="s">
        <v>2608</v>
      </c>
      <c r="AN91" s="719">
        <v>5.25</v>
      </c>
      <c r="AO91" s="719"/>
      <c r="AP91" s="719"/>
      <c r="AQ91" s="724"/>
      <c r="AR91" s="724"/>
      <c r="AS91" s="724"/>
      <c r="AT91" s="724">
        <f>+ab($T$91,$T$89,$T$93,$G$90,$G$92,-1*$F$91,1200)</f>
        <v>-7.9442410717051439</v>
      </c>
      <c r="AU91" s="724"/>
      <c r="AV91" s="724"/>
      <c r="AW91" s="719"/>
      <c r="AX91" s="719"/>
      <c r="AY91" s="719"/>
      <c r="BC91" s="560"/>
    </row>
    <row r="92" spans="1:58" ht="15.75" hidden="1" customHeight="1">
      <c r="A92" s="716"/>
      <c r="B92" s="717"/>
      <c r="C92" s="718"/>
      <c r="D92" s="719"/>
      <c r="E92" s="719"/>
      <c r="F92" s="720"/>
      <c r="G92" s="721">
        <v>50</v>
      </c>
      <c r="H92" s="726"/>
      <c r="I92" s="726"/>
      <c r="J92" s="723"/>
      <c r="K92" s="719"/>
      <c r="L92" s="719"/>
      <c r="M92" s="719"/>
      <c r="N92" s="726"/>
      <c r="O92" s="726"/>
      <c r="P92" s="731"/>
      <c r="Q92" s="719"/>
      <c r="R92" s="719"/>
      <c r="S92" s="719">
        <f t="shared" ref="S92" si="23">AG93-AG91</f>
        <v>49.540000000000873</v>
      </c>
      <c r="T92" s="719"/>
      <c r="U92" s="719"/>
      <c r="V92" s="719"/>
      <c r="W92" s="719"/>
      <c r="X92" s="719"/>
      <c r="Y92" s="719"/>
      <c r="Z92" s="719"/>
      <c r="AA92" s="719"/>
      <c r="AB92" s="719"/>
      <c r="AC92" s="719"/>
      <c r="AD92" s="719"/>
      <c r="AE92" s="719"/>
      <c r="AF92" s="719"/>
      <c r="AG92" s="1341" t="s">
        <v>723</v>
      </c>
      <c r="AH92" s="719" t="s">
        <v>723</v>
      </c>
      <c r="AI92" s="719" t="s">
        <v>723</v>
      </c>
      <c r="AJ92" s="719"/>
      <c r="AK92" s="719"/>
      <c r="AL92" s="719"/>
      <c r="AM92" s="719"/>
      <c r="AN92" s="719"/>
      <c r="AO92" s="719"/>
      <c r="AP92" s="719"/>
      <c r="AQ92" s="724">
        <f>+FL_1($T$93,$T$91,$G$92,1200,9.28,-1*$F$93)</f>
        <v>0.33477011200000001</v>
      </c>
      <c r="AR92" s="724"/>
      <c r="AS92" s="724"/>
      <c r="AT92" s="724"/>
      <c r="AU92" s="724"/>
      <c r="AV92" s="724"/>
      <c r="AW92" s="719"/>
      <c r="AX92" s="719"/>
      <c r="AY92" s="719"/>
    </row>
    <row r="93" spans="1:58" ht="15.75" hidden="1" customHeight="1">
      <c r="A93" s="716" t="s">
        <v>677</v>
      </c>
      <c r="B93" s="725" t="s">
        <v>1344</v>
      </c>
      <c r="C93" s="718">
        <f>+$C$91+$G$92</f>
        <v>32655</v>
      </c>
      <c r="D93" s="719"/>
      <c r="E93" s="719"/>
      <c r="F93" s="720">
        <v>0</v>
      </c>
      <c r="G93" s="721"/>
      <c r="H93" s="726"/>
      <c r="I93" s="726"/>
      <c r="J93" s="723"/>
      <c r="K93" s="719"/>
      <c r="L93" s="719" t="s">
        <v>241</v>
      </c>
      <c r="M93" s="719"/>
      <c r="N93" s="726" t="s">
        <v>696</v>
      </c>
      <c r="O93" s="726"/>
      <c r="P93" s="731"/>
      <c r="Q93" s="719">
        <v>0</v>
      </c>
      <c r="R93" s="719">
        <v>0</v>
      </c>
      <c r="S93" s="719"/>
      <c r="T93" s="719">
        <v>30</v>
      </c>
      <c r="U93" s="719"/>
      <c r="V93" s="719"/>
      <c r="W93" s="719">
        <v>1.1000000000000001</v>
      </c>
      <c r="X93" s="719"/>
      <c r="Y93" s="719"/>
      <c r="Z93" s="719"/>
      <c r="AA93" s="719"/>
      <c r="AB93" s="719"/>
      <c r="AC93" s="719" t="s">
        <v>2977</v>
      </c>
      <c r="AD93" s="719"/>
      <c r="AE93" s="719"/>
      <c r="AF93" s="719">
        <v>200</v>
      </c>
      <c r="AG93" s="1341">
        <v>32654.79</v>
      </c>
      <c r="AH93" s="719">
        <v>1519</v>
      </c>
      <c r="AI93" s="719">
        <v>-5172</v>
      </c>
      <c r="AJ93" s="719"/>
      <c r="AK93" s="719"/>
      <c r="AL93" s="719"/>
      <c r="AM93" s="719" t="s">
        <v>2608</v>
      </c>
      <c r="AN93" s="719">
        <v>5.25</v>
      </c>
      <c r="AO93" s="719"/>
      <c r="AP93" s="719"/>
      <c r="AQ93" s="724"/>
      <c r="AR93" s="724"/>
      <c r="AS93" s="724"/>
      <c r="AT93" s="724">
        <f>+ab($T$93,$T$91,$T$95,$G$92,$G$94,-1*$F$93,1200)</f>
        <v>7.9442083933778509</v>
      </c>
      <c r="AU93" s="724"/>
      <c r="AV93" s="724"/>
      <c r="AW93" s="719"/>
      <c r="AX93" s="719"/>
      <c r="AY93" s="719"/>
    </row>
    <row r="94" spans="1:58" ht="15.75" hidden="1" customHeight="1">
      <c r="A94" s="716"/>
      <c r="B94" s="717"/>
      <c r="C94" s="718"/>
      <c r="D94" s="719"/>
      <c r="E94" s="719"/>
      <c r="F94" s="720"/>
      <c r="G94" s="721">
        <v>50</v>
      </c>
      <c r="H94" s="726"/>
      <c r="I94" s="726"/>
      <c r="J94" s="723"/>
      <c r="K94" s="719"/>
      <c r="L94" s="719"/>
      <c r="M94" s="719"/>
      <c r="N94" s="726"/>
      <c r="O94" s="726"/>
      <c r="P94" s="731"/>
      <c r="Q94" s="719"/>
      <c r="R94" s="719"/>
      <c r="S94" s="719">
        <f t="shared" ref="S94" si="24">AG95-AG93</f>
        <v>51.309999999997672</v>
      </c>
      <c r="T94" s="719"/>
      <c r="U94" s="719"/>
      <c r="V94" s="719"/>
      <c r="W94" s="719"/>
      <c r="X94" s="719"/>
      <c r="Y94" s="719"/>
      <c r="Z94" s="719"/>
      <c r="AA94" s="719"/>
      <c r="AB94" s="719"/>
      <c r="AC94" s="719"/>
      <c r="AD94" s="719"/>
      <c r="AE94" s="719"/>
      <c r="AF94" s="719"/>
      <c r="AG94" s="1341" t="s">
        <v>723</v>
      </c>
      <c r="AH94" s="719" t="s">
        <v>723</v>
      </c>
      <c r="AI94" s="719" t="s">
        <v>723</v>
      </c>
      <c r="AJ94" s="719"/>
      <c r="AK94" s="719"/>
      <c r="AL94" s="719"/>
      <c r="AM94" s="719"/>
      <c r="AN94" s="719"/>
      <c r="AO94" s="719"/>
      <c r="AP94" s="719"/>
      <c r="AQ94" s="724">
        <f>+FL_2($T$95,$T$93,$G$94,1200,9.28,-1*$F$95)</f>
        <v>-0.33477011200000001</v>
      </c>
      <c r="AR94" s="724"/>
      <c r="AS94" s="724"/>
      <c r="AT94" s="724"/>
      <c r="AU94" s="724"/>
      <c r="AV94" s="724"/>
      <c r="AW94" s="719"/>
      <c r="AX94" s="719"/>
      <c r="AY94" s="719"/>
      <c r="BE94" s="560"/>
      <c r="BF94" s="560"/>
    </row>
    <row r="95" spans="1:58" ht="15.75" hidden="1" customHeight="1">
      <c r="A95" s="716" t="s">
        <v>677</v>
      </c>
      <c r="B95" s="725" t="s">
        <v>1345</v>
      </c>
      <c r="C95" s="718">
        <f>+$C$93+$G$94</f>
        <v>32705</v>
      </c>
      <c r="D95" s="719"/>
      <c r="E95" s="719"/>
      <c r="F95" s="720">
        <v>0</v>
      </c>
      <c r="G95" s="721"/>
      <c r="H95" s="726"/>
      <c r="I95" s="726"/>
      <c r="J95" s="723"/>
      <c r="K95" s="719"/>
      <c r="L95" s="719" t="s">
        <v>241</v>
      </c>
      <c r="M95" s="719"/>
      <c r="N95" s="726" t="s">
        <v>695</v>
      </c>
      <c r="O95" s="726"/>
      <c r="P95" s="731"/>
      <c r="Q95" s="719">
        <v>0</v>
      </c>
      <c r="R95" s="719">
        <v>0</v>
      </c>
      <c r="S95" s="719"/>
      <c r="T95" s="719">
        <v>-30</v>
      </c>
      <c r="U95" s="719"/>
      <c r="V95" s="719"/>
      <c r="W95" s="719">
        <v>1.1000000000000001</v>
      </c>
      <c r="X95" s="719"/>
      <c r="Y95" s="719"/>
      <c r="Z95" s="719"/>
      <c r="AA95" s="719"/>
      <c r="AB95" s="719"/>
      <c r="AC95" s="719" t="s">
        <v>2978</v>
      </c>
      <c r="AD95" s="719"/>
      <c r="AE95" s="719"/>
      <c r="AF95" s="719">
        <v>200</v>
      </c>
      <c r="AG95" s="1341">
        <v>32706.1</v>
      </c>
      <c r="AH95" s="719">
        <v>1526</v>
      </c>
      <c r="AI95" s="719">
        <v>-5192</v>
      </c>
      <c r="AJ95" s="719"/>
      <c r="AK95" s="719"/>
      <c r="AL95" s="719"/>
      <c r="AM95" s="719" t="s">
        <v>2608</v>
      </c>
      <c r="AN95" s="719">
        <v>5.25</v>
      </c>
      <c r="AO95" s="719"/>
      <c r="AP95" s="719"/>
      <c r="AQ95" s="724"/>
      <c r="AR95" s="724"/>
      <c r="AS95" s="724"/>
      <c r="AT95" s="724">
        <f>+ab($T$95,$T$93,$T$97,$G$94,$G$96,-1*$F$95,1200)</f>
        <v>-7.9442410717051439</v>
      </c>
      <c r="AU95" s="724"/>
      <c r="AV95" s="724"/>
      <c r="AW95" s="719"/>
      <c r="AX95" s="719"/>
      <c r="AY95" s="719"/>
    </row>
    <row r="96" spans="1:58" ht="15.75" hidden="1" customHeight="1">
      <c r="A96" s="716"/>
      <c r="B96" s="717"/>
      <c r="C96" s="718"/>
      <c r="D96" s="719"/>
      <c r="E96" s="719"/>
      <c r="F96" s="720"/>
      <c r="G96" s="721">
        <v>50</v>
      </c>
      <c r="H96" s="726"/>
      <c r="I96" s="726"/>
      <c r="J96" s="723"/>
      <c r="K96" s="719"/>
      <c r="L96" s="719"/>
      <c r="M96" s="719"/>
      <c r="N96" s="726"/>
      <c r="O96" s="726"/>
      <c r="P96" s="731"/>
      <c r="Q96" s="719"/>
      <c r="R96" s="719"/>
      <c r="S96" s="719">
        <f t="shared" ref="S96" si="25">AG97-AG95</f>
        <v>48.069999999999709</v>
      </c>
      <c r="T96" s="719"/>
      <c r="U96" s="719"/>
      <c r="V96" s="719"/>
      <c r="W96" s="719"/>
      <c r="X96" s="719"/>
      <c r="Y96" s="719"/>
      <c r="Z96" s="719"/>
      <c r="AA96" s="719"/>
      <c r="AB96" s="719"/>
      <c r="AC96" s="719"/>
      <c r="AD96" s="719"/>
      <c r="AE96" s="719"/>
      <c r="AF96" s="719"/>
      <c r="AG96" s="1341" t="s">
        <v>723</v>
      </c>
      <c r="AH96" s="719" t="s">
        <v>723</v>
      </c>
      <c r="AI96" s="719" t="s">
        <v>723</v>
      </c>
      <c r="AJ96" s="719"/>
      <c r="AK96" s="719"/>
      <c r="AL96" s="719"/>
      <c r="AM96" s="719"/>
      <c r="AN96" s="719"/>
      <c r="AO96" s="719"/>
      <c r="AP96" s="719"/>
      <c r="AQ96" s="724">
        <f>+FL_1($T$97,$T$95,$G$96,1200,9.28,-1*$F$97)</f>
        <v>0.33477011200000001</v>
      </c>
      <c r="AR96" s="724"/>
      <c r="AS96" s="724"/>
      <c r="AT96" s="724"/>
      <c r="AU96" s="724"/>
      <c r="AV96" s="724"/>
      <c r="AW96" s="719"/>
      <c r="AX96" s="719"/>
      <c r="AY96" s="719"/>
    </row>
    <row r="97" spans="1:51" ht="15.75" hidden="1" customHeight="1">
      <c r="A97" s="716" t="s">
        <v>677</v>
      </c>
      <c r="B97" s="725" t="s">
        <v>1346</v>
      </c>
      <c r="C97" s="718">
        <f>+$C$95+$G$96</f>
        <v>32755</v>
      </c>
      <c r="D97" s="719"/>
      <c r="E97" s="719"/>
      <c r="F97" s="720">
        <v>0</v>
      </c>
      <c r="G97" s="721"/>
      <c r="H97" s="726"/>
      <c r="I97" s="722"/>
      <c r="J97" s="723"/>
      <c r="K97" s="719"/>
      <c r="L97" s="719" t="s">
        <v>241</v>
      </c>
      <c r="M97" s="719"/>
      <c r="N97" s="726" t="s">
        <v>696</v>
      </c>
      <c r="O97" s="726"/>
      <c r="P97" s="731"/>
      <c r="Q97" s="719">
        <v>0</v>
      </c>
      <c r="R97" s="719">
        <v>0</v>
      </c>
      <c r="S97" s="719"/>
      <c r="T97" s="719">
        <v>30</v>
      </c>
      <c r="U97" s="719"/>
      <c r="V97" s="719"/>
      <c r="W97" s="719">
        <v>1.1000000000000001</v>
      </c>
      <c r="X97" s="719"/>
      <c r="Y97" s="719"/>
      <c r="Z97" s="719"/>
      <c r="AA97" s="719"/>
      <c r="AB97" s="719"/>
      <c r="AC97" s="719" t="s">
        <v>2977</v>
      </c>
      <c r="AD97" s="719"/>
      <c r="AE97" s="719"/>
      <c r="AF97" s="719">
        <v>200</v>
      </c>
      <c r="AG97" s="1341">
        <v>32754.17</v>
      </c>
      <c r="AH97" s="719">
        <v>1481</v>
      </c>
      <c r="AI97" s="719">
        <v>-5184</v>
      </c>
      <c r="AJ97" s="719"/>
      <c r="AK97" s="719"/>
      <c r="AL97" s="719"/>
      <c r="AM97" s="719" t="s">
        <v>2608</v>
      </c>
      <c r="AN97" s="719">
        <v>5.25</v>
      </c>
      <c r="AO97" s="719"/>
      <c r="AP97" s="719"/>
      <c r="AQ97" s="724"/>
      <c r="AR97" s="724"/>
      <c r="AS97" s="724"/>
      <c r="AT97" s="724">
        <f>+ab($T$97,$T$95,$T$99,$G$96,$G$98,-1*$F$97,1200)</f>
        <v>7.9442083933778509</v>
      </c>
      <c r="AU97" s="724"/>
      <c r="AV97" s="724"/>
      <c r="AW97" s="719"/>
      <c r="AX97" s="719"/>
      <c r="AY97" s="719"/>
    </row>
    <row r="98" spans="1:51" ht="15.75" hidden="1" customHeight="1">
      <c r="A98" s="716"/>
      <c r="B98" s="717"/>
      <c r="C98" s="718"/>
      <c r="D98" s="719"/>
      <c r="E98" s="719"/>
      <c r="F98" s="720"/>
      <c r="G98" s="721">
        <v>50</v>
      </c>
      <c r="H98" s="726"/>
      <c r="I98" s="726"/>
      <c r="J98" s="723"/>
      <c r="K98" s="719"/>
      <c r="L98" s="719"/>
      <c r="M98" s="719"/>
      <c r="N98" s="726"/>
      <c r="O98" s="726"/>
      <c r="P98" s="731"/>
      <c r="Q98" s="719"/>
      <c r="R98" s="719"/>
      <c r="S98" s="719">
        <f t="shared" ref="S98" si="26">AG99-AG97</f>
        <v>51.160000000003492</v>
      </c>
      <c r="T98" s="719"/>
      <c r="U98" s="719"/>
      <c r="V98" s="719"/>
      <c r="W98" s="719"/>
      <c r="X98" s="719"/>
      <c r="Y98" s="719"/>
      <c r="Z98" s="719"/>
      <c r="AA98" s="719"/>
      <c r="AB98" s="719"/>
      <c r="AC98" s="719"/>
      <c r="AD98" s="719"/>
      <c r="AE98" s="719"/>
      <c r="AF98" s="719"/>
      <c r="AG98" s="1341" t="s">
        <v>723</v>
      </c>
      <c r="AH98" s="719" t="s">
        <v>723</v>
      </c>
      <c r="AI98" s="719" t="s">
        <v>723</v>
      </c>
      <c r="AJ98" s="719"/>
      <c r="AK98" s="719"/>
      <c r="AL98" s="719"/>
      <c r="AM98" s="719"/>
      <c r="AN98" s="719"/>
      <c r="AO98" s="719"/>
      <c r="AP98" s="719"/>
      <c r="AQ98" s="724">
        <f>+FL_2($T$99,$T$97,$G$98,1200,9.28,-1*$F$99)</f>
        <v>-0.33477011200000001</v>
      </c>
      <c r="AR98" s="724"/>
      <c r="AS98" s="724"/>
      <c r="AT98" s="724"/>
      <c r="AU98" s="724"/>
      <c r="AV98" s="724"/>
      <c r="AW98" s="719"/>
      <c r="AX98" s="719"/>
      <c r="AY98" s="719"/>
    </row>
    <row r="99" spans="1:51" ht="15.75" customHeight="1">
      <c r="A99" s="716" t="s">
        <v>677</v>
      </c>
      <c r="B99" s="725" t="s">
        <v>1347</v>
      </c>
      <c r="C99" s="718">
        <f>+$C$97+$G$98</f>
        <v>32805</v>
      </c>
      <c r="D99" s="719"/>
      <c r="E99" s="719"/>
      <c r="F99" s="720">
        <v>0</v>
      </c>
      <c r="G99" s="721"/>
      <c r="H99" s="726" t="s">
        <v>1101</v>
      </c>
      <c r="I99" s="722"/>
      <c r="J99" s="723"/>
      <c r="K99" s="719"/>
      <c r="L99" s="719" t="s">
        <v>241</v>
      </c>
      <c r="M99" s="719"/>
      <c r="N99" s="726" t="s">
        <v>695</v>
      </c>
      <c r="O99" s="726"/>
      <c r="P99" s="731"/>
      <c r="Q99" s="719">
        <v>0</v>
      </c>
      <c r="R99" s="719">
        <v>0</v>
      </c>
      <c r="S99" s="719"/>
      <c r="T99" s="719">
        <v>-30</v>
      </c>
      <c r="U99" s="719"/>
      <c r="V99" s="719"/>
      <c r="W99" s="719">
        <v>1.1000000000000001</v>
      </c>
      <c r="X99" s="719"/>
      <c r="Y99" s="719"/>
      <c r="Z99" s="719"/>
      <c r="AA99" s="719"/>
      <c r="AB99" s="719"/>
      <c r="AC99" s="719" t="s">
        <v>2978</v>
      </c>
      <c r="AD99" s="719"/>
      <c r="AE99" s="719"/>
      <c r="AF99" s="719">
        <v>200</v>
      </c>
      <c r="AG99" s="1341">
        <v>32805.33</v>
      </c>
      <c r="AH99" s="719">
        <v>1504</v>
      </c>
      <c r="AI99" s="719">
        <v>-5202</v>
      </c>
      <c r="AJ99" s="719"/>
      <c r="AK99" s="719"/>
      <c r="AL99" s="719"/>
      <c r="AM99" s="719" t="s">
        <v>2608</v>
      </c>
      <c r="AN99" s="719">
        <v>5.25</v>
      </c>
      <c r="AO99" s="719"/>
      <c r="AP99" s="719"/>
      <c r="AQ99" s="724"/>
      <c r="AR99" s="724"/>
      <c r="AS99" s="724"/>
      <c r="AT99" s="724">
        <f>+ab($T$99,$T$97,$T$101,$G$98,$G$100,-1*$F$99,1200)</f>
        <v>-7.9442410717051439</v>
      </c>
      <c r="AU99" s="724"/>
      <c r="AV99" s="724"/>
      <c r="AW99" s="719"/>
      <c r="AX99" s="719"/>
      <c r="AY99" s="719"/>
    </row>
    <row r="100" spans="1:51" ht="15.75" hidden="1" customHeight="1">
      <c r="A100" s="716"/>
      <c r="B100" s="717"/>
      <c r="C100" s="718"/>
      <c r="D100" s="719"/>
      <c r="E100" s="719"/>
      <c r="F100" s="720"/>
      <c r="G100" s="721">
        <v>50</v>
      </c>
      <c r="H100" s="719"/>
      <c r="I100" s="726">
        <f>+SUM(G82:G100)</f>
        <v>490</v>
      </c>
      <c r="J100" s="723">
        <v>32807.550000000003</v>
      </c>
      <c r="K100" s="719" t="s">
        <v>1102</v>
      </c>
      <c r="L100" s="719"/>
      <c r="M100" s="719"/>
      <c r="N100" s="726"/>
      <c r="O100" s="726"/>
      <c r="P100" s="731"/>
      <c r="Q100" s="719"/>
      <c r="R100" s="719"/>
      <c r="S100" s="719">
        <f t="shared" ref="S100" si="27">AG101-AG99</f>
        <v>51.259999999994761</v>
      </c>
      <c r="T100" s="719"/>
      <c r="U100" s="719"/>
      <c r="V100" s="719"/>
      <c r="W100" s="719"/>
      <c r="X100" s="719"/>
      <c r="Y100" s="719"/>
      <c r="Z100" s="719"/>
      <c r="AA100" s="719"/>
      <c r="AB100" s="719"/>
      <c r="AC100" s="719"/>
      <c r="AD100" s="719"/>
      <c r="AE100" s="719"/>
      <c r="AF100" s="719"/>
      <c r="AG100" s="1341" t="s">
        <v>723</v>
      </c>
      <c r="AH100" s="719" t="s">
        <v>723</v>
      </c>
      <c r="AI100" s="719" t="s">
        <v>723</v>
      </c>
      <c r="AJ100" s="719"/>
      <c r="AK100" s="719"/>
      <c r="AL100" s="719"/>
      <c r="AM100" s="719"/>
      <c r="AN100" s="719"/>
      <c r="AO100" s="719"/>
      <c r="AP100" s="719"/>
      <c r="AQ100" s="724">
        <f>+FL_1($T$101,$T$99,$G$100,1200,9.28,-1*$F$101)</f>
        <v>0.33477011200000001</v>
      </c>
      <c r="AR100" s="724"/>
      <c r="AS100" s="724"/>
      <c r="AT100" s="724"/>
      <c r="AU100" s="724"/>
      <c r="AV100" s="724"/>
      <c r="AW100" s="719"/>
      <c r="AX100" s="719"/>
      <c r="AY100" s="719"/>
    </row>
    <row r="101" spans="1:51" ht="15.75" customHeight="1">
      <c r="A101" s="716" t="s">
        <v>677</v>
      </c>
      <c r="B101" s="725" t="s">
        <v>1348</v>
      </c>
      <c r="C101" s="718">
        <f>+$C$99+$G$100</f>
        <v>32855</v>
      </c>
      <c r="D101" s="719"/>
      <c r="E101" s="719"/>
      <c r="F101" s="720">
        <v>0</v>
      </c>
      <c r="G101" s="721"/>
      <c r="H101" s="726" t="s">
        <v>997</v>
      </c>
      <c r="I101" s="722"/>
      <c r="J101" s="723"/>
      <c r="K101" s="719"/>
      <c r="L101" s="719" t="s">
        <v>241</v>
      </c>
      <c r="M101" s="719"/>
      <c r="N101" s="726" t="s">
        <v>696</v>
      </c>
      <c r="O101" s="726"/>
      <c r="P101" s="731"/>
      <c r="Q101" s="719">
        <v>0</v>
      </c>
      <c r="R101" s="719">
        <v>0</v>
      </c>
      <c r="S101" s="719"/>
      <c r="T101" s="719">
        <v>30</v>
      </c>
      <c r="U101" s="719"/>
      <c r="V101" s="719"/>
      <c r="W101" s="719">
        <v>1.1000000000000001</v>
      </c>
      <c r="X101" s="719"/>
      <c r="Y101" s="719"/>
      <c r="Z101" s="719"/>
      <c r="AA101" s="719"/>
      <c r="AB101" s="719"/>
      <c r="AC101" s="719" t="s">
        <v>2977</v>
      </c>
      <c r="AD101" s="719"/>
      <c r="AE101" s="719"/>
      <c r="AF101" s="719">
        <v>200</v>
      </c>
      <c r="AG101" s="1341">
        <v>32856.589999999997</v>
      </c>
      <c r="AH101" s="719">
        <v>1509</v>
      </c>
      <c r="AI101" s="719">
        <v>-5172</v>
      </c>
      <c r="AJ101" s="719"/>
      <c r="AK101" s="719"/>
      <c r="AL101" s="719"/>
      <c r="AM101" s="719" t="s">
        <v>2608</v>
      </c>
      <c r="AN101" s="719">
        <v>5.25</v>
      </c>
      <c r="AO101" s="719"/>
      <c r="AP101" s="719"/>
      <c r="AQ101" s="724"/>
      <c r="AR101" s="724"/>
      <c r="AS101" s="724"/>
      <c r="AT101" s="724">
        <f>+ab($T$101,$T$99,$T$103,$G$100,$G$102,-1*$F$101,1200)</f>
        <v>7.9442083933778509</v>
      </c>
      <c r="AU101" s="724"/>
      <c r="AV101" s="724"/>
      <c r="AW101" s="719"/>
      <c r="AX101" s="719"/>
      <c r="AY101" s="719"/>
    </row>
    <row r="102" spans="1:51" ht="15.75" hidden="1" customHeight="1">
      <c r="A102" s="716"/>
      <c r="B102" s="717"/>
      <c r="C102" s="718"/>
      <c r="D102" s="719"/>
      <c r="E102" s="719"/>
      <c r="F102" s="720"/>
      <c r="G102" s="721">
        <v>50</v>
      </c>
      <c r="H102" s="726"/>
      <c r="I102" s="722">
        <f>SUM(G102:G120)</f>
        <v>495</v>
      </c>
      <c r="J102" s="723">
        <v>32902.400000000001</v>
      </c>
      <c r="K102" s="719" t="s">
        <v>1102</v>
      </c>
      <c r="L102" s="719"/>
      <c r="M102" s="719"/>
      <c r="N102" s="726"/>
      <c r="O102" s="726"/>
      <c r="P102" s="731"/>
      <c r="Q102" s="719"/>
      <c r="R102" s="719"/>
      <c r="S102" s="719">
        <f t="shared" ref="S102" si="28">AG103-AG101</f>
        <v>48.010000000002037</v>
      </c>
      <c r="T102" s="719"/>
      <c r="U102" s="719"/>
      <c r="V102" s="719"/>
      <c r="W102" s="719"/>
      <c r="X102" s="719"/>
      <c r="Y102" s="719"/>
      <c r="Z102" s="719"/>
      <c r="AA102" s="719"/>
      <c r="AB102" s="719"/>
      <c r="AC102" s="719"/>
      <c r="AD102" s="719"/>
      <c r="AE102" s="719"/>
      <c r="AF102" s="719"/>
      <c r="AG102" s="1341" t="s">
        <v>723</v>
      </c>
      <c r="AH102" s="719" t="s">
        <v>723</v>
      </c>
      <c r="AI102" s="719" t="s">
        <v>723</v>
      </c>
      <c r="AJ102" s="719"/>
      <c r="AK102" s="719"/>
      <c r="AL102" s="719"/>
      <c r="AM102" s="719"/>
      <c r="AN102" s="719"/>
      <c r="AO102" s="719"/>
      <c r="AP102" s="719"/>
      <c r="AQ102" s="724">
        <f>+FL_2($T$103,$T$101,$G$102,1200,9.28,-1*$F$103)</f>
        <v>-0.33477011200000001</v>
      </c>
      <c r="AR102" s="724"/>
      <c r="AS102" s="724"/>
      <c r="AT102" s="724"/>
      <c r="AU102" s="724"/>
      <c r="AV102" s="724"/>
      <c r="AW102" s="719"/>
      <c r="AX102" s="719"/>
      <c r="AY102" s="719"/>
    </row>
    <row r="103" spans="1:51" ht="15.75" customHeight="1">
      <c r="A103" s="716" t="s">
        <v>677</v>
      </c>
      <c r="B103" s="725" t="s">
        <v>1349</v>
      </c>
      <c r="C103" s="718">
        <f>+$C$101+$G$102</f>
        <v>32905</v>
      </c>
      <c r="D103" s="719"/>
      <c r="E103" s="719"/>
      <c r="F103" s="720">
        <v>0</v>
      </c>
      <c r="G103" s="721"/>
      <c r="H103" s="726" t="s">
        <v>1101</v>
      </c>
      <c r="I103" s="722"/>
      <c r="J103" s="723"/>
      <c r="K103" s="719"/>
      <c r="L103" s="719" t="s">
        <v>241</v>
      </c>
      <c r="M103" s="719"/>
      <c r="N103" s="726" t="s">
        <v>695</v>
      </c>
      <c r="O103" s="726"/>
      <c r="P103" s="731"/>
      <c r="Q103" s="719">
        <v>0</v>
      </c>
      <c r="R103" s="719">
        <v>0</v>
      </c>
      <c r="S103" s="719"/>
      <c r="T103" s="719">
        <v>-30</v>
      </c>
      <c r="U103" s="719"/>
      <c r="V103" s="719"/>
      <c r="W103" s="719">
        <v>1.1000000000000001</v>
      </c>
      <c r="X103" s="719"/>
      <c r="Y103" s="719"/>
      <c r="Z103" s="719"/>
      <c r="AA103" s="719"/>
      <c r="AB103" s="719"/>
      <c r="AC103" s="719" t="s">
        <v>2978</v>
      </c>
      <c r="AD103" s="719"/>
      <c r="AE103" s="719"/>
      <c r="AF103" s="719">
        <v>200</v>
      </c>
      <c r="AG103" s="1341">
        <v>32904.6</v>
      </c>
      <c r="AH103" s="719">
        <v>1543</v>
      </c>
      <c r="AI103" s="719">
        <v>-5181</v>
      </c>
      <c r="AJ103" s="719"/>
      <c r="AK103" s="719"/>
      <c r="AL103" s="719"/>
      <c r="AM103" s="719" t="s">
        <v>2608</v>
      </c>
      <c r="AN103" s="719">
        <v>5.25</v>
      </c>
      <c r="AO103" s="719"/>
      <c r="AP103" s="719"/>
      <c r="AQ103" s="724"/>
      <c r="AR103" s="724"/>
      <c r="AS103" s="724"/>
      <c r="AT103" s="724">
        <f>+ab($T$103,$T$101,$T$105,$G$102,$G$104,-1*$F$103,1200)</f>
        <v>-7.9442410717051439</v>
      </c>
      <c r="AU103" s="724"/>
      <c r="AV103" s="724"/>
      <c r="AW103" s="719"/>
      <c r="AX103" s="719"/>
      <c r="AY103" s="719"/>
    </row>
    <row r="104" spans="1:51" ht="15.75" hidden="1" customHeight="1">
      <c r="A104" s="716"/>
      <c r="B104" s="717"/>
      <c r="C104" s="718"/>
      <c r="D104" s="719"/>
      <c r="E104" s="719"/>
      <c r="F104" s="720"/>
      <c r="G104" s="721">
        <v>50</v>
      </c>
      <c r="H104" s="719"/>
      <c r="I104" s="720"/>
      <c r="J104" s="723"/>
      <c r="K104" s="719"/>
      <c r="L104" s="719"/>
      <c r="M104" s="719"/>
      <c r="N104" s="726"/>
      <c r="O104" s="726"/>
      <c r="P104" s="731"/>
      <c r="Q104" s="719"/>
      <c r="R104" s="719"/>
      <c r="S104" s="719">
        <f t="shared" ref="S104" si="29">AG105-AG103</f>
        <v>51.360000000000582</v>
      </c>
      <c r="T104" s="719"/>
      <c r="U104" s="719"/>
      <c r="V104" s="719"/>
      <c r="W104" s="719"/>
      <c r="X104" s="719"/>
      <c r="Y104" s="719"/>
      <c r="Z104" s="719"/>
      <c r="AA104" s="719"/>
      <c r="AB104" s="719"/>
      <c r="AC104" s="719"/>
      <c r="AD104" s="719"/>
      <c r="AE104" s="719"/>
      <c r="AF104" s="719"/>
      <c r="AG104" s="1341" t="s">
        <v>723</v>
      </c>
      <c r="AH104" s="719" t="s">
        <v>723</v>
      </c>
      <c r="AI104" s="719" t="s">
        <v>723</v>
      </c>
      <c r="AJ104" s="719"/>
      <c r="AK104" s="719"/>
      <c r="AL104" s="719"/>
      <c r="AM104" s="719"/>
      <c r="AN104" s="719"/>
      <c r="AO104" s="719"/>
      <c r="AP104" s="719"/>
      <c r="AQ104" s="724">
        <f>+FL_1($T$105,$T$103,$G$104,1200,9.28,-1*$F$105)</f>
        <v>0.33477011200000001</v>
      </c>
      <c r="AR104" s="724"/>
      <c r="AS104" s="724"/>
      <c r="AT104" s="724"/>
      <c r="AU104" s="724"/>
      <c r="AV104" s="724"/>
      <c r="AW104" s="719"/>
      <c r="AX104" s="719"/>
      <c r="AY104" s="719"/>
    </row>
    <row r="105" spans="1:51" ht="15.75" hidden="1" customHeight="1">
      <c r="A105" s="716" t="s">
        <v>677</v>
      </c>
      <c r="B105" s="725" t="s">
        <v>1350</v>
      </c>
      <c r="C105" s="718">
        <f>+$C$103+$G$104</f>
        <v>32955</v>
      </c>
      <c r="D105" s="719"/>
      <c r="E105" s="719"/>
      <c r="F105" s="720">
        <v>0</v>
      </c>
      <c r="G105" s="721"/>
      <c r="H105" s="726"/>
      <c r="I105" s="726"/>
      <c r="J105" s="723"/>
      <c r="K105" s="719"/>
      <c r="L105" s="719" t="s">
        <v>241</v>
      </c>
      <c r="M105" s="719"/>
      <c r="N105" s="726" t="s">
        <v>696</v>
      </c>
      <c r="O105" s="726"/>
      <c r="P105" s="731"/>
      <c r="Q105" s="719">
        <v>0</v>
      </c>
      <c r="R105" s="719">
        <v>0</v>
      </c>
      <c r="S105" s="719"/>
      <c r="T105" s="719">
        <v>30</v>
      </c>
      <c r="U105" s="719"/>
      <c r="V105" s="719"/>
      <c r="W105" s="719">
        <v>1.1000000000000001</v>
      </c>
      <c r="X105" s="719"/>
      <c r="Y105" s="719"/>
      <c r="Z105" s="719"/>
      <c r="AA105" s="719"/>
      <c r="AB105" s="719"/>
      <c r="AC105" s="719" t="s">
        <v>2977</v>
      </c>
      <c r="AD105" s="719"/>
      <c r="AE105" s="719"/>
      <c r="AF105" s="719">
        <v>200</v>
      </c>
      <c r="AG105" s="1341">
        <v>32955.96</v>
      </c>
      <c r="AH105" s="719">
        <v>1521</v>
      </c>
      <c r="AI105" s="719">
        <v>-5161</v>
      </c>
      <c r="AJ105" s="719"/>
      <c r="AK105" s="719"/>
      <c r="AL105" s="719"/>
      <c r="AM105" s="719" t="s">
        <v>2608</v>
      </c>
      <c r="AN105" s="719">
        <v>5.25</v>
      </c>
      <c r="AO105" s="719"/>
      <c r="AP105" s="719"/>
      <c r="AQ105" s="724"/>
      <c r="AR105" s="724"/>
      <c r="AS105" s="724"/>
      <c r="AT105" s="724">
        <f>+ab($T$105,$T$103,$T$107,$G$104,$G$106,-1*$F$105,1200)</f>
        <v>7.9442083933778509</v>
      </c>
      <c r="AU105" s="724"/>
      <c r="AV105" s="724"/>
      <c r="AW105" s="719"/>
      <c r="AX105" s="719"/>
      <c r="AY105" s="719"/>
    </row>
    <row r="106" spans="1:51" ht="15.75" hidden="1" customHeight="1">
      <c r="A106" s="716"/>
      <c r="B106" s="717"/>
      <c r="C106" s="718"/>
      <c r="D106" s="719"/>
      <c r="E106" s="719"/>
      <c r="F106" s="720"/>
      <c r="G106" s="721">
        <v>50</v>
      </c>
      <c r="H106" s="719"/>
      <c r="I106" s="722"/>
      <c r="J106" s="723"/>
      <c r="K106" s="719"/>
      <c r="L106" s="719"/>
      <c r="M106" s="719"/>
      <c r="N106" s="726"/>
      <c r="O106" s="726"/>
      <c r="P106" s="731"/>
      <c r="Q106" s="719"/>
      <c r="R106" s="719"/>
      <c r="S106" s="719">
        <f t="shared" ref="S106" si="30">AG107-AG105</f>
        <v>48.090000000003783</v>
      </c>
      <c r="T106" s="719"/>
      <c r="U106" s="719"/>
      <c r="V106" s="719"/>
      <c r="W106" s="719"/>
      <c r="X106" s="719"/>
      <c r="Y106" s="719"/>
      <c r="Z106" s="719"/>
      <c r="AA106" s="719"/>
      <c r="AB106" s="719"/>
      <c r="AC106" s="719"/>
      <c r="AD106" s="719"/>
      <c r="AE106" s="719"/>
      <c r="AF106" s="719"/>
      <c r="AG106" s="1341" t="s">
        <v>723</v>
      </c>
      <c r="AH106" s="719" t="s">
        <v>723</v>
      </c>
      <c r="AI106" s="719" t="s">
        <v>723</v>
      </c>
      <c r="AJ106" s="719"/>
      <c r="AK106" s="719"/>
      <c r="AL106" s="719"/>
      <c r="AM106" s="719"/>
      <c r="AN106" s="719"/>
      <c r="AO106" s="719"/>
      <c r="AP106" s="719"/>
      <c r="AQ106" s="724">
        <f>+FL_2($T$107,$T$105,$G$106,1200,9.28,-1*$F$107)</f>
        <v>-0.33477011200000001</v>
      </c>
      <c r="AR106" s="724"/>
      <c r="AS106" s="724"/>
      <c r="AT106" s="724"/>
      <c r="AU106" s="724"/>
      <c r="AV106" s="724"/>
      <c r="AW106" s="719"/>
      <c r="AX106" s="719"/>
      <c r="AY106" s="719"/>
    </row>
    <row r="107" spans="1:51" ht="15.75" hidden="1" customHeight="1">
      <c r="A107" s="716" t="s">
        <v>677</v>
      </c>
      <c r="B107" s="725" t="s">
        <v>1351</v>
      </c>
      <c r="C107" s="718">
        <f>+$C$105+$G$106</f>
        <v>33005</v>
      </c>
      <c r="D107" s="719"/>
      <c r="E107" s="719"/>
      <c r="F107" s="720">
        <v>0</v>
      </c>
      <c r="G107" s="721"/>
      <c r="H107" s="726"/>
      <c r="I107" s="722"/>
      <c r="J107" s="723"/>
      <c r="K107" s="719"/>
      <c r="L107" s="719" t="s">
        <v>241</v>
      </c>
      <c r="M107" s="719"/>
      <c r="N107" s="726" t="s">
        <v>695</v>
      </c>
      <c r="O107" s="726"/>
      <c r="P107" s="731"/>
      <c r="Q107" s="719">
        <v>0</v>
      </c>
      <c r="R107" s="719">
        <v>0</v>
      </c>
      <c r="S107" s="719"/>
      <c r="T107" s="719">
        <v>-30</v>
      </c>
      <c r="U107" s="719"/>
      <c r="V107" s="719"/>
      <c r="W107" s="719">
        <v>1.1000000000000001</v>
      </c>
      <c r="X107" s="719"/>
      <c r="Y107" s="719"/>
      <c r="Z107" s="719"/>
      <c r="AA107" s="719"/>
      <c r="AB107" s="719"/>
      <c r="AC107" s="719" t="s">
        <v>2979</v>
      </c>
      <c r="AD107" s="719"/>
      <c r="AE107" s="719"/>
      <c r="AF107" s="719">
        <v>200</v>
      </c>
      <c r="AG107" s="1341">
        <v>33004.050000000003</v>
      </c>
      <c r="AH107" s="719">
        <v>1559</v>
      </c>
      <c r="AI107" s="719">
        <v>-5124</v>
      </c>
      <c r="AJ107" s="719"/>
      <c r="AK107" s="719"/>
      <c r="AL107" s="719"/>
      <c r="AM107" s="719" t="s">
        <v>2608</v>
      </c>
      <c r="AN107" s="719">
        <v>5.25</v>
      </c>
      <c r="AO107" s="719"/>
      <c r="AP107" s="719"/>
      <c r="AQ107" s="724"/>
      <c r="AR107" s="724"/>
      <c r="AS107" s="724"/>
      <c r="AT107" s="724">
        <f>+ab($T$107,$T$105,$T$109,$G$106,$G$108,-1*$F$107,1200)</f>
        <v>-7.9442410717051439</v>
      </c>
      <c r="AU107" s="724"/>
      <c r="AV107" s="724"/>
      <c r="AW107" s="719"/>
      <c r="AX107" s="719"/>
      <c r="AY107" s="719"/>
    </row>
    <row r="108" spans="1:51" ht="15.75" hidden="1" customHeight="1">
      <c r="A108" s="716"/>
      <c r="B108" s="717"/>
      <c r="C108" s="718"/>
      <c r="D108" s="719"/>
      <c r="E108" s="719"/>
      <c r="F108" s="720"/>
      <c r="G108" s="721">
        <v>50</v>
      </c>
      <c r="H108" s="726"/>
      <c r="I108" s="722"/>
      <c r="J108" s="723"/>
      <c r="K108" s="719"/>
      <c r="L108" s="719"/>
      <c r="M108" s="719"/>
      <c r="N108" s="726"/>
      <c r="O108" s="726"/>
      <c r="P108" s="731"/>
      <c r="Q108" s="719"/>
      <c r="R108" s="719"/>
      <c r="S108" s="719">
        <f t="shared" ref="S108" si="31">AG109-AG107</f>
        <v>51.219999999993888</v>
      </c>
      <c r="T108" s="719"/>
      <c r="U108" s="719"/>
      <c r="V108" s="719"/>
      <c r="W108" s="719"/>
      <c r="X108" s="719"/>
      <c r="Y108" s="719"/>
      <c r="Z108" s="719"/>
      <c r="AA108" s="719"/>
      <c r="AB108" s="719"/>
      <c r="AC108" s="719"/>
      <c r="AD108" s="719"/>
      <c r="AE108" s="719"/>
      <c r="AF108" s="719"/>
      <c r="AG108" s="1341" t="s">
        <v>723</v>
      </c>
      <c r="AH108" s="719" t="s">
        <v>723</v>
      </c>
      <c r="AI108" s="719" t="s">
        <v>723</v>
      </c>
      <c r="AJ108" s="719"/>
      <c r="AK108" s="719"/>
      <c r="AL108" s="719"/>
      <c r="AM108" s="719"/>
      <c r="AN108" s="719"/>
      <c r="AO108" s="719"/>
      <c r="AP108" s="719"/>
      <c r="AQ108" s="724">
        <f>+FL_1($T$109,$T$107,$G$108,1200,9.28,-1*$F$109)</f>
        <v>0.33477011200000001</v>
      </c>
      <c r="AR108" s="724"/>
      <c r="AS108" s="724"/>
      <c r="AT108" s="724"/>
      <c r="AU108" s="724"/>
      <c r="AV108" s="724"/>
      <c r="AW108" s="719"/>
      <c r="AX108" s="719"/>
      <c r="AY108" s="719"/>
    </row>
    <row r="109" spans="1:51" ht="15.75" hidden="1" customHeight="1">
      <c r="A109" s="716" t="s">
        <v>677</v>
      </c>
      <c r="B109" s="725" t="s">
        <v>1352</v>
      </c>
      <c r="C109" s="718">
        <f>+$C$107+$G$108</f>
        <v>33055</v>
      </c>
      <c r="D109" s="719"/>
      <c r="E109" s="719"/>
      <c r="F109" s="720">
        <v>0</v>
      </c>
      <c r="G109" s="721"/>
      <c r="H109" s="726"/>
      <c r="I109" s="722"/>
      <c r="J109" s="723"/>
      <c r="K109" s="719"/>
      <c r="L109" s="719" t="s">
        <v>241</v>
      </c>
      <c r="M109" s="719"/>
      <c r="N109" s="726" t="s">
        <v>696</v>
      </c>
      <c r="O109" s="726"/>
      <c r="P109" s="731"/>
      <c r="Q109" s="719">
        <v>0</v>
      </c>
      <c r="R109" s="719">
        <v>0</v>
      </c>
      <c r="S109" s="719"/>
      <c r="T109" s="719">
        <v>30</v>
      </c>
      <c r="U109" s="719"/>
      <c r="V109" s="719"/>
      <c r="W109" s="719">
        <v>1.1000000000000001</v>
      </c>
      <c r="X109" s="719"/>
      <c r="Y109" s="719"/>
      <c r="Z109" s="719"/>
      <c r="AA109" s="719"/>
      <c r="AB109" s="719"/>
      <c r="AC109" s="719" t="s">
        <v>2977</v>
      </c>
      <c r="AD109" s="719"/>
      <c r="AE109" s="719"/>
      <c r="AF109" s="719">
        <v>200</v>
      </c>
      <c r="AG109" s="1341">
        <v>33055.269999999997</v>
      </c>
      <c r="AH109" s="719">
        <v>1560</v>
      </c>
      <c r="AI109" s="719">
        <v>-5091</v>
      </c>
      <c r="AJ109" s="719"/>
      <c r="AK109" s="719"/>
      <c r="AL109" s="719"/>
      <c r="AM109" s="719" t="s">
        <v>2608</v>
      </c>
      <c r="AN109" s="719">
        <v>5.25</v>
      </c>
      <c r="AO109" s="719"/>
      <c r="AP109" s="719"/>
      <c r="AQ109" s="724"/>
      <c r="AR109" s="724"/>
      <c r="AS109" s="724"/>
      <c r="AT109" s="724">
        <f>+ab($T$109,$T$107,$T$111,$G$108,$G$110,-1*$F$109,1200)</f>
        <v>7.9442083933778509</v>
      </c>
      <c r="AU109" s="724"/>
      <c r="AV109" s="724"/>
      <c r="AW109" s="719"/>
      <c r="AX109" s="719"/>
      <c r="AY109" s="719"/>
    </row>
    <row r="110" spans="1:51" ht="15.75" hidden="1" customHeight="1">
      <c r="A110" s="716"/>
      <c r="B110" s="717"/>
      <c r="C110" s="718"/>
      <c r="D110" s="719"/>
      <c r="E110" s="719"/>
      <c r="F110" s="720"/>
      <c r="G110" s="721">
        <v>50</v>
      </c>
      <c r="H110" s="726"/>
      <c r="I110" s="726"/>
      <c r="J110" s="723"/>
      <c r="K110" s="719"/>
      <c r="L110" s="719"/>
      <c r="M110" s="719"/>
      <c r="N110" s="726"/>
      <c r="O110" s="726"/>
      <c r="P110" s="731"/>
      <c r="Q110" s="719"/>
      <c r="R110" s="719"/>
      <c r="S110" s="719">
        <f t="shared" ref="S110" si="32">AG111-AG109</f>
        <v>51.17000000000553</v>
      </c>
      <c r="T110" s="719"/>
      <c r="U110" s="719"/>
      <c r="V110" s="719"/>
      <c r="W110" s="719"/>
      <c r="X110" s="719"/>
      <c r="Y110" s="719"/>
      <c r="Z110" s="719"/>
      <c r="AA110" s="719"/>
      <c r="AB110" s="719"/>
      <c r="AC110" s="719"/>
      <c r="AD110" s="719"/>
      <c r="AE110" s="719"/>
      <c r="AF110" s="719"/>
      <c r="AG110" s="1341" t="s">
        <v>723</v>
      </c>
      <c r="AH110" s="719" t="s">
        <v>723</v>
      </c>
      <c r="AI110" s="719" t="s">
        <v>723</v>
      </c>
      <c r="AJ110" s="719"/>
      <c r="AK110" s="719"/>
      <c r="AL110" s="719"/>
      <c r="AM110" s="719"/>
      <c r="AN110" s="719"/>
      <c r="AO110" s="719"/>
      <c r="AP110" s="719"/>
      <c r="AQ110" s="724">
        <f>+FL_2($T$111,$T$109,$G$110,1200,9.28,-1*$F$111)</f>
        <v>-0.33477011200000001</v>
      </c>
      <c r="AR110" s="724"/>
      <c r="AS110" s="724"/>
      <c r="AT110" s="724"/>
      <c r="AU110" s="724"/>
      <c r="AV110" s="724"/>
      <c r="AW110" s="719"/>
      <c r="AX110" s="719"/>
      <c r="AY110" s="719"/>
    </row>
    <row r="111" spans="1:51" ht="15.75" hidden="1" customHeight="1">
      <c r="A111" s="716" t="s">
        <v>677</v>
      </c>
      <c r="B111" s="725" t="s">
        <v>1353</v>
      </c>
      <c r="C111" s="718">
        <f>+$C$109+$G$110</f>
        <v>33105</v>
      </c>
      <c r="D111" s="719"/>
      <c r="E111" s="719"/>
      <c r="F111" s="720">
        <v>0</v>
      </c>
      <c r="G111" s="721"/>
      <c r="H111" s="726"/>
      <c r="I111" s="726"/>
      <c r="J111" s="723"/>
      <c r="K111" s="719"/>
      <c r="L111" s="719" t="s">
        <v>241</v>
      </c>
      <c r="M111" s="719"/>
      <c r="N111" s="726" t="s">
        <v>695</v>
      </c>
      <c r="O111" s="726"/>
      <c r="P111" s="731"/>
      <c r="Q111" s="719">
        <v>0</v>
      </c>
      <c r="R111" s="719">
        <v>0</v>
      </c>
      <c r="S111" s="719"/>
      <c r="T111" s="719">
        <v>-30</v>
      </c>
      <c r="U111" s="719"/>
      <c r="V111" s="719"/>
      <c r="W111" s="719">
        <v>1.1000000000000001</v>
      </c>
      <c r="X111" s="719"/>
      <c r="Y111" s="719"/>
      <c r="Z111" s="719"/>
      <c r="AA111" s="719"/>
      <c r="AB111" s="719"/>
      <c r="AC111" s="719" t="s">
        <v>2979</v>
      </c>
      <c r="AD111" s="719"/>
      <c r="AE111" s="719"/>
      <c r="AF111" s="719">
        <v>200</v>
      </c>
      <c r="AG111" s="1341">
        <v>33106.44</v>
      </c>
      <c r="AH111" s="719">
        <v>1566</v>
      </c>
      <c r="AI111" s="719">
        <v>-5068</v>
      </c>
      <c r="AJ111" s="719"/>
      <c r="AK111" s="719"/>
      <c r="AL111" s="719"/>
      <c r="AM111" s="719" t="s">
        <v>2608</v>
      </c>
      <c r="AN111" s="719">
        <v>5.25</v>
      </c>
      <c r="AO111" s="719"/>
      <c r="AP111" s="719"/>
      <c r="AQ111" s="724"/>
      <c r="AR111" s="724"/>
      <c r="AS111" s="724"/>
      <c r="AT111" s="724">
        <f>+ab($T$111,$T$109,$T$113,$G$110,$G$112,-1*$F$111,1200)</f>
        <v>-7.9442410717051439</v>
      </c>
      <c r="AU111" s="724"/>
      <c r="AV111" s="724"/>
      <c r="AW111" s="719"/>
      <c r="AX111" s="719"/>
      <c r="AY111" s="719"/>
    </row>
    <row r="112" spans="1:51" ht="15.75" hidden="1" customHeight="1">
      <c r="A112" s="716"/>
      <c r="B112" s="717"/>
      <c r="C112" s="718"/>
      <c r="D112" s="719"/>
      <c r="E112" s="719"/>
      <c r="F112" s="720"/>
      <c r="G112" s="721">
        <v>50</v>
      </c>
      <c r="H112" s="726"/>
      <c r="I112" s="726"/>
      <c r="J112" s="723"/>
      <c r="K112" s="719"/>
      <c r="L112" s="719"/>
      <c r="M112" s="719"/>
      <c r="N112" s="726"/>
      <c r="O112" s="726"/>
      <c r="P112" s="731"/>
      <c r="Q112" s="719"/>
      <c r="R112" s="719"/>
      <c r="S112" s="719">
        <f t="shared" ref="S112" si="33">AG113-AG111</f>
        <v>48.069999999999709</v>
      </c>
      <c r="T112" s="719"/>
      <c r="U112" s="719"/>
      <c r="V112" s="719"/>
      <c r="W112" s="719"/>
      <c r="X112" s="719"/>
      <c r="Y112" s="719"/>
      <c r="Z112" s="719"/>
      <c r="AA112" s="719"/>
      <c r="AB112" s="719"/>
      <c r="AC112" s="719"/>
      <c r="AD112" s="719"/>
      <c r="AE112" s="719"/>
      <c r="AF112" s="719"/>
      <c r="AG112" s="1341" t="s">
        <v>723</v>
      </c>
      <c r="AH112" s="719" t="s">
        <v>723</v>
      </c>
      <c r="AI112" s="719" t="s">
        <v>723</v>
      </c>
      <c r="AJ112" s="719"/>
      <c r="AK112" s="719"/>
      <c r="AL112" s="719"/>
      <c r="AM112" s="719"/>
      <c r="AN112" s="719"/>
      <c r="AO112" s="719"/>
      <c r="AP112" s="719"/>
      <c r="AQ112" s="724">
        <f>+FL_1($T$113,$T$111,$G$112,1200,9.28,-1*$F$113)</f>
        <v>0.33477011200000001</v>
      </c>
      <c r="AR112" s="724"/>
      <c r="AS112" s="724"/>
      <c r="AT112" s="724"/>
      <c r="AU112" s="724"/>
      <c r="AV112" s="724"/>
      <c r="AW112" s="719"/>
      <c r="AX112" s="719"/>
      <c r="AY112" s="719"/>
    </row>
    <row r="113" spans="1:51" ht="15.75" hidden="1" customHeight="1">
      <c r="A113" s="716" t="s">
        <v>677</v>
      </c>
      <c r="B113" s="725" t="s">
        <v>1354</v>
      </c>
      <c r="C113" s="718">
        <f>+$C$111+$G$112</f>
        <v>33155</v>
      </c>
      <c r="D113" s="719"/>
      <c r="E113" s="719"/>
      <c r="F113" s="720">
        <v>0</v>
      </c>
      <c r="G113" s="721"/>
      <c r="H113" s="726"/>
      <c r="I113" s="726"/>
      <c r="J113" s="723"/>
      <c r="K113" s="719"/>
      <c r="L113" s="719" t="s">
        <v>241</v>
      </c>
      <c r="M113" s="719"/>
      <c r="N113" s="726" t="s">
        <v>696</v>
      </c>
      <c r="O113" s="726"/>
      <c r="P113" s="731"/>
      <c r="Q113" s="719">
        <v>0</v>
      </c>
      <c r="R113" s="719">
        <v>0</v>
      </c>
      <c r="S113" s="719"/>
      <c r="T113" s="719">
        <v>30</v>
      </c>
      <c r="U113" s="719"/>
      <c r="V113" s="719"/>
      <c r="W113" s="719">
        <v>1.1000000000000001</v>
      </c>
      <c r="X113" s="719"/>
      <c r="Y113" s="719"/>
      <c r="Z113" s="719"/>
      <c r="AA113" s="719"/>
      <c r="AB113" s="719"/>
      <c r="AC113" s="719" t="s">
        <v>2977</v>
      </c>
      <c r="AD113" s="719"/>
      <c r="AE113" s="719"/>
      <c r="AF113" s="719">
        <v>200</v>
      </c>
      <c r="AG113" s="1341">
        <v>33154.51</v>
      </c>
      <c r="AH113" s="719">
        <v>1490</v>
      </c>
      <c r="AI113" s="719">
        <v>-5178</v>
      </c>
      <c r="AJ113" s="719"/>
      <c r="AK113" s="719"/>
      <c r="AL113" s="719"/>
      <c r="AM113" s="719" t="s">
        <v>2608</v>
      </c>
      <c r="AN113" s="719">
        <v>5.25</v>
      </c>
      <c r="AO113" s="719"/>
      <c r="AP113" s="719"/>
      <c r="AQ113" s="724"/>
      <c r="AR113" s="724"/>
      <c r="AS113" s="724"/>
      <c r="AT113" s="724">
        <f>+ab($T$113,$T$111,$T$115,$G$112,$G$114,-1*$F$113,1200)</f>
        <v>7.9442083933778509</v>
      </c>
      <c r="AU113" s="724"/>
      <c r="AV113" s="724"/>
      <c r="AW113" s="719"/>
      <c r="AX113" s="719"/>
      <c r="AY113" s="719"/>
    </row>
    <row r="114" spans="1:51" ht="15.75" hidden="1" customHeight="1">
      <c r="A114" s="716"/>
      <c r="B114" s="717"/>
      <c r="C114" s="718"/>
      <c r="D114" s="719"/>
      <c r="E114" s="719"/>
      <c r="F114" s="720"/>
      <c r="G114" s="721">
        <v>50</v>
      </c>
      <c r="H114" s="726"/>
      <c r="I114" s="726"/>
      <c r="J114" s="723"/>
      <c r="K114" s="719"/>
      <c r="L114" s="719"/>
      <c r="M114" s="719"/>
      <c r="N114" s="726"/>
      <c r="O114" s="726"/>
      <c r="P114" s="731"/>
      <c r="Q114" s="719"/>
      <c r="R114" s="719"/>
      <c r="S114" s="719">
        <f t="shared" ref="S114" si="34">AG115-AG113</f>
        <v>48.169999999998254</v>
      </c>
      <c r="T114" s="719"/>
      <c r="U114" s="719"/>
      <c r="V114" s="719"/>
      <c r="W114" s="719"/>
      <c r="X114" s="719"/>
      <c r="Y114" s="719"/>
      <c r="Z114" s="719"/>
      <c r="AA114" s="719"/>
      <c r="AB114" s="719"/>
      <c r="AC114" s="719"/>
      <c r="AD114" s="719"/>
      <c r="AE114" s="719"/>
      <c r="AF114" s="719"/>
      <c r="AG114" s="1341" t="s">
        <v>723</v>
      </c>
      <c r="AH114" s="719" t="s">
        <v>723</v>
      </c>
      <c r="AI114" s="719" t="s">
        <v>723</v>
      </c>
      <c r="AJ114" s="719"/>
      <c r="AK114" s="719"/>
      <c r="AL114" s="719"/>
      <c r="AM114" s="719"/>
      <c r="AN114" s="719"/>
      <c r="AO114" s="719"/>
      <c r="AP114" s="719"/>
      <c r="AQ114" s="724">
        <f>+FL_1($T$115,$T$113,$G$114,1200,9.28,-1*$F$115)</f>
        <v>0.33477011200000012</v>
      </c>
      <c r="AR114" s="724"/>
      <c r="AS114" s="724"/>
      <c r="AT114" s="724"/>
      <c r="AU114" s="724"/>
      <c r="AV114" s="724"/>
      <c r="AW114" s="719"/>
      <c r="AX114" s="719"/>
      <c r="AY114" s="719"/>
    </row>
    <row r="115" spans="1:51" ht="15.75" hidden="1" customHeight="1">
      <c r="A115" s="716" t="s">
        <v>677</v>
      </c>
      <c r="B115" s="725" t="s">
        <v>1355</v>
      </c>
      <c r="C115" s="718">
        <f>+$C$113+$G$114</f>
        <v>33205</v>
      </c>
      <c r="D115" s="719"/>
      <c r="E115" s="719"/>
      <c r="F115" s="720">
        <v>0</v>
      </c>
      <c r="G115" s="721"/>
      <c r="H115" s="726" t="s">
        <v>138</v>
      </c>
      <c r="I115" s="722" t="s">
        <v>948</v>
      </c>
      <c r="J115" s="723"/>
      <c r="K115" s="719"/>
      <c r="L115" s="719" t="s">
        <v>241</v>
      </c>
      <c r="M115" s="719"/>
      <c r="N115" s="726" t="s">
        <v>695</v>
      </c>
      <c r="O115" s="726"/>
      <c r="P115" s="731"/>
      <c r="Q115" s="719">
        <v>0</v>
      </c>
      <c r="R115" s="719">
        <v>0</v>
      </c>
      <c r="S115" s="719"/>
      <c r="T115" s="719">
        <v>-30</v>
      </c>
      <c r="U115" s="719"/>
      <c r="V115" s="719"/>
      <c r="W115" s="719">
        <v>1.1000000000000001</v>
      </c>
      <c r="X115" s="719"/>
      <c r="Y115" s="719"/>
      <c r="Z115" s="719"/>
      <c r="AA115" s="719"/>
      <c r="AB115" s="719"/>
      <c r="AC115" s="719" t="s">
        <v>2614</v>
      </c>
      <c r="AD115" s="719"/>
      <c r="AE115" s="719"/>
      <c r="AF115" s="719">
        <v>200</v>
      </c>
      <c r="AG115" s="1341">
        <v>33202.68</v>
      </c>
      <c r="AH115" s="719">
        <v>1501</v>
      </c>
      <c r="AI115" s="719">
        <v>-5170</v>
      </c>
      <c r="AJ115" s="719"/>
      <c r="AK115" s="719"/>
      <c r="AL115" s="719"/>
      <c r="AM115" s="719" t="s">
        <v>2608</v>
      </c>
      <c r="AN115" s="719">
        <v>5.25</v>
      </c>
      <c r="AO115" s="719"/>
      <c r="AP115" s="719"/>
      <c r="AQ115" s="724"/>
      <c r="AR115" s="724"/>
      <c r="AS115" s="724"/>
      <c r="AT115" s="724">
        <f>+ab($T$115,$T$113,$T$117,$G$114,$G$116,-1*$F$115,1200)</f>
        <v>-7.8722751225595831</v>
      </c>
      <c r="AU115" s="724"/>
      <c r="AV115" s="724"/>
      <c r="AW115" s="719"/>
      <c r="AX115" s="719"/>
      <c r="AY115" s="719"/>
    </row>
    <row r="116" spans="1:51" ht="15.75" hidden="1" customHeight="1">
      <c r="A116" s="716"/>
      <c r="B116" s="717"/>
      <c r="C116" s="718"/>
      <c r="D116" s="719"/>
      <c r="E116" s="719"/>
      <c r="F116" s="720"/>
      <c r="G116" s="721">
        <v>45</v>
      </c>
      <c r="H116" s="726"/>
      <c r="I116" s="722"/>
      <c r="J116" s="723">
        <v>32212.49</v>
      </c>
      <c r="K116" s="719" t="s">
        <v>1097</v>
      </c>
      <c r="L116" s="719"/>
      <c r="M116" s="719"/>
      <c r="N116" s="726"/>
      <c r="O116" s="726"/>
      <c r="P116" s="731"/>
      <c r="Q116" s="719"/>
      <c r="R116" s="719"/>
      <c r="S116" s="719">
        <f>AG117-AG115</f>
        <v>44.790000000000873</v>
      </c>
      <c r="T116" s="719"/>
      <c r="U116" s="719"/>
      <c r="V116" s="719"/>
      <c r="W116" s="719"/>
      <c r="X116" s="719"/>
      <c r="Y116" s="719"/>
      <c r="Z116" s="719"/>
      <c r="AA116" s="719"/>
      <c r="AB116" s="719"/>
      <c r="AC116" s="719"/>
      <c r="AD116" s="719"/>
      <c r="AE116" s="719"/>
      <c r="AF116" s="719"/>
      <c r="AG116" s="1341" t="s">
        <v>723</v>
      </c>
      <c r="AH116" s="719" t="s">
        <v>723</v>
      </c>
      <c r="AI116" s="719" t="s">
        <v>723</v>
      </c>
      <c r="AJ116" s="719"/>
      <c r="AK116" s="719"/>
      <c r="AL116" s="719"/>
      <c r="AM116" s="719"/>
      <c r="AN116" s="719"/>
      <c r="AO116" s="719"/>
      <c r="AP116" s="719"/>
      <c r="AQ116" s="724">
        <f>+FL_2($U$117,$T$115,$G$116,1200,9.28,-1*$F$117)</f>
        <v>-0.35986238577777785</v>
      </c>
      <c r="AR116" s="724"/>
      <c r="AS116" s="724"/>
      <c r="AT116" s="724"/>
      <c r="AU116" s="724"/>
      <c r="AV116" s="724"/>
      <c r="AW116" s="719"/>
      <c r="AX116" s="719"/>
      <c r="AY116" s="719"/>
    </row>
    <row r="117" spans="1:51" ht="15.75" hidden="1" customHeight="1">
      <c r="A117" s="716" t="s">
        <v>677</v>
      </c>
      <c r="B117" s="732" t="s">
        <v>1356</v>
      </c>
      <c r="C117" s="718">
        <f>+$C$115+$G$116</f>
        <v>33250</v>
      </c>
      <c r="D117" s="719"/>
      <c r="E117" s="719"/>
      <c r="F117" s="720">
        <v>0</v>
      </c>
      <c r="G117" s="721"/>
      <c r="H117" s="726" t="s">
        <v>668</v>
      </c>
      <c r="I117" s="722"/>
      <c r="J117" s="723"/>
      <c r="K117" s="719"/>
      <c r="L117" s="719" t="s">
        <v>465</v>
      </c>
      <c r="M117" s="719"/>
      <c r="N117" s="726" t="s">
        <v>697</v>
      </c>
      <c r="O117" s="726" t="s">
        <v>696</v>
      </c>
      <c r="P117" s="731"/>
      <c r="Q117" s="719">
        <v>0</v>
      </c>
      <c r="R117" s="719">
        <v>0</v>
      </c>
      <c r="S117" s="719">
        <f>AG118-AG117</f>
        <v>3.1999999999970896</v>
      </c>
      <c r="T117" s="719">
        <v>25</v>
      </c>
      <c r="U117" s="719">
        <v>5</v>
      </c>
      <c r="V117" s="719"/>
      <c r="W117" s="719">
        <v>1.1000000000000001</v>
      </c>
      <c r="X117" s="719">
        <v>1.2</v>
      </c>
      <c r="Y117" s="719"/>
      <c r="Z117" s="719">
        <v>0.45</v>
      </c>
      <c r="AA117" s="719"/>
      <c r="AB117" s="719"/>
      <c r="AC117" s="719"/>
      <c r="AD117" s="719" t="s">
        <v>2616</v>
      </c>
      <c r="AE117" s="719"/>
      <c r="AF117" s="719">
        <v>200</v>
      </c>
      <c r="AG117" s="1341">
        <v>33247.47</v>
      </c>
      <c r="AH117" s="719">
        <v>1520</v>
      </c>
      <c r="AI117" s="719">
        <v>-5090</v>
      </c>
      <c r="AJ117" s="719"/>
      <c r="AK117" s="719"/>
      <c r="AL117" s="719"/>
      <c r="AM117" s="719" t="s">
        <v>2608</v>
      </c>
      <c r="AN117" s="719">
        <v>5.25</v>
      </c>
      <c r="AO117" s="719"/>
      <c r="AP117" s="719"/>
      <c r="AQ117" s="724"/>
      <c r="AR117" s="724"/>
      <c r="AS117" s="724"/>
      <c r="AT117" s="724">
        <f>+ab($U$117,$T$115,$U$119,$G$116,$G$118,-1*$F$117,1200)</f>
        <v>13.662651895811843</v>
      </c>
      <c r="AU117" s="724"/>
      <c r="AV117" s="724"/>
      <c r="AW117" s="719"/>
      <c r="AX117" s="719"/>
      <c r="AY117" s="719"/>
    </row>
    <row r="118" spans="1:51" ht="15.75" hidden="1" customHeight="1">
      <c r="A118" s="716"/>
      <c r="B118" s="717"/>
      <c r="C118" s="718"/>
      <c r="D118" s="719"/>
      <c r="E118" s="719"/>
      <c r="F118" s="720"/>
      <c r="G118" s="721">
        <v>50</v>
      </c>
      <c r="H118" s="726"/>
      <c r="I118" s="722"/>
      <c r="J118" s="723"/>
      <c r="K118" s="719"/>
      <c r="L118" s="719"/>
      <c r="M118" s="719"/>
      <c r="N118" s="726"/>
      <c r="O118" s="726"/>
      <c r="P118" s="726"/>
      <c r="Q118" s="719">
        <v>0</v>
      </c>
      <c r="R118" s="719">
        <v>0</v>
      </c>
      <c r="S118" s="719">
        <f>AG119-AG118</f>
        <v>48</v>
      </c>
      <c r="T118" s="719"/>
      <c r="U118" s="719"/>
      <c r="V118" s="719"/>
      <c r="W118" s="719"/>
      <c r="X118" s="719"/>
      <c r="Y118" s="719"/>
      <c r="Z118" s="719"/>
      <c r="AA118" s="719"/>
      <c r="AB118" s="719"/>
      <c r="AC118" s="719"/>
      <c r="AD118" s="719"/>
      <c r="AE118" s="719"/>
      <c r="AF118" s="719">
        <v>200</v>
      </c>
      <c r="AG118" s="1341">
        <v>33250.67</v>
      </c>
      <c r="AH118" s="719">
        <v>1526</v>
      </c>
      <c r="AI118" s="719">
        <v>-5084</v>
      </c>
      <c r="AJ118" s="719"/>
      <c r="AK118" s="719"/>
      <c r="AL118" s="719"/>
      <c r="AM118" s="719"/>
      <c r="AN118" s="719"/>
      <c r="AO118" s="719"/>
      <c r="AP118" s="719"/>
      <c r="AQ118" s="724">
        <f>+FL_2($T$119,$U$117,$G$118,1200,9.28,-1*$F$119)</f>
        <v>-0.24425286799999996</v>
      </c>
      <c r="AR118" s="724"/>
      <c r="AS118" s="724"/>
      <c r="AT118" s="724"/>
      <c r="AU118" s="724"/>
      <c r="AV118" s="724"/>
      <c r="AW118" s="719"/>
      <c r="AX118" s="719"/>
      <c r="AY118" s="719"/>
    </row>
    <row r="119" spans="1:51" ht="15.75" hidden="1" customHeight="1">
      <c r="A119" s="716" t="s">
        <v>677</v>
      </c>
      <c r="B119" s="725" t="s">
        <v>1357</v>
      </c>
      <c r="C119" s="718">
        <f>+$C$117+$G$118</f>
        <v>33300</v>
      </c>
      <c r="D119" s="719"/>
      <c r="E119" s="719"/>
      <c r="F119" s="720">
        <v>0</v>
      </c>
      <c r="G119" s="721"/>
      <c r="H119" s="726" t="s">
        <v>668</v>
      </c>
      <c r="I119" s="722"/>
      <c r="J119" s="723"/>
      <c r="K119" s="719"/>
      <c r="L119" s="719" t="s">
        <v>465</v>
      </c>
      <c r="M119" s="719"/>
      <c r="N119" s="726" t="s">
        <v>695</v>
      </c>
      <c r="O119" s="726" t="s">
        <v>697</v>
      </c>
      <c r="P119" s="731"/>
      <c r="Q119" s="719">
        <v>0</v>
      </c>
      <c r="R119" s="719">
        <v>0</v>
      </c>
      <c r="S119" s="719">
        <f>AG120-AG119</f>
        <v>3.2099999999991269</v>
      </c>
      <c r="T119" s="719">
        <v>-5</v>
      </c>
      <c r="U119" s="719">
        <v>-25</v>
      </c>
      <c r="V119" s="719"/>
      <c r="W119" s="719">
        <v>1.1000000000000001</v>
      </c>
      <c r="X119" s="719">
        <v>1.2</v>
      </c>
      <c r="Y119" s="719"/>
      <c r="Z119" s="719"/>
      <c r="AA119" s="719">
        <v>0.45</v>
      </c>
      <c r="AB119" s="719"/>
      <c r="AC119" s="719" t="s">
        <v>2614</v>
      </c>
      <c r="AD119" s="719"/>
      <c r="AE119" s="719"/>
      <c r="AF119" s="719">
        <v>300</v>
      </c>
      <c r="AG119" s="1341">
        <v>33298.67</v>
      </c>
      <c r="AH119" s="719">
        <v>1514</v>
      </c>
      <c r="AI119" s="719">
        <v>-5111</v>
      </c>
      <c r="AJ119" s="719"/>
      <c r="AK119" s="719"/>
      <c r="AL119" s="719"/>
      <c r="AM119" s="719" t="s">
        <v>2608</v>
      </c>
      <c r="AN119" s="719">
        <v>5.25</v>
      </c>
      <c r="AO119" s="719"/>
      <c r="AP119" s="719"/>
      <c r="AQ119" s="724"/>
      <c r="AR119" s="724"/>
      <c r="AS119" s="724"/>
      <c r="AT119" s="724">
        <f>+ab($T$119,$T$117,$T$121,$G$118,$G$120,-1*$F$119,1200)</f>
        <v>-14.446873203935258</v>
      </c>
      <c r="AU119" s="724"/>
      <c r="AV119" s="724"/>
      <c r="AW119" s="719"/>
      <c r="AX119" s="719"/>
      <c r="AY119" s="719"/>
    </row>
    <row r="120" spans="1:51" ht="15.75" hidden="1" customHeight="1">
      <c r="A120" s="716"/>
      <c r="B120" s="717"/>
      <c r="C120" s="718"/>
      <c r="D120" s="719"/>
      <c r="E120" s="719"/>
      <c r="F120" s="720"/>
      <c r="G120" s="721">
        <v>50</v>
      </c>
      <c r="H120" s="726"/>
      <c r="I120" s="722"/>
      <c r="J120" s="723">
        <f>C121-9.5</f>
        <v>33340.5</v>
      </c>
      <c r="K120" s="719" t="s">
        <v>1097</v>
      </c>
      <c r="L120" s="719"/>
      <c r="M120" s="719"/>
      <c r="N120" s="726"/>
      <c r="O120" s="726"/>
      <c r="P120" s="731"/>
      <c r="Q120" s="719">
        <v>0</v>
      </c>
      <c r="R120" s="719">
        <v>0</v>
      </c>
      <c r="S120" s="719">
        <f>AG121-AG120</f>
        <v>48.020000000004075</v>
      </c>
      <c r="T120" s="719"/>
      <c r="U120" s="719"/>
      <c r="V120" s="719"/>
      <c r="W120" s="719"/>
      <c r="X120" s="719"/>
      <c r="Y120" s="719"/>
      <c r="Z120" s="719"/>
      <c r="AA120" s="719"/>
      <c r="AB120" s="719"/>
      <c r="AC120" s="719"/>
      <c r="AD120" s="719"/>
      <c r="AE120" s="719"/>
      <c r="AF120" s="719">
        <v>200</v>
      </c>
      <c r="AG120" s="1341">
        <v>33301.879999999997</v>
      </c>
      <c r="AH120" s="719">
        <v>1498</v>
      </c>
      <c r="AI120" s="719">
        <v>-5124</v>
      </c>
      <c r="AJ120" s="719"/>
      <c r="AK120" s="719"/>
      <c r="AL120" s="719"/>
      <c r="AM120" s="719"/>
      <c r="AN120" s="719"/>
      <c r="AO120" s="719"/>
      <c r="AP120" s="719"/>
      <c r="AQ120" s="724">
        <f>+FL_1($T$121,$T$119,$G$120,1200,9.28,-1*$F$121)</f>
        <v>0.39834769999999997</v>
      </c>
      <c r="AR120" s="724"/>
      <c r="AS120" s="724"/>
      <c r="AT120" s="724"/>
      <c r="AU120" s="724"/>
      <c r="AV120" s="724"/>
      <c r="AW120" s="719"/>
      <c r="AX120" s="719"/>
      <c r="AY120" s="719"/>
    </row>
    <row r="121" spans="1:51" ht="15.75" hidden="1" customHeight="1">
      <c r="A121" s="716" t="s">
        <v>677</v>
      </c>
      <c r="B121" s="725" t="s">
        <v>1358</v>
      </c>
      <c r="C121" s="718">
        <f>+$C$119+$G$120</f>
        <v>33350</v>
      </c>
      <c r="D121" s="719"/>
      <c r="E121" s="719"/>
      <c r="F121" s="720">
        <v>0</v>
      </c>
      <c r="G121" s="721"/>
      <c r="H121" s="726" t="s">
        <v>138</v>
      </c>
      <c r="I121" s="726" t="s">
        <v>948</v>
      </c>
      <c r="J121" s="723"/>
      <c r="K121" s="719"/>
      <c r="L121" s="719" t="s">
        <v>241</v>
      </c>
      <c r="M121" s="719"/>
      <c r="N121" s="726" t="s">
        <v>696</v>
      </c>
      <c r="O121" s="726"/>
      <c r="P121" s="731"/>
      <c r="Q121" s="719">
        <v>0</v>
      </c>
      <c r="R121" s="719">
        <v>0</v>
      </c>
      <c r="S121" s="719"/>
      <c r="T121" s="719">
        <v>30</v>
      </c>
      <c r="U121" s="719"/>
      <c r="V121" s="719"/>
      <c r="W121" s="719">
        <v>1.1000000000000001</v>
      </c>
      <c r="X121" s="719"/>
      <c r="Y121" s="719"/>
      <c r="Z121" s="719"/>
      <c r="AA121" s="719"/>
      <c r="AB121" s="719"/>
      <c r="AC121" s="719" t="s">
        <v>2612</v>
      </c>
      <c r="AD121" s="719"/>
      <c r="AE121" s="719"/>
      <c r="AF121" s="719">
        <v>200</v>
      </c>
      <c r="AG121" s="1341">
        <v>33349.9</v>
      </c>
      <c r="AH121" s="719">
        <v>1511</v>
      </c>
      <c r="AI121" s="719">
        <v>-5118</v>
      </c>
      <c r="AJ121" s="719"/>
      <c r="AK121" s="719"/>
      <c r="AL121" s="719"/>
      <c r="AM121" s="719" t="s">
        <v>2608</v>
      </c>
      <c r="AN121" s="719">
        <v>5.25</v>
      </c>
      <c r="AO121" s="719"/>
      <c r="AP121" s="719"/>
      <c r="AQ121" s="724"/>
      <c r="AR121" s="724"/>
      <c r="AS121" s="724"/>
      <c r="AT121" s="724">
        <f>+ab($T$121,$T$119,$T$123,$G$120,$G$122,-1*$F$121,1200)</f>
        <v>9.9968917440918084</v>
      </c>
      <c r="AU121" s="724"/>
      <c r="AV121" s="724"/>
      <c r="AW121" s="719"/>
      <c r="AX121" s="719"/>
      <c r="AY121" s="719"/>
    </row>
    <row r="122" spans="1:51" ht="15.75" hidden="1" customHeight="1">
      <c r="A122" s="716"/>
      <c r="B122" s="717"/>
      <c r="C122" s="718"/>
      <c r="D122" s="719"/>
      <c r="E122" s="719"/>
      <c r="F122" s="720"/>
      <c r="G122" s="721">
        <v>50</v>
      </c>
      <c r="H122" s="726"/>
      <c r="I122" s="726"/>
      <c r="J122" s="723"/>
      <c r="K122" s="719"/>
      <c r="L122" s="719"/>
      <c r="M122" s="719"/>
      <c r="N122" s="726"/>
      <c r="O122" s="719"/>
      <c r="P122" s="726"/>
      <c r="Q122" s="719"/>
      <c r="R122" s="719"/>
      <c r="S122" s="719">
        <f t="shared" ref="S122" si="35">AG123-AG121</f>
        <v>51.229999999995925</v>
      </c>
      <c r="T122" s="719"/>
      <c r="U122" s="719"/>
      <c r="V122" s="719"/>
      <c r="W122" s="719"/>
      <c r="X122" s="719"/>
      <c r="Y122" s="719"/>
      <c r="Z122" s="719"/>
      <c r="AA122" s="719"/>
      <c r="AB122" s="719"/>
      <c r="AC122" s="719"/>
      <c r="AD122" s="719"/>
      <c r="AE122" s="719"/>
      <c r="AF122" s="719"/>
      <c r="AG122" s="1341" t="s">
        <v>723</v>
      </c>
      <c r="AH122" s="719" t="s">
        <v>723</v>
      </c>
      <c r="AI122" s="719" t="s">
        <v>723</v>
      </c>
      <c r="AJ122" s="719"/>
      <c r="AK122" s="719"/>
      <c r="AL122" s="719"/>
      <c r="AM122" s="719"/>
      <c r="AN122" s="719"/>
      <c r="AO122" s="719"/>
      <c r="AP122" s="719"/>
      <c r="AQ122" s="724">
        <f>+FL_2($T$123,$T$121,$G$122,1200,9.28,-1*$F$123)</f>
        <v>-0.33477011200000001</v>
      </c>
      <c r="AR122" s="724"/>
      <c r="AS122" s="724"/>
      <c r="AT122" s="724"/>
      <c r="AU122" s="724"/>
      <c r="AV122" s="724"/>
      <c r="AW122" s="719"/>
      <c r="AX122" s="719"/>
      <c r="AY122" s="719"/>
    </row>
    <row r="123" spans="1:51" ht="15.75" hidden="1" customHeight="1">
      <c r="A123" s="716" t="s">
        <v>677</v>
      </c>
      <c r="B123" s="725" t="s">
        <v>1359</v>
      </c>
      <c r="C123" s="718">
        <f>+$C$121+$G$122</f>
        <v>33400</v>
      </c>
      <c r="D123" s="719"/>
      <c r="E123" s="719"/>
      <c r="F123" s="720">
        <v>0</v>
      </c>
      <c r="G123" s="721"/>
      <c r="H123" s="726"/>
      <c r="I123" s="726"/>
      <c r="J123" s="723"/>
      <c r="K123" s="719"/>
      <c r="L123" s="719" t="s">
        <v>241</v>
      </c>
      <c r="M123" s="719"/>
      <c r="N123" s="726" t="s">
        <v>695</v>
      </c>
      <c r="O123" s="726"/>
      <c r="P123" s="726"/>
      <c r="Q123" s="719">
        <v>0</v>
      </c>
      <c r="R123" s="719">
        <v>0</v>
      </c>
      <c r="S123" s="719"/>
      <c r="T123" s="719">
        <v>-30</v>
      </c>
      <c r="U123" s="719"/>
      <c r="V123" s="719"/>
      <c r="W123" s="719">
        <v>1.1000000000000001</v>
      </c>
      <c r="X123" s="719"/>
      <c r="Y123" s="719"/>
      <c r="Z123" s="719"/>
      <c r="AA123" s="719"/>
      <c r="AB123" s="719"/>
      <c r="AC123" s="719" t="s">
        <v>2979</v>
      </c>
      <c r="AD123" s="719"/>
      <c r="AE123" s="719"/>
      <c r="AF123" s="719">
        <v>200</v>
      </c>
      <c r="AG123" s="1341">
        <v>33401.129999999997</v>
      </c>
      <c r="AH123" s="719">
        <v>1469</v>
      </c>
      <c r="AI123" s="719">
        <v>-5153</v>
      </c>
      <c r="AJ123" s="719"/>
      <c r="AK123" s="719"/>
      <c r="AL123" s="719"/>
      <c r="AM123" s="719" t="s">
        <v>2608</v>
      </c>
      <c r="AN123" s="719">
        <v>5.25</v>
      </c>
      <c r="AO123" s="719"/>
      <c r="AP123" s="719"/>
      <c r="AQ123" s="724"/>
      <c r="AR123" s="724"/>
      <c r="AS123" s="724"/>
      <c r="AT123" s="724">
        <f>+ab($T$123,$T$121,$T$125,$G$122,$G$124,-1*$F$123,1200)</f>
        <v>-7.9442410717051439</v>
      </c>
      <c r="AU123" s="724"/>
      <c r="AV123" s="724"/>
      <c r="AW123" s="719"/>
      <c r="AX123" s="719"/>
      <c r="AY123" s="719"/>
    </row>
    <row r="124" spans="1:51" ht="15.75" hidden="1" customHeight="1">
      <c r="A124" s="716"/>
      <c r="B124" s="717"/>
      <c r="C124" s="733"/>
      <c r="D124" s="719"/>
      <c r="E124" s="719"/>
      <c r="F124" s="720"/>
      <c r="G124" s="721">
        <v>50</v>
      </c>
      <c r="H124" s="719"/>
      <c r="I124" s="722"/>
      <c r="J124" s="723"/>
      <c r="K124" s="719"/>
      <c r="L124" s="719"/>
      <c r="M124" s="719"/>
      <c r="N124" s="726"/>
      <c r="O124" s="726"/>
      <c r="P124" s="726"/>
      <c r="Q124" s="719"/>
      <c r="R124" s="719"/>
      <c r="S124" s="719">
        <f t="shared" ref="S124:S182" si="36">AG125-AG123</f>
        <v>48.190000000002328</v>
      </c>
      <c r="T124" s="719"/>
      <c r="U124" s="719"/>
      <c r="V124" s="719"/>
      <c r="W124" s="719"/>
      <c r="X124" s="719"/>
      <c r="Y124" s="719"/>
      <c r="Z124" s="719"/>
      <c r="AA124" s="719"/>
      <c r="AB124" s="719"/>
      <c r="AC124" s="719"/>
      <c r="AD124" s="719"/>
      <c r="AE124" s="719"/>
      <c r="AF124" s="719"/>
      <c r="AG124" s="1344" t="s">
        <v>723</v>
      </c>
      <c r="AH124" s="719" t="s">
        <v>723</v>
      </c>
      <c r="AI124" s="719" t="s">
        <v>723</v>
      </c>
      <c r="AJ124" s="719"/>
      <c r="AK124" s="719"/>
      <c r="AL124" s="719"/>
      <c r="AM124" s="719"/>
      <c r="AN124" s="719"/>
      <c r="AO124" s="719"/>
      <c r="AP124" s="719"/>
      <c r="AQ124" s="724">
        <f>+FL_1($T$125,$T$123,$G$124,1200,9.28,-1*$F$125)</f>
        <v>0.33477011200000001</v>
      </c>
      <c r="AR124" s="724"/>
      <c r="AS124" s="724"/>
      <c r="AT124" s="724"/>
      <c r="AU124" s="724"/>
      <c r="AV124" s="724"/>
      <c r="AW124" s="719"/>
      <c r="AX124" s="719"/>
      <c r="AY124" s="719"/>
    </row>
    <row r="125" spans="1:51" ht="15.75" hidden="1" customHeight="1">
      <c r="A125" s="716" t="s">
        <v>677</v>
      </c>
      <c r="B125" s="725" t="s">
        <v>1360</v>
      </c>
      <c r="C125" s="718">
        <f>+$C$123+$G$124</f>
        <v>33450</v>
      </c>
      <c r="D125" s="719"/>
      <c r="E125" s="719"/>
      <c r="F125" s="720">
        <v>0</v>
      </c>
      <c r="G125" s="721"/>
      <c r="H125" s="726"/>
      <c r="I125" s="726"/>
      <c r="J125" s="723"/>
      <c r="K125" s="719"/>
      <c r="L125" s="719" t="s">
        <v>241</v>
      </c>
      <c r="M125" s="719"/>
      <c r="N125" s="719" t="s">
        <v>696</v>
      </c>
      <c r="O125" s="719"/>
      <c r="P125" s="726"/>
      <c r="Q125" s="719">
        <v>0</v>
      </c>
      <c r="R125" s="719">
        <v>0</v>
      </c>
      <c r="S125" s="719"/>
      <c r="T125" s="719">
        <v>30</v>
      </c>
      <c r="U125" s="719"/>
      <c r="V125" s="719"/>
      <c r="W125" s="719">
        <v>1.1000000000000001</v>
      </c>
      <c r="X125" s="719"/>
      <c r="Y125" s="719"/>
      <c r="Z125" s="719"/>
      <c r="AA125" s="719"/>
      <c r="AB125" s="719"/>
      <c r="AC125" s="719" t="s">
        <v>2977</v>
      </c>
      <c r="AD125" s="719"/>
      <c r="AE125" s="719"/>
      <c r="AF125" s="719">
        <v>200</v>
      </c>
      <c r="AG125" s="1341">
        <v>33449.32</v>
      </c>
      <c r="AH125" s="719">
        <v>1520</v>
      </c>
      <c r="AI125" s="719">
        <v>-5068</v>
      </c>
      <c r="AJ125" s="719"/>
      <c r="AK125" s="719"/>
      <c r="AL125" s="719"/>
      <c r="AM125" s="719" t="s">
        <v>2608</v>
      </c>
      <c r="AN125" s="719">
        <v>5.25</v>
      </c>
      <c r="AO125" s="719"/>
      <c r="AP125" s="719"/>
      <c r="AQ125" s="724"/>
      <c r="AR125" s="724"/>
      <c r="AS125" s="724"/>
      <c r="AT125" s="724">
        <f>+ab($T$125,$T$123,$T$127,$G$124,$G$126,-1*$F$125,1200)</f>
        <v>7.9442083933778509</v>
      </c>
      <c r="AU125" s="724"/>
      <c r="AV125" s="724"/>
      <c r="AW125" s="719"/>
      <c r="AX125" s="719"/>
      <c r="AY125" s="719"/>
    </row>
    <row r="126" spans="1:51" ht="15.75" hidden="1" customHeight="1">
      <c r="A126" s="716"/>
      <c r="B126" s="717"/>
      <c r="C126" s="718"/>
      <c r="D126" s="719"/>
      <c r="E126" s="719"/>
      <c r="F126" s="720"/>
      <c r="G126" s="721">
        <v>50</v>
      </c>
      <c r="H126" s="726"/>
      <c r="I126" s="726"/>
      <c r="J126" s="723"/>
      <c r="K126" s="719"/>
      <c r="L126" s="719"/>
      <c r="M126" s="719"/>
      <c r="N126" s="726"/>
      <c r="O126" s="726"/>
      <c r="P126" s="726"/>
      <c r="Q126" s="719"/>
      <c r="R126" s="719"/>
      <c r="S126" s="719">
        <f t="shared" si="36"/>
        <v>49.55000000000291</v>
      </c>
      <c r="T126" s="719"/>
      <c r="U126" s="719"/>
      <c r="V126" s="719"/>
      <c r="W126" s="719"/>
      <c r="X126" s="719"/>
      <c r="Y126" s="719"/>
      <c r="Z126" s="719"/>
      <c r="AA126" s="719"/>
      <c r="AB126" s="719"/>
      <c r="AC126" s="719"/>
      <c r="AD126" s="719"/>
      <c r="AE126" s="719"/>
      <c r="AF126" s="719"/>
      <c r="AG126" s="1341" t="s">
        <v>723</v>
      </c>
      <c r="AH126" s="719" t="s">
        <v>723</v>
      </c>
      <c r="AI126" s="719" t="s">
        <v>723</v>
      </c>
      <c r="AJ126" s="719"/>
      <c r="AK126" s="719"/>
      <c r="AL126" s="719"/>
      <c r="AM126" s="719"/>
      <c r="AN126" s="719"/>
      <c r="AO126" s="719"/>
      <c r="AP126" s="719"/>
      <c r="AQ126" s="724">
        <f>+FL_2($T$127,$T$125,$G$126,1200,9.28,-1*$F$127)</f>
        <v>-0.33477011200000001</v>
      </c>
      <c r="AR126" s="724"/>
      <c r="AS126" s="724"/>
      <c r="AT126" s="724"/>
      <c r="AU126" s="724"/>
      <c r="AV126" s="724"/>
      <c r="AW126" s="719"/>
      <c r="AX126" s="719"/>
      <c r="AY126" s="719"/>
    </row>
    <row r="127" spans="1:51" ht="15.75" hidden="1" customHeight="1">
      <c r="A127" s="716" t="s">
        <v>677</v>
      </c>
      <c r="B127" s="725" t="s">
        <v>1361</v>
      </c>
      <c r="C127" s="718">
        <f>+$C$125+$G$126</f>
        <v>33500</v>
      </c>
      <c r="D127" s="719"/>
      <c r="E127" s="719"/>
      <c r="F127" s="720">
        <v>0</v>
      </c>
      <c r="G127" s="721"/>
      <c r="H127" s="726"/>
      <c r="I127" s="726"/>
      <c r="J127" s="723"/>
      <c r="K127" s="719"/>
      <c r="L127" s="719" t="s">
        <v>241</v>
      </c>
      <c r="M127" s="719"/>
      <c r="N127" s="726" t="s">
        <v>695</v>
      </c>
      <c r="O127" s="726"/>
      <c r="P127" s="726"/>
      <c r="Q127" s="719">
        <v>0</v>
      </c>
      <c r="R127" s="719">
        <v>0</v>
      </c>
      <c r="S127" s="719"/>
      <c r="T127" s="719">
        <v>-30</v>
      </c>
      <c r="U127" s="719"/>
      <c r="V127" s="719"/>
      <c r="W127" s="719">
        <v>1.1000000000000001</v>
      </c>
      <c r="X127" s="719"/>
      <c r="Y127" s="719"/>
      <c r="Z127" s="719"/>
      <c r="AA127" s="719"/>
      <c r="AB127" s="719"/>
      <c r="AC127" s="719" t="s">
        <v>2977</v>
      </c>
      <c r="AD127" s="719"/>
      <c r="AE127" s="719"/>
      <c r="AF127" s="719">
        <v>200</v>
      </c>
      <c r="AG127" s="1341">
        <v>33498.870000000003</v>
      </c>
      <c r="AH127" s="719">
        <v>1497</v>
      </c>
      <c r="AI127" s="719">
        <v>-5123</v>
      </c>
      <c r="AJ127" s="719"/>
      <c r="AK127" s="719"/>
      <c r="AL127" s="719"/>
      <c r="AM127" s="719" t="s">
        <v>2608</v>
      </c>
      <c r="AN127" s="719">
        <v>5.25</v>
      </c>
      <c r="AO127" s="719"/>
      <c r="AP127" s="719"/>
      <c r="AQ127" s="724"/>
      <c r="AR127" s="724"/>
      <c r="AS127" s="724"/>
      <c r="AT127" s="724">
        <f>+ab($T$127,$T$125,$T$129,$G$126,$G$128,-1*$F$127,1200)</f>
        <v>-7.9442410717051439</v>
      </c>
      <c r="AU127" s="724"/>
      <c r="AV127" s="724"/>
      <c r="AW127" s="719"/>
      <c r="AX127" s="719"/>
      <c r="AY127" s="719"/>
    </row>
    <row r="128" spans="1:51" ht="15.75" hidden="1" customHeight="1">
      <c r="A128" s="716"/>
      <c r="B128" s="717"/>
      <c r="C128" s="718"/>
      <c r="D128" s="719"/>
      <c r="E128" s="719"/>
      <c r="F128" s="720"/>
      <c r="G128" s="721">
        <v>50</v>
      </c>
      <c r="H128" s="726"/>
      <c r="I128" s="726"/>
      <c r="J128" s="723"/>
      <c r="K128" s="719"/>
      <c r="L128" s="719"/>
      <c r="M128" s="719"/>
      <c r="N128" s="726"/>
      <c r="O128" s="726"/>
      <c r="P128" s="726"/>
      <c r="Q128" s="719"/>
      <c r="R128" s="719"/>
      <c r="S128" s="719">
        <f t="shared" si="36"/>
        <v>49.680000000000291</v>
      </c>
      <c r="T128" s="719"/>
      <c r="U128" s="719"/>
      <c r="V128" s="719"/>
      <c r="W128" s="719"/>
      <c r="X128" s="719"/>
      <c r="Y128" s="719"/>
      <c r="Z128" s="719"/>
      <c r="AA128" s="719"/>
      <c r="AB128" s="719"/>
      <c r="AC128" s="719"/>
      <c r="AD128" s="719"/>
      <c r="AE128" s="719"/>
      <c r="AF128" s="719"/>
      <c r="AG128" s="1341" t="s">
        <v>723</v>
      </c>
      <c r="AH128" s="719" t="s">
        <v>723</v>
      </c>
      <c r="AI128" s="719" t="s">
        <v>723</v>
      </c>
      <c r="AJ128" s="719"/>
      <c r="AK128" s="719"/>
      <c r="AL128" s="719"/>
      <c r="AM128" s="719"/>
      <c r="AN128" s="719"/>
      <c r="AO128" s="719"/>
      <c r="AP128" s="719"/>
      <c r="AQ128" s="724">
        <f>+FL_1($T$129,$T$127,$G$128,1200,9.28,-1*$F$129)</f>
        <v>0.33477011200000001</v>
      </c>
      <c r="AR128" s="724"/>
      <c r="AS128" s="724"/>
      <c r="AT128" s="724"/>
      <c r="AU128" s="724"/>
      <c r="AV128" s="724"/>
      <c r="AW128" s="719"/>
      <c r="AX128" s="719"/>
      <c r="AY128" s="719"/>
    </row>
    <row r="129" spans="1:56" ht="15.75" hidden="1" customHeight="1">
      <c r="A129" s="716" t="s">
        <v>677</v>
      </c>
      <c r="B129" s="725" t="s">
        <v>1362</v>
      </c>
      <c r="C129" s="718">
        <f>+$C$127+$G$128</f>
        <v>33550</v>
      </c>
      <c r="D129" s="719"/>
      <c r="E129" s="719"/>
      <c r="F129" s="720">
        <v>0</v>
      </c>
      <c r="G129" s="721"/>
      <c r="H129" s="726"/>
      <c r="I129" s="726"/>
      <c r="J129" s="723"/>
      <c r="K129" s="719"/>
      <c r="L129" s="719" t="s">
        <v>241</v>
      </c>
      <c r="M129" s="719"/>
      <c r="N129" s="719" t="s">
        <v>696</v>
      </c>
      <c r="O129" s="726"/>
      <c r="P129" s="726"/>
      <c r="Q129" s="719">
        <v>0</v>
      </c>
      <c r="R129" s="719">
        <v>0</v>
      </c>
      <c r="S129" s="719"/>
      <c r="T129" s="719">
        <v>30</v>
      </c>
      <c r="U129" s="719"/>
      <c r="V129" s="719"/>
      <c r="W129" s="719">
        <v>1.1000000000000001</v>
      </c>
      <c r="X129" s="719"/>
      <c r="Y129" s="719"/>
      <c r="Z129" s="719"/>
      <c r="AA129" s="719"/>
      <c r="AB129" s="719"/>
      <c r="AC129" s="719" t="s">
        <v>2977</v>
      </c>
      <c r="AD129" s="719"/>
      <c r="AE129" s="719"/>
      <c r="AF129" s="719">
        <v>200</v>
      </c>
      <c r="AG129" s="1341">
        <v>33548.550000000003</v>
      </c>
      <c r="AH129" s="719">
        <v>1503</v>
      </c>
      <c r="AI129" s="719">
        <v>-5126</v>
      </c>
      <c r="AJ129" s="719"/>
      <c r="AK129" s="719"/>
      <c r="AL129" s="719"/>
      <c r="AM129" s="719" t="s">
        <v>2608</v>
      </c>
      <c r="AN129" s="719">
        <v>5.25</v>
      </c>
      <c r="AO129" s="719"/>
      <c r="AP129" s="719"/>
      <c r="AQ129" s="724"/>
      <c r="AR129" s="724"/>
      <c r="AS129" s="724"/>
      <c r="AT129" s="724">
        <f>+ab($T$129,$T$127,$T$131,$G$128,$G$130,-1*$F$129,1200)</f>
        <v>7.9442083933778509</v>
      </c>
      <c r="AU129" s="724"/>
      <c r="AV129" s="724"/>
      <c r="AW129" s="719"/>
      <c r="AX129" s="719"/>
      <c r="AY129" s="719"/>
    </row>
    <row r="130" spans="1:56" ht="15.75" hidden="1" customHeight="1">
      <c r="A130" s="716"/>
      <c r="B130" s="717"/>
      <c r="C130" s="718"/>
      <c r="D130" s="719"/>
      <c r="E130" s="719"/>
      <c r="F130" s="720"/>
      <c r="G130" s="721">
        <v>50</v>
      </c>
      <c r="H130" s="726"/>
      <c r="I130" s="722"/>
      <c r="J130" s="723"/>
      <c r="K130" s="719"/>
      <c r="L130" s="719"/>
      <c r="M130" s="719"/>
      <c r="N130" s="726"/>
      <c r="O130" s="719"/>
      <c r="P130" s="719"/>
      <c r="Q130" s="719"/>
      <c r="R130" s="719"/>
      <c r="S130" s="719">
        <f t="shared" si="36"/>
        <v>51.209999999999127</v>
      </c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1341" t="s">
        <v>723</v>
      </c>
      <c r="AH130" s="719" t="s">
        <v>723</v>
      </c>
      <c r="AI130" s="719" t="s">
        <v>723</v>
      </c>
      <c r="AJ130" s="719"/>
      <c r="AK130" s="719"/>
      <c r="AL130" s="719"/>
      <c r="AM130" s="719"/>
      <c r="AN130" s="719"/>
      <c r="AO130" s="719"/>
      <c r="AP130" s="719"/>
      <c r="AQ130" s="724">
        <f>+FL_2($T$131,$T$129,$G$130,1200,9.28,-1*$F$131)</f>
        <v>-0.33477011200000001</v>
      </c>
      <c r="AR130" s="724"/>
      <c r="AS130" s="724"/>
      <c r="AT130" s="724"/>
      <c r="AU130" s="724"/>
      <c r="AV130" s="724"/>
      <c r="AW130" s="719"/>
      <c r="AX130" s="719"/>
      <c r="AY130" s="719"/>
    </row>
    <row r="131" spans="1:56" ht="15.75" hidden="1" customHeight="1">
      <c r="A131" s="716" t="s">
        <v>677</v>
      </c>
      <c r="B131" s="725" t="s">
        <v>1363</v>
      </c>
      <c r="C131" s="718">
        <f>+$C$129+$G$130</f>
        <v>33600</v>
      </c>
      <c r="D131" s="719"/>
      <c r="E131" s="719"/>
      <c r="F131" s="720">
        <v>0</v>
      </c>
      <c r="G131" s="721"/>
      <c r="H131" s="726"/>
      <c r="I131" s="726"/>
      <c r="J131" s="723"/>
      <c r="K131" s="719"/>
      <c r="L131" s="719" t="s">
        <v>241</v>
      </c>
      <c r="M131" s="719"/>
      <c r="N131" s="726" t="s">
        <v>695</v>
      </c>
      <c r="O131" s="726"/>
      <c r="P131" s="726"/>
      <c r="Q131" s="719">
        <v>0</v>
      </c>
      <c r="R131" s="719">
        <v>0</v>
      </c>
      <c r="S131" s="719"/>
      <c r="T131" s="719">
        <v>-30</v>
      </c>
      <c r="U131" s="719"/>
      <c r="V131" s="719"/>
      <c r="W131" s="719">
        <v>1.1000000000000001</v>
      </c>
      <c r="X131" s="719"/>
      <c r="Y131" s="719"/>
      <c r="Z131" s="719"/>
      <c r="AA131" s="719"/>
      <c r="AB131" s="719"/>
      <c r="AC131" s="719" t="s">
        <v>2978</v>
      </c>
      <c r="AD131" s="719"/>
      <c r="AE131" s="719"/>
      <c r="AF131" s="719">
        <v>200</v>
      </c>
      <c r="AG131" s="1341">
        <v>33599.760000000002</v>
      </c>
      <c r="AH131" s="719">
        <v>1510</v>
      </c>
      <c r="AI131" s="719">
        <v>-5184</v>
      </c>
      <c r="AJ131" s="719"/>
      <c r="AK131" s="719"/>
      <c r="AL131" s="719"/>
      <c r="AM131" s="719" t="s">
        <v>2608</v>
      </c>
      <c r="AN131" s="719">
        <v>5.25</v>
      </c>
      <c r="AO131" s="719"/>
      <c r="AP131" s="719"/>
      <c r="AQ131" s="724"/>
      <c r="AR131" s="724"/>
      <c r="AS131" s="724"/>
      <c r="AT131" s="724">
        <f>+ab($T$131,$T$129,$T$133,$G$130,$G$132,-1*$F$131,1200)</f>
        <v>-7.9442410717051439</v>
      </c>
      <c r="AU131" s="724"/>
      <c r="AV131" s="724"/>
      <c r="AW131" s="719"/>
      <c r="AX131" s="719"/>
      <c r="AY131" s="719"/>
    </row>
    <row r="132" spans="1:56" ht="15.75" hidden="1" customHeight="1">
      <c r="A132" s="716"/>
      <c r="B132" s="717"/>
      <c r="C132" s="718"/>
      <c r="D132" s="719"/>
      <c r="E132" s="719"/>
      <c r="F132" s="720"/>
      <c r="G132" s="721">
        <v>50</v>
      </c>
      <c r="H132" s="726"/>
      <c r="I132" s="726"/>
      <c r="J132" s="723"/>
      <c r="K132" s="719"/>
      <c r="L132" s="719"/>
      <c r="M132" s="719"/>
      <c r="N132" s="726"/>
      <c r="O132" s="726"/>
      <c r="P132" s="726"/>
      <c r="Q132" s="719"/>
      <c r="R132" s="719"/>
      <c r="S132" s="719">
        <f t="shared" si="36"/>
        <v>49.709999999999127</v>
      </c>
      <c r="T132" s="719"/>
      <c r="U132" s="719"/>
      <c r="V132" s="719"/>
      <c r="W132" s="719"/>
      <c r="X132" s="719"/>
      <c r="Y132" s="719"/>
      <c r="Z132" s="719"/>
      <c r="AA132" s="719"/>
      <c r="AB132" s="719"/>
      <c r="AC132" s="719"/>
      <c r="AD132" s="719"/>
      <c r="AE132" s="719"/>
      <c r="AF132" s="719"/>
      <c r="AG132" s="1341" t="s">
        <v>723</v>
      </c>
      <c r="AH132" s="719" t="s">
        <v>723</v>
      </c>
      <c r="AI132" s="719" t="s">
        <v>723</v>
      </c>
      <c r="AJ132" s="719"/>
      <c r="AK132" s="719"/>
      <c r="AL132" s="719"/>
      <c r="AM132" s="719"/>
      <c r="AN132" s="719"/>
      <c r="AO132" s="719"/>
      <c r="AP132" s="719"/>
      <c r="AQ132" s="724">
        <f>+FL_1($T$133,$T$131,$G$132,1200,9.28,-1*$F$133)</f>
        <v>0.33477011200000001</v>
      </c>
      <c r="AR132" s="724"/>
      <c r="AS132" s="724"/>
      <c r="AT132" s="724"/>
      <c r="AU132" s="724"/>
      <c r="AV132" s="724"/>
      <c r="AW132" s="719"/>
      <c r="AX132" s="719"/>
      <c r="AY132" s="719"/>
    </row>
    <row r="133" spans="1:56" ht="15.75" customHeight="1">
      <c r="A133" s="716" t="s">
        <v>677</v>
      </c>
      <c r="B133" s="725" t="s">
        <v>1364</v>
      </c>
      <c r="C133" s="718">
        <f>+$C$131+$G$132</f>
        <v>33650</v>
      </c>
      <c r="D133" s="719"/>
      <c r="E133" s="719"/>
      <c r="F133" s="720">
        <v>0</v>
      </c>
      <c r="G133" s="721"/>
      <c r="H133" s="726" t="s">
        <v>1101</v>
      </c>
      <c r="I133" s="726"/>
      <c r="J133" s="723"/>
      <c r="K133" s="719"/>
      <c r="L133" s="719" t="s">
        <v>241</v>
      </c>
      <c r="M133" s="719"/>
      <c r="N133" s="719" t="s">
        <v>696</v>
      </c>
      <c r="O133" s="726"/>
      <c r="P133" s="726"/>
      <c r="Q133" s="719">
        <v>0</v>
      </c>
      <c r="R133" s="719">
        <v>0</v>
      </c>
      <c r="S133" s="719"/>
      <c r="T133" s="719">
        <v>30</v>
      </c>
      <c r="U133" s="719"/>
      <c r="V133" s="719"/>
      <c r="W133" s="719">
        <v>1.1000000000000001</v>
      </c>
      <c r="X133" s="719"/>
      <c r="Y133" s="719"/>
      <c r="Z133" s="719"/>
      <c r="AA133" s="719"/>
      <c r="AB133" s="719"/>
      <c r="AC133" s="719" t="s">
        <v>2977</v>
      </c>
      <c r="AD133" s="719"/>
      <c r="AE133" s="719"/>
      <c r="AF133" s="719">
        <v>200</v>
      </c>
      <c r="AG133" s="1341">
        <v>33649.47</v>
      </c>
      <c r="AH133" s="719">
        <v>1532</v>
      </c>
      <c r="AI133" s="719">
        <v>-5102</v>
      </c>
      <c r="AJ133" s="719"/>
      <c r="AK133" s="719"/>
      <c r="AL133" s="719"/>
      <c r="AM133" s="719" t="s">
        <v>2608</v>
      </c>
      <c r="AN133" s="719">
        <v>5.25</v>
      </c>
      <c r="AO133" s="719"/>
      <c r="AP133" s="719"/>
      <c r="AQ133" s="724"/>
      <c r="AR133" s="724"/>
      <c r="AS133" s="724"/>
      <c r="AT133" s="724">
        <f>+ab($T$133,$T$131,$T$135,$G$132,$G$134,-1*$F$133,1200)</f>
        <v>7.9442083933778509</v>
      </c>
      <c r="AU133" s="724"/>
      <c r="AV133" s="724"/>
      <c r="AW133" s="719"/>
      <c r="AX133" s="719"/>
      <c r="AY133" s="719"/>
    </row>
    <row r="134" spans="1:56" ht="15.75" hidden="1" customHeight="1">
      <c r="A134" s="716"/>
      <c r="B134" s="717"/>
      <c r="C134" s="718"/>
      <c r="D134" s="719"/>
      <c r="E134" s="719"/>
      <c r="F134" s="720"/>
      <c r="G134" s="721">
        <v>50</v>
      </c>
      <c r="H134" s="726"/>
      <c r="I134" s="722">
        <f>+SUM(G116:G134)</f>
        <v>495</v>
      </c>
      <c r="J134" s="723">
        <f>C133+2.1</f>
        <v>33652.1</v>
      </c>
      <c r="K134" s="719" t="s">
        <v>1102</v>
      </c>
      <c r="L134" s="719"/>
      <c r="M134" s="719"/>
      <c r="N134" s="726"/>
      <c r="O134" s="726"/>
      <c r="P134" s="726"/>
      <c r="Q134" s="719"/>
      <c r="R134" s="719"/>
      <c r="S134" s="719">
        <f t="shared" si="36"/>
        <v>49.680000000000291</v>
      </c>
      <c r="T134" s="719"/>
      <c r="U134" s="719"/>
      <c r="V134" s="719"/>
      <c r="W134" s="719"/>
      <c r="X134" s="719"/>
      <c r="Y134" s="719"/>
      <c r="Z134" s="719"/>
      <c r="AA134" s="719"/>
      <c r="AB134" s="719"/>
      <c r="AC134" s="719"/>
      <c r="AD134" s="719"/>
      <c r="AE134" s="719"/>
      <c r="AF134" s="719"/>
      <c r="AG134" s="1341" t="s">
        <v>723</v>
      </c>
      <c r="AH134" s="719" t="s">
        <v>723</v>
      </c>
      <c r="AI134" s="719" t="s">
        <v>723</v>
      </c>
      <c r="AJ134" s="719"/>
      <c r="AK134" s="719"/>
      <c r="AL134" s="719"/>
      <c r="AM134" s="719"/>
      <c r="AN134" s="719"/>
      <c r="AO134" s="719"/>
      <c r="AP134" s="719"/>
      <c r="AQ134" s="724">
        <f>+FL_2($T$135,$T$133,$G$134,1200,9.28,-1*$F$135)</f>
        <v>-0.33477011200000001</v>
      </c>
      <c r="AR134" s="724"/>
      <c r="AS134" s="724"/>
      <c r="AT134" s="724"/>
      <c r="AU134" s="724"/>
      <c r="AV134" s="724"/>
      <c r="AW134" s="719"/>
      <c r="AX134" s="719"/>
      <c r="AY134" s="719"/>
    </row>
    <row r="135" spans="1:56" ht="15.75" customHeight="1">
      <c r="A135" s="716" t="s">
        <v>677</v>
      </c>
      <c r="B135" s="725" t="s">
        <v>1365</v>
      </c>
      <c r="C135" s="718">
        <f>+$C$133+$G$134</f>
        <v>33700</v>
      </c>
      <c r="D135" s="719"/>
      <c r="E135" s="719"/>
      <c r="F135" s="720">
        <v>0</v>
      </c>
      <c r="G135" s="721"/>
      <c r="H135" s="726" t="s">
        <v>997</v>
      </c>
      <c r="I135" s="726"/>
      <c r="J135" s="723"/>
      <c r="K135" s="719"/>
      <c r="L135" s="719" t="s">
        <v>241</v>
      </c>
      <c r="M135" s="719"/>
      <c r="N135" s="726" t="s">
        <v>695</v>
      </c>
      <c r="O135" s="726"/>
      <c r="P135" s="726"/>
      <c r="Q135" s="719">
        <v>0</v>
      </c>
      <c r="R135" s="719">
        <v>0</v>
      </c>
      <c r="S135" s="719"/>
      <c r="T135" s="719">
        <v>-30</v>
      </c>
      <c r="U135" s="719"/>
      <c r="V135" s="719"/>
      <c r="W135" s="719">
        <v>1.1000000000000001</v>
      </c>
      <c r="X135" s="719"/>
      <c r="Y135" s="719"/>
      <c r="Z135" s="719"/>
      <c r="AA135" s="719"/>
      <c r="AB135" s="719"/>
      <c r="AC135" s="719" t="s">
        <v>2978</v>
      </c>
      <c r="AD135" s="719"/>
      <c r="AE135" s="719"/>
      <c r="AF135" s="719">
        <v>200</v>
      </c>
      <c r="AG135" s="1341">
        <v>33699.15</v>
      </c>
      <c r="AH135" s="719">
        <v>1503</v>
      </c>
      <c r="AI135" s="719">
        <v>-5198</v>
      </c>
      <c r="AJ135" s="719"/>
      <c r="AK135" s="719"/>
      <c r="AL135" s="719"/>
      <c r="AM135" s="719" t="s">
        <v>2608</v>
      </c>
      <c r="AN135" s="719">
        <v>5.25</v>
      </c>
      <c r="AO135" s="719"/>
      <c r="AP135" s="719"/>
      <c r="AQ135" s="724"/>
      <c r="AR135" s="724"/>
      <c r="AS135" s="724"/>
      <c r="AT135" s="724">
        <f>+ab($T$135,$T$133,$T$137,$G$134,$G$136,-1*$F$135,1200)</f>
        <v>-7.7841209935497506</v>
      </c>
      <c r="AU135" s="724"/>
      <c r="AV135" s="724"/>
      <c r="AW135" s="719"/>
      <c r="AX135" s="719"/>
      <c r="AY135" s="719"/>
    </row>
    <row r="136" spans="1:56" ht="15.75" hidden="1" customHeight="1">
      <c r="A136" s="716"/>
      <c r="B136" s="717"/>
      <c r="C136" s="718"/>
      <c r="D136" s="719"/>
      <c r="E136" s="719"/>
      <c r="F136" s="720"/>
      <c r="G136" s="721">
        <v>48</v>
      </c>
      <c r="H136" s="726"/>
      <c r="I136" s="726">
        <f>SUM(G136:G154)</f>
        <v>498</v>
      </c>
      <c r="J136" s="723">
        <f>C137-2.7</f>
        <v>33745.300000000003</v>
      </c>
      <c r="K136" s="719" t="s">
        <v>1102</v>
      </c>
      <c r="L136" s="719"/>
      <c r="M136" s="719"/>
      <c r="N136" s="726"/>
      <c r="O136" s="726"/>
      <c r="P136" s="726"/>
      <c r="Q136" s="719"/>
      <c r="R136" s="719"/>
      <c r="S136" s="719">
        <f t="shared" si="36"/>
        <v>49.69999999999709</v>
      </c>
      <c r="T136" s="719"/>
      <c r="U136" s="719"/>
      <c r="V136" s="719"/>
      <c r="W136" s="719"/>
      <c r="X136" s="719"/>
      <c r="Y136" s="719"/>
      <c r="Z136" s="719"/>
      <c r="AA136" s="719"/>
      <c r="AB136" s="719"/>
      <c r="AC136" s="719"/>
      <c r="AD136" s="719"/>
      <c r="AE136" s="719"/>
      <c r="AF136" s="719"/>
      <c r="AG136" s="1341" t="s">
        <v>723</v>
      </c>
      <c r="AH136" s="719" t="s">
        <v>723</v>
      </c>
      <c r="AI136" s="719" t="s">
        <v>723</v>
      </c>
      <c r="AJ136" s="719"/>
      <c r="AK136" s="719"/>
      <c r="AL136" s="719"/>
      <c r="AM136" s="719"/>
      <c r="AN136" s="719"/>
      <c r="AO136" s="719"/>
      <c r="AP136" s="719"/>
      <c r="AQ136" s="724">
        <f>+FL_1($T$137,$T$135,$G$136,1200,9.28,-1*$F$137)</f>
        <v>0.3237437013333333</v>
      </c>
      <c r="AR136" s="724"/>
      <c r="AS136" s="724"/>
      <c r="AT136" s="724"/>
      <c r="AU136" s="724"/>
      <c r="AV136" s="724"/>
      <c r="AW136" s="719"/>
      <c r="AX136" s="719"/>
      <c r="AY136" s="719"/>
    </row>
    <row r="137" spans="1:56" ht="15.75" customHeight="1">
      <c r="A137" s="716" t="s">
        <v>677</v>
      </c>
      <c r="B137" s="725" t="s">
        <v>1366</v>
      </c>
      <c r="C137" s="718">
        <f>+$C$135+$G$136</f>
        <v>33748</v>
      </c>
      <c r="D137" s="719"/>
      <c r="E137" s="719"/>
      <c r="F137" s="720">
        <v>0</v>
      </c>
      <c r="G137" s="721"/>
      <c r="H137" s="726" t="s">
        <v>1101</v>
      </c>
      <c r="I137" s="722"/>
      <c r="J137" s="723"/>
      <c r="K137" s="719"/>
      <c r="L137" s="719" t="s">
        <v>241</v>
      </c>
      <c r="M137" s="719"/>
      <c r="N137" s="719" t="s">
        <v>696</v>
      </c>
      <c r="O137" s="726"/>
      <c r="P137" s="726"/>
      <c r="Q137" s="719">
        <v>0</v>
      </c>
      <c r="R137" s="719">
        <v>0</v>
      </c>
      <c r="S137" s="719"/>
      <c r="T137" s="719">
        <v>30</v>
      </c>
      <c r="U137" s="719"/>
      <c r="V137" s="719"/>
      <c r="W137" s="719">
        <v>1.1000000000000001</v>
      </c>
      <c r="X137" s="719"/>
      <c r="Y137" s="719"/>
      <c r="Z137" s="719"/>
      <c r="AA137" s="719"/>
      <c r="AB137" s="719"/>
      <c r="AC137" s="719" t="s">
        <v>2977</v>
      </c>
      <c r="AD137" s="719"/>
      <c r="AE137" s="719"/>
      <c r="AF137" s="719">
        <v>200</v>
      </c>
      <c r="AG137" s="1341">
        <v>33748.85</v>
      </c>
      <c r="AH137" s="719">
        <v>1525</v>
      </c>
      <c r="AI137" s="719">
        <v>-5144</v>
      </c>
      <c r="AJ137" s="719"/>
      <c r="AK137" s="719"/>
      <c r="AL137" s="719"/>
      <c r="AM137" s="719" t="s">
        <v>2608</v>
      </c>
      <c r="AN137" s="719">
        <v>5.25</v>
      </c>
      <c r="AO137" s="719"/>
      <c r="AP137" s="719"/>
      <c r="AQ137" s="724"/>
      <c r="AR137" s="724"/>
      <c r="AS137" s="724"/>
      <c r="AT137" s="724">
        <f>+ab($T$137,$T$135,$T$139,$G$136,$G$138,-1*$F$137,1200)</f>
        <v>7.7840902388502782</v>
      </c>
      <c r="AU137" s="724"/>
      <c r="AV137" s="724"/>
      <c r="AW137" s="719"/>
      <c r="AX137" s="719"/>
      <c r="AY137" s="719"/>
    </row>
    <row r="138" spans="1:56" ht="15.75" hidden="1" customHeight="1">
      <c r="A138" s="716"/>
      <c r="B138" s="717"/>
      <c r="C138" s="718"/>
      <c r="D138" s="719"/>
      <c r="E138" s="719"/>
      <c r="F138" s="720"/>
      <c r="G138" s="721">
        <v>50</v>
      </c>
      <c r="H138" s="726"/>
      <c r="I138" s="726"/>
      <c r="J138" s="723"/>
      <c r="K138" s="719"/>
      <c r="L138" s="719"/>
      <c r="M138" s="719"/>
      <c r="N138" s="726"/>
      <c r="O138" s="726"/>
      <c r="P138" s="726"/>
      <c r="Q138" s="719"/>
      <c r="R138" s="719"/>
      <c r="S138" s="719">
        <f t="shared" si="36"/>
        <v>49.529999999998836</v>
      </c>
      <c r="T138" s="719"/>
      <c r="U138" s="719"/>
      <c r="V138" s="719"/>
      <c r="W138" s="719"/>
      <c r="X138" s="719"/>
      <c r="Y138" s="719"/>
      <c r="Z138" s="719"/>
      <c r="AA138" s="719"/>
      <c r="AB138" s="719"/>
      <c r="AC138" s="719"/>
      <c r="AD138" s="719"/>
      <c r="AE138" s="719"/>
      <c r="AF138" s="719"/>
      <c r="AG138" s="1341" t="s">
        <v>723</v>
      </c>
      <c r="AH138" s="719" t="s">
        <v>723</v>
      </c>
      <c r="AI138" s="719" t="s">
        <v>723</v>
      </c>
      <c r="AJ138" s="719"/>
      <c r="AK138" s="719"/>
      <c r="AL138" s="719"/>
      <c r="AM138" s="719"/>
      <c r="AN138" s="719"/>
      <c r="AO138" s="719"/>
      <c r="AP138" s="719"/>
      <c r="AQ138" s="724">
        <f>+FL_2($T$139,$T$137,$G$138,1200,9.28,-1*$F$139)</f>
        <v>-0.33477011200000001</v>
      </c>
      <c r="AR138" s="724"/>
      <c r="AS138" s="724"/>
      <c r="AT138" s="724"/>
      <c r="AU138" s="724"/>
      <c r="AV138" s="724"/>
      <c r="AW138" s="719"/>
      <c r="AX138" s="719"/>
      <c r="AY138" s="719"/>
    </row>
    <row r="139" spans="1:56" ht="15.75" hidden="1" customHeight="1">
      <c r="A139" s="716" t="s">
        <v>677</v>
      </c>
      <c r="B139" s="725" t="s">
        <v>1367</v>
      </c>
      <c r="C139" s="718">
        <f>+$C$137+$G$138</f>
        <v>33798</v>
      </c>
      <c r="D139" s="719"/>
      <c r="E139" s="719"/>
      <c r="F139" s="720">
        <v>0</v>
      </c>
      <c r="G139" s="721"/>
      <c r="H139" s="726"/>
      <c r="I139" s="722"/>
      <c r="J139" s="723"/>
      <c r="K139" s="719"/>
      <c r="L139" s="719" t="s">
        <v>241</v>
      </c>
      <c r="M139" s="719"/>
      <c r="N139" s="726" t="s">
        <v>695</v>
      </c>
      <c r="O139" s="726"/>
      <c r="P139" s="726"/>
      <c r="Q139" s="719">
        <v>0</v>
      </c>
      <c r="R139" s="719">
        <v>0</v>
      </c>
      <c r="S139" s="719"/>
      <c r="T139" s="719">
        <v>-30</v>
      </c>
      <c r="U139" s="719"/>
      <c r="V139" s="719"/>
      <c r="W139" s="719">
        <v>1.1000000000000001</v>
      </c>
      <c r="X139" s="719"/>
      <c r="Y139" s="719"/>
      <c r="Z139" s="719"/>
      <c r="AA139" s="719"/>
      <c r="AB139" s="719"/>
      <c r="AC139" s="719" t="s">
        <v>2977</v>
      </c>
      <c r="AD139" s="719"/>
      <c r="AE139" s="719"/>
      <c r="AF139" s="719">
        <v>200</v>
      </c>
      <c r="AG139" s="1341">
        <v>33798.379999999997</v>
      </c>
      <c r="AH139" s="719">
        <v>1550</v>
      </c>
      <c r="AI139" s="719">
        <v>-5138</v>
      </c>
      <c r="AJ139" s="719"/>
      <c r="AK139" s="719"/>
      <c r="AL139" s="719"/>
      <c r="AM139" s="719" t="s">
        <v>2608</v>
      </c>
      <c r="AN139" s="719">
        <v>5.25</v>
      </c>
      <c r="AO139" s="719"/>
      <c r="AP139" s="719"/>
      <c r="AQ139" s="724"/>
      <c r="AR139" s="724"/>
      <c r="AS139" s="724"/>
      <c r="AT139" s="724">
        <f>+ab($T$139,$T$137,$T$141,$G$138,$G$140,-1*$F$139,1200)</f>
        <v>-7.9442410717051439</v>
      </c>
      <c r="AU139" s="724"/>
      <c r="AV139" s="724"/>
      <c r="AW139" s="719"/>
      <c r="AX139" s="719"/>
      <c r="AY139" s="719"/>
    </row>
    <row r="140" spans="1:56" ht="15.75" hidden="1" customHeight="1">
      <c r="A140" s="716"/>
      <c r="B140" s="717"/>
      <c r="C140" s="718"/>
      <c r="D140" s="719"/>
      <c r="E140" s="719"/>
      <c r="F140" s="720"/>
      <c r="G140" s="721">
        <v>50</v>
      </c>
      <c r="H140" s="726"/>
      <c r="I140" s="722"/>
      <c r="J140" s="723"/>
      <c r="K140" s="719"/>
      <c r="L140" s="719"/>
      <c r="M140" s="719"/>
      <c r="N140" s="726"/>
      <c r="O140" s="726"/>
      <c r="P140" s="726"/>
      <c r="Q140" s="719"/>
      <c r="R140" s="719"/>
      <c r="S140" s="719">
        <f t="shared" si="36"/>
        <v>49.660000000003492</v>
      </c>
      <c r="T140" s="719"/>
      <c r="U140" s="719"/>
      <c r="V140" s="719"/>
      <c r="W140" s="719"/>
      <c r="X140" s="719"/>
      <c r="Y140" s="719"/>
      <c r="Z140" s="719"/>
      <c r="AA140" s="719"/>
      <c r="AB140" s="719"/>
      <c r="AC140" s="719"/>
      <c r="AD140" s="719"/>
      <c r="AE140" s="719"/>
      <c r="AF140" s="719"/>
      <c r="AG140" s="1341" t="s">
        <v>723</v>
      </c>
      <c r="AH140" s="719" t="s">
        <v>723</v>
      </c>
      <c r="AI140" s="719" t="s">
        <v>723</v>
      </c>
      <c r="AJ140" s="719"/>
      <c r="AK140" s="719"/>
      <c r="AL140" s="719"/>
      <c r="AM140" s="719"/>
      <c r="AN140" s="719"/>
      <c r="AO140" s="719"/>
      <c r="AP140" s="719"/>
      <c r="AQ140" s="724">
        <f>+FL_1($T$141,$T$139,$G$140,1200,9.28,-1*$F$141)</f>
        <v>0.33477011200000001</v>
      </c>
      <c r="AR140" s="724"/>
      <c r="AS140" s="724"/>
      <c r="AT140" s="724"/>
      <c r="AU140" s="724"/>
      <c r="AV140" s="724"/>
      <c r="AW140" s="719"/>
      <c r="AX140" s="719"/>
      <c r="AY140" s="719"/>
    </row>
    <row r="141" spans="1:56" ht="15.75" hidden="1" customHeight="1">
      <c r="A141" s="716" t="s">
        <v>677</v>
      </c>
      <c r="B141" s="725" t="s">
        <v>1368</v>
      </c>
      <c r="C141" s="718">
        <f>+$C$139+$G$140</f>
        <v>33848</v>
      </c>
      <c r="D141" s="719"/>
      <c r="E141" s="719"/>
      <c r="F141" s="720">
        <v>0</v>
      </c>
      <c r="G141" s="721"/>
      <c r="H141" s="726"/>
      <c r="I141" s="722"/>
      <c r="J141" s="723"/>
      <c r="K141" s="719"/>
      <c r="L141" s="719" t="s">
        <v>241</v>
      </c>
      <c r="M141" s="719"/>
      <c r="N141" s="719" t="s">
        <v>696</v>
      </c>
      <c r="O141" s="726"/>
      <c r="P141" s="726"/>
      <c r="Q141" s="719">
        <v>0</v>
      </c>
      <c r="R141" s="719">
        <v>0</v>
      </c>
      <c r="S141" s="719"/>
      <c r="T141" s="719">
        <v>30</v>
      </c>
      <c r="U141" s="719"/>
      <c r="V141" s="719"/>
      <c r="W141" s="719">
        <v>1.1000000000000001</v>
      </c>
      <c r="X141" s="719"/>
      <c r="Y141" s="719"/>
      <c r="Z141" s="719"/>
      <c r="AA141" s="719"/>
      <c r="AB141" s="719"/>
      <c r="AC141" s="719" t="s">
        <v>2977</v>
      </c>
      <c r="AD141" s="719"/>
      <c r="AE141" s="719"/>
      <c r="AF141" s="719">
        <v>200</v>
      </c>
      <c r="AG141" s="1341">
        <v>33848.04</v>
      </c>
      <c r="AH141" s="719">
        <v>1589</v>
      </c>
      <c r="AI141" s="719">
        <v>-5059</v>
      </c>
      <c r="AJ141" s="719"/>
      <c r="AK141" s="719"/>
      <c r="AL141" s="719"/>
      <c r="AM141" s="719" t="s">
        <v>2608</v>
      </c>
      <c r="AN141" s="719">
        <v>5.25</v>
      </c>
      <c r="AO141" s="719"/>
      <c r="AP141" s="719"/>
      <c r="AQ141" s="724"/>
      <c r="AR141" s="724"/>
      <c r="AS141" s="724"/>
      <c r="AT141" s="724">
        <f>+ab($T$141,$T$139,$T$143,$G$140,$G$142,-1*$F$141,1200)</f>
        <v>7.9442083933778509</v>
      </c>
      <c r="AU141" s="724"/>
      <c r="AV141" s="724"/>
      <c r="AW141" s="719"/>
      <c r="AX141" s="719"/>
      <c r="AY141" s="719"/>
      <c r="BD141" s="560"/>
    </row>
    <row r="142" spans="1:56" ht="15.75" hidden="1" customHeight="1">
      <c r="A142" s="716"/>
      <c r="B142" s="717"/>
      <c r="C142" s="718"/>
      <c r="D142" s="719"/>
      <c r="E142" s="719"/>
      <c r="F142" s="720"/>
      <c r="G142" s="721">
        <v>50</v>
      </c>
      <c r="H142" s="719"/>
      <c r="I142" s="726"/>
      <c r="J142" s="723"/>
      <c r="K142" s="719"/>
      <c r="L142" s="719"/>
      <c r="M142" s="730"/>
      <c r="N142" s="726"/>
      <c r="O142" s="726"/>
      <c r="P142" s="726"/>
      <c r="Q142" s="719"/>
      <c r="R142" s="719"/>
      <c r="S142" s="719">
        <f t="shared" si="36"/>
        <v>49.669999999998254</v>
      </c>
      <c r="T142" s="719"/>
      <c r="U142" s="719"/>
      <c r="V142" s="719"/>
      <c r="W142" s="719"/>
      <c r="X142" s="719"/>
      <c r="Y142" s="719"/>
      <c r="Z142" s="719"/>
      <c r="AA142" s="719"/>
      <c r="AB142" s="719"/>
      <c r="AC142" s="719"/>
      <c r="AD142" s="719"/>
      <c r="AE142" s="719"/>
      <c r="AF142" s="719"/>
      <c r="AG142" s="1341" t="s">
        <v>723</v>
      </c>
      <c r="AH142" s="719" t="s">
        <v>723</v>
      </c>
      <c r="AI142" s="719" t="s">
        <v>723</v>
      </c>
      <c r="AJ142" s="719"/>
      <c r="AK142" s="719"/>
      <c r="AL142" s="719"/>
      <c r="AM142" s="719"/>
      <c r="AN142" s="719"/>
      <c r="AO142" s="719"/>
      <c r="AP142" s="719"/>
      <c r="AQ142" s="724">
        <f>+FL_2($T$143,$T$141,$G$142,1200,9.28,-1*$F$143)</f>
        <v>-0.33477011200000001</v>
      </c>
      <c r="AR142" s="724"/>
      <c r="AS142" s="724"/>
      <c r="AT142" s="724"/>
      <c r="AU142" s="724"/>
      <c r="AV142" s="724"/>
      <c r="AW142" s="719"/>
      <c r="AX142" s="719"/>
      <c r="AY142" s="719"/>
    </row>
    <row r="143" spans="1:56" ht="15.75" hidden="1" customHeight="1">
      <c r="A143" s="716" t="s">
        <v>677</v>
      </c>
      <c r="B143" s="725" t="s">
        <v>1369</v>
      </c>
      <c r="C143" s="718">
        <f>+$C$141+$G$142</f>
        <v>33898</v>
      </c>
      <c r="D143" s="719"/>
      <c r="E143" s="719"/>
      <c r="F143" s="720">
        <v>0</v>
      </c>
      <c r="G143" s="721"/>
      <c r="H143" s="726"/>
      <c r="I143" s="722"/>
      <c r="J143" s="723"/>
      <c r="K143" s="719"/>
      <c r="L143" s="719" t="s">
        <v>241</v>
      </c>
      <c r="M143" s="730"/>
      <c r="N143" s="726" t="s">
        <v>695</v>
      </c>
      <c r="O143" s="726"/>
      <c r="P143" s="726"/>
      <c r="Q143" s="719">
        <v>0</v>
      </c>
      <c r="R143" s="719">
        <v>0</v>
      </c>
      <c r="S143" s="719"/>
      <c r="T143" s="719">
        <v>-30</v>
      </c>
      <c r="U143" s="719"/>
      <c r="V143" s="719"/>
      <c r="W143" s="719">
        <v>1.1000000000000001</v>
      </c>
      <c r="X143" s="719"/>
      <c r="Y143" s="719"/>
      <c r="Z143" s="719"/>
      <c r="AA143" s="719"/>
      <c r="AB143" s="719"/>
      <c r="AC143" s="719" t="s">
        <v>2979</v>
      </c>
      <c r="AD143" s="719"/>
      <c r="AE143" s="719"/>
      <c r="AF143" s="719">
        <v>200</v>
      </c>
      <c r="AG143" s="1341">
        <v>33897.71</v>
      </c>
      <c r="AH143" s="719">
        <v>1544</v>
      </c>
      <c r="AI143" s="719">
        <v>-5100</v>
      </c>
      <c r="AJ143" s="719"/>
      <c r="AK143" s="719"/>
      <c r="AL143" s="719"/>
      <c r="AM143" s="719" t="s">
        <v>2608</v>
      </c>
      <c r="AN143" s="719">
        <v>5.25</v>
      </c>
      <c r="AO143" s="719"/>
      <c r="AP143" s="719"/>
      <c r="AQ143" s="724"/>
      <c r="AR143" s="724"/>
      <c r="AS143" s="724"/>
      <c r="AT143" s="724">
        <f>+ab($T$143,$T$141,$T$145,$G$142,$G$144,-1*$F$143,1200)</f>
        <v>-7.9442410717051439</v>
      </c>
      <c r="AU143" s="724"/>
      <c r="AV143" s="724"/>
      <c r="AW143" s="719"/>
      <c r="AX143" s="719"/>
      <c r="AY143" s="719"/>
    </row>
    <row r="144" spans="1:56" ht="15.75" hidden="1" customHeight="1">
      <c r="A144" s="716"/>
      <c r="B144" s="717"/>
      <c r="C144" s="718"/>
      <c r="D144" s="719"/>
      <c r="E144" s="719"/>
      <c r="F144" s="720"/>
      <c r="G144" s="721">
        <v>50</v>
      </c>
      <c r="H144" s="726"/>
      <c r="I144" s="726"/>
      <c r="J144" s="723"/>
      <c r="K144" s="719"/>
      <c r="L144" s="719"/>
      <c r="M144" s="730"/>
      <c r="N144" s="726"/>
      <c r="O144" s="726"/>
      <c r="P144" s="726"/>
      <c r="Q144" s="719"/>
      <c r="R144" s="719"/>
      <c r="S144" s="719">
        <f t="shared" si="36"/>
        <v>51.190000000002328</v>
      </c>
      <c r="T144" s="719"/>
      <c r="U144" s="719"/>
      <c r="V144" s="719"/>
      <c r="W144" s="719"/>
      <c r="X144" s="719"/>
      <c r="Y144" s="719"/>
      <c r="Z144" s="719"/>
      <c r="AA144" s="719"/>
      <c r="AB144" s="719"/>
      <c r="AC144" s="719"/>
      <c r="AD144" s="719"/>
      <c r="AE144" s="719"/>
      <c r="AF144" s="719"/>
      <c r="AG144" s="1341" t="s">
        <v>723</v>
      </c>
      <c r="AH144" s="719" t="s">
        <v>723</v>
      </c>
      <c r="AI144" s="719" t="s">
        <v>723</v>
      </c>
      <c r="AJ144" s="719"/>
      <c r="AK144" s="719"/>
      <c r="AL144" s="719"/>
      <c r="AM144" s="719"/>
      <c r="AN144" s="719"/>
      <c r="AO144" s="719"/>
      <c r="AP144" s="719"/>
      <c r="AQ144" s="724">
        <f>+FL_1($T$145,$T$143,$G$144,1200,9.28,-1*$F$145)</f>
        <v>0.33477011200000001</v>
      </c>
      <c r="AR144" s="724"/>
      <c r="AS144" s="724"/>
      <c r="AT144" s="724"/>
      <c r="AU144" s="724"/>
      <c r="AV144" s="724"/>
      <c r="AW144" s="719"/>
      <c r="AX144" s="719"/>
      <c r="AY144" s="719"/>
    </row>
    <row r="145" spans="1:58" ht="15.75" hidden="1" customHeight="1">
      <c r="A145" s="716" t="s">
        <v>677</v>
      </c>
      <c r="B145" s="725" t="s">
        <v>1370</v>
      </c>
      <c r="C145" s="718">
        <f>+$C$143+$G$144</f>
        <v>33948</v>
      </c>
      <c r="D145" s="719"/>
      <c r="E145" s="719"/>
      <c r="F145" s="720">
        <v>0</v>
      </c>
      <c r="G145" s="721"/>
      <c r="H145" s="726"/>
      <c r="I145" s="726"/>
      <c r="J145" s="723"/>
      <c r="K145" s="719"/>
      <c r="L145" s="719" t="s">
        <v>241</v>
      </c>
      <c r="M145" s="719"/>
      <c r="N145" s="719" t="s">
        <v>696</v>
      </c>
      <c r="O145" s="726"/>
      <c r="P145" s="726"/>
      <c r="Q145" s="719">
        <v>0</v>
      </c>
      <c r="R145" s="719">
        <v>0</v>
      </c>
      <c r="S145" s="719"/>
      <c r="T145" s="719">
        <v>30</v>
      </c>
      <c r="U145" s="719"/>
      <c r="V145" s="719"/>
      <c r="W145" s="719">
        <v>1.1000000000000001</v>
      </c>
      <c r="X145" s="719"/>
      <c r="Y145" s="719"/>
      <c r="Z145" s="719"/>
      <c r="AA145" s="719"/>
      <c r="AB145" s="719"/>
      <c r="AC145" s="719" t="s">
        <v>2977</v>
      </c>
      <c r="AD145" s="719"/>
      <c r="AE145" s="719"/>
      <c r="AF145" s="719">
        <v>200</v>
      </c>
      <c r="AG145" s="1341">
        <v>33948.9</v>
      </c>
      <c r="AH145" s="719">
        <v>1508</v>
      </c>
      <c r="AI145" s="719">
        <v>-5141</v>
      </c>
      <c r="AJ145" s="719"/>
      <c r="AK145" s="719"/>
      <c r="AL145" s="719"/>
      <c r="AM145" s="719" t="s">
        <v>2608</v>
      </c>
      <c r="AN145" s="719">
        <v>5.25</v>
      </c>
      <c r="AO145" s="719"/>
      <c r="AP145" s="719"/>
      <c r="AQ145" s="724"/>
      <c r="AR145" s="724"/>
      <c r="AS145" s="724"/>
      <c r="AT145" s="724">
        <f>+ab($T$145,$T$143,$T$147,$G$144,$G$146,-1*$F$145,1200)</f>
        <v>7.9442083933778509</v>
      </c>
      <c r="AU145" s="724"/>
      <c r="AV145" s="724"/>
      <c r="AW145" s="719"/>
      <c r="AX145" s="719"/>
      <c r="AY145" s="719"/>
    </row>
    <row r="146" spans="1:58" ht="15.75" hidden="1" customHeight="1">
      <c r="A146" s="716"/>
      <c r="B146" s="717"/>
      <c r="C146" s="718"/>
      <c r="D146" s="719"/>
      <c r="E146" s="719"/>
      <c r="F146" s="720"/>
      <c r="G146" s="721">
        <v>50</v>
      </c>
      <c r="H146" s="726"/>
      <c r="I146" s="726"/>
      <c r="J146" s="723"/>
      <c r="K146" s="719"/>
      <c r="L146" s="719"/>
      <c r="M146" s="719"/>
      <c r="N146" s="726"/>
      <c r="O146" s="726"/>
      <c r="P146" s="726"/>
      <c r="Q146" s="719"/>
      <c r="R146" s="719"/>
      <c r="S146" s="719">
        <f t="shared" si="36"/>
        <v>49.619999999995343</v>
      </c>
      <c r="T146" s="719"/>
      <c r="U146" s="719"/>
      <c r="V146" s="719"/>
      <c r="W146" s="719"/>
      <c r="X146" s="719"/>
      <c r="Y146" s="719"/>
      <c r="Z146" s="719"/>
      <c r="AA146" s="719"/>
      <c r="AB146" s="719"/>
      <c r="AC146" s="719"/>
      <c r="AD146" s="719"/>
      <c r="AE146" s="719"/>
      <c r="AF146" s="719"/>
      <c r="AG146" s="1341" t="s">
        <v>723</v>
      </c>
      <c r="AH146" s="719" t="s">
        <v>723</v>
      </c>
      <c r="AI146" s="719" t="s">
        <v>723</v>
      </c>
      <c r="AJ146" s="719"/>
      <c r="AK146" s="719"/>
      <c r="AL146" s="719"/>
      <c r="AM146" s="719"/>
      <c r="AN146" s="719"/>
      <c r="AO146" s="719"/>
      <c r="AP146" s="719"/>
      <c r="AQ146" s="724">
        <f>+FL_2($T$147,$T$145,$G$146,1200,9.28,-1*$F$147)</f>
        <v>-0.33477011200000001</v>
      </c>
      <c r="AR146" s="724"/>
      <c r="AS146" s="724"/>
      <c r="AT146" s="724"/>
      <c r="AU146" s="724"/>
      <c r="AV146" s="724"/>
      <c r="AW146" s="719"/>
      <c r="AX146" s="719"/>
      <c r="AY146" s="719"/>
    </row>
    <row r="147" spans="1:58" ht="15.75" hidden="1" customHeight="1">
      <c r="A147" s="716" t="s">
        <v>677</v>
      </c>
      <c r="B147" s="725" t="s">
        <v>2585</v>
      </c>
      <c r="C147" s="718">
        <f>+$C$145+$G$146</f>
        <v>33998</v>
      </c>
      <c r="D147" s="719"/>
      <c r="E147" s="719"/>
      <c r="F147" s="720">
        <v>0</v>
      </c>
      <c r="G147" s="721"/>
      <c r="H147" s="726"/>
      <c r="I147" s="726"/>
      <c r="J147" s="723"/>
      <c r="K147" s="719"/>
      <c r="L147" s="719" t="s">
        <v>241</v>
      </c>
      <c r="M147" s="719"/>
      <c r="N147" s="726" t="s">
        <v>695</v>
      </c>
      <c r="O147" s="726"/>
      <c r="P147" s="726"/>
      <c r="Q147" s="719">
        <v>0</v>
      </c>
      <c r="R147" s="719">
        <v>0</v>
      </c>
      <c r="S147" s="719"/>
      <c r="T147" s="719">
        <v>-30</v>
      </c>
      <c r="U147" s="719"/>
      <c r="V147" s="719"/>
      <c r="W147" s="719">
        <v>1.1000000000000001</v>
      </c>
      <c r="X147" s="719"/>
      <c r="Y147" s="719"/>
      <c r="Z147" s="719"/>
      <c r="AA147" s="719"/>
      <c r="AB147" s="719"/>
      <c r="AC147" s="719" t="s">
        <v>2979</v>
      </c>
      <c r="AD147" s="719"/>
      <c r="AE147" s="719"/>
      <c r="AF147" s="719">
        <v>200</v>
      </c>
      <c r="AG147" s="1341">
        <v>33998.519999999997</v>
      </c>
      <c r="AH147" s="719">
        <v>1490</v>
      </c>
      <c r="AI147" s="719">
        <v>-5138</v>
      </c>
      <c r="AJ147" s="719"/>
      <c r="AK147" s="719"/>
      <c r="AL147" s="719"/>
      <c r="AM147" s="719" t="s">
        <v>2608</v>
      </c>
      <c r="AN147" s="719">
        <v>5.25</v>
      </c>
      <c r="AO147" s="719"/>
      <c r="AP147" s="719"/>
      <c r="AQ147" s="724"/>
      <c r="AR147" s="724"/>
      <c r="AS147" s="724"/>
      <c r="AT147" s="724">
        <f>+ab($T$147,$T$145,$T$149,$G$146,$G$148,-1*$F$147,1200)</f>
        <v>-7.9442410717051439</v>
      </c>
      <c r="AU147" s="724"/>
      <c r="AV147" s="724"/>
      <c r="AW147" s="719"/>
      <c r="AX147" s="719"/>
      <c r="AY147" s="719"/>
      <c r="BC147" s="560"/>
    </row>
    <row r="148" spans="1:58" ht="15.75" hidden="1" customHeight="1">
      <c r="A148" s="716"/>
      <c r="B148" s="717"/>
      <c r="C148" s="718"/>
      <c r="D148" s="719"/>
      <c r="E148" s="719"/>
      <c r="F148" s="720"/>
      <c r="G148" s="721">
        <v>50</v>
      </c>
      <c r="H148" s="726"/>
      <c r="I148" s="726"/>
      <c r="J148" s="723"/>
      <c r="K148" s="719"/>
      <c r="L148" s="719"/>
      <c r="M148" s="719"/>
      <c r="N148" s="726"/>
      <c r="O148" s="726"/>
      <c r="P148" s="726"/>
      <c r="Q148" s="719"/>
      <c r="R148" s="719"/>
      <c r="S148" s="719">
        <f t="shared" si="36"/>
        <v>49.680000000000291</v>
      </c>
      <c r="T148" s="719"/>
      <c r="U148" s="719"/>
      <c r="V148" s="719"/>
      <c r="W148" s="719"/>
      <c r="X148" s="719"/>
      <c r="Y148" s="719"/>
      <c r="Z148" s="719"/>
      <c r="AA148" s="719"/>
      <c r="AB148" s="719"/>
      <c r="AC148" s="719"/>
      <c r="AD148" s="719"/>
      <c r="AE148" s="719"/>
      <c r="AF148" s="719"/>
      <c r="AG148" s="1341" t="s">
        <v>723</v>
      </c>
      <c r="AH148" s="719" t="s">
        <v>723</v>
      </c>
      <c r="AI148" s="719" t="s">
        <v>723</v>
      </c>
      <c r="AJ148" s="719"/>
      <c r="AK148" s="719"/>
      <c r="AL148" s="719"/>
      <c r="AM148" s="719"/>
      <c r="AN148" s="719"/>
      <c r="AO148" s="719"/>
      <c r="AP148" s="719"/>
      <c r="AQ148" s="724">
        <f>+FL_1($T$149,$T$147,$G$148,1200,9.28,-1*$F$149)</f>
        <v>0.33477011200000001</v>
      </c>
      <c r="AR148" s="724"/>
      <c r="AS148" s="724"/>
      <c r="AT148" s="724"/>
      <c r="AU148" s="724"/>
      <c r="AV148" s="724"/>
      <c r="AW148" s="719"/>
      <c r="AX148" s="719"/>
      <c r="AY148" s="719"/>
    </row>
    <row r="149" spans="1:58" ht="15.75" hidden="1" customHeight="1">
      <c r="A149" s="716" t="s">
        <v>677</v>
      </c>
      <c r="B149" s="725" t="s">
        <v>1371</v>
      </c>
      <c r="C149" s="718">
        <f>+$C$147+$G$148</f>
        <v>34048</v>
      </c>
      <c r="D149" s="719"/>
      <c r="E149" s="719"/>
      <c r="F149" s="720">
        <v>0</v>
      </c>
      <c r="G149" s="721"/>
      <c r="H149" s="726" t="s">
        <v>138</v>
      </c>
      <c r="I149" s="722" t="s">
        <v>948</v>
      </c>
      <c r="J149" s="723"/>
      <c r="K149" s="719"/>
      <c r="L149" s="719" t="s">
        <v>241</v>
      </c>
      <c r="M149" s="719"/>
      <c r="N149" s="719" t="s">
        <v>696</v>
      </c>
      <c r="O149" s="726"/>
      <c r="P149" s="726"/>
      <c r="Q149" s="719">
        <v>0</v>
      </c>
      <c r="R149" s="719">
        <v>0</v>
      </c>
      <c r="S149" s="719"/>
      <c r="T149" s="719">
        <v>30</v>
      </c>
      <c r="U149" s="719"/>
      <c r="V149" s="719"/>
      <c r="W149" s="719">
        <v>1.1000000000000001</v>
      </c>
      <c r="X149" s="719"/>
      <c r="Y149" s="719"/>
      <c r="Z149" s="719"/>
      <c r="AA149" s="719"/>
      <c r="AB149" s="719"/>
      <c r="AC149" s="719" t="s">
        <v>2977</v>
      </c>
      <c r="AD149" s="719"/>
      <c r="AE149" s="719"/>
      <c r="AF149" s="719">
        <v>200</v>
      </c>
      <c r="AG149" s="1341">
        <v>34048.199999999997</v>
      </c>
      <c r="AH149" s="719">
        <v>1551</v>
      </c>
      <c r="AI149" s="719">
        <v>-5113</v>
      </c>
      <c r="AJ149" s="719"/>
      <c r="AK149" s="719"/>
      <c r="AL149" s="719"/>
      <c r="AM149" s="719" t="s">
        <v>2608</v>
      </c>
      <c r="AN149" s="719">
        <v>5.25</v>
      </c>
      <c r="AO149" s="719"/>
      <c r="AP149" s="719"/>
      <c r="AQ149" s="724"/>
      <c r="AR149" s="724"/>
      <c r="AS149" s="724"/>
      <c r="AT149" s="724">
        <f>+ab($T$149,$T$147,$T$151,$G$148,$G$150,-1*$F$149,1200)</f>
        <v>9.9968917440918084</v>
      </c>
      <c r="AU149" s="724"/>
      <c r="AV149" s="724"/>
      <c r="AW149" s="719"/>
      <c r="AX149" s="719"/>
      <c r="AY149" s="719"/>
    </row>
    <row r="150" spans="1:58" ht="15.75" hidden="1" customHeight="1">
      <c r="A150" s="716"/>
      <c r="B150" s="717"/>
      <c r="C150" s="718"/>
      <c r="D150" s="719"/>
      <c r="E150" s="719"/>
      <c r="F150" s="720"/>
      <c r="G150" s="721">
        <v>50</v>
      </c>
      <c r="H150" s="726"/>
      <c r="I150" s="726"/>
      <c r="J150" s="723">
        <f>C149+10</f>
        <v>34058</v>
      </c>
      <c r="K150" s="719" t="s">
        <v>1097</v>
      </c>
      <c r="L150" s="719"/>
      <c r="M150" s="719"/>
      <c r="N150" s="726"/>
      <c r="O150" s="726"/>
      <c r="P150" s="726"/>
      <c r="Q150" s="719"/>
      <c r="R150" s="719"/>
      <c r="S150" s="719">
        <f t="shared" si="36"/>
        <v>49.590000000003783</v>
      </c>
      <c r="T150" s="719"/>
      <c r="U150" s="719"/>
      <c r="V150" s="719"/>
      <c r="W150" s="719"/>
      <c r="X150" s="719"/>
      <c r="Y150" s="719"/>
      <c r="Z150" s="719"/>
      <c r="AA150" s="719"/>
      <c r="AB150" s="719"/>
      <c r="AC150" s="719"/>
      <c r="AD150" s="719"/>
      <c r="AE150" s="719"/>
      <c r="AF150" s="719"/>
      <c r="AG150" s="1341" t="s">
        <v>723</v>
      </c>
      <c r="AH150" s="719" t="s">
        <v>723</v>
      </c>
      <c r="AI150" s="719" t="s">
        <v>723</v>
      </c>
      <c r="AJ150" s="719"/>
      <c r="AK150" s="719"/>
      <c r="AL150" s="719"/>
      <c r="AM150" s="719"/>
      <c r="AN150" s="719"/>
      <c r="AO150" s="719"/>
      <c r="AP150" s="719"/>
      <c r="AQ150" s="724">
        <f>+FL_2($U$151,$T$149,$G$150,1200,9.28,-1*$F$151)</f>
        <v>-0.29489941866666664</v>
      </c>
      <c r="AR150" s="724"/>
      <c r="AS150" s="724"/>
      <c r="AT150" s="724"/>
      <c r="AU150" s="724"/>
      <c r="AV150" s="724"/>
      <c r="AW150" s="719"/>
      <c r="AX150" s="719"/>
      <c r="AY150" s="719"/>
      <c r="BE150" s="560"/>
      <c r="BF150" s="560"/>
    </row>
    <row r="151" spans="1:58" ht="15.75" hidden="1" customHeight="1">
      <c r="A151" s="716" t="s">
        <v>677</v>
      </c>
      <c r="B151" s="725" t="s">
        <v>1372</v>
      </c>
      <c r="C151" s="718">
        <f>+$C$149+$G$150</f>
        <v>34098</v>
      </c>
      <c r="D151" s="719"/>
      <c r="E151" s="719"/>
      <c r="F151" s="720">
        <v>0</v>
      </c>
      <c r="G151" s="721"/>
      <c r="H151" s="726" t="s">
        <v>668</v>
      </c>
      <c r="I151" s="722"/>
      <c r="J151" s="723"/>
      <c r="K151" s="719"/>
      <c r="L151" s="719" t="s">
        <v>465</v>
      </c>
      <c r="M151" s="719"/>
      <c r="N151" s="726" t="s">
        <v>697</v>
      </c>
      <c r="O151" s="726" t="s">
        <v>695</v>
      </c>
      <c r="P151" s="726"/>
      <c r="Q151" s="719">
        <v>0</v>
      </c>
      <c r="R151" s="719">
        <v>0</v>
      </c>
      <c r="S151" s="719">
        <f>AG152-AG151</f>
        <v>3.1900000000023283</v>
      </c>
      <c r="T151" s="719">
        <v>-5</v>
      </c>
      <c r="U151" s="719">
        <v>-25</v>
      </c>
      <c r="V151" s="719"/>
      <c r="W151" s="719">
        <v>1.1000000000000001</v>
      </c>
      <c r="X151" s="719">
        <v>1.2</v>
      </c>
      <c r="Y151" s="719"/>
      <c r="Z151" s="719">
        <v>0.45</v>
      </c>
      <c r="AA151" s="719"/>
      <c r="AB151" s="719"/>
      <c r="AC151" s="719"/>
      <c r="AD151" s="719" t="s">
        <v>2616</v>
      </c>
      <c r="AE151" s="719"/>
      <c r="AF151" s="719">
        <v>200</v>
      </c>
      <c r="AG151" s="1341">
        <v>34097.79</v>
      </c>
      <c r="AH151" s="719">
        <v>1540</v>
      </c>
      <c r="AI151" s="719">
        <v>-5204</v>
      </c>
      <c r="AJ151" s="719"/>
      <c r="AK151" s="719"/>
      <c r="AL151" s="719"/>
      <c r="AM151" s="719" t="s">
        <v>2608</v>
      </c>
      <c r="AN151" s="719">
        <v>5.25</v>
      </c>
      <c r="AO151" s="719"/>
      <c r="AP151" s="719"/>
      <c r="AQ151" s="724"/>
      <c r="AR151" s="724"/>
      <c r="AS151" s="724"/>
      <c r="AT151" s="724">
        <f>+ab($U$151,$T$149,$U$153,$G$150,$G$152,-1*$F$151,1200)</f>
        <v>-11.145107873316856</v>
      </c>
      <c r="AU151" s="724"/>
      <c r="AV151" s="724"/>
      <c r="AW151" s="719"/>
      <c r="AX151" s="719"/>
      <c r="AY151" s="719"/>
    </row>
    <row r="152" spans="1:58" ht="15.75" hidden="1" customHeight="1">
      <c r="A152" s="716"/>
      <c r="B152" s="717"/>
      <c r="C152" s="718"/>
      <c r="D152" s="719"/>
      <c r="E152" s="719"/>
      <c r="F152" s="720"/>
      <c r="G152" s="721">
        <v>50</v>
      </c>
      <c r="H152" s="726"/>
      <c r="I152" s="726"/>
      <c r="J152" s="723"/>
      <c r="K152" s="719"/>
      <c r="L152" s="719"/>
      <c r="M152" s="719"/>
      <c r="N152" s="726"/>
      <c r="O152" s="726"/>
      <c r="P152" s="726"/>
      <c r="Q152" s="719">
        <v>0</v>
      </c>
      <c r="R152" s="719">
        <v>0</v>
      </c>
      <c r="S152" s="719">
        <f>AG153-AG152</f>
        <v>44.930000000000291</v>
      </c>
      <c r="T152" s="719"/>
      <c r="U152" s="719"/>
      <c r="V152" s="719"/>
      <c r="W152" s="719"/>
      <c r="X152" s="719"/>
      <c r="Y152" s="719"/>
      <c r="Z152" s="719"/>
      <c r="AA152" s="719"/>
      <c r="AB152" s="719"/>
      <c r="AC152" s="719"/>
      <c r="AD152" s="719"/>
      <c r="AE152" s="719"/>
      <c r="AF152" s="719">
        <v>200</v>
      </c>
      <c r="AG152" s="1341">
        <v>34100.980000000003</v>
      </c>
      <c r="AH152" s="719">
        <v>1537</v>
      </c>
      <c r="AI152" s="719">
        <v>-5202</v>
      </c>
      <c r="AJ152" s="719"/>
      <c r="AK152" s="719"/>
      <c r="AL152" s="719"/>
      <c r="AM152" s="719"/>
      <c r="AN152" s="719"/>
      <c r="AO152" s="719"/>
      <c r="AP152" s="719"/>
      <c r="AQ152" s="724">
        <f>+FL_1($T$153,$U$151,$G$152,1200,9.28,-1*$F$153)</f>
        <v>0.30632183866666668</v>
      </c>
      <c r="AR152" s="724"/>
      <c r="AS152" s="724"/>
      <c r="AT152" s="724"/>
      <c r="AU152" s="724"/>
      <c r="AV152" s="724"/>
      <c r="AW152" s="719"/>
      <c r="AX152" s="719"/>
      <c r="AY152" s="719"/>
    </row>
    <row r="153" spans="1:58" ht="15.75" hidden="1" customHeight="1">
      <c r="A153" s="716" t="s">
        <v>677</v>
      </c>
      <c r="B153" s="725" t="s">
        <v>1373</v>
      </c>
      <c r="C153" s="718">
        <f>+$C$151+$G$152</f>
        <v>34148</v>
      </c>
      <c r="D153" s="719"/>
      <c r="E153" s="719"/>
      <c r="F153" s="720">
        <v>0</v>
      </c>
      <c r="G153" s="721"/>
      <c r="H153" s="726" t="s">
        <v>668</v>
      </c>
      <c r="I153" s="726"/>
      <c r="J153" s="723"/>
      <c r="K153" s="719"/>
      <c r="L153" s="719" t="s">
        <v>465</v>
      </c>
      <c r="M153" s="719"/>
      <c r="N153" s="719" t="s">
        <v>696</v>
      </c>
      <c r="O153" s="726" t="s">
        <v>697</v>
      </c>
      <c r="P153" s="726"/>
      <c r="Q153" s="719">
        <v>0</v>
      </c>
      <c r="R153" s="719">
        <v>0</v>
      </c>
      <c r="S153" s="719">
        <f>AG154-AG153</f>
        <v>3.2099999999991269</v>
      </c>
      <c r="T153" s="719">
        <v>25</v>
      </c>
      <c r="U153" s="719">
        <v>5</v>
      </c>
      <c r="V153" s="719"/>
      <c r="W153" s="719">
        <v>1.1000000000000001</v>
      </c>
      <c r="X153" s="719">
        <v>1.2</v>
      </c>
      <c r="Y153" s="719"/>
      <c r="Z153" s="719"/>
      <c r="AA153" s="719">
        <v>0.45</v>
      </c>
      <c r="AB153" s="719"/>
      <c r="AC153" s="719" t="s">
        <v>2616</v>
      </c>
      <c r="AD153" s="719"/>
      <c r="AE153" s="719"/>
      <c r="AF153" s="719">
        <v>200</v>
      </c>
      <c r="AG153" s="1341">
        <v>34145.910000000003</v>
      </c>
      <c r="AH153" s="719">
        <v>1514</v>
      </c>
      <c r="AI153" s="719">
        <v>-5155</v>
      </c>
      <c r="AJ153" s="719"/>
      <c r="AK153" s="719"/>
      <c r="AL153" s="719"/>
      <c r="AM153" s="719" t="s">
        <v>2608</v>
      </c>
      <c r="AN153" s="719">
        <v>5.25</v>
      </c>
      <c r="AO153" s="719"/>
      <c r="AP153" s="719"/>
      <c r="AQ153" s="724"/>
      <c r="AR153" s="724"/>
      <c r="AS153" s="724"/>
      <c r="AT153" s="724">
        <f>+ab($T$153,$T$151,$T$155,$G$152,$G$154,-1*$F$153,1200)</f>
        <v>11.14504395531122</v>
      </c>
      <c r="AU153" s="724"/>
      <c r="AV153" s="724"/>
      <c r="AW153" s="719"/>
      <c r="AX153" s="719"/>
      <c r="AY153" s="719"/>
    </row>
    <row r="154" spans="1:58" ht="15.75" hidden="1" customHeight="1">
      <c r="A154" s="716"/>
      <c r="B154" s="717"/>
      <c r="C154" s="718"/>
      <c r="D154" s="719"/>
      <c r="E154" s="719"/>
      <c r="F154" s="720"/>
      <c r="G154" s="721">
        <v>50</v>
      </c>
      <c r="H154" s="726"/>
      <c r="I154" s="726"/>
      <c r="J154" s="723">
        <f>C155-10.8</f>
        <v>34187.199999999997</v>
      </c>
      <c r="K154" s="719" t="s">
        <v>1097</v>
      </c>
      <c r="L154" s="719"/>
      <c r="M154" s="719"/>
      <c r="N154" s="726"/>
      <c r="O154" s="726"/>
      <c r="P154" s="726"/>
      <c r="Q154" s="719">
        <v>0</v>
      </c>
      <c r="R154" s="719">
        <v>0</v>
      </c>
      <c r="S154" s="719">
        <f>AG155-AG154</f>
        <v>49.610000000000582</v>
      </c>
      <c r="T154" s="719"/>
      <c r="U154" s="719"/>
      <c r="V154" s="719"/>
      <c r="W154" s="719"/>
      <c r="X154" s="719"/>
      <c r="Y154" s="719"/>
      <c r="Z154" s="719"/>
      <c r="AA154" s="719"/>
      <c r="AB154" s="719"/>
      <c r="AC154" s="719"/>
      <c r="AD154" s="719"/>
      <c r="AE154" s="719"/>
      <c r="AF154" s="719">
        <v>200</v>
      </c>
      <c r="AG154" s="1341">
        <v>34149.120000000003</v>
      </c>
      <c r="AH154" s="719">
        <v>1535</v>
      </c>
      <c r="AI154" s="719">
        <v>-5141</v>
      </c>
      <c r="AJ154" s="719"/>
      <c r="AK154" s="719"/>
      <c r="AL154" s="719"/>
      <c r="AM154" s="719"/>
      <c r="AN154" s="719"/>
      <c r="AO154" s="719"/>
      <c r="AP154" s="719"/>
      <c r="AQ154" s="724">
        <f>+FL_1($T$155,$T$153,$G$154,1200,9.28,-1*$F$155)</f>
        <v>0.29489941866666669</v>
      </c>
      <c r="AR154" s="724"/>
      <c r="AS154" s="724"/>
      <c r="AT154" s="724"/>
      <c r="AU154" s="724"/>
      <c r="AV154" s="724"/>
      <c r="AW154" s="719"/>
      <c r="AX154" s="719"/>
      <c r="AY154" s="719"/>
    </row>
    <row r="155" spans="1:58" ht="15.75" hidden="1" customHeight="1">
      <c r="A155" s="716" t="s">
        <v>677</v>
      </c>
      <c r="B155" s="725" t="s">
        <v>1374</v>
      </c>
      <c r="C155" s="718">
        <f>+$C$153+$G$154</f>
        <v>34198</v>
      </c>
      <c r="D155" s="719"/>
      <c r="E155" s="719"/>
      <c r="F155" s="720">
        <v>0</v>
      </c>
      <c r="G155" s="721"/>
      <c r="H155" s="726" t="s">
        <v>138</v>
      </c>
      <c r="I155" s="726" t="s">
        <v>948</v>
      </c>
      <c r="J155" s="723"/>
      <c r="K155" s="719"/>
      <c r="L155" s="719" t="s">
        <v>241</v>
      </c>
      <c r="M155" s="719"/>
      <c r="N155" s="726" t="s">
        <v>695</v>
      </c>
      <c r="O155" s="726"/>
      <c r="P155" s="726"/>
      <c r="Q155" s="719">
        <v>0</v>
      </c>
      <c r="R155" s="719">
        <v>0</v>
      </c>
      <c r="S155" s="719"/>
      <c r="T155" s="719">
        <v>-30</v>
      </c>
      <c r="U155" s="719"/>
      <c r="V155" s="719"/>
      <c r="W155" s="719">
        <v>1.1000000000000001</v>
      </c>
      <c r="X155" s="719"/>
      <c r="Y155" s="719"/>
      <c r="Z155" s="719"/>
      <c r="AA155" s="719"/>
      <c r="AB155" s="719"/>
      <c r="AC155" s="719" t="s">
        <v>2978</v>
      </c>
      <c r="AD155" s="719"/>
      <c r="AE155" s="719"/>
      <c r="AF155" s="719">
        <v>200</v>
      </c>
      <c r="AG155" s="1341">
        <v>34198.730000000003</v>
      </c>
      <c r="AH155" s="719">
        <v>1510</v>
      </c>
      <c r="AI155" s="719">
        <v>-5171</v>
      </c>
      <c r="AJ155" s="719"/>
      <c r="AK155" s="719"/>
      <c r="AL155" s="719"/>
      <c r="AM155" s="719" t="s">
        <v>2608</v>
      </c>
      <c r="AN155" s="719">
        <v>5.25</v>
      </c>
      <c r="AO155" s="719"/>
      <c r="AP155" s="719"/>
      <c r="AQ155" s="724"/>
      <c r="AR155" s="724"/>
      <c r="AS155" s="724"/>
      <c r="AT155" s="724">
        <f>+ab($T$155,$T$153,$T$157,$G$154,$G$156,-1*$F$155,1200)</f>
        <v>-8.2849467556123688</v>
      </c>
      <c r="AU155" s="724"/>
      <c r="AV155" s="724"/>
      <c r="AW155" s="719"/>
      <c r="AX155" s="719"/>
      <c r="AY155" s="719"/>
    </row>
    <row r="156" spans="1:58" ht="15.75" hidden="1" customHeight="1">
      <c r="A156" s="716"/>
      <c r="B156" s="717"/>
      <c r="C156" s="718"/>
      <c r="D156" s="719"/>
      <c r="E156" s="719"/>
      <c r="F156" s="720"/>
      <c r="G156" s="721">
        <v>50</v>
      </c>
      <c r="H156" s="726"/>
      <c r="I156" s="726"/>
      <c r="J156" s="723"/>
      <c r="K156" s="719"/>
      <c r="L156" s="719"/>
      <c r="M156" s="719"/>
      <c r="N156" s="726"/>
      <c r="O156" s="726"/>
      <c r="P156" s="726"/>
      <c r="Q156" s="719"/>
      <c r="R156" s="719"/>
      <c r="S156" s="719">
        <f>AG157-AG155</f>
        <v>48.009999999994761</v>
      </c>
      <c r="T156" s="719"/>
      <c r="U156" s="719"/>
      <c r="V156" s="719"/>
      <c r="W156" s="719"/>
      <c r="X156" s="719"/>
      <c r="Y156" s="719"/>
      <c r="Z156" s="719"/>
      <c r="AA156" s="719"/>
      <c r="AB156" s="719"/>
      <c r="AC156" s="719"/>
      <c r="AD156" s="719"/>
      <c r="AE156" s="719"/>
      <c r="AF156" s="719"/>
      <c r="AG156" s="1341" t="s">
        <v>723</v>
      </c>
      <c r="AH156" s="719" t="s">
        <v>723</v>
      </c>
      <c r="AI156" s="719" t="s">
        <v>723</v>
      </c>
      <c r="AJ156" s="719"/>
      <c r="AK156" s="719"/>
      <c r="AL156" s="719"/>
      <c r="AM156" s="719"/>
      <c r="AN156" s="719"/>
      <c r="AO156" s="719"/>
      <c r="AP156" s="719"/>
      <c r="AQ156" s="724">
        <f>+FL_1($T$157,$T$155,$G$156,1200,9.28,-1*$F$157)</f>
        <v>0.33477011200000001</v>
      </c>
      <c r="AR156" s="724"/>
      <c r="AS156" s="724"/>
      <c r="AT156" s="724"/>
      <c r="AU156" s="724"/>
      <c r="AV156" s="724"/>
      <c r="AW156" s="719"/>
      <c r="AX156" s="719"/>
      <c r="AY156" s="719"/>
    </row>
    <row r="157" spans="1:58" ht="15.75" hidden="1" customHeight="1">
      <c r="A157" s="716" t="s">
        <v>677</v>
      </c>
      <c r="B157" s="725" t="s">
        <v>1375</v>
      </c>
      <c r="C157" s="718">
        <f>+$C$155+$G$156</f>
        <v>34248</v>
      </c>
      <c r="D157" s="719"/>
      <c r="E157" s="719"/>
      <c r="F157" s="720">
        <v>0</v>
      </c>
      <c r="G157" s="721"/>
      <c r="H157" s="726"/>
      <c r="I157" s="722"/>
      <c r="J157" s="723"/>
      <c r="K157" s="719"/>
      <c r="L157" s="719" t="s">
        <v>241</v>
      </c>
      <c r="M157" s="719"/>
      <c r="N157" s="719" t="s">
        <v>696</v>
      </c>
      <c r="O157" s="726"/>
      <c r="P157" s="726"/>
      <c r="Q157" s="719">
        <v>0</v>
      </c>
      <c r="R157" s="719">
        <v>0</v>
      </c>
      <c r="S157" s="719"/>
      <c r="T157" s="719">
        <v>30</v>
      </c>
      <c r="U157" s="719"/>
      <c r="V157" s="719"/>
      <c r="W157" s="719">
        <v>1.1000000000000001</v>
      </c>
      <c r="X157" s="719"/>
      <c r="Y157" s="719"/>
      <c r="Z157" s="719"/>
      <c r="AA157" s="719"/>
      <c r="AB157" s="719"/>
      <c r="AC157" s="719" t="s">
        <v>2977</v>
      </c>
      <c r="AD157" s="719"/>
      <c r="AE157" s="719"/>
      <c r="AF157" s="719">
        <v>200</v>
      </c>
      <c r="AG157" s="1341">
        <v>34246.74</v>
      </c>
      <c r="AH157" s="719">
        <v>1498</v>
      </c>
      <c r="AI157" s="719">
        <v>-5135</v>
      </c>
      <c r="AJ157" s="719"/>
      <c r="AK157" s="719"/>
      <c r="AL157" s="719"/>
      <c r="AM157" s="719" t="s">
        <v>2608</v>
      </c>
      <c r="AN157" s="719">
        <v>5.25</v>
      </c>
      <c r="AO157" s="719"/>
      <c r="AP157" s="719"/>
      <c r="AQ157" s="724"/>
      <c r="AR157" s="724"/>
      <c r="AS157" s="724"/>
      <c r="AT157" s="724">
        <f>+ab($T$157,$T$155,$T$159,$G$156,$G$158,-1*$F$157,1200)</f>
        <v>7.9442083933778509</v>
      </c>
      <c r="AU157" s="724"/>
      <c r="AV157" s="724"/>
      <c r="AW157" s="719"/>
      <c r="AX157" s="719"/>
      <c r="AY157" s="719"/>
    </row>
    <row r="158" spans="1:58" ht="15.75" hidden="1" customHeight="1">
      <c r="A158" s="716"/>
      <c r="B158" s="717"/>
      <c r="C158" s="718"/>
      <c r="D158" s="719"/>
      <c r="E158" s="719"/>
      <c r="F158" s="720"/>
      <c r="G158" s="721">
        <v>50</v>
      </c>
      <c r="H158" s="719"/>
      <c r="I158" s="722"/>
      <c r="J158" s="723"/>
      <c r="K158" s="719"/>
      <c r="L158" s="719"/>
      <c r="M158" s="719"/>
      <c r="N158" s="726"/>
      <c r="O158" s="726"/>
      <c r="P158" s="726"/>
      <c r="Q158" s="719"/>
      <c r="R158" s="719"/>
      <c r="S158" s="719">
        <f t="shared" si="36"/>
        <v>51.220000000001164</v>
      </c>
      <c r="T158" s="719"/>
      <c r="U158" s="719"/>
      <c r="V158" s="719"/>
      <c r="W158" s="719"/>
      <c r="X158" s="719"/>
      <c r="Y158" s="719"/>
      <c r="Z158" s="719"/>
      <c r="AA158" s="719"/>
      <c r="AB158" s="719"/>
      <c r="AC158" s="719"/>
      <c r="AD158" s="719"/>
      <c r="AE158" s="719"/>
      <c r="AF158" s="719"/>
      <c r="AG158" s="1341" t="s">
        <v>723</v>
      </c>
      <c r="AH158" s="719" t="s">
        <v>723</v>
      </c>
      <c r="AI158" s="719" t="s">
        <v>723</v>
      </c>
      <c r="AJ158" s="719"/>
      <c r="AK158" s="719"/>
      <c r="AL158" s="719"/>
      <c r="AM158" s="719"/>
      <c r="AN158" s="719"/>
      <c r="AO158" s="719"/>
      <c r="AP158" s="719"/>
      <c r="AQ158" s="724">
        <f>+FL_2($T$159,$T$157,$G$158,1200,9.28,-1*$F$159)</f>
        <v>-0.33477011200000001</v>
      </c>
      <c r="AR158" s="724"/>
      <c r="AS158" s="724"/>
      <c r="AT158" s="724"/>
      <c r="AU158" s="724"/>
      <c r="AV158" s="724"/>
      <c r="AW158" s="719"/>
      <c r="AX158" s="719"/>
      <c r="AY158" s="719"/>
    </row>
    <row r="159" spans="1:58" ht="15.75" hidden="1" customHeight="1">
      <c r="A159" s="716" t="s">
        <v>677</v>
      </c>
      <c r="B159" s="725" t="s">
        <v>1376</v>
      </c>
      <c r="C159" s="718">
        <f>+$C$157+$G$158</f>
        <v>34298</v>
      </c>
      <c r="D159" s="719"/>
      <c r="E159" s="719"/>
      <c r="F159" s="720">
        <v>0</v>
      </c>
      <c r="G159" s="721"/>
      <c r="H159" s="726"/>
      <c r="I159" s="722"/>
      <c r="J159" s="723"/>
      <c r="K159" s="719"/>
      <c r="L159" s="719" t="s">
        <v>241</v>
      </c>
      <c r="M159" s="719"/>
      <c r="N159" s="726" t="s">
        <v>695</v>
      </c>
      <c r="O159" s="726"/>
      <c r="P159" s="726"/>
      <c r="Q159" s="719">
        <v>0</v>
      </c>
      <c r="R159" s="719">
        <v>0</v>
      </c>
      <c r="S159" s="719"/>
      <c r="T159" s="719">
        <v>-30</v>
      </c>
      <c r="U159" s="719"/>
      <c r="V159" s="719"/>
      <c r="W159" s="719">
        <v>1.1000000000000001</v>
      </c>
      <c r="X159" s="719"/>
      <c r="Y159" s="719"/>
      <c r="Z159" s="719"/>
      <c r="AA159" s="719"/>
      <c r="AB159" s="719"/>
      <c r="AC159" s="719" t="s">
        <v>2979</v>
      </c>
      <c r="AD159" s="719"/>
      <c r="AE159" s="719"/>
      <c r="AF159" s="719">
        <v>200</v>
      </c>
      <c r="AG159" s="1341">
        <v>34297.96</v>
      </c>
      <c r="AH159" s="719">
        <v>1502</v>
      </c>
      <c r="AI159" s="719">
        <v>-5086</v>
      </c>
      <c r="AJ159" s="719"/>
      <c r="AK159" s="719"/>
      <c r="AL159" s="719"/>
      <c r="AM159" s="719" t="s">
        <v>2608</v>
      </c>
      <c r="AN159" s="719">
        <v>5.25</v>
      </c>
      <c r="AO159" s="719"/>
      <c r="AP159" s="719"/>
      <c r="AQ159" s="724"/>
      <c r="AR159" s="724"/>
      <c r="AS159" s="724"/>
      <c r="AT159" s="724">
        <f>+ab($T$159,$T$157,$T$161,$G$158,$G$160,-1*$F$159,1200)</f>
        <v>-7.9442410717051439</v>
      </c>
      <c r="AU159" s="724"/>
      <c r="AV159" s="724"/>
      <c r="AW159" s="719"/>
      <c r="AX159" s="719"/>
      <c r="AY159" s="719"/>
    </row>
    <row r="160" spans="1:58" ht="15.75" hidden="1" customHeight="1">
      <c r="A160" s="716"/>
      <c r="B160" s="717"/>
      <c r="C160" s="718"/>
      <c r="D160" s="719"/>
      <c r="E160" s="719"/>
      <c r="F160" s="720"/>
      <c r="G160" s="721">
        <v>50</v>
      </c>
      <c r="H160" s="719"/>
      <c r="I160" s="722"/>
      <c r="J160" s="723"/>
      <c r="K160" s="719"/>
      <c r="L160" s="719"/>
      <c r="M160" s="719"/>
      <c r="N160" s="726"/>
      <c r="O160" s="726"/>
      <c r="P160" s="726"/>
      <c r="Q160" s="719"/>
      <c r="R160" s="719"/>
      <c r="S160" s="719">
        <f t="shared" si="36"/>
        <v>51.270000000004075</v>
      </c>
      <c r="T160" s="719"/>
      <c r="U160" s="719"/>
      <c r="V160" s="719"/>
      <c r="W160" s="719"/>
      <c r="X160" s="719"/>
      <c r="Y160" s="719"/>
      <c r="Z160" s="719"/>
      <c r="AA160" s="719"/>
      <c r="AB160" s="719"/>
      <c r="AC160" s="719"/>
      <c r="AD160" s="719"/>
      <c r="AE160" s="719"/>
      <c r="AF160" s="719"/>
      <c r="AG160" s="1341" t="s">
        <v>723</v>
      </c>
      <c r="AH160" s="719" t="s">
        <v>723</v>
      </c>
      <c r="AI160" s="719" t="s">
        <v>723</v>
      </c>
      <c r="AJ160" s="719"/>
      <c r="AK160" s="719"/>
      <c r="AL160" s="719"/>
      <c r="AM160" s="719"/>
      <c r="AN160" s="719"/>
      <c r="AO160" s="719"/>
      <c r="AP160" s="719"/>
      <c r="AQ160" s="724">
        <f>+FL_1($T$161,$T$159,$G$160,1200,9.28,-1*$F$161)</f>
        <v>0.33477011200000001</v>
      </c>
      <c r="AR160" s="724"/>
      <c r="AS160" s="724"/>
      <c r="AT160" s="724"/>
      <c r="AU160" s="724"/>
      <c r="AV160" s="724"/>
      <c r="AW160" s="719"/>
      <c r="AX160" s="719"/>
      <c r="AY160" s="719"/>
    </row>
    <row r="161" spans="1:51" ht="15.75" hidden="1" customHeight="1">
      <c r="A161" s="716" t="s">
        <v>677</v>
      </c>
      <c r="B161" s="725" t="s">
        <v>1377</v>
      </c>
      <c r="C161" s="718">
        <f>+$C$159+$G$160</f>
        <v>34348</v>
      </c>
      <c r="D161" s="719"/>
      <c r="E161" s="719"/>
      <c r="F161" s="720">
        <v>0</v>
      </c>
      <c r="G161" s="721"/>
      <c r="H161" s="726"/>
      <c r="I161" s="722"/>
      <c r="J161" s="723"/>
      <c r="K161" s="719"/>
      <c r="L161" s="719" t="s">
        <v>241</v>
      </c>
      <c r="M161" s="719"/>
      <c r="N161" s="726" t="s">
        <v>696</v>
      </c>
      <c r="O161" s="726"/>
      <c r="P161" s="726"/>
      <c r="Q161" s="719">
        <v>0</v>
      </c>
      <c r="R161" s="719">
        <v>0</v>
      </c>
      <c r="S161" s="719"/>
      <c r="T161" s="719">
        <v>30</v>
      </c>
      <c r="U161" s="719"/>
      <c r="V161" s="719"/>
      <c r="W161" s="719">
        <v>1.1000000000000001</v>
      </c>
      <c r="X161" s="719"/>
      <c r="Y161" s="719"/>
      <c r="Z161" s="719"/>
      <c r="AA161" s="719"/>
      <c r="AB161" s="719"/>
      <c r="AC161" s="719" t="s">
        <v>2977</v>
      </c>
      <c r="AD161" s="719"/>
      <c r="AE161" s="719"/>
      <c r="AF161" s="719">
        <v>200</v>
      </c>
      <c r="AG161" s="1341">
        <v>34349.230000000003</v>
      </c>
      <c r="AH161" s="719">
        <v>1502</v>
      </c>
      <c r="AI161" s="719">
        <v>-5095</v>
      </c>
      <c r="AJ161" s="719"/>
      <c r="AK161" s="719"/>
      <c r="AL161" s="719"/>
      <c r="AM161" s="719" t="s">
        <v>2608</v>
      </c>
      <c r="AN161" s="719">
        <v>5.25</v>
      </c>
      <c r="AO161" s="719"/>
      <c r="AP161" s="719"/>
      <c r="AQ161" s="724"/>
      <c r="AR161" s="724"/>
      <c r="AS161" s="724"/>
      <c r="AT161" s="724">
        <f>+ab($T$161,$T$159,$T$163,$G$160,$G$162,-1*$F$161,1200)</f>
        <v>7.9442083933778509</v>
      </c>
      <c r="AU161" s="724"/>
      <c r="AV161" s="724"/>
      <c r="AW161" s="719"/>
      <c r="AX161" s="719"/>
      <c r="AY161" s="719"/>
    </row>
    <row r="162" spans="1:51" ht="15.75" hidden="1" customHeight="1">
      <c r="A162" s="716"/>
      <c r="B162" s="717"/>
      <c r="C162" s="718"/>
      <c r="D162" s="719"/>
      <c r="E162" s="719"/>
      <c r="F162" s="720"/>
      <c r="G162" s="721">
        <v>50</v>
      </c>
      <c r="H162" s="726"/>
      <c r="I162" s="722"/>
      <c r="J162" s="723"/>
      <c r="K162" s="719"/>
      <c r="L162" s="719"/>
      <c r="M162" s="719"/>
      <c r="N162" s="726"/>
      <c r="O162" s="726"/>
      <c r="P162" s="726"/>
      <c r="Q162" s="719"/>
      <c r="R162" s="719"/>
      <c r="S162" s="719">
        <f t="shared" si="36"/>
        <v>48.069999999999709</v>
      </c>
      <c r="T162" s="719"/>
      <c r="U162" s="719"/>
      <c r="V162" s="719"/>
      <c r="W162" s="719"/>
      <c r="X162" s="719"/>
      <c r="Y162" s="719"/>
      <c r="Z162" s="719"/>
      <c r="AA162" s="719"/>
      <c r="AB162" s="719"/>
      <c r="AC162" s="719"/>
      <c r="AD162" s="719"/>
      <c r="AE162" s="719"/>
      <c r="AF162" s="719"/>
      <c r="AG162" s="1341" t="s">
        <v>723</v>
      </c>
      <c r="AH162" s="719" t="s">
        <v>723</v>
      </c>
      <c r="AI162" s="719" t="s">
        <v>723</v>
      </c>
      <c r="AJ162" s="719"/>
      <c r="AK162" s="719"/>
      <c r="AL162" s="719"/>
      <c r="AM162" s="719"/>
      <c r="AN162" s="719"/>
      <c r="AO162" s="719"/>
      <c r="AP162" s="719"/>
      <c r="AQ162" s="724">
        <f>+FL_2($T$163,$T$161,$G$162,1200,9.28,-1*$F$163)</f>
        <v>-0.33477011200000001</v>
      </c>
      <c r="AR162" s="724"/>
      <c r="AS162" s="724"/>
      <c r="AT162" s="724"/>
      <c r="AU162" s="724"/>
      <c r="AV162" s="724"/>
      <c r="AW162" s="719"/>
      <c r="AX162" s="719"/>
      <c r="AY162" s="719"/>
    </row>
    <row r="163" spans="1:51" ht="15.75" hidden="1" customHeight="1">
      <c r="A163" s="716" t="s">
        <v>677</v>
      </c>
      <c r="B163" s="725" t="s">
        <v>1378</v>
      </c>
      <c r="C163" s="718">
        <f>+$C$161+$G$162</f>
        <v>34398</v>
      </c>
      <c r="D163" s="719"/>
      <c r="E163" s="719"/>
      <c r="F163" s="720">
        <v>0</v>
      </c>
      <c r="G163" s="721"/>
      <c r="H163" s="726"/>
      <c r="I163" s="722"/>
      <c r="J163" s="723"/>
      <c r="K163" s="719"/>
      <c r="L163" s="719" t="s">
        <v>241</v>
      </c>
      <c r="M163" s="719"/>
      <c r="N163" s="726" t="s">
        <v>695</v>
      </c>
      <c r="O163" s="726"/>
      <c r="P163" s="726"/>
      <c r="Q163" s="719">
        <v>0</v>
      </c>
      <c r="R163" s="719">
        <v>0</v>
      </c>
      <c r="S163" s="719"/>
      <c r="T163" s="719">
        <v>-30</v>
      </c>
      <c r="U163" s="719"/>
      <c r="V163" s="719"/>
      <c r="W163" s="719">
        <v>1.1000000000000001</v>
      </c>
      <c r="X163" s="719"/>
      <c r="Y163" s="719"/>
      <c r="Z163" s="719"/>
      <c r="AA163" s="719"/>
      <c r="AB163" s="719"/>
      <c r="AC163" s="719" t="s">
        <v>2979</v>
      </c>
      <c r="AD163" s="719"/>
      <c r="AE163" s="719"/>
      <c r="AF163" s="719">
        <v>200</v>
      </c>
      <c r="AG163" s="1341">
        <v>34397.300000000003</v>
      </c>
      <c r="AH163" s="719">
        <v>1517</v>
      </c>
      <c r="AI163" s="719">
        <v>-5046</v>
      </c>
      <c r="AJ163" s="719"/>
      <c r="AK163" s="719"/>
      <c r="AL163" s="719"/>
      <c r="AM163" s="719" t="s">
        <v>2608</v>
      </c>
      <c r="AN163" s="719">
        <v>5.25</v>
      </c>
      <c r="AO163" s="719"/>
      <c r="AP163" s="719"/>
      <c r="AQ163" s="724"/>
      <c r="AR163" s="724"/>
      <c r="AS163" s="724"/>
      <c r="AT163" s="724">
        <f>+ab($T$163,$T$161,$T$165,$G$162,$G$164,-1*$F$163,1200)</f>
        <v>-7.9442410717051439</v>
      </c>
      <c r="AU163" s="724"/>
      <c r="AV163" s="724"/>
      <c r="AW163" s="719"/>
      <c r="AX163" s="719"/>
      <c r="AY163" s="719"/>
    </row>
    <row r="164" spans="1:51" ht="15.75" hidden="1" customHeight="1">
      <c r="A164" s="716"/>
      <c r="B164" s="717"/>
      <c r="C164" s="718"/>
      <c r="D164" s="719"/>
      <c r="E164" s="719"/>
      <c r="F164" s="720"/>
      <c r="G164" s="721">
        <v>50</v>
      </c>
      <c r="H164" s="726"/>
      <c r="I164" s="722"/>
      <c r="J164" s="723"/>
      <c r="K164" s="719"/>
      <c r="L164" s="719"/>
      <c r="M164" s="719"/>
      <c r="N164" s="726"/>
      <c r="O164" s="726"/>
      <c r="P164" s="726"/>
      <c r="Q164" s="719"/>
      <c r="R164" s="719"/>
      <c r="S164" s="719">
        <f t="shared" si="36"/>
        <v>49.599999999998545</v>
      </c>
      <c r="T164" s="719"/>
      <c r="U164" s="719"/>
      <c r="V164" s="719"/>
      <c r="W164" s="719"/>
      <c r="X164" s="719"/>
      <c r="Y164" s="719"/>
      <c r="Z164" s="719"/>
      <c r="AA164" s="719"/>
      <c r="AB164" s="719"/>
      <c r="AC164" s="719"/>
      <c r="AD164" s="719"/>
      <c r="AE164" s="719"/>
      <c r="AF164" s="719"/>
      <c r="AG164" s="1341" t="s">
        <v>723</v>
      </c>
      <c r="AH164" s="719" t="s">
        <v>723</v>
      </c>
      <c r="AI164" s="719" t="s">
        <v>723</v>
      </c>
      <c r="AJ164" s="719"/>
      <c r="AK164" s="719"/>
      <c r="AL164" s="719"/>
      <c r="AM164" s="719"/>
      <c r="AN164" s="719"/>
      <c r="AO164" s="719"/>
      <c r="AP164" s="719"/>
      <c r="AQ164" s="724">
        <f>+FL_1($T$165,$T$163,$G$164,1200,9.28,-1*$F$165)</f>
        <v>0.33477011200000001</v>
      </c>
      <c r="AR164" s="724"/>
      <c r="AS164" s="724"/>
      <c r="AT164" s="724"/>
      <c r="AU164" s="724"/>
      <c r="AV164" s="724"/>
      <c r="AW164" s="719"/>
      <c r="AX164" s="719"/>
      <c r="AY164" s="719"/>
    </row>
    <row r="165" spans="1:51" ht="15.75" hidden="1" customHeight="1">
      <c r="A165" s="716" t="s">
        <v>677</v>
      </c>
      <c r="B165" s="725" t="s">
        <v>1379</v>
      </c>
      <c r="C165" s="718">
        <f>+$C$163+$G$164</f>
        <v>34448</v>
      </c>
      <c r="D165" s="719"/>
      <c r="E165" s="719"/>
      <c r="F165" s="720">
        <v>0</v>
      </c>
      <c r="G165" s="721"/>
      <c r="H165" s="726"/>
      <c r="I165" s="722"/>
      <c r="J165" s="723"/>
      <c r="K165" s="719"/>
      <c r="L165" s="719" t="s">
        <v>241</v>
      </c>
      <c r="M165" s="719"/>
      <c r="N165" s="726" t="s">
        <v>696</v>
      </c>
      <c r="O165" s="726"/>
      <c r="P165" s="726"/>
      <c r="Q165" s="719">
        <v>0</v>
      </c>
      <c r="R165" s="719">
        <v>0</v>
      </c>
      <c r="S165" s="719"/>
      <c r="T165" s="719">
        <v>30</v>
      </c>
      <c r="U165" s="719"/>
      <c r="V165" s="719"/>
      <c r="W165" s="719">
        <v>1.1000000000000001</v>
      </c>
      <c r="X165" s="719"/>
      <c r="Y165" s="719"/>
      <c r="Z165" s="719"/>
      <c r="AA165" s="719"/>
      <c r="AB165" s="719"/>
      <c r="AC165" s="719" t="s">
        <v>2977</v>
      </c>
      <c r="AD165" s="719"/>
      <c r="AE165" s="719"/>
      <c r="AF165" s="719">
        <v>200</v>
      </c>
      <c r="AG165" s="1341">
        <v>34446.9</v>
      </c>
      <c r="AH165" s="719">
        <v>1485</v>
      </c>
      <c r="AI165" s="719">
        <v>-5049</v>
      </c>
      <c r="AJ165" s="719"/>
      <c r="AK165" s="719"/>
      <c r="AL165" s="719"/>
      <c r="AM165" s="719" t="s">
        <v>2608</v>
      </c>
      <c r="AN165" s="719">
        <v>5.25</v>
      </c>
      <c r="AO165" s="719"/>
      <c r="AP165" s="719"/>
      <c r="AQ165" s="724"/>
      <c r="AR165" s="724"/>
      <c r="AS165" s="724"/>
      <c r="AT165" s="724">
        <f>+ab($T$165,$T$163,$T$167,$G$164,$G$166,-1*$F$165,1200)</f>
        <v>7.9442083933778509</v>
      </c>
      <c r="AU165" s="724"/>
      <c r="AV165" s="724"/>
      <c r="AW165" s="719"/>
      <c r="AX165" s="719"/>
      <c r="AY165" s="719"/>
    </row>
    <row r="166" spans="1:51" ht="15.75" hidden="1" customHeight="1">
      <c r="A166" s="716"/>
      <c r="B166" s="717"/>
      <c r="C166" s="718"/>
      <c r="D166" s="719"/>
      <c r="E166" s="719"/>
      <c r="F166" s="720"/>
      <c r="G166" s="721">
        <v>50</v>
      </c>
      <c r="H166" s="726"/>
      <c r="I166" s="722"/>
      <c r="J166" s="723"/>
      <c r="K166" s="719"/>
      <c r="L166" s="719"/>
      <c r="M166" s="719"/>
      <c r="N166" s="726"/>
      <c r="O166" s="726"/>
      <c r="P166" s="726"/>
      <c r="Q166" s="719"/>
      <c r="R166" s="719"/>
      <c r="S166" s="719">
        <f t="shared" si="36"/>
        <v>51.220000000001164</v>
      </c>
      <c r="T166" s="719"/>
      <c r="U166" s="719"/>
      <c r="V166" s="719"/>
      <c r="W166" s="719"/>
      <c r="X166" s="719"/>
      <c r="Y166" s="719"/>
      <c r="Z166" s="719"/>
      <c r="AA166" s="719"/>
      <c r="AB166" s="719"/>
      <c r="AC166" s="719"/>
      <c r="AD166" s="719"/>
      <c r="AE166" s="719"/>
      <c r="AF166" s="719"/>
      <c r="AG166" s="1341" t="s">
        <v>723</v>
      </c>
      <c r="AH166" s="719" t="s">
        <v>723</v>
      </c>
      <c r="AI166" s="719" t="s">
        <v>723</v>
      </c>
      <c r="AJ166" s="719"/>
      <c r="AK166" s="719"/>
      <c r="AL166" s="719"/>
      <c r="AM166" s="719"/>
      <c r="AN166" s="719"/>
      <c r="AO166" s="719"/>
      <c r="AP166" s="719"/>
      <c r="AQ166" s="724">
        <f>+FL_2($T$167,$T$165,$G$166,1200,9.28,-1*$F$167)</f>
        <v>-0.33477011200000001</v>
      </c>
      <c r="AR166" s="724"/>
      <c r="AS166" s="724"/>
      <c r="AT166" s="724"/>
      <c r="AU166" s="724"/>
      <c r="AV166" s="724"/>
      <c r="AW166" s="719"/>
      <c r="AX166" s="719"/>
      <c r="AY166" s="719"/>
    </row>
    <row r="167" spans="1:51" ht="15.75" customHeight="1">
      <c r="A167" s="716" t="s">
        <v>677</v>
      </c>
      <c r="B167" s="725" t="s">
        <v>1380</v>
      </c>
      <c r="C167" s="718">
        <f>+$C$165+$G$166</f>
        <v>34498</v>
      </c>
      <c r="D167" s="719"/>
      <c r="E167" s="719"/>
      <c r="F167" s="720">
        <v>0</v>
      </c>
      <c r="G167" s="721"/>
      <c r="H167" s="726" t="s">
        <v>1101</v>
      </c>
      <c r="I167" s="726"/>
      <c r="J167" s="723"/>
      <c r="K167" s="719"/>
      <c r="L167" s="719" t="s">
        <v>241</v>
      </c>
      <c r="M167" s="719"/>
      <c r="N167" s="726" t="s">
        <v>695</v>
      </c>
      <c r="O167" s="726"/>
      <c r="P167" s="726"/>
      <c r="Q167" s="719">
        <v>0</v>
      </c>
      <c r="R167" s="719">
        <v>0</v>
      </c>
      <c r="S167" s="719"/>
      <c r="T167" s="719">
        <v>-30</v>
      </c>
      <c r="U167" s="719"/>
      <c r="V167" s="719"/>
      <c r="W167" s="719">
        <v>1.1000000000000001</v>
      </c>
      <c r="X167" s="719"/>
      <c r="Y167" s="719"/>
      <c r="Z167" s="719"/>
      <c r="AA167" s="719"/>
      <c r="AB167" s="719"/>
      <c r="AC167" s="719" t="s">
        <v>2977</v>
      </c>
      <c r="AD167" s="719"/>
      <c r="AE167" s="719"/>
      <c r="AF167" s="719">
        <v>200</v>
      </c>
      <c r="AG167" s="1341">
        <v>34498.120000000003</v>
      </c>
      <c r="AH167" s="719">
        <v>1517</v>
      </c>
      <c r="AI167" s="719">
        <v>-5045</v>
      </c>
      <c r="AJ167" s="719"/>
      <c r="AK167" s="719"/>
      <c r="AL167" s="719"/>
      <c r="AM167" s="719" t="s">
        <v>2608</v>
      </c>
      <c r="AN167" s="719">
        <v>5.25</v>
      </c>
      <c r="AO167" s="719"/>
      <c r="AP167" s="719"/>
      <c r="AQ167" s="724"/>
      <c r="AR167" s="724"/>
      <c r="AS167" s="724"/>
      <c r="AT167" s="724">
        <f>+ab($T$167,$T$165,$T$169,$G$166,$G$168,-1*$F$167,1200)</f>
        <v>-7.9442410717051439</v>
      </c>
      <c r="AU167" s="724"/>
      <c r="AV167" s="724"/>
      <c r="AW167" s="719"/>
      <c r="AX167" s="719"/>
      <c r="AY167" s="719"/>
    </row>
    <row r="168" spans="1:51" ht="15.75" hidden="1" customHeight="1">
      <c r="A168" s="716"/>
      <c r="B168" s="717"/>
      <c r="C168" s="718"/>
      <c r="D168" s="719"/>
      <c r="E168" s="719"/>
      <c r="F168" s="720"/>
      <c r="G168" s="721">
        <v>50</v>
      </c>
      <c r="H168" s="726"/>
      <c r="I168" s="726">
        <f>+SUM(G150:G168)</f>
        <v>500</v>
      </c>
      <c r="J168" s="723">
        <f>C167+2.2</f>
        <v>34500.199999999997</v>
      </c>
      <c r="K168" s="719" t="s">
        <v>1102</v>
      </c>
      <c r="L168" s="719"/>
      <c r="M168" s="719"/>
      <c r="N168" s="726"/>
      <c r="O168" s="726"/>
      <c r="P168" s="726"/>
      <c r="Q168" s="719"/>
      <c r="R168" s="719"/>
      <c r="S168" s="719">
        <f t="shared" si="36"/>
        <v>49.649999999994179</v>
      </c>
      <c r="T168" s="719"/>
      <c r="U168" s="719"/>
      <c r="V168" s="719"/>
      <c r="W168" s="719"/>
      <c r="X168" s="719"/>
      <c r="Y168" s="719"/>
      <c r="Z168" s="719"/>
      <c r="AA168" s="719"/>
      <c r="AB168" s="719"/>
      <c r="AC168" s="719"/>
      <c r="AD168" s="719"/>
      <c r="AE168" s="719"/>
      <c r="AF168" s="719"/>
      <c r="AG168" s="1341" t="s">
        <v>723</v>
      </c>
      <c r="AH168" s="719" t="s">
        <v>723</v>
      </c>
      <c r="AI168" s="719" t="s">
        <v>723</v>
      </c>
      <c r="AJ168" s="719"/>
      <c r="AK168" s="719"/>
      <c r="AL168" s="719"/>
      <c r="AM168" s="719"/>
      <c r="AN168" s="719"/>
      <c r="AO168" s="719"/>
      <c r="AP168" s="719"/>
      <c r="AQ168" s="724">
        <f>+FL_1($T$169,$T$167,$G$168,1200,9.28,-1*$F$169)</f>
        <v>0.33477011200000001</v>
      </c>
      <c r="AR168" s="724"/>
      <c r="AS168" s="724"/>
      <c r="AT168" s="724"/>
      <c r="AU168" s="724"/>
      <c r="AV168" s="724"/>
      <c r="AW168" s="719"/>
      <c r="AX168" s="719"/>
      <c r="AY168" s="719"/>
    </row>
    <row r="169" spans="1:51" ht="15.75" customHeight="1">
      <c r="A169" s="716" t="s">
        <v>677</v>
      </c>
      <c r="B169" s="725" t="s">
        <v>1381</v>
      </c>
      <c r="C169" s="718">
        <f>+$C$167+$G$168</f>
        <v>34548</v>
      </c>
      <c r="D169" s="719"/>
      <c r="E169" s="719"/>
      <c r="F169" s="720">
        <v>0</v>
      </c>
      <c r="G169" s="721"/>
      <c r="H169" s="726" t="s">
        <v>997</v>
      </c>
      <c r="I169" s="722"/>
      <c r="J169" s="723"/>
      <c r="K169" s="719"/>
      <c r="L169" s="719" t="s">
        <v>241</v>
      </c>
      <c r="M169" s="719"/>
      <c r="N169" s="726" t="s">
        <v>696</v>
      </c>
      <c r="O169" s="726"/>
      <c r="P169" s="726"/>
      <c r="Q169" s="719">
        <v>0</v>
      </c>
      <c r="R169" s="719">
        <v>0</v>
      </c>
      <c r="S169" s="719"/>
      <c r="T169" s="719">
        <v>30</v>
      </c>
      <c r="U169" s="719"/>
      <c r="V169" s="719"/>
      <c r="W169" s="719">
        <v>1.1000000000000001</v>
      </c>
      <c r="X169" s="719"/>
      <c r="Y169" s="719"/>
      <c r="Z169" s="719"/>
      <c r="AA169" s="719"/>
      <c r="AB169" s="719"/>
      <c r="AC169" s="719" t="s">
        <v>2977</v>
      </c>
      <c r="AD169" s="719"/>
      <c r="AE169" s="719"/>
      <c r="AF169" s="719">
        <v>200</v>
      </c>
      <c r="AG169" s="1341">
        <v>34547.769999999997</v>
      </c>
      <c r="AH169" s="719">
        <v>1487</v>
      </c>
      <c r="AI169" s="719">
        <v>-5038</v>
      </c>
      <c r="AJ169" s="719"/>
      <c r="AK169" s="719"/>
      <c r="AL169" s="719"/>
      <c r="AM169" s="719" t="s">
        <v>2608</v>
      </c>
      <c r="AN169" s="719">
        <v>5.25</v>
      </c>
      <c r="AO169" s="719"/>
      <c r="AP169" s="719"/>
      <c r="AQ169" s="724"/>
      <c r="AR169" s="724"/>
      <c r="AS169" s="724"/>
      <c r="AT169" s="724">
        <f>+ab($T$169,$T$167,$T$171,$G$168,$G$170,-1*$F$169,1200)</f>
        <v>7.9442083933778509</v>
      </c>
      <c r="AU169" s="724"/>
      <c r="AV169" s="724"/>
      <c r="AW169" s="719"/>
      <c r="AX169" s="719"/>
      <c r="AY169" s="719"/>
    </row>
    <row r="170" spans="1:51" ht="15.75" hidden="1" customHeight="1">
      <c r="A170" s="716"/>
      <c r="B170" s="717"/>
      <c r="C170" s="718"/>
      <c r="D170" s="719"/>
      <c r="E170" s="719"/>
      <c r="F170" s="720"/>
      <c r="G170" s="721">
        <v>50</v>
      </c>
      <c r="H170" s="726"/>
      <c r="I170" s="722">
        <f>SUM(G170:G188)</f>
        <v>500</v>
      </c>
      <c r="J170" s="723">
        <f>C171-2.7</f>
        <v>34595.300000000003</v>
      </c>
      <c r="K170" s="719" t="s">
        <v>1102</v>
      </c>
      <c r="L170" s="719"/>
      <c r="M170" s="719"/>
      <c r="N170" s="726"/>
      <c r="O170" s="726"/>
      <c r="P170" s="726"/>
      <c r="Q170" s="719"/>
      <c r="R170" s="719"/>
      <c r="S170" s="719">
        <f t="shared" si="36"/>
        <v>51.260000000002037</v>
      </c>
      <c r="T170" s="719"/>
      <c r="U170" s="719"/>
      <c r="V170" s="719"/>
      <c r="W170" s="719"/>
      <c r="X170" s="719"/>
      <c r="Y170" s="719"/>
      <c r="Z170" s="719"/>
      <c r="AA170" s="719"/>
      <c r="AB170" s="719"/>
      <c r="AC170" s="719"/>
      <c r="AD170" s="719"/>
      <c r="AE170" s="719"/>
      <c r="AF170" s="719"/>
      <c r="AG170" s="1341" t="s">
        <v>723</v>
      </c>
      <c r="AH170" s="719" t="s">
        <v>723</v>
      </c>
      <c r="AI170" s="719" t="s">
        <v>723</v>
      </c>
      <c r="AJ170" s="719"/>
      <c r="AK170" s="719"/>
      <c r="AL170" s="719"/>
      <c r="AM170" s="719"/>
      <c r="AN170" s="719"/>
      <c r="AO170" s="719"/>
      <c r="AP170" s="719"/>
      <c r="AQ170" s="724">
        <f>+FL_2($T$171,$T$169,$G$170,1200,9.28,-1*$F$171)</f>
        <v>-0.33477011200000001</v>
      </c>
      <c r="AR170" s="724"/>
      <c r="AS170" s="724"/>
      <c r="AT170" s="724"/>
      <c r="AU170" s="724"/>
      <c r="AV170" s="724"/>
      <c r="AW170" s="719"/>
      <c r="AX170" s="719"/>
      <c r="AY170" s="719"/>
    </row>
    <row r="171" spans="1:51" ht="15.75" customHeight="1">
      <c r="A171" s="716" t="s">
        <v>677</v>
      </c>
      <c r="B171" s="725" t="s">
        <v>1382</v>
      </c>
      <c r="C171" s="718">
        <f>+$C$169+$G$170</f>
        <v>34598</v>
      </c>
      <c r="D171" s="719"/>
      <c r="E171" s="719"/>
      <c r="F171" s="720">
        <v>0</v>
      </c>
      <c r="G171" s="721"/>
      <c r="H171" s="726" t="s">
        <v>1101</v>
      </c>
      <c r="I171" s="722"/>
      <c r="J171" s="723"/>
      <c r="K171" s="719"/>
      <c r="L171" s="719" t="s">
        <v>241</v>
      </c>
      <c r="M171" s="719"/>
      <c r="N171" s="726" t="s">
        <v>695</v>
      </c>
      <c r="O171" s="726"/>
      <c r="P171" s="726"/>
      <c r="Q171" s="719">
        <v>0</v>
      </c>
      <c r="R171" s="719">
        <v>0</v>
      </c>
      <c r="S171" s="719"/>
      <c r="T171" s="719">
        <v>-30</v>
      </c>
      <c r="U171" s="719"/>
      <c r="V171" s="719"/>
      <c r="W171" s="719">
        <v>1.1000000000000001</v>
      </c>
      <c r="X171" s="719"/>
      <c r="Y171" s="719"/>
      <c r="Z171" s="719"/>
      <c r="AA171" s="719"/>
      <c r="AB171" s="719"/>
      <c r="AC171" s="719" t="s">
        <v>2977</v>
      </c>
      <c r="AD171" s="719"/>
      <c r="AE171" s="719"/>
      <c r="AF171" s="719">
        <v>200</v>
      </c>
      <c r="AG171" s="1341">
        <v>34599.03</v>
      </c>
      <c r="AH171" s="719">
        <v>1494</v>
      </c>
      <c r="AI171" s="719">
        <v>-5032</v>
      </c>
      <c r="AJ171" s="719"/>
      <c r="AK171" s="719"/>
      <c r="AL171" s="719"/>
      <c r="AM171" s="719" t="s">
        <v>2608</v>
      </c>
      <c r="AN171" s="719">
        <v>5.25</v>
      </c>
      <c r="AO171" s="719"/>
      <c r="AP171" s="719"/>
      <c r="AQ171" s="724"/>
      <c r="AR171" s="724"/>
      <c r="AS171" s="724"/>
      <c r="AT171" s="724">
        <f>+ab($T$171,$T$169,$T$173,$G$170,$G$172,-1*$F$171,1200)</f>
        <v>-7.9442410717051439</v>
      </c>
      <c r="AU171" s="724"/>
      <c r="AV171" s="724"/>
      <c r="AW171" s="719"/>
      <c r="AX171" s="719"/>
      <c r="AY171" s="719"/>
    </row>
    <row r="172" spans="1:51" ht="15.75" hidden="1" customHeight="1">
      <c r="A172" s="716"/>
      <c r="B172" s="717"/>
      <c r="C172" s="718"/>
      <c r="D172" s="719"/>
      <c r="E172" s="719"/>
      <c r="F172" s="720"/>
      <c r="G172" s="721">
        <v>50</v>
      </c>
      <c r="H172" s="726"/>
      <c r="I172" s="722"/>
      <c r="J172" s="723"/>
      <c r="K172" s="719"/>
      <c r="L172" s="719"/>
      <c r="M172" s="719"/>
      <c r="N172" s="726"/>
      <c r="O172" s="726"/>
      <c r="P172" s="726"/>
      <c r="Q172" s="719"/>
      <c r="R172" s="719"/>
      <c r="S172" s="719">
        <f t="shared" si="36"/>
        <v>49.690000000002328</v>
      </c>
      <c r="T172" s="719"/>
      <c r="U172" s="719"/>
      <c r="V172" s="719"/>
      <c r="W172" s="719"/>
      <c r="X172" s="719"/>
      <c r="Y172" s="719"/>
      <c r="Z172" s="719"/>
      <c r="AA172" s="719"/>
      <c r="AB172" s="719"/>
      <c r="AC172" s="719"/>
      <c r="AD172" s="719"/>
      <c r="AE172" s="719"/>
      <c r="AF172" s="719"/>
      <c r="AG172" s="1341" t="s">
        <v>723</v>
      </c>
      <c r="AH172" s="719" t="s">
        <v>723</v>
      </c>
      <c r="AI172" s="719" t="s">
        <v>723</v>
      </c>
      <c r="AJ172" s="719"/>
      <c r="AK172" s="719"/>
      <c r="AL172" s="719"/>
      <c r="AM172" s="719"/>
      <c r="AN172" s="719"/>
      <c r="AO172" s="719"/>
      <c r="AP172" s="719"/>
      <c r="AQ172" s="724">
        <f>+FL_1($T$173,$T$171,$G$172,1200,9.28,-1*$F$173)</f>
        <v>0.33477011200000001</v>
      </c>
      <c r="AR172" s="724"/>
      <c r="AS172" s="724"/>
      <c r="AT172" s="724"/>
      <c r="AU172" s="724"/>
      <c r="AV172" s="724"/>
      <c r="AW172" s="719"/>
      <c r="AX172" s="719"/>
      <c r="AY172" s="719"/>
    </row>
    <row r="173" spans="1:51" ht="15.75" hidden="1" customHeight="1">
      <c r="A173" s="716" t="s">
        <v>677</v>
      </c>
      <c r="B173" s="725" t="s">
        <v>1383</v>
      </c>
      <c r="C173" s="718">
        <f>+$C$171+$G$172</f>
        <v>34648</v>
      </c>
      <c r="D173" s="719"/>
      <c r="E173" s="719"/>
      <c r="F173" s="720">
        <v>0</v>
      </c>
      <c r="G173" s="721"/>
      <c r="H173" s="726"/>
      <c r="I173" s="722"/>
      <c r="J173" s="723"/>
      <c r="K173" s="719"/>
      <c r="L173" s="719" t="s">
        <v>241</v>
      </c>
      <c r="M173" s="719"/>
      <c r="N173" s="726" t="s">
        <v>696</v>
      </c>
      <c r="O173" s="726"/>
      <c r="P173" s="726"/>
      <c r="Q173" s="719">
        <v>0</v>
      </c>
      <c r="R173" s="719">
        <v>0</v>
      </c>
      <c r="S173" s="719"/>
      <c r="T173" s="719">
        <v>30</v>
      </c>
      <c r="U173" s="719"/>
      <c r="V173" s="719"/>
      <c r="W173" s="719">
        <v>1.1000000000000001</v>
      </c>
      <c r="X173" s="719"/>
      <c r="Y173" s="719"/>
      <c r="Z173" s="719"/>
      <c r="AA173" s="719"/>
      <c r="AB173" s="719"/>
      <c r="AC173" s="719" t="s">
        <v>2977</v>
      </c>
      <c r="AD173" s="719"/>
      <c r="AE173" s="719"/>
      <c r="AF173" s="719">
        <v>200</v>
      </c>
      <c r="AG173" s="1341">
        <v>34648.720000000001</v>
      </c>
      <c r="AH173" s="719">
        <v>1502</v>
      </c>
      <c r="AI173" s="719">
        <v>-5043</v>
      </c>
      <c r="AJ173" s="719"/>
      <c r="AK173" s="719"/>
      <c r="AL173" s="719"/>
      <c r="AM173" s="719" t="s">
        <v>2608</v>
      </c>
      <c r="AN173" s="719">
        <v>5.25</v>
      </c>
      <c r="AO173" s="719"/>
      <c r="AP173" s="719"/>
      <c r="AQ173" s="724"/>
      <c r="AR173" s="724"/>
      <c r="AS173" s="724"/>
      <c r="AT173" s="724">
        <f>+ab($T$173,$T$171,$T$175,$G$172,$G$174,-1*$F$173,1200)</f>
        <v>7.9442083933778509</v>
      </c>
      <c r="AU173" s="724"/>
      <c r="AV173" s="724"/>
      <c r="AW173" s="719"/>
      <c r="AX173" s="719"/>
      <c r="AY173" s="719"/>
    </row>
    <row r="174" spans="1:51" ht="15.75" hidden="1" customHeight="1">
      <c r="A174" s="716"/>
      <c r="B174" s="717"/>
      <c r="C174" s="718"/>
      <c r="D174" s="719"/>
      <c r="E174" s="719"/>
      <c r="F174" s="720"/>
      <c r="G174" s="721">
        <v>50</v>
      </c>
      <c r="H174" s="726"/>
      <c r="I174" s="722"/>
      <c r="J174" s="723"/>
      <c r="K174" s="719"/>
      <c r="L174" s="719"/>
      <c r="M174" s="719"/>
      <c r="N174" s="726"/>
      <c r="O174" s="726"/>
      <c r="P174" s="726"/>
      <c r="Q174" s="719"/>
      <c r="R174" s="719"/>
      <c r="S174" s="719">
        <f t="shared" si="36"/>
        <v>49.559999999997672</v>
      </c>
      <c r="T174" s="719"/>
      <c r="U174" s="719"/>
      <c r="V174" s="719"/>
      <c r="W174" s="719"/>
      <c r="X174" s="719"/>
      <c r="Y174" s="719"/>
      <c r="Z174" s="719"/>
      <c r="AA174" s="719"/>
      <c r="AB174" s="719"/>
      <c r="AC174" s="719"/>
      <c r="AD174" s="719"/>
      <c r="AE174" s="719"/>
      <c r="AF174" s="719"/>
      <c r="AG174" s="1341" t="s">
        <v>723</v>
      </c>
      <c r="AH174" s="719" t="s">
        <v>723</v>
      </c>
      <c r="AI174" s="719" t="s">
        <v>723</v>
      </c>
      <c r="AJ174" s="719"/>
      <c r="AK174" s="719"/>
      <c r="AL174" s="719"/>
      <c r="AM174" s="719"/>
      <c r="AN174" s="719"/>
      <c r="AO174" s="719"/>
      <c r="AP174" s="719"/>
      <c r="AQ174" s="724">
        <f>+FL_2($T$175,$T$173,$G$174,1200,9.28,-1*$F$175)</f>
        <v>-0.33477011200000001</v>
      </c>
      <c r="AR174" s="724"/>
      <c r="AS174" s="724"/>
      <c r="AT174" s="724"/>
      <c r="AU174" s="724"/>
      <c r="AV174" s="724"/>
      <c r="AW174" s="719"/>
      <c r="AX174" s="719"/>
      <c r="AY174" s="719"/>
    </row>
    <row r="175" spans="1:51" ht="15.75" hidden="1" customHeight="1">
      <c r="A175" s="716" t="s">
        <v>677</v>
      </c>
      <c r="B175" s="725" t="s">
        <v>1384</v>
      </c>
      <c r="C175" s="718">
        <f>+$C$173+$G$174</f>
        <v>34698</v>
      </c>
      <c r="D175" s="719"/>
      <c r="E175" s="719"/>
      <c r="F175" s="720">
        <v>0</v>
      </c>
      <c r="G175" s="721"/>
      <c r="H175" s="726"/>
      <c r="I175" s="722"/>
      <c r="J175" s="723"/>
      <c r="K175" s="719"/>
      <c r="L175" s="719" t="s">
        <v>241</v>
      </c>
      <c r="M175" s="719"/>
      <c r="N175" s="726" t="s">
        <v>695</v>
      </c>
      <c r="O175" s="726"/>
      <c r="P175" s="726"/>
      <c r="Q175" s="719">
        <v>0</v>
      </c>
      <c r="R175" s="719">
        <v>0</v>
      </c>
      <c r="S175" s="719"/>
      <c r="T175" s="719">
        <v>-30</v>
      </c>
      <c r="U175" s="719"/>
      <c r="V175" s="719"/>
      <c r="W175" s="719">
        <v>1.1000000000000001</v>
      </c>
      <c r="X175" s="719"/>
      <c r="Y175" s="719"/>
      <c r="Z175" s="719"/>
      <c r="AA175" s="719"/>
      <c r="AB175" s="719"/>
      <c r="AC175" s="719" t="s">
        <v>2977</v>
      </c>
      <c r="AD175" s="719"/>
      <c r="AE175" s="719"/>
      <c r="AF175" s="719">
        <v>200</v>
      </c>
      <c r="AG175" s="1341">
        <v>34698.28</v>
      </c>
      <c r="AH175" s="719">
        <v>1479</v>
      </c>
      <c r="AI175" s="719">
        <v>-5034</v>
      </c>
      <c r="AJ175" s="719"/>
      <c r="AK175" s="719"/>
      <c r="AL175" s="719"/>
      <c r="AM175" s="719" t="s">
        <v>2608</v>
      </c>
      <c r="AN175" s="719">
        <v>5.25</v>
      </c>
      <c r="AO175" s="719"/>
      <c r="AP175" s="719"/>
      <c r="AQ175" s="724"/>
      <c r="AR175" s="724"/>
      <c r="AS175" s="724"/>
      <c r="AT175" s="724">
        <f>+ab($T$175,$T$173,$T$177,$G$174,$G$176,-1*$F$175,1200)</f>
        <v>-7.9442410717051439</v>
      </c>
      <c r="AU175" s="724"/>
      <c r="AV175" s="724"/>
      <c r="AW175" s="719"/>
      <c r="AX175" s="719"/>
      <c r="AY175" s="719"/>
    </row>
    <row r="176" spans="1:51" ht="15.75" hidden="1" customHeight="1">
      <c r="A176" s="716"/>
      <c r="B176" s="717"/>
      <c r="C176" s="718"/>
      <c r="D176" s="719"/>
      <c r="E176" s="719"/>
      <c r="F176" s="720"/>
      <c r="G176" s="721">
        <v>50</v>
      </c>
      <c r="H176" s="726"/>
      <c r="I176" s="722"/>
      <c r="J176" s="723"/>
      <c r="K176" s="719"/>
      <c r="L176" s="719"/>
      <c r="M176" s="719"/>
      <c r="N176" s="726"/>
      <c r="O176" s="726"/>
      <c r="P176" s="726"/>
      <c r="Q176" s="719"/>
      <c r="R176" s="719"/>
      <c r="S176" s="719">
        <f t="shared" si="36"/>
        <v>49.690000000002328</v>
      </c>
      <c r="T176" s="719"/>
      <c r="U176" s="719"/>
      <c r="V176" s="719"/>
      <c r="W176" s="719"/>
      <c r="X176" s="719"/>
      <c r="Y176" s="719"/>
      <c r="Z176" s="719"/>
      <c r="AA176" s="719"/>
      <c r="AB176" s="719"/>
      <c r="AC176" s="719"/>
      <c r="AD176" s="719"/>
      <c r="AE176" s="719"/>
      <c r="AF176" s="719"/>
      <c r="AG176" s="1341" t="s">
        <v>723</v>
      </c>
      <c r="AH176" s="719" t="s">
        <v>723</v>
      </c>
      <c r="AI176" s="719" t="s">
        <v>723</v>
      </c>
      <c r="AJ176" s="719"/>
      <c r="AK176" s="719"/>
      <c r="AL176" s="719"/>
      <c r="AM176" s="719"/>
      <c r="AN176" s="719"/>
      <c r="AO176" s="719"/>
      <c r="AP176" s="719"/>
      <c r="AQ176" s="724">
        <f>+FL_1($T$177,$T$175,$G$176,1200,9.28,-1*$F$177)</f>
        <v>0.33477011200000001</v>
      </c>
      <c r="AR176" s="724"/>
      <c r="AS176" s="724"/>
      <c r="AT176" s="724"/>
      <c r="AU176" s="724"/>
      <c r="AV176" s="724"/>
      <c r="AW176" s="719"/>
      <c r="AX176" s="719"/>
      <c r="AY176" s="719"/>
    </row>
    <row r="177" spans="1:51" ht="15.75" hidden="1" customHeight="1">
      <c r="A177" s="716" t="s">
        <v>677</v>
      </c>
      <c r="B177" s="725" t="s">
        <v>1385</v>
      </c>
      <c r="C177" s="718">
        <f>+$C$175+$G$176</f>
        <v>34748</v>
      </c>
      <c r="D177" s="719"/>
      <c r="E177" s="719"/>
      <c r="F177" s="720">
        <v>0</v>
      </c>
      <c r="G177" s="721"/>
      <c r="H177" s="726"/>
      <c r="I177" s="726"/>
      <c r="J177" s="723"/>
      <c r="K177" s="719"/>
      <c r="L177" s="719" t="s">
        <v>241</v>
      </c>
      <c r="M177" s="719"/>
      <c r="N177" s="726" t="s">
        <v>696</v>
      </c>
      <c r="O177" s="726"/>
      <c r="P177" s="726"/>
      <c r="Q177" s="719">
        <v>0</v>
      </c>
      <c r="R177" s="719">
        <v>0</v>
      </c>
      <c r="S177" s="719"/>
      <c r="T177" s="719">
        <v>30</v>
      </c>
      <c r="U177" s="719"/>
      <c r="V177" s="719"/>
      <c r="W177" s="719">
        <v>1.1000000000000001</v>
      </c>
      <c r="X177" s="719"/>
      <c r="Y177" s="719"/>
      <c r="Z177" s="719"/>
      <c r="AA177" s="719"/>
      <c r="AB177" s="719"/>
      <c r="AC177" s="719" t="s">
        <v>2977</v>
      </c>
      <c r="AD177" s="719"/>
      <c r="AE177" s="719"/>
      <c r="AF177" s="719">
        <v>200</v>
      </c>
      <c r="AG177" s="1341">
        <v>34747.97</v>
      </c>
      <c r="AH177" s="719">
        <v>1441</v>
      </c>
      <c r="AI177" s="719">
        <v>-5036</v>
      </c>
      <c r="AJ177" s="719"/>
      <c r="AK177" s="719"/>
      <c r="AL177" s="719"/>
      <c r="AM177" s="719" t="s">
        <v>2608</v>
      </c>
      <c r="AN177" s="719">
        <v>5.25</v>
      </c>
      <c r="AO177" s="719"/>
      <c r="AP177" s="719"/>
      <c r="AQ177" s="724"/>
      <c r="AR177" s="724"/>
      <c r="AS177" s="724"/>
      <c r="AT177" s="724">
        <f>+ab($T$177,$T$175,$T$179,$G$176,$G$178,-1*$F$177,1200)</f>
        <v>7.9442083933778509</v>
      </c>
      <c r="AU177" s="724"/>
      <c r="AV177" s="724"/>
      <c r="AW177" s="719"/>
      <c r="AX177" s="719"/>
      <c r="AY177" s="719"/>
    </row>
    <row r="178" spans="1:51" ht="15.75" hidden="1" customHeight="1">
      <c r="A178" s="716"/>
      <c r="B178" s="717"/>
      <c r="C178" s="718"/>
      <c r="D178" s="719"/>
      <c r="E178" s="719"/>
      <c r="F178" s="720"/>
      <c r="G178" s="721">
        <v>50</v>
      </c>
      <c r="H178" s="726"/>
      <c r="I178" s="726"/>
      <c r="J178" s="723"/>
      <c r="K178" s="719"/>
      <c r="L178" s="719"/>
      <c r="M178" s="719"/>
      <c r="N178" s="726"/>
      <c r="O178" s="726"/>
      <c r="P178" s="726"/>
      <c r="Q178" s="719"/>
      <c r="R178" s="719"/>
      <c r="S178" s="719">
        <f t="shared" si="36"/>
        <v>51.169999999998254</v>
      </c>
      <c r="T178" s="719"/>
      <c r="U178" s="719"/>
      <c r="V178" s="719"/>
      <c r="W178" s="719"/>
      <c r="X178" s="719"/>
      <c r="Y178" s="719"/>
      <c r="Z178" s="719"/>
      <c r="AA178" s="719"/>
      <c r="AB178" s="719"/>
      <c r="AC178" s="719"/>
      <c r="AD178" s="719"/>
      <c r="AE178" s="719"/>
      <c r="AF178" s="719"/>
      <c r="AG178" s="1341" t="s">
        <v>723</v>
      </c>
      <c r="AH178" s="719" t="s">
        <v>723</v>
      </c>
      <c r="AI178" s="719" t="s">
        <v>723</v>
      </c>
      <c r="AJ178" s="719"/>
      <c r="AK178" s="719"/>
      <c r="AL178" s="719"/>
      <c r="AM178" s="719"/>
      <c r="AN178" s="719"/>
      <c r="AO178" s="719"/>
      <c r="AP178" s="719"/>
      <c r="AQ178" s="724">
        <f>+FL_2($T$179,$T$177,$G$178,1200,9.28,-1*$F$179)</f>
        <v>-0.33477011200000001</v>
      </c>
      <c r="AR178" s="724"/>
      <c r="AS178" s="724"/>
      <c r="AT178" s="724"/>
      <c r="AU178" s="724"/>
      <c r="AV178" s="724"/>
      <c r="AW178" s="719"/>
      <c r="AX178" s="719"/>
      <c r="AY178" s="719"/>
    </row>
    <row r="179" spans="1:51" ht="15.75" hidden="1" customHeight="1">
      <c r="A179" s="716" t="s">
        <v>677</v>
      </c>
      <c r="B179" s="725" t="s">
        <v>1386</v>
      </c>
      <c r="C179" s="718">
        <f>+$C$177+$G$178</f>
        <v>34798</v>
      </c>
      <c r="D179" s="719"/>
      <c r="E179" s="719"/>
      <c r="F179" s="720">
        <v>0</v>
      </c>
      <c r="G179" s="721"/>
      <c r="H179" s="726"/>
      <c r="I179" s="726"/>
      <c r="J179" s="723"/>
      <c r="K179" s="719"/>
      <c r="L179" s="719" t="s">
        <v>241</v>
      </c>
      <c r="M179" s="719"/>
      <c r="N179" s="726" t="s">
        <v>695</v>
      </c>
      <c r="O179" s="726"/>
      <c r="P179" s="726"/>
      <c r="Q179" s="719">
        <v>0</v>
      </c>
      <c r="R179" s="719">
        <v>0</v>
      </c>
      <c r="S179" s="719"/>
      <c r="T179" s="719">
        <v>-30</v>
      </c>
      <c r="U179" s="719"/>
      <c r="V179" s="719"/>
      <c r="W179" s="719">
        <v>1.1000000000000001</v>
      </c>
      <c r="X179" s="719"/>
      <c r="Y179" s="719"/>
      <c r="Z179" s="719"/>
      <c r="AA179" s="719"/>
      <c r="AB179" s="719"/>
      <c r="AC179" s="719" t="s">
        <v>2977</v>
      </c>
      <c r="AD179" s="719"/>
      <c r="AE179" s="719"/>
      <c r="AF179" s="719">
        <v>200</v>
      </c>
      <c r="AG179" s="1341">
        <v>34799.14</v>
      </c>
      <c r="AH179" s="719">
        <v>1480</v>
      </c>
      <c r="AI179" s="719">
        <v>-5010</v>
      </c>
      <c r="AJ179" s="719"/>
      <c r="AK179" s="719"/>
      <c r="AL179" s="719"/>
      <c r="AM179" s="719" t="s">
        <v>2608</v>
      </c>
      <c r="AN179" s="719">
        <v>5.25</v>
      </c>
      <c r="AO179" s="719"/>
      <c r="AP179" s="719"/>
      <c r="AQ179" s="724"/>
      <c r="AR179" s="724"/>
      <c r="AS179" s="724"/>
      <c r="AT179" s="724">
        <f>+ab($T$179,$T$177,$T$181,$G$178,$G$180,-1*$F$179,1200)</f>
        <v>-7.9442410717051439</v>
      </c>
      <c r="AU179" s="724"/>
      <c r="AV179" s="724"/>
      <c r="AW179" s="719"/>
      <c r="AX179" s="719"/>
      <c r="AY179" s="719"/>
    </row>
    <row r="180" spans="1:51" ht="15.75" hidden="1" customHeight="1">
      <c r="A180" s="716"/>
      <c r="B180" s="717"/>
      <c r="C180" s="718"/>
      <c r="D180" s="719"/>
      <c r="E180" s="719"/>
      <c r="F180" s="720"/>
      <c r="G180" s="721">
        <v>50</v>
      </c>
      <c r="H180" s="726"/>
      <c r="I180" s="722"/>
      <c r="J180" s="723"/>
      <c r="K180" s="719"/>
      <c r="L180" s="719"/>
      <c r="M180" s="719"/>
      <c r="N180" s="726"/>
      <c r="O180" s="726"/>
      <c r="P180" s="726"/>
      <c r="Q180" s="719"/>
      <c r="R180" s="719"/>
      <c r="S180" s="719">
        <f t="shared" si="36"/>
        <v>49.760000000002037</v>
      </c>
      <c r="T180" s="719"/>
      <c r="U180" s="719"/>
      <c r="V180" s="719"/>
      <c r="W180" s="719"/>
      <c r="X180" s="719"/>
      <c r="Y180" s="719"/>
      <c r="Z180" s="719"/>
      <c r="AA180" s="719"/>
      <c r="AB180" s="719"/>
      <c r="AC180" s="719"/>
      <c r="AD180" s="719"/>
      <c r="AE180" s="719"/>
      <c r="AF180" s="719"/>
      <c r="AG180" s="1341" t="s">
        <v>723</v>
      </c>
      <c r="AH180" s="719" t="s">
        <v>723</v>
      </c>
      <c r="AI180" s="719" t="s">
        <v>723</v>
      </c>
      <c r="AJ180" s="719"/>
      <c r="AK180" s="719"/>
      <c r="AL180" s="719"/>
      <c r="AM180" s="719"/>
      <c r="AN180" s="719"/>
      <c r="AO180" s="719"/>
      <c r="AP180" s="719"/>
      <c r="AQ180" s="724">
        <f>+FL_1($T$181,$T$179,$G$180,1200,9.28,-1*$F$181)</f>
        <v>0.33477011200000001</v>
      </c>
      <c r="AR180" s="724"/>
      <c r="AS180" s="724"/>
      <c r="AT180" s="724"/>
      <c r="AU180" s="724"/>
      <c r="AV180" s="724"/>
      <c r="AW180" s="719"/>
      <c r="AX180" s="719"/>
      <c r="AY180" s="719"/>
    </row>
    <row r="181" spans="1:51" ht="15.75" hidden="1" customHeight="1">
      <c r="A181" s="716" t="s">
        <v>677</v>
      </c>
      <c r="B181" s="725" t="s">
        <v>1387</v>
      </c>
      <c r="C181" s="718">
        <f>+$C$179+$G$180</f>
        <v>34848</v>
      </c>
      <c r="D181" s="719"/>
      <c r="E181" s="719"/>
      <c r="F181" s="720">
        <v>0</v>
      </c>
      <c r="G181" s="721"/>
      <c r="H181" s="726"/>
      <c r="I181" s="729"/>
      <c r="J181" s="723"/>
      <c r="K181" s="719"/>
      <c r="L181" s="719" t="s">
        <v>241</v>
      </c>
      <c r="M181" s="719"/>
      <c r="N181" s="726" t="s">
        <v>696</v>
      </c>
      <c r="O181" s="726"/>
      <c r="P181" s="726"/>
      <c r="Q181" s="719">
        <v>0</v>
      </c>
      <c r="R181" s="719">
        <v>0</v>
      </c>
      <c r="S181" s="719"/>
      <c r="T181" s="719">
        <v>30</v>
      </c>
      <c r="U181" s="719"/>
      <c r="V181" s="719"/>
      <c r="W181" s="719">
        <v>1.1000000000000001</v>
      </c>
      <c r="X181" s="719"/>
      <c r="Y181" s="719"/>
      <c r="Z181" s="719"/>
      <c r="AA181" s="719"/>
      <c r="AB181" s="719"/>
      <c r="AC181" s="719" t="s">
        <v>2977</v>
      </c>
      <c r="AD181" s="719"/>
      <c r="AE181" s="719"/>
      <c r="AF181" s="719">
        <v>200</v>
      </c>
      <c r="AG181" s="1341">
        <v>34848.9</v>
      </c>
      <c r="AH181" s="719">
        <v>1483</v>
      </c>
      <c r="AI181" s="719">
        <v>-5003</v>
      </c>
      <c r="AJ181" s="719"/>
      <c r="AK181" s="719"/>
      <c r="AL181" s="719"/>
      <c r="AM181" s="719" t="s">
        <v>2608</v>
      </c>
      <c r="AN181" s="719">
        <v>5.25</v>
      </c>
      <c r="AO181" s="719"/>
      <c r="AP181" s="719"/>
      <c r="AQ181" s="724"/>
      <c r="AR181" s="724"/>
      <c r="AS181" s="724"/>
      <c r="AT181" s="724">
        <f>+ab($T$181,$T$179,$T$183,$G$180,$G$182,-1*$F$181,1200)</f>
        <v>7.9442083933778509</v>
      </c>
      <c r="AU181" s="724"/>
      <c r="AV181" s="724"/>
      <c r="AW181" s="719"/>
      <c r="AX181" s="719"/>
      <c r="AY181" s="719"/>
    </row>
    <row r="182" spans="1:51" ht="15.75" hidden="1" customHeight="1">
      <c r="A182" s="716"/>
      <c r="B182" s="717"/>
      <c r="C182" s="718"/>
      <c r="D182" s="719"/>
      <c r="E182" s="719"/>
      <c r="F182" s="720"/>
      <c r="G182" s="721">
        <v>50</v>
      </c>
      <c r="H182" s="726"/>
      <c r="I182" s="726"/>
      <c r="J182" s="723"/>
      <c r="K182" s="719"/>
      <c r="L182" s="719"/>
      <c r="M182" s="719"/>
      <c r="N182" s="726"/>
      <c r="O182" s="726"/>
      <c r="P182" s="726"/>
      <c r="Q182" s="719"/>
      <c r="R182" s="719"/>
      <c r="S182" s="719">
        <f t="shared" si="36"/>
        <v>48.059999999997672</v>
      </c>
      <c r="T182" s="719"/>
      <c r="U182" s="719"/>
      <c r="V182" s="719"/>
      <c r="W182" s="719"/>
      <c r="X182" s="719"/>
      <c r="Y182" s="719"/>
      <c r="Z182" s="719"/>
      <c r="AA182" s="719"/>
      <c r="AB182" s="719"/>
      <c r="AC182" s="719"/>
      <c r="AD182" s="719"/>
      <c r="AE182" s="719"/>
      <c r="AF182" s="719"/>
      <c r="AG182" s="1341" t="s">
        <v>723</v>
      </c>
      <c r="AH182" s="719" t="s">
        <v>723</v>
      </c>
      <c r="AI182" s="719" t="s">
        <v>723</v>
      </c>
      <c r="AJ182" s="719"/>
      <c r="AK182" s="719"/>
      <c r="AL182" s="719"/>
      <c r="AM182" s="719"/>
      <c r="AN182" s="719"/>
      <c r="AO182" s="719"/>
      <c r="AP182" s="719"/>
      <c r="AQ182" s="724">
        <f>+FL_1($T$183,$T$181,$G$182,1200,9.28,-1*$F$183)</f>
        <v>0.33477011200000012</v>
      </c>
      <c r="AR182" s="724"/>
      <c r="AS182" s="724"/>
      <c r="AT182" s="724"/>
      <c r="AU182" s="724"/>
      <c r="AV182" s="724"/>
      <c r="AW182" s="719"/>
      <c r="AX182" s="719"/>
      <c r="AY182" s="719"/>
    </row>
    <row r="183" spans="1:51" ht="15.75" hidden="1" customHeight="1">
      <c r="A183" s="716" t="s">
        <v>677</v>
      </c>
      <c r="B183" s="725" t="s">
        <v>1388</v>
      </c>
      <c r="C183" s="718">
        <f>+$C$181+$G$182</f>
        <v>34898</v>
      </c>
      <c r="D183" s="719"/>
      <c r="E183" s="719"/>
      <c r="F183" s="720">
        <v>0</v>
      </c>
      <c r="G183" s="721"/>
      <c r="H183" s="726" t="s">
        <v>138</v>
      </c>
      <c r="I183" s="729" t="s">
        <v>948</v>
      </c>
      <c r="J183" s="723"/>
      <c r="K183" s="719"/>
      <c r="L183" s="719" t="s">
        <v>241</v>
      </c>
      <c r="M183" s="719"/>
      <c r="N183" s="726" t="s">
        <v>695</v>
      </c>
      <c r="O183" s="726"/>
      <c r="P183" s="726"/>
      <c r="Q183" s="719">
        <v>0</v>
      </c>
      <c r="R183" s="719">
        <v>0</v>
      </c>
      <c r="S183" s="719"/>
      <c r="T183" s="719">
        <v>-30</v>
      </c>
      <c r="U183" s="719"/>
      <c r="V183" s="719"/>
      <c r="W183" s="719">
        <v>1.1000000000000001</v>
      </c>
      <c r="X183" s="719"/>
      <c r="Y183" s="719"/>
      <c r="Z183" s="719"/>
      <c r="AA183" s="719"/>
      <c r="AB183" s="719"/>
      <c r="AC183" s="719" t="s">
        <v>2612</v>
      </c>
      <c r="AD183" s="719"/>
      <c r="AE183" s="719"/>
      <c r="AF183" s="719">
        <v>300</v>
      </c>
      <c r="AG183" s="1341">
        <v>34896.959999999999</v>
      </c>
      <c r="AH183" s="719">
        <v>1447</v>
      </c>
      <c r="AI183" s="719">
        <v>-5005</v>
      </c>
      <c r="AJ183" s="719"/>
      <c r="AK183" s="719"/>
      <c r="AL183" s="719"/>
      <c r="AM183" s="719" t="s">
        <v>2608</v>
      </c>
      <c r="AN183" s="719">
        <v>5.25</v>
      </c>
      <c r="AO183" s="719"/>
      <c r="AP183" s="719"/>
      <c r="AQ183" s="724"/>
      <c r="AR183" s="724"/>
      <c r="AS183" s="724"/>
      <c r="AT183" s="724">
        <f>+ab($T$183,$T$181,$T$185,$G$182,$G$184,-1*$F$183,1200)</f>
        <v>-8.2849467556123688</v>
      </c>
      <c r="AU183" s="724"/>
      <c r="AV183" s="724"/>
      <c r="AW183" s="719"/>
      <c r="AX183" s="719"/>
      <c r="AY183" s="719"/>
    </row>
    <row r="184" spans="1:51" ht="15.75" hidden="1" customHeight="1">
      <c r="A184" s="716"/>
      <c r="B184" s="717"/>
      <c r="C184" s="718"/>
      <c r="D184" s="719"/>
      <c r="E184" s="719"/>
      <c r="F184" s="720"/>
      <c r="G184" s="721">
        <v>50</v>
      </c>
      <c r="H184" s="726"/>
      <c r="I184" s="722"/>
      <c r="J184" s="723">
        <f>C183+10</f>
        <v>34908</v>
      </c>
      <c r="K184" s="719" t="s">
        <v>1097</v>
      </c>
      <c r="L184" s="719"/>
      <c r="M184" s="719"/>
      <c r="N184" s="726"/>
      <c r="O184" s="726"/>
      <c r="P184" s="726"/>
      <c r="Q184" s="719"/>
      <c r="R184" s="719"/>
      <c r="S184" s="719">
        <f>AG185-AG183</f>
        <v>47.930000000000291</v>
      </c>
      <c r="T184" s="719"/>
      <c r="U184" s="719"/>
      <c r="V184" s="719"/>
      <c r="W184" s="719"/>
      <c r="X184" s="719"/>
      <c r="Y184" s="719"/>
      <c r="Z184" s="719"/>
      <c r="AA184" s="719"/>
      <c r="AB184" s="719"/>
      <c r="AC184" s="719"/>
      <c r="AD184" s="719"/>
      <c r="AE184" s="719"/>
      <c r="AF184" s="719"/>
      <c r="AG184" s="1341" t="s">
        <v>723</v>
      </c>
      <c r="AH184" s="719" t="s">
        <v>723</v>
      </c>
      <c r="AI184" s="719" t="s">
        <v>723</v>
      </c>
      <c r="AJ184" s="719"/>
      <c r="AK184" s="719"/>
      <c r="AL184" s="719"/>
      <c r="AM184" s="719"/>
      <c r="AN184" s="719"/>
      <c r="AO184" s="719"/>
      <c r="AP184" s="719"/>
      <c r="AQ184" s="724">
        <f>+FL_2($U$185,$T$183,$G$184,1200,9.28,-1*$F$185)</f>
        <v>-0.39834769999999992</v>
      </c>
      <c r="AR184" s="724"/>
      <c r="AS184" s="724"/>
      <c r="AT184" s="724"/>
      <c r="AU184" s="724"/>
      <c r="AV184" s="724"/>
      <c r="AW184" s="719"/>
      <c r="AX184" s="719"/>
      <c r="AY184" s="719"/>
    </row>
    <row r="185" spans="1:51" ht="15.75" hidden="1" customHeight="1">
      <c r="A185" s="716" t="s">
        <v>677</v>
      </c>
      <c r="B185" s="725" t="s">
        <v>1389</v>
      </c>
      <c r="C185" s="718">
        <f>+$C$183+$G$184</f>
        <v>34948</v>
      </c>
      <c r="D185" s="719"/>
      <c r="E185" s="719"/>
      <c r="F185" s="720">
        <v>0</v>
      </c>
      <c r="G185" s="721"/>
      <c r="H185" s="726" t="s">
        <v>668</v>
      </c>
      <c r="I185" s="726"/>
      <c r="J185" s="723"/>
      <c r="K185" s="719"/>
      <c r="L185" s="719" t="s">
        <v>465</v>
      </c>
      <c r="M185" s="719"/>
      <c r="N185" s="726" t="s">
        <v>697</v>
      </c>
      <c r="O185" s="726" t="s">
        <v>696</v>
      </c>
      <c r="P185" s="726"/>
      <c r="Q185" s="719">
        <v>0</v>
      </c>
      <c r="R185" s="719">
        <v>0</v>
      </c>
      <c r="S185" s="719">
        <f>AG186-AG185</f>
        <v>3.2399999999979627</v>
      </c>
      <c r="T185" s="719">
        <v>25</v>
      </c>
      <c r="U185" s="719">
        <v>5</v>
      </c>
      <c r="V185" s="719"/>
      <c r="W185" s="719">
        <v>1.1000000000000001</v>
      </c>
      <c r="X185" s="719">
        <v>1.2</v>
      </c>
      <c r="Y185" s="719"/>
      <c r="Z185" s="719">
        <v>0.45</v>
      </c>
      <c r="AA185" s="719"/>
      <c r="AB185" s="719"/>
      <c r="AC185" s="719"/>
      <c r="AD185" s="719" t="s">
        <v>2616</v>
      </c>
      <c r="AE185" s="719"/>
      <c r="AF185" s="719">
        <v>200</v>
      </c>
      <c r="AG185" s="1341">
        <v>34944.89</v>
      </c>
      <c r="AH185" s="719">
        <v>1395</v>
      </c>
      <c r="AI185" s="719">
        <v>-5055</v>
      </c>
      <c r="AJ185" s="719"/>
      <c r="AK185" s="719"/>
      <c r="AL185" s="719"/>
      <c r="AM185" s="719" t="s">
        <v>2608</v>
      </c>
      <c r="AN185" s="719">
        <v>5.25</v>
      </c>
      <c r="AO185" s="719"/>
      <c r="AP185" s="719"/>
      <c r="AQ185" s="724"/>
      <c r="AR185" s="724"/>
      <c r="AS185" s="724"/>
      <c r="AT185" s="724">
        <f>+ab($U$185,$T$183,$U$187,$G$184,$G$186,-1*$F$185,1200)</f>
        <v>14.446766725215634</v>
      </c>
      <c r="AU185" s="724"/>
      <c r="AV185" s="724"/>
      <c r="AW185" s="719"/>
      <c r="AX185" s="719"/>
      <c r="AY185" s="719"/>
    </row>
    <row r="186" spans="1:51" ht="15.75" hidden="1" customHeight="1">
      <c r="A186" s="716"/>
      <c r="B186" s="717"/>
      <c r="C186" s="718"/>
      <c r="D186" s="719"/>
      <c r="E186" s="719"/>
      <c r="F186" s="720"/>
      <c r="G186" s="721">
        <v>50</v>
      </c>
      <c r="H186" s="726"/>
      <c r="I186" s="722"/>
      <c r="J186" s="723"/>
      <c r="K186" s="719"/>
      <c r="L186" s="719"/>
      <c r="M186" s="719"/>
      <c r="N186" s="726"/>
      <c r="O186" s="726"/>
      <c r="P186" s="726"/>
      <c r="Q186" s="719">
        <v>0</v>
      </c>
      <c r="R186" s="719">
        <v>0</v>
      </c>
      <c r="S186" s="719">
        <f t="shared" ref="S186:S187" si="37">AG187-AG186</f>
        <v>48.05000000000291</v>
      </c>
      <c r="T186" s="719"/>
      <c r="U186" s="719"/>
      <c r="V186" s="719"/>
      <c r="W186" s="719"/>
      <c r="X186" s="719"/>
      <c r="Y186" s="719"/>
      <c r="Z186" s="719"/>
      <c r="AA186" s="719"/>
      <c r="AB186" s="719"/>
      <c r="AC186" s="719"/>
      <c r="AD186" s="719"/>
      <c r="AE186" s="719"/>
      <c r="AF186" s="719">
        <v>200</v>
      </c>
      <c r="AG186" s="1341">
        <v>34948.129999999997</v>
      </c>
      <c r="AH186" s="719">
        <v>1399</v>
      </c>
      <c r="AI186" s="719">
        <v>-5053</v>
      </c>
      <c r="AJ186" s="719"/>
      <c r="AK186" s="719"/>
      <c r="AL186" s="719"/>
      <c r="AM186" s="719"/>
      <c r="AN186" s="719"/>
      <c r="AO186" s="719"/>
      <c r="AP186" s="719"/>
      <c r="AQ186" s="724">
        <f>+FL_2($T$187,$U$185,$G$186,1200,9.28,-1*$F$187)</f>
        <v>-0.24425286799999996</v>
      </c>
      <c r="AR186" s="724"/>
      <c r="AS186" s="724"/>
      <c r="AT186" s="724"/>
      <c r="AU186" s="724"/>
      <c r="AV186" s="724"/>
      <c r="AW186" s="719"/>
      <c r="AX186" s="719"/>
      <c r="AY186" s="719"/>
    </row>
    <row r="187" spans="1:51" ht="15.75" hidden="1" customHeight="1">
      <c r="A187" s="716" t="s">
        <v>677</v>
      </c>
      <c r="B187" s="725" t="s">
        <v>1390</v>
      </c>
      <c r="C187" s="718">
        <f>+$C$185+$G$186</f>
        <v>34998</v>
      </c>
      <c r="D187" s="719"/>
      <c r="E187" s="719"/>
      <c r="F187" s="720">
        <v>0</v>
      </c>
      <c r="G187" s="721"/>
      <c r="H187" s="726" t="s">
        <v>668</v>
      </c>
      <c r="I187" s="726"/>
      <c r="J187" s="723"/>
      <c r="K187" s="719"/>
      <c r="L187" s="719" t="s">
        <v>465</v>
      </c>
      <c r="M187" s="719"/>
      <c r="N187" s="726" t="s">
        <v>695</v>
      </c>
      <c r="O187" s="726" t="s">
        <v>697</v>
      </c>
      <c r="P187" s="726"/>
      <c r="Q187" s="719">
        <v>0</v>
      </c>
      <c r="R187" s="719">
        <v>0</v>
      </c>
      <c r="S187" s="719">
        <f t="shared" si="37"/>
        <v>3.2099999999991269</v>
      </c>
      <c r="T187" s="719">
        <v>-5</v>
      </c>
      <c r="U187" s="719">
        <v>-25</v>
      </c>
      <c r="V187" s="719"/>
      <c r="W187" s="719">
        <v>1.1000000000000001</v>
      </c>
      <c r="X187" s="719">
        <v>1.2</v>
      </c>
      <c r="Y187" s="719"/>
      <c r="Z187" s="719"/>
      <c r="AA187" s="719">
        <v>0.45</v>
      </c>
      <c r="AB187" s="719"/>
      <c r="AC187" s="719" t="s">
        <v>2612</v>
      </c>
      <c r="AD187" s="719"/>
      <c r="AE187" s="719"/>
      <c r="AF187" s="719">
        <v>200</v>
      </c>
      <c r="AG187" s="1341">
        <v>34996.18</v>
      </c>
      <c r="AH187" s="719">
        <v>1431</v>
      </c>
      <c r="AI187" s="719">
        <v>-5010</v>
      </c>
      <c r="AJ187" s="719"/>
      <c r="AK187" s="719"/>
      <c r="AL187" s="719"/>
      <c r="AM187" s="719" t="s">
        <v>2608</v>
      </c>
      <c r="AN187" s="719">
        <v>5.25</v>
      </c>
      <c r="AO187" s="719"/>
      <c r="AP187" s="719"/>
      <c r="AQ187" s="724"/>
      <c r="AR187" s="724"/>
      <c r="AS187" s="724"/>
      <c r="AT187" s="724">
        <f>+ab($T$187,$T$185,$T$189,$G$186,$G$188,-1*$F$187,1200)</f>
        <v>-14.446873203935258</v>
      </c>
      <c r="AU187" s="724"/>
      <c r="AV187" s="724"/>
      <c r="AW187" s="719"/>
      <c r="AX187" s="719"/>
      <c r="AY187" s="719"/>
    </row>
    <row r="188" spans="1:51" ht="15.75" hidden="1" customHeight="1">
      <c r="A188" s="716"/>
      <c r="B188" s="717"/>
      <c r="C188" s="718"/>
      <c r="D188" s="719"/>
      <c r="E188" s="719"/>
      <c r="F188" s="720"/>
      <c r="G188" s="721">
        <v>50</v>
      </c>
      <c r="H188" s="726"/>
      <c r="I188" s="722"/>
      <c r="J188" s="723">
        <f>C189-9.2</f>
        <v>35038.800000000003</v>
      </c>
      <c r="K188" s="719" t="s">
        <v>1097</v>
      </c>
      <c r="L188" s="719"/>
      <c r="M188" s="719"/>
      <c r="N188" s="726"/>
      <c r="O188" s="726"/>
      <c r="P188" s="726"/>
      <c r="Q188" s="719">
        <v>0</v>
      </c>
      <c r="R188" s="719">
        <v>0</v>
      </c>
      <c r="S188" s="719">
        <f>AG189-AG188</f>
        <v>48.010000000002037</v>
      </c>
      <c r="T188" s="719"/>
      <c r="U188" s="719"/>
      <c r="V188" s="719"/>
      <c r="W188" s="719"/>
      <c r="X188" s="719"/>
      <c r="Y188" s="719"/>
      <c r="Z188" s="719"/>
      <c r="AA188" s="719"/>
      <c r="AB188" s="719"/>
      <c r="AC188" s="719"/>
      <c r="AD188" s="719"/>
      <c r="AE188" s="719"/>
      <c r="AF188" s="719">
        <v>300</v>
      </c>
      <c r="AG188" s="1341">
        <v>34999.39</v>
      </c>
      <c r="AH188" s="719">
        <v>1438</v>
      </c>
      <c r="AI188" s="719">
        <v>-5032</v>
      </c>
      <c r="AJ188" s="719"/>
      <c r="AK188" s="719"/>
      <c r="AL188" s="719"/>
      <c r="AM188" s="719"/>
      <c r="AN188" s="719"/>
      <c r="AO188" s="719"/>
      <c r="AP188" s="719"/>
      <c r="AQ188" s="724">
        <f>+FL_1($T$189,$T$187,$G$188,1200,9.28,-1*$F$189)</f>
        <v>0.39834769999999997</v>
      </c>
      <c r="AR188" s="724"/>
      <c r="AS188" s="724"/>
      <c r="AT188" s="724"/>
      <c r="AU188" s="724"/>
      <c r="AV188" s="724"/>
      <c r="AW188" s="719"/>
      <c r="AX188" s="719"/>
      <c r="AY188" s="719"/>
    </row>
    <row r="189" spans="1:51" ht="15.75" hidden="1" customHeight="1">
      <c r="A189" s="716" t="s">
        <v>677</v>
      </c>
      <c r="B189" s="725" t="s">
        <v>1391</v>
      </c>
      <c r="C189" s="718">
        <f>+$C$187+$G$188</f>
        <v>35048</v>
      </c>
      <c r="D189" s="719"/>
      <c r="E189" s="719"/>
      <c r="F189" s="720">
        <v>0</v>
      </c>
      <c r="G189" s="721"/>
      <c r="H189" s="726" t="s">
        <v>138</v>
      </c>
      <c r="I189" s="722" t="s">
        <v>948</v>
      </c>
      <c r="J189" s="723"/>
      <c r="K189" s="719"/>
      <c r="L189" s="719" t="s">
        <v>241</v>
      </c>
      <c r="M189" s="719"/>
      <c r="N189" s="726" t="s">
        <v>696</v>
      </c>
      <c r="O189" s="726"/>
      <c r="P189" s="726"/>
      <c r="Q189" s="719">
        <v>0</v>
      </c>
      <c r="R189" s="719">
        <v>0</v>
      </c>
      <c r="S189" s="719"/>
      <c r="T189" s="719">
        <v>30</v>
      </c>
      <c r="U189" s="719"/>
      <c r="V189" s="719"/>
      <c r="W189" s="719">
        <v>1.1000000000000001</v>
      </c>
      <c r="X189" s="719"/>
      <c r="Y189" s="719"/>
      <c r="Z189" s="719"/>
      <c r="AA189" s="719"/>
      <c r="AB189" s="719"/>
      <c r="AC189" s="719" t="s">
        <v>2977</v>
      </c>
      <c r="AD189" s="719"/>
      <c r="AE189" s="719"/>
      <c r="AF189" s="719">
        <v>200</v>
      </c>
      <c r="AG189" s="1341">
        <v>35047.4</v>
      </c>
      <c r="AH189" s="719">
        <v>1432</v>
      </c>
      <c r="AI189" s="719">
        <v>-4995</v>
      </c>
      <c r="AJ189" s="719"/>
      <c r="AK189" s="719"/>
      <c r="AL189" s="719"/>
      <c r="AM189" s="719" t="s">
        <v>2608</v>
      </c>
      <c r="AN189" s="719">
        <v>5.25</v>
      </c>
      <c r="AO189" s="719"/>
      <c r="AP189" s="719"/>
      <c r="AQ189" s="724"/>
      <c r="AR189" s="724"/>
      <c r="AS189" s="724"/>
      <c r="AT189" s="724">
        <f>+ab($T$189,$T$187,$T$191,$G$188,$G$190,-1*$F$189,1200)</f>
        <v>9.9968917440918084</v>
      </c>
      <c r="AU189" s="724"/>
      <c r="AV189" s="724"/>
      <c r="AW189" s="719"/>
      <c r="AX189" s="719"/>
      <c r="AY189" s="719"/>
    </row>
    <row r="190" spans="1:51" ht="15.75" hidden="1" customHeight="1">
      <c r="A190" s="716"/>
      <c r="B190" s="717"/>
      <c r="C190" s="718"/>
      <c r="D190" s="719"/>
      <c r="E190" s="719"/>
      <c r="F190" s="720"/>
      <c r="G190" s="721">
        <v>50</v>
      </c>
      <c r="H190" s="726"/>
      <c r="I190" s="726"/>
      <c r="J190" s="723"/>
      <c r="K190" s="719"/>
      <c r="L190" s="719"/>
      <c r="M190" s="719"/>
      <c r="N190" s="726"/>
      <c r="O190" s="726"/>
      <c r="P190" s="726"/>
      <c r="Q190" s="719"/>
      <c r="R190" s="719"/>
      <c r="S190" s="719">
        <f>AG191-AG189</f>
        <v>49.709999999999127</v>
      </c>
      <c r="T190" s="719"/>
      <c r="U190" s="719"/>
      <c r="V190" s="719"/>
      <c r="W190" s="719"/>
      <c r="X190" s="719"/>
      <c r="Y190" s="719"/>
      <c r="Z190" s="719"/>
      <c r="AA190" s="719"/>
      <c r="AB190" s="719"/>
      <c r="AC190" s="719"/>
      <c r="AD190" s="719"/>
      <c r="AE190" s="719"/>
      <c r="AF190" s="719"/>
      <c r="AG190" s="1341" t="s">
        <v>723</v>
      </c>
      <c r="AH190" s="719" t="s">
        <v>723</v>
      </c>
      <c r="AI190" s="719" t="s">
        <v>723</v>
      </c>
      <c r="AJ190" s="719"/>
      <c r="AK190" s="719"/>
      <c r="AL190" s="719"/>
      <c r="AM190" s="719"/>
      <c r="AN190" s="719"/>
      <c r="AO190" s="719"/>
      <c r="AP190" s="719"/>
      <c r="AQ190" s="724">
        <f>+FL_2($T$191,$T$189,$G$190,1200,9.28,-1*$F$191)</f>
        <v>-0.33477011200000001</v>
      </c>
      <c r="AR190" s="724"/>
      <c r="AS190" s="724"/>
      <c r="AT190" s="724"/>
      <c r="AU190" s="724"/>
      <c r="AV190" s="724"/>
      <c r="AW190" s="719"/>
      <c r="AX190" s="719"/>
      <c r="AY190" s="719"/>
    </row>
    <row r="191" spans="1:51" ht="15.75" hidden="1" customHeight="1">
      <c r="A191" s="716" t="s">
        <v>677</v>
      </c>
      <c r="B191" s="734" t="s">
        <v>1392</v>
      </c>
      <c r="C191" s="718">
        <f>+$C$189+$G$190</f>
        <v>35098</v>
      </c>
      <c r="D191" s="719"/>
      <c r="E191" s="719"/>
      <c r="F191" s="720">
        <v>0</v>
      </c>
      <c r="G191" s="721"/>
      <c r="H191" s="726"/>
      <c r="I191" s="722"/>
      <c r="J191" s="723"/>
      <c r="K191" s="719"/>
      <c r="L191" s="719" t="s">
        <v>241</v>
      </c>
      <c r="M191" s="719"/>
      <c r="N191" s="726" t="s">
        <v>695</v>
      </c>
      <c r="O191" s="726"/>
      <c r="P191" s="726"/>
      <c r="Q191" s="719">
        <v>0</v>
      </c>
      <c r="R191" s="719">
        <v>0</v>
      </c>
      <c r="S191" s="719"/>
      <c r="T191" s="719">
        <v>-30</v>
      </c>
      <c r="U191" s="719"/>
      <c r="V191" s="719"/>
      <c r="W191" s="719">
        <v>1.1000000000000001</v>
      </c>
      <c r="X191" s="719"/>
      <c r="Y191" s="719"/>
      <c r="Z191" s="719"/>
      <c r="AA191" s="719"/>
      <c r="AB191" s="719"/>
      <c r="AC191" s="719" t="s">
        <v>2977</v>
      </c>
      <c r="AD191" s="719"/>
      <c r="AE191" s="719"/>
      <c r="AF191" s="719">
        <v>200</v>
      </c>
      <c r="AG191" s="1341">
        <v>35097.11</v>
      </c>
      <c r="AH191" s="719">
        <v>1388</v>
      </c>
      <c r="AI191" s="719">
        <v>-5007</v>
      </c>
      <c r="AJ191" s="719"/>
      <c r="AK191" s="719"/>
      <c r="AL191" s="719"/>
      <c r="AM191" s="719" t="s">
        <v>2608</v>
      </c>
      <c r="AN191" s="719">
        <v>5.25</v>
      </c>
      <c r="AO191" s="719"/>
      <c r="AP191" s="719"/>
      <c r="AQ191" s="724"/>
      <c r="AR191" s="724"/>
      <c r="AS191" s="724"/>
      <c r="AT191" s="724">
        <f>+ab($T$191,$T$189,$T$193,$G$190,$G$192,-1*$F$191,1200)</f>
        <v>-7.9442410717051439</v>
      </c>
      <c r="AU191" s="724"/>
      <c r="AV191" s="724"/>
      <c r="AW191" s="719"/>
      <c r="AX191" s="719"/>
      <c r="AY191" s="719"/>
    </row>
    <row r="192" spans="1:51" ht="15.75" hidden="1" customHeight="1">
      <c r="A192" s="716"/>
      <c r="B192" s="717"/>
      <c r="C192" s="718"/>
      <c r="D192" s="719"/>
      <c r="E192" s="719"/>
      <c r="F192" s="720"/>
      <c r="G192" s="721">
        <v>50</v>
      </c>
      <c r="H192" s="726"/>
      <c r="I192" s="726"/>
      <c r="J192" s="723"/>
      <c r="K192" s="719"/>
      <c r="L192" s="719"/>
      <c r="M192" s="719"/>
      <c r="N192" s="726"/>
      <c r="O192" s="726"/>
      <c r="P192" s="726"/>
      <c r="Q192" s="719"/>
      <c r="R192" s="719"/>
      <c r="S192" s="719">
        <f t="shared" ref="S192:S216" si="38">AG193-AG191</f>
        <v>51.260000000002037</v>
      </c>
      <c r="T192" s="719"/>
      <c r="U192" s="719"/>
      <c r="V192" s="719"/>
      <c r="W192" s="719"/>
      <c r="X192" s="719"/>
      <c r="Y192" s="719"/>
      <c r="Z192" s="719"/>
      <c r="AA192" s="719"/>
      <c r="AB192" s="719"/>
      <c r="AC192" s="719"/>
      <c r="AD192" s="719"/>
      <c r="AE192" s="719"/>
      <c r="AF192" s="719"/>
      <c r="AG192" s="1341" t="s">
        <v>723</v>
      </c>
      <c r="AH192" s="719" t="s">
        <v>723</v>
      </c>
      <c r="AI192" s="719" t="s">
        <v>723</v>
      </c>
      <c r="AJ192" s="719"/>
      <c r="AK192" s="719"/>
      <c r="AL192" s="719"/>
      <c r="AM192" s="719"/>
      <c r="AN192" s="719"/>
      <c r="AO192" s="719"/>
      <c r="AP192" s="719"/>
      <c r="AQ192" s="724">
        <f>+FL_1($T$193,$T$191,$G$192,1200,9.28,-1*$F$193)</f>
        <v>0.33477011200000001</v>
      </c>
      <c r="AR192" s="724"/>
      <c r="AS192" s="724"/>
      <c r="AT192" s="724"/>
      <c r="AU192" s="724"/>
      <c r="AV192" s="724"/>
      <c r="AW192" s="719"/>
      <c r="AX192" s="719"/>
      <c r="AY192" s="719"/>
    </row>
    <row r="193" spans="1:58" ht="15.75" hidden="1" customHeight="1">
      <c r="A193" s="716" t="s">
        <v>677</v>
      </c>
      <c r="B193" s="725" t="s">
        <v>1393</v>
      </c>
      <c r="C193" s="718">
        <f>+$C$191+$G$192</f>
        <v>35148</v>
      </c>
      <c r="D193" s="719"/>
      <c r="E193" s="719"/>
      <c r="F193" s="720">
        <v>0</v>
      </c>
      <c r="G193" s="721"/>
      <c r="H193" s="726"/>
      <c r="I193" s="722"/>
      <c r="J193" s="723"/>
      <c r="K193" s="719"/>
      <c r="L193" s="719" t="s">
        <v>241</v>
      </c>
      <c r="M193" s="719"/>
      <c r="N193" s="726" t="s">
        <v>696</v>
      </c>
      <c r="O193" s="726"/>
      <c r="P193" s="726"/>
      <c r="Q193" s="719">
        <v>0</v>
      </c>
      <c r="R193" s="719">
        <v>0</v>
      </c>
      <c r="S193" s="719"/>
      <c r="T193" s="719">
        <v>30</v>
      </c>
      <c r="U193" s="719"/>
      <c r="V193" s="719"/>
      <c r="W193" s="719">
        <v>1.1000000000000001</v>
      </c>
      <c r="X193" s="719"/>
      <c r="Y193" s="719"/>
      <c r="Z193" s="719"/>
      <c r="AA193" s="719"/>
      <c r="AB193" s="719"/>
      <c r="AC193" s="719" t="s">
        <v>2977</v>
      </c>
      <c r="AD193" s="719"/>
      <c r="AE193" s="719"/>
      <c r="AF193" s="719">
        <v>200</v>
      </c>
      <c r="AG193" s="1341">
        <v>35148.370000000003</v>
      </c>
      <c r="AH193" s="719">
        <v>1399</v>
      </c>
      <c r="AI193" s="719">
        <v>-4999</v>
      </c>
      <c r="AJ193" s="719"/>
      <c r="AK193" s="719"/>
      <c r="AL193" s="719"/>
      <c r="AM193" s="719" t="s">
        <v>2608</v>
      </c>
      <c r="AN193" s="719">
        <v>5.25</v>
      </c>
      <c r="AO193" s="719"/>
      <c r="AP193" s="719"/>
      <c r="AQ193" s="724"/>
      <c r="AR193" s="724"/>
      <c r="AS193" s="724"/>
      <c r="AT193" s="724">
        <f>+ab($T$193,$T$191,$T$195,$G$192,$G$194,-1*$F$193,1200)</f>
        <v>7.9442083933778509</v>
      </c>
      <c r="AU193" s="724"/>
      <c r="AV193" s="724"/>
      <c r="AW193" s="719"/>
      <c r="AX193" s="719"/>
      <c r="AY193" s="719"/>
    </row>
    <row r="194" spans="1:58" ht="15.75" hidden="1" customHeight="1">
      <c r="A194" s="716"/>
      <c r="B194" s="717"/>
      <c r="C194" s="718"/>
      <c r="D194" s="719"/>
      <c r="E194" s="719"/>
      <c r="F194" s="720"/>
      <c r="G194" s="721">
        <v>50</v>
      </c>
      <c r="H194" s="726"/>
      <c r="I194" s="726"/>
      <c r="J194" s="723"/>
      <c r="K194" s="719"/>
      <c r="L194" s="719"/>
      <c r="M194" s="719"/>
      <c r="N194" s="726"/>
      <c r="O194" s="726"/>
      <c r="P194" s="726"/>
      <c r="Q194" s="719"/>
      <c r="R194" s="719"/>
      <c r="S194" s="719">
        <f t="shared" si="38"/>
        <v>48.169999999998254</v>
      </c>
      <c r="T194" s="719"/>
      <c r="U194" s="719"/>
      <c r="V194" s="719"/>
      <c r="W194" s="719"/>
      <c r="X194" s="719"/>
      <c r="Y194" s="719"/>
      <c r="Z194" s="719"/>
      <c r="AA194" s="719"/>
      <c r="AB194" s="719"/>
      <c r="AC194" s="719"/>
      <c r="AD194" s="719"/>
      <c r="AE194" s="719"/>
      <c r="AF194" s="719"/>
      <c r="AG194" s="1341" t="s">
        <v>723</v>
      </c>
      <c r="AH194" s="719" t="s">
        <v>723</v>
      </c>
      <c r="AI194" s="719" t="s">
        <v>723</v>
      </c>
      <c r="AJ194" s="719"/>
      <c r="AK194" s="719"/>
      <c r="AL194" s="719"/>
      <c r="AM194" s="719"/>
      <c r="AN194" s="719"/>
      <c r="AO194" s="719"/>
      <c r="AP194" s="719"/>
      <c r="AQ194" s="724">
        <f>+FL_2($T$195,$T$193,$G$194,1200,9.28,-1*$F$195)</f>
        <v>-0.33477011200000001</v>
      </c>
      <c r="AR194" s="724"/>
      <c r="AS194" s="724"/>
      <c r="AT194" s="724"/>
      <c r="AU194" s="724"/>
      <c r="AV194" s="724"/>
      <c r="AW194" s="719"/>
      <c r="AX194" s="719"/>
      <c r="AY194" s="719"/>
      <c r="BD194" s="560"/>
    </row>
    <row r="195" spans="1:58" ht="15.75" hidden="1" customHeight="1">
      <c r="A195" s="716" t="s">
        <v>677</v>
      </c>
      <c r="B195" s="725" t="s">
        <v>1394</v>
      </c>
      <c r="C195" s="718">
        <f>+$C$193+$G$194</f>
        <v>35198</v>
      </c>
      <c r="D195" s="719"/>
      <c r="E195" s="719"/>
      <c r="F195" s="720">
        <v>0</v>
      </c>
      <c r="G195" s="721"/>
      <c r="H195" s="726"/>
      <c r="I195" s="722"/>
      <c r="J195" s="723"/>
      <c r="K195" s="719"/>
      <c r="L195" s="719" t="s">
        <v>241</v>
      </c>
      <c r="M195" s="719"/>
      <c r="N195" s="726" t="s">
        <v>695</v>
      </c>
      <c r="O195" s="726"/>
      <c r="P195" s="726"/>
      <c r="Q195" s="719">
        <v>0</v>
      </c>
      <c r="R195" s="719">
        <v>0</v>
      </c>
      <c r="S195" s="719"/>
      <c r="T195" s="719">
        <v>-30</v>
      </c>
      <c r="U195" s="719"/>
      <c r="V195" s="719"/>
      <c r="W195" s="719">
        <v>1.1000000000000001</v>
      </c>
      <c r="X195" s="719"/>
      <c r="Y195" s="719"/>
      <c r="Z195" s="719"/>
      <c r="AA195" s="719"/>
      <c r="AB195" s="719"/>
      <c r="AC195" s="719" t="s">
        <v>2977</v>
      </c>
      <c r="AD195" s="719"/>
      <c r="AE195" s="719"/>
      <c r="AF195" s="719">
        <v>200</v>
      </c>
      <c r="AG195" s="1341">
        <v>35196.54</v>
      </c>
      <c r="AH195" s="719">
        <v>1414</v>
      </c>
      <c r="AI195" s="719">
        <v>-5003</v>
      </c>
      <c r="AJ195" s="719"/>
      <c r="AK195" s="719"/>
      <c r="AL195" s="719"/>
      <c r="AM195" s="719" t="s">
        <v>2608</v>
      </c>
      <c r="AN195" s="719">
        <v>5.25</v>
      </c>
      <c r="AO195" s="719"/>
      <c r="AP195" s="719"/>
      <c r="AQ195" s="724"/>
      <c r="AR195" s="724"/>
      <c r="AS195" s="724"/>
      <c r="AT195" s="724">
        <f>+ab($T$195,$T$193,$T$197,$G$194,$G$196,-1*$F$195,1200)</f>
        <v>-7.9442410717051439</v>
      </c>
      <c r="AU195" s="724"/>
      <c r="AV195" s="724"/>
      <c r="AW195" s="719"/>
      <c r="AX195" s="719"/>
      <c r="AY195" s="719"/>
    </row>
    <row r="196" spans="1:58" ht="15.75" hidden="1" customHeight="1">
      <c r="A196" s="716"/>
      <c r="B196" s="717"/>
      <c r="C196" s="718"/>
      <c r="D196" s="719"/>
      <c r="E196" s="719"/>
      <c r="F196" s="720"/>
      <c r="G196" s="721">
        <v>50</v>
      </c>
      <c r="H196" s="726"/>
      <c r="I196" s="726"/>
      <c r="J196" s="723"/>
      <c r="K196" s="719"/>
      <c r="L196" s="719"/>
      <c r="M196" s="719"/>
      <c r="N196" s="726"/>
      <c r="O196" s="726"/>
      <c r="P196" s="726"/>
      <c r="Q196" s="719"/>
      <c r="R196" s="719"/>
      <c r="S196" s="719">
        <f t="shared" si="38"/>
        <v>51.389999999999418</v>
      </c>
      <c r="T196" s="719"/>
      <c r="U196" s="719"/>
      <c r="V196" s="719"/>
      <c r="W196" s="719"/>
      <c r="X196" s="719"/>
      <c r="Y196" s="719"/>
      <c r="Z196" s="719"/>
      <c r="AA196" s="719"/>
      <c r="AB196" s="719"/>
      <c r="AC196" s="719"/>
      <c r="AD196" s="719"/>
      <c r="AE196" s="719"/>
      <c r="AF196" s="719"/>
      <c r="AG196" s="1341" t="s">
        <v>723</v>
      </c>
      <c r="AH196" s="719" t="s">
        <v>723</v>
      </c>
      <c r="AI196" s="719" t="s">
        <v>723</v>
      </c>
      <c r="AJ196" s="719"/>
      <c r="AK196" s="719"/>
      <c r="AL196" s="719"/>
      <c r="AM196" s="719"/>
      <c r="AN196" s="719"/>
      <c r="AO196" s="719"/>
      <c r="AP196" s="719"/>
      <c r="AQ196" s="724">
        <f>+FL_1($T$197,$T$195,$G$196,1200,9.28,-1*$F$197)</f>
        <v>0.33477011200000001</v>
      </c>
      <c r="AR196" s="724"/>
      <c r="AS196" s="724"/>
      <c r="AT196" s="724"/>
      <c r="AU196" s="724"/>
      <c r="AV196" s="724"/>
      <c r="AW196" s="719"/>
      <c r="AX196" s="719"/>
      <c r="AY196" s="719"/>
    </row>
    <row r="197" spans="1:58" ht="15.75" hidden="1" customHeight="1">
      <c r="A197" s="716" t="s">
        <v>677</v>
      </c>
      <c r="B197" s="725" t="s">
        <v>1395</v>
      </c>
      <c r="C197" s="718">
        <f>+$C$195+$G$196</f>
        <v>35248</v>
      </c>
      <c r="D197" s="719"/>
      <c r="E197" s="719"/>
      <c r="F197" s="720">
        <v>0</v>
      </c>
      <c r="G197" s="721"/>
      <c r="H197" s="726"/>
      <c r="I197" s="722" t="s">
        <v>2053</v>
      </c>
      <c r="J197" s="723">
        <f>C197+5</f>
        <v>35253</v>
      </c>
      <c r="K197" s="719" t="s">
        <v>1102</v>
      </c>
      <c r="L197" s="719" t="s">
        <v>241</v>
      </c>
      <c r="M197" s="719"/>
      <c r="N197" s="726" t="s">
        <v>696</v>
      </c>
      <c r="O197" s="726"/>
      <c r="P197" s="726"/>
      <c r="Q197" s="719">
        <v>0</v>
      </c>
      <c r="R197" s="719">
        <v>0</v>
      </c>
      <c r="S197" s="719"/>
      <c r="T197" s="719">
        <v>30</v>
      </c>
      <c r="U197" s="719"/>
      <c r="V197" s="719"/>
      <c r="W197" s="719">
        <v>1.1000000000000001</v>
      </c>
      <c r="X197" s="719"/>
      <c r="Y197" s="719"/>
      <c r="Z197" s="719"/>
      <c r="AA197" s="719"/>
      <c r="AB197" s="719"/>
      <c r="AC197" s="719" t="s">
        <v>2977</v>
      </c>
      <c r="AD197" s="719"/>
      <c r="AE197" s="719"/>
      <c r="AF197" s="719">
        <v>200</v>
      </c>
      <c r="AG197" s="1341">
        <v>35247.93</v>
      </c>
      <c r="AH197" s="719">
        <v>1397</v>
      </c>
      <c r="AI197" s="719">
        <v>-4974</v>
      </c>
      <c r="AJ197" s="719"/>
      <c r="AK197" s="719"/>
      <c r="AL197" s="719"/>
      <c r="AM197" s="719" t="s">
        <v>2608</v>
      </c>
      <c r="AN197" s="719">
        <v>5.25</v>
      </c>
      <c r="AO197" s="719"/>
      <c r="AP197" s="719"/>
      <c r="AQ197" s="724"/>
      <c r="AR197" s="724"/>
      <c r="AS197" s="724"/>
      <c r="AT197" s="724">
        <f>+ab($T$197,$T$195,$T$199,$G$196,$G$198,-1*$F$197,1200)</f>
        <v>7.9442083933778509</v>
      </c>
      <c r="AU197" s="724"/>
      <c r="AV197" s="724"/>
      <c r="AW197" s="719"/>
      <c r="AX197" s="719"/>
      <c r="AY197" s="719"/>
    </row>
    <row r="198" spans="1:58" ht="15.75" hidden="1" customHeight="1">
      <c r="A198" s="716"/>
      <c r="B198" s="717"/>
      <c r="C198" s="718"/>
      <c r="D198" s="719"/>
      <c r="E198" s="719"/>
      <c r="F198" s="720"/>
      <c r="G198" s="721">
        <v>50</v>
      </c>
      <c r="H198" s="719"/>
      <c r="I198" s="722" t="s">
        <v>2053</v>
      </c>
      <c r="J198" s="723"/>
      <c r="K198" s="719" t="s">
        <v>1102</v>
      </c>
      <c r="L198" s="719"/>
      <c r="M198" s="719"/>
      <c r="N198" s="726"/>
      <c r="O198" s="726"/>
      <c r="P198" s="726"/>
      <c r="Q198" s="719"/>
      <c r="R198" s="719"/>
      <c r="S198" s="719">
        <f t="shared" si="38"/>
        <v>49.349999999998545</v>
      </c>
      <c r="T198" s="719"/>
      <c r="U198" s="719"/>
      <c r="V198" s="719"/>
      <c r="W198" s="719"/>
      <c r="X198" s="719"/>
      <c r="Y198" s="719"/>
      <c r="Z198" s="719"/>
      <c r="AA198" s="719"/>
      <c r="AB198" s="719"/>
      <c r="AC198" s="719"/>
      <c r="AD198" s="719"/>
      <c r="AE198" s="719"/>
      <c r="AF198" s="719"/>
      <c r="AG198" s="1341" t="s">
        <v>723</v>
      </c>
      <c r="AH198" s="719" t="s">
        <v>723</v>
      </c>
      <c r="AI198" s="719" t="s">
        <v>723</v>
      </c>
      <c r="AJ198" s="719"/>
      <c r="AK198" s="719"/>
      <c r="AL198" s="719"/>
      <c r="AM198" s="719"/>
      <c r="AN198" s="719"/>
      <c r="AO198" s="719"/>
      <c r="AP198" s="719"/>
      <c r="AQ198" s="724">
        <f>+FL_2($T$199,$T$197,$G$198,1200,9.28,-1*$F$199)</f>
        <v>-0.33477011200000001</v>
      </c>
      <c r="AR198" s="724"/>
      <c r="AS198" s="724"/>
      <c r="AT198" s="724"/>
      <c r="AU198" s="724"/>
      <c r="AV198" s="724"/>
      <c r="AW198" s="719"/>
      <c r="AX198" s="719"/>
      <c r="AY198" s="719"/>
    </row>
    <row r="199" spans="1:58" ht="15.75" hidden="1" customHeight="1">
      <c r="A199" s="716" t="s">
        <v>677</v>
      </c>
      <c r="B199" s="725" t="s">
        <v>1396</v>
      </c>
      <c r="C199" s="718">
        <f>+$C$197+$G$198</f>
        <v>35298</v>
      </c>
      <c r="D199" s="719"/>
      <c r="E199" s="719"/>
      <c r="F199" s="720">
        <v>0</v>
      </c>
      <c r="G199" s="721"/>
      <c r="H199" s="726"/>
      <c r="I199" s="722"/>
      <c r="J199" s="723"/>
      <c r="K199" s="719"/>
      <c r="L199" s="719" t="s">
        <v>241</v>
      </c>
      <c r="M199" s="719"/>
      <c r="N199" s="726" t="s">
        <v>695</v>
      </c>
      <c r="O199" s="726"/>
      <c r="P199" s="726"/>
      <c r="Q199" s="719">
        <v>0</v>
      </c>
      <c r="R199" s="719">
        <v>0</v>
      </c>
      <c r="S199" s="719"/>
      <c r="T199" s="719">
        <v>-30</v>
      </c>
      <c r="U199" s="719"/>
      <c r="V199" s="719"/>
      <c r="W199" s="719">
        <v>1.1000000000000001</v>
      </c>
      <c r="X199" s="719"/>
      <c r="Y199" s="719"/>
      <c r="Z199" s="719"/>
      <c r="AA199" s="719"/>
      <c r="AB199" s="719"/>
      <c r="AC199" s="719" t="s">
        <v>2977</v>
      </c>
      <c r="AD199" s="719"/>
      <c r="AE199" s="719"/>
      <c r="AF199" s="719">
        <v>200</v>
      </c>
      <c r="AG199" s="1341">
        <v>35297.279999999999</v>
      </c>
      <c r="AH199" s="719">
        <v>1487</v>
      </c>
      <c r="AI199" s="719">
        <v>-5002</v>
      </c>
      <c r="AJ199" s="719"/>
      <c r="AK199" s="719"/>
      <c r="AL199" s="719"/>
      <c r="AM199" s="719" t="s">
        <v>2608</v>
      </c>
      <c r="AN199" s="719">
        <v>5.25</v>
      </c>
      <c r="AO199" s="719"/>
      <c r="AP199" s="719"/>
      <c r="AQ199" s="724"/>
      <c r="AR199" s="724"/>
      <c r="AS199" s="724"/>
      <c r="AT199" s="724">
        <f>+ab($T$199,$T$197,$T$201,$G$198,$G$200,-1*$F$199,1200)</f>
        <v>-7.9442410717051439</v>
      </c>
      <c r="AU199" s="724"/>
      <c r="AV199" s="724"/>
      <c r="AW199" s="719"/>
      <c r="AX199" s="719"/>
      <c r="AY199" s="719"/>
    </row>
    <row r="200" spans="1:58" ht="15.75" hidden="1" customHeight="1">
      <c r="A200" s="716"/>
      <c r="B200" s="717"/>
      <c r="C200" s="718"/>
      <c r="D200" s="719"/>
      <c r="E200" s="719"/>
      <c r="F200" s="720"/>
      <c r="G200" s="721">
        <v>50</v>
      </c>
      <c r="H200" s="726"/>
      <c r="I200" s="722"/>
      <c r="J200" s="723"/>
      <c r="K200" s="719"/>
      <c r="L200" s="719"/>
      <c r="M200" s="719"/>
      <c r="N200" s="726"/>
      <c r="O200" s="726"/>
      <c r="P200" s="726"/>
      <c r="Q200" s="719"/>
      <c r="R200" s="719"/>
      <c r="S200" s="719">
        <f t="shared" si="38"/>
        <v>51.959999999999127</v>
      </c>
      <c r="T200" s="719"/>
      <c r="U200" s="719"/>
      <c r="V200" s="719"/>
      <c r="W200" s="719"/>
      <c r="X200" s="719"/>
      <c r="Y200" s="719"/>
      <c r="Z200" s="719"/>
      <c r="AA200" s="719"/>
      <c r="AB200" s="719"/>
      <c r="AC200" s="719"/>
      <c r="AD200" s="719"/>
      <c r="AE200" s="719"/>
      <c r="AF200" s="719"/>
      <c r="AG200" s="1341" t="s">
        <v>723</v>
      </c>
      <c r="AH200" s="719" t="s">
        <v>723</v>
      </c>
      <c r="AI200" s="719" t="s">
        <v>723</v>
      </c>
      <c r="AJ200" s="719"/>
      <c r="AK200" s="719"/>
      <c r="AL200" s="719"/>
      <c r="AM200" s="719"/>
      <c r="AN200" s="719"/>
      <c r="AO200" s="719"/>
      <c r="AP200" s="719"/>
      <c r="AQ200" s="724">
        <f>+FL_1($T$201,$T$199,$G$200,1200,9.28,-1*$F$201)</f>
        <v>0.33477011200000001</v>
      </c>
      <c r="AR200" s="724"/>
      <c r="AS200" s="724"/>
      <c r="AT200" s="724"/>
      <c r="AU200" s="724"/>
      <c r="AV200" s="724"/>
      <c r="AW200" s="719"/>
      <c r="AX200" s="719"/>
      <c r="AY200" s="719"/>
      <c r="BC200" s="560"/>
    </row>
    <row r="201" spans="1:58" ht="15.75" customHeight="1">
      <c r="A201" s="716" t="s">
        <v>677</v>
      </c>
      <c r="B201" s="725" t="s">
        <v>1397</v>
      </c>
      <c r="C201" s="718">
        <f>+$C$199+$G$200</f>
        <v>35348</v>
      </c>
      <c r="D201" s="719"/>
      <c r="E201" s="719"/>
      <c r="F201" s="720">
        <v>0</v>
      </c>
      <c r="G201" s="721"/>
      <c r="H201" s="726" t="s">
        <v>1101</v>
      </c>
      <c r="I201" s="722"/>
      <c r="J201" s="723"/>
      <c r="K201" s="719"/>
      <c r="L201" s="719" t="s">
        <v>241</v>
      </c>
      <c r="M201" s="719"/>
      <c r="N201" s="726" t="s">
        <v>696</v>
      </c>
      <c r="O201" s="726"/>
      <c r="P201" s="726"/>
      <c r="Q201" s="719">
        <v>0</v>
      </c>
      <c r="R201" s="719">
        <v>50000</v>
      </c>
      <c r="S201" s="719"/>
      <c r="T201" s="719">
        <v>30</v>
      </c>
      <c r="U201" s="719"/>
      <c r="V201" s="719"/>
      <c r="W201" s="719">
        <v>1.1000000000000001</v>
      </c>
      <c r="X201" s="719"/>
      <c r="Y201" s="719"/>
      <c r="Z201" s="719"/>
      <c r="AA201" s="719"/>
      <c r="AB201" s="719"/>
      <c r="AC201" s="719" t="s">
        <v>2977</v>
      </c>
      <c r="AD201" s="719"/>
      <c r="AE201" s="719"/>
      <c r="AF201" s="719">
        <v>200</v>
      </c>
      <c r="AG201" s="1341">
        <v>35349.24</v>
      </c>
      <c r="AH201" s="719">
        <v>1435</v>
      </c>
      <c r="AI201" s="719">
        <v>-5094</v>
      </c>
      <c r="AJ201" s="719"/>
      <c r="AK201" s="719"/>
      <c r="AL201" s="719"/>
      <c r="AM201" s="719" t="s">
        <v>2608</v>
      </c>
      <c r="AN201" s="719">
        <v>5.25</v>
      </c>
      <c r="AO201" s="719"/>
      <c r="AP201" s="719"/>
      <c r="AQ201" s="724"/>
      <c r="AR201" s="724"/>
      <c r="AS201" s="724"/>
      <c r="AT201" s="724">
        <f>+ab($T$201,$T$199,$T$203,$G$200,$G$202,-1*$F$201,1200)</f>
        <v>7.9442083933778509</v>
      </c>
      <c r="AU201" s="724"/>
      <c r="AV201" s="724"/>
      <c r="AW201" s="719"/>
      <c r="AX201" s="719"/>
      <c r="AY201" s="719"/>
    </row>
    <row r="202" spans="1:58" ht="15.75" hidden="1" customHeight="1">
      <c r="A202" s="716"/>
      <c r="B202" s="735"/>
      <c r="C202" s="718"/>
      <c r="D202" s="719"/>
      <c r="E202" s="719"/>
      <c r="F202" s="720"/>
      <c r="G202" s="721">
        <v>50</v>
      </c>
      <c r="H202" s="726"/>
      <c r="I202" s="722">
        <f>+SUM(G184:G202)</f>
        <v>500</v>
      </c>
      <c r="J202" s="723">
        <f>C201+2.6</f>
        <v>35350.6</v>
      </c>
      <c r="K202" s="719" t="s">
        <v>1102</v>
      </c>
      <c r="L202" s="719"/>
      <c r="M202" s="719"/>
      <c r="N202" s="726"/>
      <c r="O202" s="726"/>
      <c r="P202" s="726"/>
      <c r="Q202" s="719"/>
      <c r="R202" s="719"/>
      <c r="S202" s="719">
        <f t="shared" si="38"/>
        <v>50.590000000003783</v>
      </c>
      <c r="T202" s="719"/>
      <c r="U202" s="719"/>
      <c r="V202" s="719"/>
      <c r="W202" s="719"/>
      <c r="X202" s="719"/>
      <c r="Y202" s="719"/>
      <c r="Z202" s="719"/>
      <c r="AA202" s="719"/>
      <c r="AB202" s="719"/>
      <c r="AC202" s="719"/>
      <c r="AD202" s="719"/>
      <c r="AE202" s="719"/>
      <c r="AF202" s="719"/>
      <c r="AG202" s="1341" t="s">
        <v>723</v>
      </c>
      <c r="AH202" s="719" t="s">
        <v>723</v>
      </c>
      <c r="AI202" s="719" t="s">
        <v>723</v>
      </c>
      <c r="AJ202" s="719"/>
      <c r="AK202" s="719"/>
      <c r="AL202" s="719"/>
      <c r="AM202" s="719"/>
      <c r="AN202" s="719"/>
      <c r="AO202" s="719"/>
      <c r="AP202" s="719"/>
      <c r="AQ202" s="724">
        <f>+FL_2($T$203,$T$201,$G$202,1200,9.28,-1*$F$203)</f>
        <v>-0.33477011200000001</v>
      </c>
      <c r="AR202" s="724"/>
      <c r="AS202" s="724"/>
      <c r="AT202" s="724"/>
      <c r="AU202" s="724"/>
      <c r="AV202" s="724"/>
      <c r="AW202" s="719"/>
      <c r="AX202" s="719"/>
      <c r="AY202" s="719"/>
    </row>
    <row r="203" spans="1:58" ht="15.75" customHeight="1">
      <c r="A203" s="716" t="s">
        <v>677</v>
      </c>
      <c r="B203" s="725" t="s">
        <v>1398</v>
      </c>
      <c r="C203" s="718">
        <f>+$C$201+$G$202</f>
        <v>35398</v>
      </c>
      <c r="D203" s="719"/>
      <c r="E203" s="719"/>
      <c r="F203" s="720">
        <v>0</v>
      </c>
      <c r="G203" s="721"/>
      <c r="H203" s="726" t="s">
        <v>997</v>
      </c>
      <c r="I203" s="722"/>
      <c r="J203" s="723"/>
      <c r="K203" s="719"/>
      <c r="L203" s="719" t="s">
        <v>241</v>
      </c>
      <c r="M203" s="719"/>
      <c r="N203" s="726" t="s">
        <v>695</v>
      </c>
      <c r="O203" s="726"/>
      <c r="P203" s="726"/>
      <c r="Q203" s="719">
        <v>0</v>
      </c>
      <c r="R203" s="719">
        <v>0</v>
      </c>
      <c r="S203" s="719"/>
      <c r="T203" s="719">
        <v>-30</v>
      </c>
      <c r="U203" s="719"/>
      <c r="V203" s="719"/>
      <c r="W203" s="719">
        <v>1.1000000000000001</v>
      </c>
      <c r="X203" s="719"/>
      <c r="Y203" s="719"/>
      <c r="Z203" s="719"/>
      <c r="AA203" s="719"/>
      <c r="AB203" s="719"/>
      <c r="AC203" s="719" t="s">
        <v>2977</v>
      </c>
      <c r="AD203" s="719"/>
      <c r="AE203" s="719"/>
      <c r="AF203" s="719">
        <v>200</v>
      </c>
      <c r="AG203" s="1341">
        <v>35399.83</v>
      </c>
      <c r="AH203" s="719">
        <v>1451</v>
      </c>
      <c r="AI203" s="719">
        <v>-5022</v>
      </c>
      <c r="AJ203" s="719"/>
      <c r="AK203" s="719"/>
      <c r="AL203" s="719"/>
      <c r="AM203" s="719" t="s">
        <v>2608</v>
      </c>
      <c r="AN203" s="719">
        <v>5.25</v>
      </c>
      <c r="AO203" s="719"/>
      <c r="AP203" s="719"/>
      <c r="AQ203" s="724"/>
      <c r="AR203" s="724"/>
      <c r="AS203" s="724"/>
      <c r="AT203" s="724">
        <f>+ab($T$203,$T$201,$T$205,$G$202,$G$204,-1*$F$203,1200)</f>
        <v>-7.5310515741812321</v>
      </c>
      <c r="AU203" s="724"/>
      <c r="AV203" s="724"/>
      <c r="AW203" s="719"/>
      <c r="AX203" s="719"/>
      <c r="AY203" s="719"/>
      <c r="BE203" s="560"/>
      <c r="BF203" s="560"/>
    </row>
    <row r="204" spans="1:58" ht="15.75" hidden="1" customHeight="1">
      <c r="A204" s="716"/>
      <c r="B204" s="717"/>
      <c r="C204" s="718"/>
      <c r="D204" s="719"/>
      <c r="E204" s="719"/>
      <c r="F204" s="720"/>
      <c r="G204" s="721">
        <v>45</v>
      </c>
      <c r="H204" s="726"/>
      <c r="I204" s="722">
        <f>SUM(G204:G222)</f>
        <v>500</v>
      </c>
      <c r="J204" s="723">
        <f>C205-2.6</f>
        <v>35440.400000000001</v>
      </c>
      <c r="K204" s="719" t="s">
        <v>1102</v>
      </c>
      <c r="L204" s="719"/>
      <c r="M204" s="719"/>
      <c r="N204" s="726"/>
      <c r="O204" s="726"/>
      <c r="P204" s="726"/>
      <c r="Q204" s="719"/>
      <c r="R204" s="719"/>
      <c r="S204" s="719">
        <f t="shared" si="38"/>
        <v>41.669999999998254</v>
      </c>
      <c r="T204" s="719"/>
      <c r="U204" s="719"/>
      <c r="V204" s="719"/>
      <c r="W204" s="719"/>
      <c r="X204" s="719"/>
      <c r="Y204" s="719"/>
      <c r="Z204" s="719"/>
      <c r="AA204" s="719"/>
      <c r="AB204" s="719"/>
      <c r="AC204" s="719"/>
      <c r="AD204" s="719"/>
      <c r="AE204" s="719"/>
      <c r="AF204" s="719"/>
      <c r="AG204" s="1341" t="s">
        <v>723</v>
      </c>
      <c r="AH204" s="719" t="s">
        <v>723</v>
      </c>
      <c r="AI204" s="719" t="s">
        <v>723</v>
      </c>
      <c r="AJ204" s="719"/>
      <c r="AK204" s="719"/>
      <c r="AL204" s="719"/>
      <c r="AM204" s="719"/>
      <c r="AN204" s="719"/>
      <c r="AO204" s="719"/>
      <c r="AP204" s="719"/>
      <c r="AQ204" s="724">
        <f>+FL_1($T$205,$T$203,$G$204,1200,9.28,-1*$F$205)</f>
        <v>0.31069252800000002</v>
      </c>
      <c r="AR204" s="724"/>
      <c r="AS204" s="724"/>
      <c r="AT204" s="724"/>
      <c r="AU204" s="724"/>
      <c r="AV204" s="724"/>
      <c r="AW204" s="719"/>
      <c r="AX204" s="719"/>
      <c r="AY204" s="719"/>
    </row>
    <row r="205" spans="1:58" ht="15.75" customHeight="1">
      <c r="A205" s="716" t="s">
        <v>677</v>
      </c>
      <c r="B205" s="725" t="s">
        <v>1399</v>
      </c>
      <c r="C205" s="718">
        <f>+$C$203+$G$204</f>
        <v>35443</v>
      </c>
      <c r="D205" s="719"/>
      <c r="E205" s="719"/>
      <c r="F205" s="720">
        <v>0</v>
      </c>
      <c r="G205" s="721"/>
      <c r="H205" s="726" t="s">
        <v>1101</v>
      </c>
      <c r="I205" s="726"/>
      <c r="J205" s="723"/>
      <c r="K205" s="719"/>
      <c r="L205" s="719" t="s">
        <v>241</v>
      </c>
      <c r="M205" s="719"/>
      <c r="N205" s="726" t="s">
        <v>696</v>
      </c>
      <c r="O205" s="726"/>
      <c r="P205" s="726"/>
      <c r="Q205" s="719">
        <v>0</v>
      </c>
      <c r="R205" s="719">
        <v>0</v>
      </c>
      <c r="S205" s="719"/>
      <c r="T205" s="719">
        <v>30</v>
      </c>
      <c r="U205" s="719"/>
      <c r="V205" s="719"/>
      <c r="W205" s="719">
        <v>1.1000000000000001</v>
      </c>
      <c r="X205" s="719"/>
      <c r="Y205" s="719"/>
      <c r="Z205" s="719"/>
      <c r="AA205" s="719"/>
      <c r="AB205" s="719"/>
      <c r="AC205" s="719" t="s">
        <v>2977</v>
      </c>
      <c r="AD205" s="719"/>
      <c r="AE205" s="719"/>
      <c r="AF205" s="719">
        <v>200</v>
      </c>
      <c r="AG205" s="1341">
        <v>35441.5</v>
      </c>
      <c r="AH205" s="719">
        <v>1486</v>
      </c>
      <c r="AI205" s="719">
        <v>-5035</v>
      </c>
      <c r="AJ205" s="719"/>
      <c r="AK205" s="719"/>
      <c r="AL205" s="719"/>
      <c r="AM205" s="719" t="s">
        <v>2608</v>
      </c>
      <c r="AN205" s="719">
        <v>5.25</v>
      </c>
      <c r="AO205" s="719"/>
      <c r="AP205" s="719"/>
      <c r="AQ205" s="724"/>
      <c r="AR205" s="724"/>
      <c r="AS205" s="724"/>
      <c r="AT205" s="724">
        <f>+ab($T$205,$T$203,$T$207,$G$204,$G$206,-1*$F$205,1200)</f>
        <v>7.1584811973692704</v>
      </c>
      <c r="AU205" s="724"/>
      <c r="AV205" s="724"/>
      <c r="AW205" s="719"/>
      <c r="AX205" s="719"/>
      <c r="AY205" s="719"/>
    </row>
    <row r="206" spans="1:58" ht="15.75" hidden="1" customHeight="1">
      <c r="A206" s="716"/>
      <c r="B206" s="735"/>
      <c r="C206" s="718"/>
      <c r="D206" s="719"/>
      <c r="E206" s="719"/>
      <c r="F206" s="720"/>
      <c r="G206" s="721">
        <v>45</v>
      </c>
      <c r="H206" s="719"/>
      <c r="I206" s="722"/>
      <c r="J206" s="723"/>
      <c r="K206" s="719"/>
      <c r="L206" s="719"/>
      <c r="M206" s="719"/>
      <c r="N206" s="726"/>
      <c r="O206" s="726"/>
      <c r="P206" s="726"/>
      <c r="Q206" s="719"/>
      <c r="R206" s="719"/>
      <c r="S206" s="719">
        <f t="shared" si="38"/>
        <v>46.410000000003492</v>
      </c>
      <c r="T206" s="719"/>
      <c r="U206" s="719"/>
      <c r="V206" s="719"/>
      <c r="W206" s="719"/>
      <c r="X206" s="719"/>
      <c r="Y206" s="719"/>
      <c r="Z206" s="719"/>
      <c r="AA206" s="719"/>
      <c r="AB206" s="719"/>
      <c r="AC206" s="719"/>
      <c r="AD206" s="719"/>
      <c r="AE206" s="719"/>
      <c r="AF206" s="719"/>
      <c r="AG206" s="1341" t="s">
        <v>723</v>
      </c>
      <c r="AH206" s="719" t="s">
        <v>723</v>
      </c>
      <c r="AI206" s="719" t="s">
        <v>723</v>
      </c>
      <c r="AJ206" s="719"/>
      <c r="AK206" s="719"/>
      <c r="AL206" s="719"/>
      <c r="AM206" s="719"/>
      <c r="AN206" s="719"/>
      <c r="AO206" s="719"/>
      <c r="AP206" s="719"/>
      <c r="AQ206" s="724">
        <f>+FL_2($T$207,$T$205,$G$206,1200,9.28,-1*$F$207)</f>
        <v>-0.31069252800000002</v>
      </c>
      <c r="AR206" s="724"/>
      <c r="AS206" s="724"/>
      <c r="AT206" s="724"/>
      <c r="AU206" s="724"/>
      <c r="AV206" s="724"/>
      <c r="AW206" s="719"/>
      <c r="AX206" s="719"/>
      <c r="AY206" s="719"/>
    </row>
    <row r="207" spans="1:58" ht="15.75" hidden="1" customHeight="1">
      <c r="A207" s="716" t="s">
        <v>677</v>
      </c>
      <c r="B207" s="725" t="s">
        <v>1400</v>
      </c>
      <c r="C207" s="718">
        <f>+$C$205+$G$206</f>
        <v>35488</v>
      </c>
      <c r="D207" s="719"/>
      <c r="E207" s="719"/>
      <c r="F207" s="720">
        <v>0</v>
      </c>
      <c r="G207" s="721"/>
      <c r="H207" s="726"/>
      <c r="I207" s="722"/>
      <c r="J207" s="723"/>
      <c r="K207" s="719"/>
      <c r="L207" s="719" t="s">
        <v>241</v>
      </c>
      <c r="M207" s="719"/>
      <c r="N207" s="726" t="s">
        <v>695</v>
      </c>
      <c r="O207" s="726"/>
      <c r="P207" s="726"/>
      <c r="Q207" s="719">
        <v>0</v>
      </c>
      <c r="R207" s="719">
        <v>0</v>
      </c>
      <c r="S207" s="719"/>
      <c r="T207" s="719">
        <v>-30</v>
      </c>
      <c r="U207" s="719"/>
      <c r="V207" s="719"/>
      <c r="W207" s="719">
        <v>1.1000000000000001</v>
      </c>
      <c r="X207" s="719"/>
      <c r="Y207" s="719"/>
      <c r="Z207" s="719"/>
      <c r="AA207" s="719"/>
      <c r="AB207" s="719"/>
      <c r="AC207" s="719" t="s">
        <v>2977</v>
      </c>
      <c r="AD207" s="719"/>
      <c r="AE207" s="719"/>
      <c r="AF207" s="719">
        <v>200</v>
      </c>
      <c r="AG207" s="1341">
        <v>35487.910000000003</v>
      </c>
      <c r="AH207" s="719">
        <v>1496</v>
      </c>
      <c r="AI207" s="719">
        <v>-5076</v>
      </c>
      <c r="AJ207" s="719"/>
      <c r="AK207" s="719"/>
      <c r="AL207" s="719"/>
      <c r="AM207" s="719" t="s">
        <v>2608</v>
      </c>
      <c r="AN207" s="719">
        <v>5.25</v>
      </c>
      <c r="AO207" s="719"/>
      <c r="AP207" s="719"/>
      <c r="AQ207" s="724"/>
      <c r="AR207" s="724"/>
      <c r="AS207" s="724"/>
      <c r="AT207" s="724">
        <f>+ab($T$207,$T$205,$T$209,$G$206,$G$208,-1*$F$207,1200)</f>
        <v>-7.6691552221105761</v>
      </c>
      <c r="AU207" s="724"/>
      <c r="AV207" s="724"/>
      <c r="AW207" s="719"/>
      <c r="AX207" s="719"/>
      <c r="AY207" s="719"/>
    </row>
    <row r="208" spans="1:58" ht="15.75" hidden="1" customHeight="1">
      <c r="A208" s="716"/>
      <c r="B208" s="717"/>
      <c r="C208" s="718"/>
      <c r="D208" s="719"/>
      <c r="E208" s="719"/>
      <c r="F208" s="720"/>
      <c r="G208" s="721">
        <v>52</v>
      </c>
      <c r="H208" s="726"/>
      <c r="I208" s="722"/>
      <c r="J208" s="723"/>
      <c r="K208" s="719"/>
      <c r="L208" s="719"/>
      <c r="M208" s="719"/>
      <c r="N208" s="726"/>
      <c r="O208" s="726"/>
      <c r="P208" s="726"/>
      <c r="Q208" s="719"/>
      <c r="R208" s="719"/>
      <c r="S208" s="719">
        <f t="shared" si="38"/>
        <v>51.359999999993306</v>
      </c>
      <c r="T208" s="719"/>
      <c r="U208" s="719"/>
      <c r="V208" s="719"/>
      <c r="W208" s="719"/>
      <c r="X208" s="719"/>
      <c r="Y208" s="719"/>
      <c r="Z208" s="719"/>
      <c r="AA208" s="719"/>
      <c r="AB208" s="719"/>
      <c r="AC208" s="719"/>
      <c r="AD208" s="719"/>
      <c r="AE208" s="719"/>
      <c r="AF208" s="719"/>
      <c r="AG208" s="1341" t="s">
        <v>723</v>
      </c>
      <c r="AH208" s="719" t="s">
        <v>723</v>
      </c>
      <c r="AI208" s="719" t="s">
        <v>723</v>
      </c>
      <c r="AJ208" s="719"/>
      <c r="AK208" s="719"/>
      <c r="AL208" s="719"/>
      <c r="AM208" s="719"/>
      <c r="AN208" s="719"/>
      <c r="AO208" s="719"/>
      <c r="AP208" s="719"/>
      <c r="AQ208" s="724">
        <f>+FL_1($T$209,$T$207,$G$208,1200,9.28,-1*$F$209)</f>
        <v>0.34746603815384614</v>
      </c>
      <c r="AR208" s="724"/>
      <c r="AS208" s="724"/>
      <c r="AT208" s="724"/>
      <c r="AU208" s="724"/>
      <c r="AV208" s="724"/>
      <c r="AW208" s="719"/>
      <c r="AX208" s="719"/>
      <c r="AY208" s="719"/>
    </row>
    <row r="209" spans="1:51" ht="15.75" hidden="1" customHeight="1">
      <c r="A209" s="716" t="s">
        <v>677</v>
      </c>
      <c r="B209" s="725" t="s">
        <v>1401</v>
      </c>
      <c r="C209" s="718">
        <f>+$C$207+$G$208</f>
        <v>35540</v>
      </c>
      <c r="D209" s="719"/>
      <c r="E209" s="719"/>
      <c r="F209" s="720">
        <v>0</v>
      </c>
      <c r="G209" s="721"/>
      <c r="H209" s="726"/>
      <c r="I209" s="722"/>
      <c r="J209" s="723"/>
      <c r="K209" s="719"/>
      <c r="L209" s="719" t="s">
        <v>241</v>
      </c>
      <c r="M209" s="719"/>
      <c r="N209" s="726" t="s">
        <v>696</v>
      </c>
      <c r="O209" s="726"/>
      <c r="P209" s="726"/>
      <c r="Q209" s="719">
        <v>0</v>
      </c>
      <c r="R209" s="719">
        <v>0</v>
      </c>
      <c r="S209" s="719"/>
      <c r="T209" s="719">
        <v>30</v>
      </c>
      <c r="U209" s="719"/>
      <c r="V209" s="719"/>
      <c r="W209" s="719">
        <v>1.1000000000000001</v>
      </c>
      <c r="X209" s="719"/>
      <c r="Y209" s="719"/>
      <c r="Z209" s="719"/>
      <c r="AA209" s="719"/>
      <c r="AB209" s="719"/>
      <c r="AC209" s="719" t="s">
        <v>2977</v>
      </c>
      <c r="AD209" s="719"/>
      <c r="AE209" s="719"/>
      <c r="AF209" s="719">
        <v>200</v>
      </c>
      <c r="AG209" s="1341">
        <v>35539.269999999997</v>
      </c>
      <c r="AH209" s="719">
        <v>1401</v>
      </c>
      <c r="AI209" s="719">
        <v>-4999</v>
      </c>
      <c r="AJ209" s="719"/>
      <c r="AK209" s="719"/>
      <c r="AL209" s="719"/>
      <c r="AM209" s="719" t="s">
        <v>2608</v>
      </c>
      <c r="AN209" s="719">
        <v>5.25</v>
      </c>
      <c r="AO209" s="719"/>
      <c r="AP209" s="719"/>
      <c r="AQ209" s="724"/>
      <c r="AR209" s="724"/>
      <c r="AS209" s="724"/>
      <c r="AT209" s="724">
        <f>+ab($T$209,$T$207,$T$211,$G$208,$G$210,-1*$F$209,1200)</f>
        <v>8.3352200333233029</v>
      </c>
      <c r="AU209" s="724"/>
      <c r="AV209" s="724"/>
      <c r="AW209" s="719"/>
      <c r="AX209" s="719"/>
      <c r="AY209" s="719"/>
    </row>
    <row r="210" spans="1:51" ht="15.75" hidden="1" customHeight="1">
      <c r="A210" s="716"/>
      <c r="B210" s="735"/>
      <c r="C210" s="718"/>
      <c r="D210" s="719"/>
      <c r="E210" s="719"/>
      <c r="F210" s="720"/>
      <c r="G210" s="721">
        <v>53</v>
      </c>
      <c r="H210" s="726"/>
      <c r="I210" s="722"/>
      <c r="J210" s="723"/>
      <c r="K210" s="719"/>
      <c r="L210" s="719"/>
      <c r="M210" s="719"/>
      <c r="N210" s="726"/>
      <c r="O210" s="726"/>
      <c r="P210" s="726"/>
      <c r="Q210" s="719"/>
      <c r="R210" s="719"/>
      <c r="S210" s="719">
        <f t="shared" si="38"/>
        <v>52.75</v>
      </c>
      <c r="T210" s="719"/>
      <c r="U210" s="719"/>
      <c r="V210" s="719"/>
      <c r="W210" s="719"/>
      <c r="X210" s="719"/>
      <c r="Y210" s="719"/>
      <c r="Z210" s="719"/>
      <c r="AA210" s="719"/>
      <c r="AB210" s="719"/>
      <c r="AC210" s="719"/>
      <c r="AD210" s="719"/>
      <c r="AE210" s="719"/>
      <c r="AF210" s="719"/>
      <c r="AG210" s="1341" t="s">
        <v>723</v>
      </c>
      <c r="AH210" s="719" t="s">
        <v>723</v>
      </c>
      <c r="AI210" s="719" t="s">
        <v>723</v>
      </c>
      <c r="AJ210" s="719"/>
      <c r="AK210" s="719"/>
      <c r="AL210" s="719"/>
      <c r="AM210" s="719"/>
      <c r="AN210" s="719"/>
      <c r="AO210" s="719"/>
      <c r="AP210" s="719"/>
      <c r="AQ210" s="724">
        <f>+FL_1($T$211,$T$209,$G$210,1200,9.28,-1*$F$211)</f>
        <v>0.35439840372327047</v>
      </c>
      <c r="AR210" s="724"/>
      <c r="AS210" s="724"/>
      <c r="AT210" s="724"/>
      <c r="AU210" s="724"/>
      <c r="AV210" s="724"/>
      <c r="AW210" s="719"/>
      <c r="AX210" s="719"/>
      <c r="AY210" s="719"/>
    </row>
    <row r="211" spans="1:51" ht="15.75" hidden="1" customHeight="1">
      <c r="A211" s="716" t="s">
        <v>677</v>
      </c>
      <c r="B211" s="725" t="s">
        <v>1402</v>
      </c>
      <c r="C211" s="718">
        <f>+$C$209+$G$210</f>
        <v>35593</v>
      </c>
      <c r="D211" s="719"/>
      <c r="E211" s="719"/>
      <c r="F211" s="720">
        <v>0</v>
      </c>
      <c r="G211" s="721"/>
      <c r="H211" s="726"/>
      <c r="I211" s="722"/>
      <c r="J211" s="723"/>
      <c r="K211" s="719"/>
      <c r="L211" s="719" t="s">
        <v>241</v>
      </c>
      <c r="M211" s="719"/>
      <c r="N211" s="726" t="s">
        <v>695</v>
      </c>
      <c r="O211" s="726"/>
      <c r="P211" s="726"/>
      <c r="Q211" s="719">
        <v>0</v>
      </c>
      <c r="R211" s="719">
        <v>0</v>
      </c>
      <c r="S211" s="719"/>
      <c r="T211" s="719">
        <v>-30</v>
      </c>
      <c r="U211" s="719"/>
      <c r="V211" s="719"/>
      <c r="W211" s="719">
        <v>1.1000000000000001</v>
      </c>
      <c r="X211" s="719"/>
      <c r="Y211" s="719"/>
      <c r="Z211" s="719"/>
      <c r="AA211" s="719"/>
      <c r="AB211" s="719"/>
      <c r="AC211" s="719" t="s">
        <v>2612</v>
      </c>
      <c r="AD211" s="719"/>
      <c r="AE211" s="719"/>
      <c r="AF211" s="719">
        <v>300</v>
      </c>
      <c r="AG211" s="1341">
        <v>35592.019999999997</v>
      </c>
      <c r="AH211" s="719">
        <v>1405</v>
      </c>
      <c r="AI211" s="719">
        <v>-4984</v>
      </c>
      <c r="AJ211" s="719"/>
      <c r="AK211" s="719"/>
      <c r="AL211" s="719"/>
      <c r="AM211" s="719" t="s">
        <v>2608</v>
      </c>
      <c r="AN211" s="719">
        <v>5.25</v>
      </c>
      <c r="AO211" s="719"/>
      <c r="AP211" s="719"/>
      <c r="AQ211" s="724"/>
      <c r="AR211" s="724"/>
      <c r="AS211" s="724"/>
      <c r="AT211" s="724">
        <f>+ab($T$211,$T$209,$T$213,$G$210,$G$212,-1*$F$211,1200)</f>
        <v>-8.4142628111454645</v>
      </c>
      <c r="AU211" s="724"/>
      <c r="AV211" s="724"/>
      <c r="AW211" s="719"/>
      <c r="AX211" s="719"/>
      <c r="AY211" s="719"/>
    </row>
    <row r="212" spans="1:51" ht="15.75" hidden="1" customHeight="1">
      <c r="A212" s="716"/>
      <c r="B212" s="717"/>
      <c r="C212" s="718"/>
      <c r="D212" s="719"/>
      <c r="E212" s="719"/>
      <c r="F212" s="720"/>
      <c r="G212" s="721">
        <v>53</v>
      </c>
      <c r="H212" s="726"/>
      <c r="I212" s="722"/>
      <c r="J212" s="723"/>
      <c r="K212" s="719"/>
      <c r="L212" s="719"/>
      <c r="M212" s="719"/>
      <c r="N212" s="726"/>
      <c r="O212" s="726"/>
      <c r="P212" s="726"/>
      <c r="Q212" s="719"/>
      <c r="R212" s="719"/>
      <c r="S212" s="719">
        <f t="shared" si="38"/>
        <v>53.060000000004948</v>
      </c>
      <c r="T212" s="719"/>
      <c r="U212" s="719"/>
      <c r="V212" s="719"/>
      <c r="W212" s="719"/>
      <c r="X212" s="719"/>
      <c r="Y212" s="719"/>
      <c r="Z212" s="719"/>
      <c r="AA212" s="719"/>
      <c r="AB212" s="719"/>
      <c r="AC212" s="719"/>
      <c r="AD212" s="719"/>
      <c r="AE212" s="719"/>
      <c r="AF212" s="719"/>
      <c r="AG212" s="1341" t="s">
        <v>723</v>
      </c>
      <c r="AH212" s="719" t="s">
        <v>723</v>
      </c>
      <c r="AI212" s="719" t="s">
        <v>723</v>
      </c>
      <c r="AJ212" s="719"/>
      <c r="AK212" s="719"/>
      <c r="AL212" s="719"/>
      <c r="AM212" s="719"/>
      <c r="AN212" s="719"/>
      <c r="AO212" s="719"/>
      <c r="AP212" s="719"/>
      <c r="AQ212" s="724">
        <f>+FL_2($T$213,$T$211,$G$212,1200,9.28,-1*$F$213)</f>
        <v>-0.35439840372327047</v>
      </c>
      <c r="AR212" s="724"/>
      <c r="AS212" s="724"/>
      <c r="AT212" s="724"/>
      <c r="AU212" s="724"/>
      <c r="AV212" s="724"/>
      <c r="AW212" s="719"/>
      <c r="AX212" s="719"/>
      <c r="AY212" s="719"/>
    </row>
    <row r="213" spans="1:51" ht="15.75" hidden="1" customHeight="1">
      <c r="A213" s="716" t="s">
        <v>677</v>
      </c>
      <c r="B213" s="725" t="s">
        <v>1403</v>
      </c>
      <c r="C213" s="718">
        <f>+$C$211+$G$212</f>
        <v>35646</v>
      </c>
      <c r="D213" s="719"/>
      <c r="E213" s="719"/>
      <c r="F213" s="720">
        <v>0</v>
      </c>
      <c r="G213" s="721"/>
      <c r="H213" s="726"/>
      <c r="I213" s="726"/>
      <c r="J213" s="723"/>
      <c r="K213" s="719"/>
      <c r="L213" s="719" t="s">
        <v>241</v>
      </c>
      <c r="M213" s="719"/>
      <c r="N213" s="726" t="s">
        <v>696</v>
      </c>
      <c r="O213" s="726"/>
      <c r="P213" s="726"/>
      <c r="Q213" s="719">
        <v>0</v>
      </c>
      <c r="R213" s="719">
        <v>0</v>
      </c>
      <c r="S213" s="719"/>
      <c r="T213" s="719">
        <v>30</v>
      </c>
      <c r="U213" s="719"/>
      <c r="V213" s="719"/>
      <c r="W213" s="719">
        <v>1.1000000000000001</v>
      </c>
      <c r="X213" s="719"/>
      <c r="Y213" s="719"/>
      <c r="Z213" s="719"/>
      <c r="AA213" s="719"/>
      <c r="AB213" s="719"/>
      <c r="AC213" s="719" t="s">
        <v>2977</v>
      </c>
      <c r="AD213" s="719"/>
      <c r="AE213" s="719"/>
      <c r="AF213" s="719">
        <v>200</v>
      </c>
      <c r="AG213" s="1341">
        <v>35645.08</v>
      </c>
      <c r="AH213" s="719">
        <v>1452</v>
      </c>
      <c r="AI213" s="719">
        <v>-4959</v>
      </c>
      <c r="AJ213" s="719"/>
      <c r="AK213" s="719"/>
      <c r="AL213" s="719"/>
      <c r="AM213" s="719" t="s">
        <v>2608</v>
      </c>
      <c r="AN213" s="719">
        <v>5.25</v>
      </c>
      <c r="AO213" s="719"/>
      <c r="AP213" s="719"/>
      <c r="AQ213" s="724"/>
      <c r="AR213" s="724"/>
      <c r="AS213" s="724"/>
      <c r="AT213" s="724">
        <f>+ab($T$213,$T$211,$T$215,$G$212,$G$214,-1*$F$213,1200)</f>
        <v>8.3352200333233029</v>
      </c>
      <c r="AU213" s="724"/>
      <c r="AV213" s="724"/>
      <c r="AW213" s="719"/>
      <c r="AX213" s="719"/>
      <c r="AY213" s="719"/>
    </row>
    <row r="214" spans="1:51" ht="15.75" hidden="1" customHeight="1">
      <c r="A214" s="716"/>
      <c r="B214" s="735"/>
      <c r="C214" s="718"/>
      <c r="D214" s="719"/>
      <c r="E214" s="719"/>
      <c r="F214" s="720"/>
      <c r="G214" s="721">
        <v>52</v>
      </c>
      <c r="H214" s="726"/>
      <c r="I214" s="726"/>
      <c r="J214" s="723"/>
      <c r="K214" s="719"/>
      <c r="L214" s="719"/>
      <c r="M214" s="719"/>
      <c r="N214" s="726"/>
      <c r="O214" s="726"/>
      <c r="P214" s="726"/>
      <c r="Q214" s="719"/>
      <c r="R214" s="719"/>
      <c r="S214" s="719">
        <f t="shared" si="38"/>
        <v>52.909999999996217</v>
      </c>
      <c r="T214" s="719"/>
      <c r="U214" s="719"/>
      <c r="V214" s="719"/>
      <c r="W214" s="719"/>
      <c r="X214" s="719"/>
      <c r="Y214" s="719"/>
      <c r="Z214" s="719"/>
      <c r="AA214" s="719"/>
      <c r="AB214" s="719"/>
      <c r="AC214" s="719"/>
      <c r="AD214" s="719"/>
      <c r="AE214" s="719"/>
      <c r="AF214" s="719"/>
      <c r="AG214" s="1341" t="s">
        <v>723</v>
      </c>
      <c r="AH214" s="719" t="s">
        <v>723</v>
      </c>
      <c r="AI214" s="719" t="s">
        <v>723</v>
      </c>
      <c r="AJ214" s="719"/>
      <c r="AK214" s="719"/>
      <c r="AL214" s="719"/>
      <c r="AM214" s="719"/>
      <c r="AN214" s="719"/>
      <c r="AO214" s="719"/>
      <c r="AP214" s="719"/>
      <c r="AQ214" s="724">
        <f>+FL_2($T$215,$T$213,$G$214,1200,9.28,-1*$F$215)</f>
        <v>-0.34746603815384614</v>
      </c>
      <c r="AR214" s="724"/>
      <c r="AS214" s="724"/>
      <c r="AT214" s="724"/>
      <c r="AU214" s="724"/>
      <c r="AV214" s="724"/>
      <c r="AW214" s="719"/>
      <c r="AX214" s="719"/>
      <c r="AY214" s="719"/>
    </row>
    <row r="215" spans="1:51" ht="15.75" hidden="1" customHeight="1">
      <c r="A215" s="716" t="s">
        <v>677</v>
      </c>
      <c r="B215" s="725" t="s">
        <v>1404</v>
      </c>
      <c r="C215" s="718">
        <f>+$C$213+$G$214</f>
        <v>35698</v>
      </c>
      <c r="D215" s="719"/>
      <c r="E215" s="719"/>
      <c r="F215" s="720">
        <v>0</v>
      </c>
      <c r="G215" s="721"/>
      <c r="H215" s="726"/>
      <c r="I215" s="726"/>
      <c r="J215" s="723"/>
      <c r="K215" s="719"/>
      <c r="L215" s="719" t="s">
        <v>241</v>
      </c>
      <c r="M215" s="719"/>
      <c r="N215" s="726" t="s">
        <v>695</v>
      </c>
      <c r="O215" s="726"/>
      <c r="P215" s="726"/>
      <c r="Q215" s="719">
        <v>0</v>
      </c>
      <c r="R215" s="719">
        <v>0</v>
      </c>
      <c r="S215" s="719"/>
      <c r="T215" s="719">
        <v>-30</v>
      </c>
      <c r="U215" s="719"/>
      <c r="V215" s="719"/>
      <c r="W215" s="719">
        <v>1.1000000000000001</v>
      </c>
      <c r="X215" s="719"/>
      <c r="Y215" s="719"/>
      <c r="Z215" s="719"/>
      <c r="AA215" s="719"/>
      <c r="AB215" s="719"/>
      <c r="AC215" s="719" t="s">
        <v>2977</v>
      </c>
      <c r="AD215" s="719"/>
      <c r="AE215" s="719"/>
      <c r="AF215" s="719">
        <v>200</v>
      </c>
      <c r="AG215" s="1341">
        <v>35697.99</v>
      </c>
      <c r="AH215" s="719">
        <v>1429</v>
      </c>
      <c r="AI215" s="719">
        <v>-4981</v>
      </c>
      <c r="AJ215" s="719"/>
      <c r="AK215" s="719"/>
      <c r="AL215" s="719"/>
      <c r="AM215" s="719" t="s">
        <v>2608</v>
      </c>
      <c r="AN215" s="719">
        <v>5.25</v>
      </c>
      <c r="AO215" s="719"/>
      <c r="AP215" s="719"/>
      <c r="AQ215" s="724"/>
      <c r="AR215" s="724"/>
      <c r="AS215" s="724"/>
      <c r="AT215" s="724">
        <f>+ab($T$215,$T$213,$T$217,$G$214,$G$216,-1*$F$215,1200)</f>
        <v>-8.0979644640334847</v>
      </c>
      <c r="AU215" s="724"/>
      <c r="AV215" s="724"/>
      <c r="AW215" s="719"/>
      <c r="AX215" s="719"/>
      <c r="AY215" s="719"/>
    </row>
    <row r="216" spans="1:51" ht="15.75" hidden="1" customHeight="1">
      <c r="A216" s="716"/>
      <c r="B216" s="717"/>
      <c r="C216" s="718"/>
      <c r="D216" s="719"/>
      <c r="E216" s="719"/>
      <c r="F216" s="720"/>
      <c r="G216" s="721">
        <v>50</v>
      </c>
      <c r="H216" s="726"/>
      <c r="I216" s="726"/>
      <c r="J216" s="723"/>
      <c r="K216" s="719"/>
      <c r="L216" s="719"/>
      <c r="M216" s="719"/>
      <c r="N216" s="726"/>
      <c r="O216" s="726"/>
      <c r="P216" s="726"/>
      <c r="Q216" s="719"/>
      <c r="R216" s="719"/>
      <c r="S216" s="719">
        <f t="shared" si="38"/>
        <v>49.349999999998545</v>
      </c>
      <c r="T216" s="719"/>
      <c r="U216" s="719"/>
      <c r="V216" s="719"/>
      <c r="W216" s="719"/>
      <c r="X216" s="719"/>
      <c r="Y216" s="719"/>
      <c r="Z216" s="719"/>
      <c r="AA216" s="719"/>
      <c r="AB216" s="719"/>
      <c r="AC216" s="719"/>
      <c r="AD216" s="719"/>
      <c r="AE216" s="719"/>
      <c r="AF216" s="719"/>
      <c r="AG216" s="1341" t="s">
        <v>723</v>
      </c>
      <c r="AH216" s="719" t="s">
        <v>723</v>
      </c>
      <c r="AI216" s="719" t="s">
        <v>723</v>
      </c>
      <c r="AJ216" s="719"/>
      <c r="AK216" s="719"/>
      <c r="AL216" s="719"/>
      <c r="AM216" s="719"/>
      <c r="AN216" s="719"/>
      <c r="AO216" s="719"/>
      <c r="AP216" s="719"/>
      <c r="AQ216" s="724">
        <f>+FL_1($T$217,$T$215,$G$216,1200,9.28,-1*$F$217)</f>
        <v>0.33477011200000001</v>
      </c>
      <c r="AR216" s="724"/>
      <c r="AS216" s="724"/>
      <c r="AT216" s="724"/>
      <c r="AU216" s="724"/>
      <c r="AV216" s="724"/>
      <c r="AW216" s="719"/>
      <c r="AX216" s="719"/>
      <c r="AY216" s="719"/>
    </row>
    <row r="217" spans="1:51" ht="15.75" hidden="1" customHeight="1">
      <c r="A217" s="716" t="s">
        <v>677</v>
      </c>
      <c r="B217" s="725" t="s">
        <v>1405</v>
      </c>
      <c r="C217" s="718">
        <f>+$C$215+$G$216</f>
        <v>35748</v>
      </c>
      <c r="D217" s="719"/>
      <c r="E217" s="719"/>
      <c r="F217" s="720">
        <v>0</v>
      </c>
      <c r="G217" s="721"/>
      <c r="H217" s="726" t="s">
        <v>138</v>
      </c>
      <c r="I217" s="726" t="s">
        <v>948</v>
      </c>
      <c r="J217" s="723"/>
      <c r="K217" s="719"/>
      <c r="L217" s="719" t="s">
        <v>241</v>
      </c>
      <c r="M217" s="719"/>
      <c r="N217" s="726" t="s">
        <v>696</v>
      </c>
      <c r="O217" s="726"/>
      <c r="P217" s="726"/>
      <c r="Q217" s="719">
        <v>0</v>
      </c>
      <c r="R217" s="719">
        <v>0</v>
      </c>
      <c r="S217" s="719"/>
      <c r="T217" s="719">
        <v>30</v>
      </c>
      <c r="U217" s="719"/>
      <c r="V217" s="719"/>
      <c r="W217" s="719">
        <v>1.1000000000000001</v>
      </c>
      <c r="X217" s="719"/>
      <c r="Y217" s="719"/>
      <c r="Z217" s="719"/>
      <c r="AA217" s="719"/>
      <c r="AB217" s="719"/>
      <c r="AC217" s="719" t="s">
        <v>2977</v>
      </c>
      <c r="AD217" s="719"/>
      <c r="AE217" s="719"/>
      <c r="AF217" s="719">
        <v>200</v>
      </c>
      <c r="AG217" s="1341">
        <v>35747.339999999997</v>
      </c>
      <c r="AH217" s="719">
        <v>1431</v>
      </c>
      <c r="AI217" s="719">
        <v>-4994</v>
      </c>
      <c r="AJ217" s="719"/>
      <c r="AK217" s="719"/>
      <c r="AL217" s="719"/>
      <c r="AM217" s="719" t="s">
        <v>2608</v>
      </c>
      <c r="AN217" s="719">
        <v>5.25</v>
      </c>
      <c r="AO217" s="719"/>
      <c r="AP217" s="719"/>
      <c r="AQ217" s="724"/>
      <c r="AR217" s="724"/>
      <c r="AS217" s="724"/>
      <c r="AT217" s="724">
        <f>+ab($T$217,$T$215,$T$219,$G$216,$G$218,-1*$F$217,1200)</f>
        <v>13.453726812531203</v>
      </c>
      <c r="AU217" s="724"/>
      <c r="AV217" s="724"/>
      <c r="AW217" s="719"/>
      <c r="AX217" s="719"/>
      <c r="AY217" s="719"/>
    </row>
    <row r="218" spans="1:51" ht="15.75" hidden="1" customHeight="1">
      <c r="A218" s="716"/>
      <c r="B218" s="717"/>
      <c r="C218" s="718"/>
      <c r="D218" s="719"/>
      <c r="E218" s="719"/>
      <c r="F218" s="720"/>
      <c r="G218" s="721">
        <v>50</v>
      </c>
      <c r="H218" s="726"/>
      <c r="I218" s="726"/>
      <c r="J218" s="723">
        <f>C217+10</f>
        <v>35758</v>
      </c>
      <c r="K218" s="719" t="s">
        <v>1097</v>
      </c>
      <c r="L218" s="719"/>
      <c r="M218" s="719"/>
      <c r="N218" s="726"/>
      <c r="O218" s="726"/>
      <c r="P218" s="726"/>
      <c r="Q218" s="719"/>
      <c r="R218" s="719"/>
      <c r="S218" s="719">
        <f>AG219-AG217</f>
        <v>48.080000000001746</v>
      </c>
      <c r="T218" s="719"/>
      <c r="U218" s="719"/>
      <c r="V218" s="719"/>
      <c r="W218" s="719"/>
      <c r="X218" s="719"/>
      <c r="Y218" s="719"/>
      <c r="Z218" s="719"/>
      <c r="AA218" s="719"/>
      <c r="AB218" s="719"/>
      <c r="AC218" s="719"/>
      <c r="AD218" s="719"/>
      <c r="AE218" s="719"/>
      <c r="AF218" s="719"/>
      <c r="AG218" s="1341" t="s">
        <v>723</v>
      </c>
      <c r="AH218" s="719" t="s">
        <v>723</v>
      </c>
      <c r="AI218" s="719" t="s">
        <v>723</v>
      </c>
      <c r="AJ218" s="719"/>
      <c r="AK218" s="719"/>
      <c r="AL218" s="719"/>
      <c r="AM218" s="719"/>
      <c r="AN218" s="719"/>
      <c r="AO218" s="719"/>
      <c r="AP218" s="719"/>
      <c r="AQ218" s="724">
        <f>+FL_2($U$219,$T$217,$G$218,1200,9.28,-1*$F$219)</f>
        <v>-0.29489941866666664</v>
      </c>
      <c r="AR218" s="724"/>
      <c r="AS218" s="724"/>
      <c r="AT218" s="724"/>
      <c r="AU218" s="724"/>
      <c r="AV218" s="724"/>
      <c r="AW218" s="719"/>
      <c r="AX218" s="719"/>
      <c r="AY218" s="719"/>
    </row>
    <row r="219" spans="1:51" ht="15.75" hidden="1" customHeight="1">
      <c r="A219" s="716" t="s">
        <v>677</v>
      </c>
      <c r="B219" s="725" t="s">
        <v>1406</v>
      </c>
      <c r="C219" s="718">
        <f>+$C$217+$G$218</f>
        <v>35798</v>
      </c>
      <c r="D219" s="719"/>
      <c r="E219" s="719"/>
      <c r="F219" s="720">
        <v>0</v>
      </c>
      <c r="G219" s="721"/>
      <c r="H219" s="726" t="s">
        <v>668</v>
      </c>
      <c r="I219" s="726"/>
      <c r="J219" s="723"/>
      <c r="K219" s="719"/>
      <c r="L219" s="719" t="s">
        <v>465</v>
      </c>
      <c r="M219" s="719"/>
      <c r="N219" s="726" t="s">
        <v>697</v>
      </c>
      <c r="O219" s="726" t="s">
        <v>695</v>
      </c>
      <c r="P219" s="726"/>
      <c r="Q219" s="719">
        <v>0</v>
      </c>
      <c r="R219" s="719">
        <v>0</v>
      </c>
      <c r="S219" s="719">
        <f>AG220-AG219</f>
        <v>3.1900000000023283</v>
      </c>
      <c r="T219" s="719">
        <v>20</v>
      </c>
      <c r="U219" s="719">
        <v>-25</v>
      </c>
      <c r="V219" s="719"/>
      <c r="W219" s="719">
        <v>1.1000000000000001</v>
      </c>
      <c r="X219" s="719">
        <v>1.2</v>
      </c>
      <c r="Y219" s="719"/>
      <c r="Z219" s="719">
        <v>0.45</v>
      </c>
      <c r="AA219" s="719"/>
      <c r="AB219" s="719"/>
      <c r="AC219" s="719"/>
      <c r="AD219" s="719" t="s">
        <v>2612</v>
      </c>
      <c r="AE219" s="719"/>
      <c r="AF219" s="719">
        <v>200</v>
      </c>
      <c r="AG219" s="1341">
        <v>35795.42</v>
      </c>
      <c r="AH219" s="719">
        <v>1424</v>
      </c>
      <c r="AI219" s="719">
        <v>-4958</v>
      </c>
      <c r="AJ219" s="719"/>
      <c r="AK219" s="719"/>
      <c r="AL219" s="719"/>
      <c r="AM219" s="719" t="s">
        <v>2608</v>
      </c>
      <c r="AN219" s="719">
        <v>5.25</v>
      </c>
      <c r="AO219" s="719"/>
      <c r="AP219" s="719"/>
      <c r="AQ219" s="724"/>
      <c r="AR219" s="724"/>
      <c r="AS219" s="724"/>
      <c r="AT219" s="724">
        <f>+ab($U$219,$T$217,$U$221,$G$218,$G$220,-1*$F$219,1200)</f>
        <v>-15.594295663526159</v>
      </c>
      <c r="AU219" s="724"/>
      <c r="AV219" s="724"/>
      <c r="AW219" s="719"/>
      <c r="AX219" s="719"/>
      <c r="AY219" s="719"/>
    </row>
    <row r="220" spans="1:51" ht="15.75" hidden="1" customHeight="1">
      <c r="A220" s="716"/>
      <c r="B220" s="717"/>
      <c r="C220" s="718"/>
      <c r="D220" s="719"/>
      <c r="E220" s="719"/>
      <c r="F220" s="720"/>
      <c r="G220" s="721">
        <v>50</v>
      </c>
      <c r="H220" s="726"/>
      <c r="I220" s="726"/>
      <c r="J220" s="723"/>
      <c r="K220" s="719"/>
      <c r="L220" s="719"/>
      <c r="M220" s="719"/>
      <c r="N220" s="726"/>
      <c r="O220" s="726"/>
      <c r="P220" s="726"/>
      <c r="Q220" s="719">
        <v>0</v>
      </c>
      <c r="R220" s="719">
        <v>0</v>
      </c>
      <c r="S220" s="719">
        <f t="shared" ref="S220" si="39">AG221-AG220</f>
        <v>46.330000000001746</v>
      </c>
      <c r="T220" s="719"/>
      <c r="U220" s="719"/>
      <c r="V220" s="719"/>
      <c r="W220" s="719"/>
      <c r="X220" s="719"/>
      <c r="Y220" s="719"/>
      <c r="Z220" s="719"/>
      <c r="AA220" s="719"/>
      <c r="AB220" s="719"/>
      <c r="AC220" s="719"/>
      <c r="AD220" s="719"/>
      <c r="AE220" s="719"/>
      <c r="AF220" s="719">
        <v>300</v>
      </c>
      <c r="AG220" s="1341">
        <v>35798.61</v>
      </c>
      <c r="AH220" s="719">
        <v>1466</v>
      </c>
      <c r="AI220" s="719">
        <v>-4976</v>
      </c>
      <c r="AJ220" s="719"/>
      <c r="AK220" s="719"/>
      <c r="AL220" s="719"/>
      <c r="AM220" s="719"/>
      <c r="AN220" s="719"/>
      <c r="AO220" s="719"/>
      <c r="AP220" s="719"/>
      <c r="AQ220" s="724">
        <f>+FL_1($T$221,$U$219,$G$220,1200,9.28,-1*$F$221)</f>
        <v>0.30632183866666668</v>
      </c>
      <c r="AR220" s="724"/>
      <c r="AS220" s="724"/>
      <c r="AT220" s="724"/>
      <c r="AU220" s="724"/>
      <c r="AV220" s="724"/>
      <c r="AW220" s="719"/>
      <c r="AX220" s="719"/>
      <c r="AY220" s="719"/>
    </row>
    <row r="221" spans="1:51" ht="15.75" hidden="1" customHeight="1">
      <c r="A221" s="716" t="s">
        <v>2947</v>
      </c>
      <c r="B221" s="725" t="s">
        <v>1407</v>
      </c>
      <c r="C221" s="718">
        <f>+$C$219+$G$220</f>
        <v>35848</v>
      </c>
      <c r="D221" s="719"/>
      <c r="E221" s="719"/>
      <c r="F221" s="720">
        <v>0</v>
      </c>
      <c r="G221" s="721"/>
      <c r="H221" s="726" t="s">
        <v>668</v>
      </c>
      <c r="I221" s="722" t="s">
        <v>2645</v>
      </c>
      <c r="J221" s="723"/>
      <c r="K221" s="719"/>
      <c r="L221" s="719" t="s">
        <v>465</v>
      </c>
      <c r="M221" s="719"/>
      <c r="N221" s="726" t="s">
        <v>696</v>
      </c>
      <c r="O221" s="726" t="s">
        <v>697</v>
      </c>
      <c r="P221" s="726"/>
      <c r="Q221" s="719">
        <v>0</v>
      </c>
      <c r="R221" s="719">
        <v>0</v>
      </c>
      <c r="S221" s="719">
        <f>AG222-AG221</f>
        <v>3.2200000000011642</v>
      </c>
      <c r="T221" s="719">
        <v>25</v>
      </c>
      <c r="U221" s="719">
        <v>-20</v>
      </c>
      <c r="V221" s="719"/>
      <c r="W221" s="719">
        <v>1.1000000000000001</v>
      </c>
      <c r="X221" s="719">
        <v>1.2</v>
      </c>
      <c r="Y221" s="719"/>
      <c r="Z221" s="719"/>
      <c r="AA221" s="719">
        <v>0.45</v>
      </c>
      <c r="AB221" s="719"/>
      <c r="AC221" s="719" t="s">
        <v>2616</v>
      </c>
      <c r="AD221" s="719"/>
      <c r="AE221" s="719"/>
      <c r="AF221" s="719">
        <v>200</v>
      </c>
      <c r="AG221" s="1341">
        <v>35844.94</v>
      </c>
      <c r="AH221" s="719">
        <v>1481</v>
      </c>
      <c r="AI221" s="719">
        <v>-4981</v>
      </c>
      <c r="AJ221" s="719" t="s">
        <v>2943</v>
      </c>
      <c r="AK221" s="719"/>
      <c r="AL221" s="719"/>
      <c r="AM221" s="719" t="s">
        <v>2608</v>
      </c>
      <c r="AN221" s="719">
        <v>5.25</v>
      </c>
      <c r="AO221" s="719"/>
      <c r="AP221" s="719"/>
      <c r="AQ221" s="724"/>
      <c r="AR221" s="724"/>
      <c r="AS221" s="724"/>
      <c r="AT221" s="724">
        <f>+ab($T$221,$T$219,$T$223,$G$220,$G$222,-1*$F$221,1200)</f>
        <v>15.594172034820335</v>
      </c>
      <c r="AU221" s="724"/>
      <c r="AV221" s="724"/>
      <c r="AW221" s="719"/>
      <c r="AX221" s="719"/>
      <c r="AY221" s="719"/>
    </row>
    <row r="222" spans="1:51" ht="15.75" hidden="1" customHeight="1">
      <c r="A222" s="716"/>
      <c r="B222" s="717"/>
      <c r="C222" s="718"/>
      <c r="D222" s="719"/>
      <c r="E222" s="719"/>
      <c r="F222" s="720"/>
      <c r="G222" s="721">
        <v>50</v>
      </c>
      <c r="H222" s="726"/>
      <c r="I222" s="726"/>
      <c r="J222" s="723">
        <f>C223-9.2</f>
        <v>35888.800000000003</v>
      </c>
      <c r="K222" s="719" t="s">
        <v>1097</v>
      </c>
      <c r="L222" s="719"/>
      <c r="M222" s="719"/>
      <c r="N222" s="726"/>
      <c r="O222" s="726"/>
      <c r="P222" s="726"/>
      <c r="Q222" s="719">
        <v>0</v>
      </c>
      <c r="R222" s="719">
        <v>0</v>
      </c>
      <c r="S222" s="719">
        <f>AG223-AG222</f>
        <v>48.049999999995634</v>
      </c>
      <c r="T222" s="719"/>
      <c r="U222" s="719"/>
      <c r="V222" s="719"/>
      <c r="W222" s="719"/>
      <c r="X222" s="719"/>
      <c r="Y222" s="719"/>
      <c r="Z222" s="719"/>
      <c r="AA222" s="719"/>
      <c r="AB222" s="719"/>
      <c r="AC222" s="719"/>
      <c r="AD222" s="719"/>
      <c r="AE222" s="719"/>
      <c r="AF222" s="719">
        <v>200</v>
      </c>
      <c r="AG222" s="1341">
        <v>35848.160000000003</v>
      </c>
      <c r="AH222" s="719">
        <v>1488</v>
      </c>
      <c r="AI222" s="719">
        <v>-4959</v>
      </c>
      <c r="AJ222" s="719"/>
      <c r="AK222" s="719"/>
      <c r="AL222" s="719"/>
      <c r="AM222" s="719"/>
      <c r="AN222" s="719"/>
      <c r="AO222" s="719"/>
      <c r="AP222" s="719"/>
      <c r="AQ222" s="724">
        <f>+FL_1($T$223,$T$221,$G$222,1200,9.28,-1*$F$223)</f>
        <v>0.29489941866666669</v>
      </c>
      <c r="AR222" s="724"/>
      <c r="AS222" s="724"/>
      <c r="AT222" s="724"/>
      <c r="AU222" s="724"/>
      <c r="AV222" s="724"/>
      <c r="AW222" s="719"/>
      <c r="AX222" s="719"/>
      <c r="AY222" s="719"/>
    </row>
    <row r="223" spans="1:51" ht="15.75" hidden="1" customHeight="1">
      <c r="A223" s="716" t="s">
        <v>677</v>
      </c>
      <c r="B223" s="725" t="s">
        <v>1408</v>
      </c>
      <c r="C223" s="718">
        <f>+$C$221+$G$222</f>
        <v>35898</v>
      </c>
      <c r="D223" s="719"/>
      <c r="E223" s="719"/>
      <c r="F223" s="720">
        <v>0</v>
      </c>
      <c r="G223" s="721"/>
      <c r="H223" s="726" t="s">
        <v>138</v>
      </c>
      <c r="I223" s="722" t="s">
        <v>948</v>
      </c>
      <c r="J223" s="723"/>
      <c r="K223" s="719"/>
      <c r="L223" s="719" t="s">
        <v>241</v>
      </c>
      <c r="M223" s="719"/>
      <c r="N223" s="726" t="s">
        <v>695</v>
      </c>
      <c r="O223" s="726"/>
      <c r="P223" s="726"/>
      <c r="Q223" s="719">
        <v>0</v>
      </c>
      <c r="R223" s="719">
        <v>0</v>
      </c>
      <c r="S223" s="719"/>
      <c r="T223" s="719">
        <v>-30</v>
      </c>
      <c r="U223" s="719"/>
      <c r="V223" s="719"/>
      <c r="W223" s="719">
        <v>1.1000000000000001</v>
      </c>
      <c r="X223" s="719"/>
      <c r="Y223" s="719"/>
      <c r="Z223" s="719"/>
      <c r="AA223" s="719"/>
      <c r="AB223" s="719"/>
      <c r="AC223" s="719" t="s">
        <v>2612</v>
      </c>
      <c r="AD223" s="719"/>
      <c r="AE223" s="719"/>
      <c r="AF223" s="719">
        <v>200</v>
      </c>
      <c r="AG223" s="1341">
        <v>35896.21</v>
      </c>
      <c r="AH223" s="719">
        <v>1484</v>
      </c>
      <c r="AI223" s="719">
        <v>-4982</v>
      </c>
      <c r="AJ223" s="719"/>
      <c r="AK223" s="719"/>
      <c r="AL223" s="719"/>
      <c r="AM223" s="719" t="s">
        <v>2608</v>
      </c>
      <c r="AN223" s="719">
        <v>5.25</v>
      </c>
      <c r="AO223" s="719"/>
      <c r="AP223" s="719"/>
      <c r="AQ223" s="724"/>
      <c r="AR223" s="724"/>
      <c r="AS223" s="724"/>
      <c r="AT223" s="724">
        <f>+ab($T$223,$T$221,$T$225,$G$222,$G$224,-1*$F$223,1200)</f>
        <v>-8.2849467556123688</v>
      </c>
      <c r="AU223" s="724"/>
      <c r="AV223" s="724"/>
      <c r="AW223" s="719"/>
      <c r="AX223" s="719"/>
      <c r="AY223" s="719"/>
    </row>
    <row r="224" spans="1:51" ht="15.75" hidden="1" customHeight="1">
      <c r="A224" s="716"/>
      <c r="B224" s="717"/>
      <c r="C224" s="718"/>
      <c r="D224" s="719"/>
      <c r="E224" s="719"/>
      <c r="F224" s="720"/>
      <c r="G224" s="721">
        <v>50</v>
      </c>
      <c r="H224" s="719"/>
      <c r="I224" s="726"/>
      <c r="J224" s="723"/>
      <c r="K224" s="719"/>
      <c r="L224" s="719"/>
      <c r="M224" s="719"/>
      <c r="N224" s="726"/>
      <c r="O224" s="726"/>
      <c r="P224" s="726"/>
      <c r="Q224" s="719"/>
      <c r="R224" s="719"/>
      <c r="S224" s="719">
        <f>AG225-AG223</f>
        <v>49.660000000003492</v>
      </c>
      <c r="T224" s="719"/>
      <c r="U224" s="719"/>
      <c r="V224" s="719"/>
      <c r="W224" s="719"/>
      <c r="X224" s="719"/>
      <c r="Y224" s="719"/>
      <c r="Z224" s="719"/>
      <c r="AA224" s="719"/>
      <c r="AB224" s="719"/>
      <c r="AC224" s="719"/>
      <c r="AD224" s="719"/>
      <c r="AE224" s="719"/>
      <c r="AF224" s="719"/>
      <c r="AG224" s="1341" t="s">
        <v>723</v>
      </c>
      <c r="AH224" s="719" t="s">
        <v>723</v>
      </c>
      <c r="AI224" s="719"/>
      <c r="AJ224" s="719"/>
      <c r="AK224" s="719"/>
      <c r="AL224" s="719"/>
      <c r="AM224" s="719"/>
      <c r="AN224" s="719"/>
      <c r="AO224" s="719"/>
      <c r="AP224" s="719"/>
      <c r="AQ224" s="724">
        <f>+FL_1($T$225,$T$223,$G$224,1200,9.28,-1*$F$225)</f>
        <v>0.33477011200000001</v>
      </c>
      <c r="AR224" s="724"/>
      <c r="AS224" s="724"/>
      <c r="AT224" s="724"/>
      <c r="AU224" s="724"/>
      <c r="AV224" s="724"/>
      <c r="AW224" s="719"/>
      <c r="AX224" s="719"/>
      <c r="AY224" s="719"/>
    </row>
    <row r="225" spans="1:51" ht="15.75" hidden="1" customHeight="1">
      <c r="A225" s="716"/>
      <c r="B225" s="725" t="s">
        <v>1409</v>
      </c>
      <c r="C225" s="718">
        <f>+$C$223+$G$224</f>
        <v>35948</v>
      </c>
      <c r="D225" s="719"/>
      <c r="E225" s="719"/>
      <c r="F225" s="720">
        <v>0</v>
      </c>
      <c r="G225" s="721"/>
      <c r="H225" s="726"/>
      <c r="I225" s="722"/>
      <c r="J225" s="723"/>
      <c r="K225" s="719"/>
      <c r="L225" s="719" t="s">
        <v>241</v>
      </c>
      <c r="M225" s="719"/>
      <c r="N225" s="726" t="s">
        <v>696</v>
      </c>
      <c r="O225" s="726"/>
      <c r="P225" s="726"/>
      <c r="Q225" s="719">
        <v>0</v>
      </c>
      <c r="R225" s="719">
        <v>0</v>
      </c>
      <c r="S225" s="719"/>
      <c r="T225" s="719">
        <v>30</v>
      </c>
      <c r="U225" s="719"/>
      <c r="V225" s="719"/>
      <c r="W225" s="719">
        <v>1.1000000000000001</v>
      </c>
      <c r="X225" s="719"/>
      <c r="Y225" s="719"/>
      <c r="Z225" s="719"/>
      <c r="AA225" s="719"/>
      <c r="AB225" s="719"/>
      <c r="AC225" s="719" t="s">
        <v>2977</v>
      </c>
      <c r="AD225" s="719"/>
      <c r="AE225" s="719"/>
      <c r="AF225" s="719">
        <v>200</v>
      </c>
      <c r="AG225" s="1341">
        <v>35945.870000000003</v>
      </c>
      <c r="AH225" s="719">
        <v>1504</v>
      </c>
      <c r="AI225" s="719">
        <v>-4988</v>
      </c>
      <c r="AJ225" s="719" t="s">
        <v>2665</v>
      </c>
      <c r="AK225" s="719"/>
      <c r="AL225" s="719"/>
      <c r="AM225" s="719" t="s">
        <v>2608</v>
      </c>
      <c r="AN225" s="719">
        <v>5.25</v>
      </c>
      <c r="AO225" s="719"/>
      <c r="AP225" s="719"/>
      <c r="AQ225" s="724"/>
      <c r="AR225" s="724"/>
      <c r="AS225" s="724"/>
      <c r="AT225" s="724">
        <f>+ab($T$225,$T$223,$T$227,$G$224,$G$226,-1*$F$225,1200)</f>
        <v>7.9442083933778509</v>
      </c>
      <c r="AU225" s="724"/>
      <c r="AV225" s="724"/>
      <c r="AW225" s="719"/>
      <c r="AX225" s="719"/>
      <c r="AY225" s="719"/>
    </row>
    <row r="226" spans="1:51" ht="15.75" hidden="1" customHeight="1">
      <c r="A226" s="716"/>
      <c r="B226" s="717"/>
      <c r="C226" s="718"/>
      <c r="D226" s="719"/>
      <c r="E226" s="719"/>
      <c r="F226" s="720"/>
      <c r="G226" s="721">
        <v>50</v>
      </c>
      <c r="H226" s="726"/>
      <c r="I226" s="726"/>
      <c r="J226" s="727"/>
      <c r="K226" s="719"/>
      <c r="L226" s="719"/>
      <c r="M226" s="719"/>
      <c r="N226" s="726"/>
      <c r="O226" s="726"/>
      <c r="P226" s="726"/>
      <c r="Q226" s="719"/>
      <c r="R226" s="719"/>
      <c r="S226" s="719">
        <f t="shared" ref="S226" si="40">AG227-AG225</f>
        <v>52.860000000000582</v>
      </c>
      <c r="T226" s="719"/>
      <c r="U226" s="719"/>
      <c r="V226" s="719"/>
      <c r="W226" s="719"/>
      <c r="X226" s="719"/>
      <c r="Y226" s="719"/>
      <c r="Z226" s="719"/>
      <c r="AA226" s="719"/>
      <c r="AB226" s="719"/>
      <c r="AC226" s="719"/>
      <c r="AD226" s="719"/>
      <c r="AE226" s="719"/>
      <c r="AF226" s="719"/>
      <c r="AG226" s="1341" t="s">
        <v>723</v>
      </c>
      <c r="AH226" s="719" t="s">
        <v>723</v>
      </c>
      <c r="AI226" s="719" t="s">
        <v>723</v>
      </c>
      <c r="AJ226" s="719" t="s">
        <v>2976</v>
      </c>
      <c r="AK226" s="719"/>
      <c r="AL226" s="719"/>
      <c r="AM226" s="719"/>
      <c r="AN226" s="719"/>
      <c r="AO226" s="719"/>
      <c r="AP226" s="719"/>
      <c r="AQ226" s="724">
        <f>+FL_2($T$227,$T$225,$G$226,1200,9.28,-1*$F$227)</f>
        <v>-0.33477011200000001</v>
      </c>
      <c r="AR226" s="724"/>
      <c r="AS226" s="724"/>
      <c r="AT226" s="724"/>
      <c r="AU226" s="724"/>
      <c r="AV226" s="724"/>
      <c r="AW226" s="719"/>
      <c r="AX226" s="719"/>
      <c r="AY226" s="719"/>
    </row>
    <row r="227" spans="1:51" ht="15.75" hidden="1" customHeight="1">
      <c r="A227" s="716" t="s">
        <v>677</v>
      </c>
      <c r="B227" s="725" t="s">
        <v>1410</v>
      </c>
      <c r="C227" s="718">
        <f>+$C$225+$G$226</f>
        <v>35998</v>
      </c>
      <c r="D227" s="719"/>
      <c r="E227" s="719"/>
      <c r="F227" s="720">
        <v>0</v>
      </c>
      <c r="G227" s="721"/>
      <c r="H227" s="726"/>
      <c r="I227" s="726"/>
      <c r="J227" s="727"/>
      <c r="K227" s="719"/>
      <c r="L227" s="719" t="s">
        <v>241</v>
      </c>
      <c r="M227" s="719"/>
      <c r="N227" s="726" t="s">
        <v>695</v>
      </c>
      <c r="O227" s="726"/>
      <c r="P227" s="726"/>
      <c r="Q227" s="719">
        <v>0</v>
      </c>
      <c r="R227" s="719">
        <v>0</v>
      </c>
      <c r="S227" s="719"/>
      <c r="T227" s="719">
        <v>-30</v>
      </c>
      <c r="U227" s="719"/>
      <c r="V227" s="719"/>
      <c r="W227" s="719">
        <v>1.1000000000000001</v>
      </c>
      <c r="X227" s="719"/>
      <c r="Y227" s="719"/>
      <c r="Z227" s="719"/>
      <c r="AA227" s="719"/>
      <c r="AB227" s="719"/>
      <c r="AC227" s="719" t="s">
        <v>2977</v>
      </c>
      <c r="AD227" s="719"/>
      <c r="AE227" s="719"/>
      <c r="AF227" s="719">
        <v>200</v>
      </c>
      <c r="AG227" s="1341">
        <v>35998.730000000003</v>
      </c>
      <c r="AH227" s="719">
        <v>1479</v>
      </c>
      <c r="AI227" s="719">
        <v>-5031</v>
      </c>
      <c r="AJ227" s="719"/>
      <c r="AK227" s="719"/>
      <c r="AL227" s="719"/>
      <c r="AM227" s="719" t="s">
        <v>2608</v>
      </c>
      <c r="AN227" s="719">
        <v>5.25</v>
      </c>
      <c r="AO227" s="719"/>
      <c r="AP227" s="719"/>
      <c r="AQ227" s="724"/>
      <c r="AR227" s="724"/>
      <c r="AS227" s="724"/>
      <c r="AT227" s="724">
        <f>+ab($T$227,$T$225,$T$229,$G$226,$G$228,-1*$F$227,1200)</f>
        <v>-7.9442410717051439</v>
      </c>
      <c r="AU227" s="724"/>
      <c r="AV227" s="724"/>
      <c r="AW227" s="719"/>
      <c r="AX227" s="719"/>
      <c r="AY227" s="719"/>
    </row>
    <row r="228" spans="1:51" ht="15.75" hidden="1" customHeight="1">
      <c r="A228" s="716"/>
      <c r="B228" s="717"/>
      <c r="C228" s="718"/>
      <c r="D228" s="719"/>
      <c r="E228" s="719"/>
      <c r="F228" s="720"/>
      <c r="G228" s="721">
        <v>50</v>
      </c>
      <c r="H228" s="726"/>
      <c r="I228" s="726"/>
      <c r="J228" s="727"/>
      <c r="K228" s="719"/>
      <c r="L228" s="719"/>
      <c r="M228" s="719"/>
      <c r="N228" s="726"/>
      <c r="O228" s="726"/>
      <c r="P228" s="726"/>
      <c r="Q228" s="719"/>
      <c r="R228" s="719"/>
      <c r="S228" s="719">
        <f t="shared" ref="S228" si="41">AG229-AG227</f>
        <v>49.619999999995343</v>
      </c>
      <c r="T228" s="719"/>
      <c r="U228" s="719"/>
      <c r="V228" s="719"/>
      <c r="W228" s="719"/>
      <c r="X228" s="719"/>
      <c r="Y228" s="719"/>
      <c r="Z228" s="719"/>
      <c r="AA228" s="719"/>
      <c r="AB228" s="719"/>
      <c r="AC228" s="719"/>
      <c r="AD228" s="719"/>
      <c r="AE228" s="719"/>
      <c r="AF228" s="719"/>
      <c r="AG228" s="1341" t="s">
        <v>723</v>
      </c>
      <c r="AH228" s="719" t="s">
        <v>723</v>
      </c>
      <c r="AI228" s="719" t="s">
        <v>723</v>
      </c>
      <c r="AJ228" s="719"/>
      <c r="AK228" s="719"/>
      <c r="AL228" s="719"/>
      <c r="AM228" s="719"/>
      <c r="AN228" s="719"/>
      <c r="AO228" s="719"/>
      <c r="AP228" s="719"/>
      <c r="AQ228" s="724">
        <f>+FL_1($T$229,$T$227,$G$228,1200,9.28,-1*$F$229)</f>
        <v>0.33477011200000001</v>
      </c>
      <c r="AR228" s="724"/>
      <c r="AS228" s="724"/>
      <c r="AT228" s="724"/>
      <c r="AU228" s="724"/>
      <c r="AV228" s="724"/>
      <c r="AW228" s="719"/>
      <c r="AX228" s="719"/>
      <c r="AY228" s="719"/>
    </row>
    <row r="229" spans="1:51" ht="15.75" hidden="1" customHeight="1">
      <c r="A229" s="716" t="s">
        <v>677</v>
      </c>
      <c r="B229" s="725" t="s">
        <v>1411</v>
      </c>
      <c r="C229" s="718">
        <f>+$C$227+$G$228</f>
        <v>36048</v>
      </c>
      <c r="D229" s="719"/>
      <c r="E229" s="719"/>
      <c r="F229" s="720">
        <v>0</v>
      </c>
      <c r="G229" s="721"/>
      <c r="H229" s="726"/>
      <c r="I229" s="722"/>
      <c r="J229" s="723"/>
      <c r="K229" s="719"/>
      <c r="L229" s="719" t="s">
        <v>241</v>
      </c>
      <c r="M229" s="719"/>
      <c r="N229" s="726" t="s">
        <v>696</v>
      </c>
      <c r="O229" s="726"/>
      <c r="P229" s="726"/>
      <c r="Q229" s="719">
        <v>0</v>
      </c>
      <c r="R229" s="719">
        <v>0</v>
      </c>
      <c r="S229" s="719"/>
      <c r="T229" s="719">
        <v>30</v>
      </c>
      <c r="U229" s="719"/>
      <c r="V229" s="719"/>
      <c r="W229" s="719">
        <v>1.1000000000000001</v>
      </c>
      <c r="X229" s="719"/>
      <c r="Y229" s="719"/>
      <c r="Z229" s="719"/>
      <c r="AA229" s="719"/>
      <c r="AB229" s="719"/>
      <c r="AC229" s="719" t="s">
        <v>2977</v>
      </c>
      <c r="AD229" s="719"/>
      <c r="AE229" s="719"/>
      <c r="AF229" s="719">
        <v>200</v>
      </c>
      <c r="AG229" s="1341">
        <v>36048.35</v>
      </c>
      <c r="AH229" s="719">
        <v>1489</v>
      </c>
      <c r="AI229" s="719">
        <v>-5026</v>
      </c>
      <c r="AJ229" s="719"/>
      <c r="AK229" s="719"/>
      <c r="AL229" s="719"/>
      <c r="AM229" s="719" t="s">
        <v>2608</v>
      </c>
      <c r="AN229" s="719">
        <v>5.25</v>
      </c>
      <c r="AO229" s="719"/>
      <c r="AP229" s="719"/>
      <c r="AQ229" s="724"/>
      <c r="AR229" s="724"/>
      <c r="AS229" s="724"/>
      <c r="AT229" s="724">
        <f>+ab($T$229,$T$227,$T$231,$G$228,$G$230,-1*$F$229,1200)</f>
        <v>7.9442083933778509</v>
      </c>
      <c r="AU229" s="724"/>
      <c r="AV229" s="724"/>
      <c r="AW229" s="719"/>
      <c r="AX229" s="719"/>
      <c r="AY229" s="719"/>
    </row>
    <row r="230" spans="1:51" ht="15.75" hidden="1" customHeight="1">
      <c r="A230" s="716"/>
      <c r="B230" s="717"/>
      <c r="C230" s="718"/>
      <c r="D230" s="719"/>
      <c r="E230" s="719"/>
      <c r="F230" s="720"/>
      <c r="G230" s="721">
        <v>50</v>
      </c>
      <c r="H230" s="719"/>
      <c r="I230" s="722"/>
      <c r="J230" s="723"/>
      <c r="K230" s="719"/>
      <c r="L230" s="719"/>
      <c r="M230" s="719"/>
      <c r="N230" s="726"/>
      <c r="O230" s="726"/>
      <c r="P230" s="726"/>
      <c r="Q230" s="719"/>
      <c r="R230" s="719"/>
      <c r="S230" s="719">
        <f t="shared" ref="S230" si="42">AG231-AG229</f>
        <v>51.260000000002037</v>
      </c>
      <c r="T230" s="719"/>
      <c r="U230" s="719"/>
      <c r="V230" s="719"/>
      <c r="W230" s="719"/>
      <c r="X230" s="719"/>
      <c r="Y230" s="719"/>
      <c r="Z230" s="719"/>
      <c r="AA230" s="719"/>
      <c r="AB230" s="719"/>
      <c r="AC230" s="719"/>
      <c r="AD230" s="719"/>
      <c r="AE230" s="719"/>
      <c r="AF230" s="719"/>
      <c r="AG230" s="1341" t="s">
        <v>723</v>
      </c>
      <c r="AH230" s="719" t="s">
        <v>723</v>
      </c>
      <c r="AI230" s="719" t="s">
        <v>723</v>
      </c>
      <c r="AJ230" s="719"/>
      <c r="AK230" s="719"/>
      <c r="AL230" s="719"/>
      <c r="AM230" s="719"/>
      <c r="AN230" s="719"/>
      <c r="AO230" s="719"/>
      <c r="AP230" s="719"/>
      <c r="AQ230" s="724">
        <f>+FL_2($T$231,$T$229,$G$230,1200,9.28,-1*$F$231)</f>
        <v>-0.33477011200000001</v>
      </c>
      <c r="AR230" s="724"/>
      <c r="AS230" s="724"/>
      <c r="AT230" s="724"/>
      <c r="AU230" s="724"/>
      <c r="AV230" s="724"/>
      <c r="AW230" s="719"/>
      <c r="AX230" s="719"/>
      <c r="AY230" s="719"/>
    </row>
    <row r="231" spans="1:51" ht="15.75" hidden="1" customHeight="1">
      <c r="A231" s="716" t="s">
        <v>677</v>
      </c>
      <c r="B231" s="725" t="s">
        <v>1412</v>
      </c>
      <c r="C231" s="718">
        <f>+$C$229+$G$230</f>
        <v>36098</v>
      </c>
      <c r="D231" s="719"/>
      <c r="E231" s="719"/>
      <c r="F231" s="720">
        <v>0</v>
      </c>
      <c r="G231" s="721"/>
      <c r="H231" s="726"/>
      <c r="I231" s="722"/>
      <c r="J231" s="723"/>
      <c r="K231" s="719"/>
      <c r="L231" s="719" t="s">
        <v>241</v>
      </c>
      <c r="M231" s="719"/>
      <c r="N231" s="726" t="s">
        <v>695</v>
      </c>
      <c r="O231" s="726"/>
      <c r="P231" s="726"/>
      <c r="Q231" s="719">
        <v>0</v>
      </c>
      <c r="R231" s="719">
        <v>0</v>
      </c>
      <c r="S231" s="719"/>
      <c r="T231" s="719">
        <v>-30</v>
      </c>
      <c r="U231" s="719"/>
      <c r="V231" s="719"/>
      <c r="W231" s="719">
        <v>1.1000000000000001</v>
      </c>
      <c r="X231" s="719"/>
      <c r="Y231" s="719"/>
      <c r="Z231" s="719"/>
      <c r="AA231" s="719"/>
      <c r="AB231" s="719"/>
      <c r="AC231" s="719" t="s">
        <v>2977</v>
      </c>
      <c r="AD231" s="719"/>
      <c r="AE231" s="719"/>
      <c r="AF231" s="719">
        <v>200</v>
      </c>
      <c r="AG231" s="1341">
        <v>36099.61</v>
      </c>
      <c r="AH231" s="719">
        <v>1508</v>
      </c>
      <c r="AI231" s="719">
        <v>-5075</v>
      </c>
      <c r="AJ231" s="719"/>
      <c r="AK231" s="719"/>
      <c r="AL231" s="719"/>
      <c r="AM231" s="719" t="s">
        <v>2608</v>
      </c>
      <c r="AN231" s="719">
        <v>5.25</v>
      </c>
      <c r="AO231" s="719"/>
      <c r="AP231" s="719"/>
      <c r="AQ231" s="724"/>
      <c r="AR231" s="724"/>
      <c r="AS231" s="724"/>
      <c r="AT231" s="724">
        <f>+ab($T$231,$T$229,$T$233,$G$230,$G$232,-1*$F$231,1200)</f>
        <v>-7.9442410717051439</v>
      </c>
      <c r="AU231" s="724"/>
      <c r="AV231" s="724"/>
      <c r="AW231" s="719"/>
      <c r="AX231" s="719"/>
      <c r="AY231" s="719"/>
    </row>
    <row r="232" spans="1:51" ht="15.75" hidden="1" customHeight="1">
      <c r="A232" s="716"/>
      <c r="B232" s="717"/>
      <c r="C232" s="718"/>
      <c r="D232" s="719"/>
      <c r="E232" s="719"/>
      <c r="F232" s="720"/>
      <c r="G232" s="721">
        <v>50</v>
      </c>
      <c r="H232" s="726"/>
      <c r="I232" s="722"/>
      <c r="J232" s="723"/>
      <c r="K232" s="719"/>
      <c r="L232" s="719"/>
      <c r="M232" s="719"/>
      <c r="N232" s="726"/>
      <c r="O232" s="726"/>
      <c r="P232" s="731"/>
      <c r="Q232" s="719"/>
      <c r="R232" s="719"/>
      <c r="S232" s="719">
        <f t="shared" ref="S232" si="43">AG233-AG231</f>
        <v>49.659999999996217</v>
      </c>
      <c r="T232" s="719"/>
      <c r="U232" s="719"/>
      <c r="V232" s="719"/>
      <c r="W232" s="719"/>
      <c r="X232" s="719"/>
      <c r="Y232" s="719"/>
      <c r="Z232" s="719"/>
      <c r="AA232" s="719"/>
      <c r="AB232" s="719"/>
      <c r="AC232" s="719"/>
      <c r="AD232" s="719"/>
      <c r="AE232" s="719"/>
      <c r="AF232" s="719"/>
      <c r="AG232" s="1341" t="s">
        <v>723</v>
      </c>
      <c r="AH232" s="719" t="s">
        <v>723</v>
      </c>
      <c r="AI232" s="719" t="s">
        <v>723</v>
      </c>
      <c r="AJ232" s="719"/>
      <c r="AK232" s="719"/>
      <c r="AL232" s="719"/>
      <c r="AM232" s="719"/>
      <c r="AN232" s="719"/>
      <c r="AO232" s="719"/>
      <c r="AP232" s="719"/>
      <c r="AQ232" s="724">
        <f>+FL_1($T$233,$T$231,$G$232,1200,9.28,-1*$F$233)</f>
        <v>0.33477011200000001</v>
      </c>
      <c r="AR232" s="724"/>
      <c r="AS232" s="724"/>
      <c r="AT232" s="724"/>
      <c r="AU232" s="724"/>
      <c r="AV232" s="724"/>
      <c r="AW232" s="719"/>
      <c r="AX232" s="719"/>
      <c r="AY232" s="719"/>
    </row>
    <row r="233" spans="1:51" ht="15.75" customHeight="1">
      <c r="A233" s="716" t="s">
        <v>677</v>
      </c>
      <c r="B233" s="725" t="s">
        <v>1413</v>
      </c>
      <c r="C233" s="718">
        <f>+$C$231+$G$232</f>
        <v>36148</v>
      </c>
      <c r="D233" s="719"/>
      <c r="E233" s="719"/>
      <c r="F233" s="720">
        <v>0</v>
      </c>
      <c r="G233" s="721"/>
      <c r="H233" s="726" t="s">
        <v>1101</v>
      </c>
      <c r="I233" s="722"/>
      <c r="J233" s="723"/>
      <c r="K233" s="719"/>
      <c r="L233" s="719" t="s">
        <v>241</v>
      </c>
      <c r="M233" s="719"/>
      <c r="N233" s="726" t="s">
        <v>696</v>
      </c>
      <c r="O233" s="726"/>
      <c r="P233" s="731"/>
      <c r="Q233" s="719">
        <v>0</v>
      </c>
      <c r="R233" s="719">
        <v>0</v>
      </c>
      <c r="S233" s="719"/>
      <c r="T233" s="719">
        <v>30</v>
      </c>
      <c r="U233" s="719"/>
      <c r="V233" s="719"/>
      <c r="W233" s="719">
        <v>1.1000000000000001</v>
      </c>
      <c r="X233" s="719"/>
      <c r="Y233" s="719"/>
      <c r="Z233" s="719"/>
      <c r="AA233" s="719"/>
      <c r="AB233" s="719"/>
      <c r="AC233" s="719" t="s">
        <v>2977</v>
      </c>
      <c r="AD233" s="719"/>
      <c r="AE233" s="719"/>
      <c r="AF233" s="719">
        <v>200</v>
      </c>
      <c r="AG233" s="1341">
        <v>36149.269999999997</v>
      </c>
      <c r="AH233" s="719">
        <v>1487</v>
      </c>
      <c r="AI233" s="719">
        <v>-5055</v>
      </c>
      <c r="AJ233" s="719"/>
      <c r="AK233" s="719"/>
      <c r="AL233" s="719"/>
      <c r="AM233" s="719" t="s">
        <v>2608</v>
      </c>
      <c r="AN233" s="719">
        <v>5.25</v>
      </c>
      <c r="AO233" s="719"/>
      <c r="AP233" s="719"/>
      <c r="AQ233" s="724"/>
      <c r="AR233" s="724"/>
      <c r="AS233" s="724"/>
      <c r="AT233" s="724">
        <f>+ab($T$233,$T$231,$T$235,$G$232,$G$234,-1*$F$233,1200)</f>
        <v>7.9442083933778509</v>
      </c>
      <c r="AU233" s="724"/>
      <c r="AV233" s="724"/>
      <c r="AW233" s="719"/>
      <c r="AX233" s="719"/>
      <c r="AY233" s="719"/>
    </row>
    <row r="234" spans="1:51" ht="15.75" hidden="1" customHeight="1">
      <c r="A234" s="716"/>
      <c r="B234" s="717"/>
      <c r="C234" s="718"/>
      <c r="D234" s="719"/>
      <c r="E234" s="719"/>
      <c r="F234" s="720"/>
      <c r="G234" s="721">
        <v>50</v>
      </c>
      <c r="H234" s="726"/>
      <c r="I234" s="722">
        <f>+SUM(G218:G234)</f>
        <v>450</v>
      </c>
      <c r="J234" s="723">
        <f>C233+2.2</f>
        <v>36150.199999999997</v>
      </c>
      <c r="K234" s="719" t="s">
        <v>1102</v>
      </c>
      <c r="L234" s="719"/>
      <c r="M234" s="719"/>
      <c r="N234" s="726"/>
      <c r="O234" s="726"/>
      <c r="P234" s="731"/>
      <c r="Q234" s="719"/>
      <c r="R234" s="719"/>
      <c r="S234" s="719">
        <f t="shared" ref="S234" si="44">AG235-AG233</f>
        <v>48.130000000004657</v>
      </c>
      <c r="T234" s="719"/>
      <c r="U234" s="719"/>
      <c r="V234" s="719"/>
      <c r="W234" s="719"/>
      <c r="X234" s="719"/>
      <c r="Y234" s="719"/>
      <c r="Z234" s="719"/>
      <c r="AA234" s="719"/>
      <c r="AB234" s="719"/>
      <c r="AC234" s="719"/>
      <c r="AD234" s="719"/>
      <c r="AE234" s="719"/>
      <c r="AF234" s="719"/>
      <c r="AG234" s="1341" t="s">
        <v>723</v>
      </c>
      <c r="AH234" s="719" t="s">
        <v>723</v>
      </c>
      <c r="AI234" s="719" t="s">
        <v>723</v>
      </c>
      <c r="AJ234" s="719"/>
      <c r="AK234" s="719"/>
      <c r="AL234" s="719"/>
      <c r="AM234" s="719"/>
      <c r="AN234" s="719"/>
      <c r="AO234" s="719"/>
      <c r="AP234" s="719"/>
      <c r="AQ234" s="724">
        <f>+FL_2($T$235,$T$233,$G$234,1200,9.28,-1*$F$235)</f>
        <v>-0.33477011200000001</v>
      </c>
      <c r="AR234" s="724"/>
      <c r="AS234" s="724"/>
      <c r="AT234" s="724"/>
      <c r="AU234" s="724"/>
      <c r="AV234" s="724"/>
      <c r="AW234" s="719"/>
      <c r="AX234" s="719"/>
      <c r="AY234" s="719"/>
    </row>
    <row r="235" spans="1:51" ht="15.75" customHeight="1">
      <c r="A235" s="716" t="s">
        <v>677</v>
      </c>
      <c r="B235" s="725" t="s">
        <v>1414</v>
      </c>
      <c r="C235" s="718">
        <f>+$C$233+$G$234</f>
        <v>36198</v>
      </c>
      <c r="D235" s="719"/>
      <c r="E235" s="719"/>
      <c r="F235" s="720">
        <v>0</v>
      </c>
      <c r="G235" s="721"/>
      <c r="H235" s="726" t="s">
        <v>997</v>
      </c>
      <c r="I235" s="722"/>
      <c r="J235" s="723"/>
      <c r="K235" s="719"/>
      <c r="L235" s="719" t="s">
        <v>241</v>
      </c>
      <c r="M235" s="719"/>
      <c r="N235" s="726" t="s">
        <v>695</v>
      </c>
      <c r="O235" s="726"/>
      <c r="P235" s="731"/>
      <c r="Q235" s="719">
        <v>0</v>
      </c>
      <c r="R235" s="719">
        <v>0</v>
      </c>
      <c r="S235" s="719"/>
      <c r="T235" s="719">
        <v>-30</v>
      </c>
      <c r="U235" s="719"/>
      <c r="V235" s="719"/>
      <c r="W235" s="719">
        <v>1.1000000000000001</v>
      </c>
      <c r="X235" s="719"/>
      <c r="Y235" s="719"/>
      <c r="Z235" s="719"/>
      <c r="AA235" s="719"/>
      <c r="AB235" s="719"/>
      <c r="AC235" s="719" t="s">
        <v>2977</v>
      </c>
      <c r="AD235" s="719"/>
      <c r="AE235" s="719"/>
      <c r="AF235" s="719">
        <v>200</v>
      </c>
      <c r="AG235" s="1341">
        <v>36197.4</v>
      </c>
      <c r="AH235" s="719">
        <v>1500</v>
      </c>
      <c r="AI235" s="719">
        <v>-5069</v>
      </c>
      <c r="AJ235" s="719"/>
      <c r="AK235" s="719"/>
      <c r="AL235" s="719"/>
      <c r="AM235" s="719" t="s">
        <v>2608</v>
      </c>
      <c r="AN235" s="719">
        <v>5.25</v>
      </c>
      <c r="AO235" s="719"/>
      <c r="AP235" s="719"/>
      <c r="AQ235" s="724"/>
      <c r="AR235" s="724"/>
      <c r="AS235" s="724"/>
      <c r="AT235" s="724">
        <f>+ab($T$235,$T$233,$T$237,$G$234,$G$236,-1*$F$235,1200)</f>
        <v>-7.9442410717051439</v>
      </c>
      <c r="AU235" s="724"/>
      <c r="AV235" s="724"/>
      <c r="AW235" s="719"/>
      <c r="AX235" s="719"/>
      <c r="AY235" s="719"/>
    </row>
    <row r="236" spans="1:51" ht="15.75" hidden="1" customHeight="1">
      <c r="A236" s="716"/>
      <c r="B236" s="717"/>
      <c r="C236" s="718"/>
      <c r="D236" s="719"/>
      <c r="E236" s="719"/>
      <c r="F236" s="720"/>
      <c r="G236" s="721">
        <v>50</v>
      </c>
      <c r="H236" s="726"/>
      <c r="I236" s="722">
        <f>SUM(G236:G252)</f>
        <v>450</v>
      </c>
      <c r="J236" s="723">
        <f>C237-2.7</f>
        <v>36245.300000000003</v>
      </c>
      <c r="K236" s="719" t="s">
        <v>1102</v>
      </c>
      <c r="L236" s="719"/>
      <c r="M236" s="719"/>
      <c r="N236" s="726"/>
      <c r="O236" s="726"/>
      <c r="P236" s="731"/>
      <c r="Q236" s="719"/>
      <c r="R236" s="719"/>
      <c r="S236" s="719">
        <f t="shared" ref="S236" si="45">AG237-AG235</f>
        <v>49.680000000000291</v>
      </c>
      <c r="T236" s="719"/>
      <c r="U236" s="719"/>
      <c r="V236" s="719"/>
      <c r="W236" s="719"/>
      <c r="X236" s="719"/>
      <c r="Y236" s="719"/>
      <c r="Z236" s="719"/>
      <c r="AA236" s="719"/>
      <c r="AB236" s="719"/>
      <c r="AC236" s="719"/>
      <c r="AD236" s="719"/>
      <c r="AE236" s="719"/>
      <c r="AF236" s="719"/>
      <c r="AG236" s="1341" t="s">
        <v>723</v>
      </c>
      <c r="AH236" s="719" t="s">
        <v>723</v>
      </c>
      <c r="AI236" s="719" t="s">
        <v>723</v>
      </c>
      <c r="AJ236" s="719"/>
      <c r="AK236" s="719"/>
      <c r="AL236" s="719"/>
      <c r="AM236" s="719"/>
      <c r="AN236" s="719"/>
      <c r="AO236" s="719"/>
      <c r="AP236" s="719"/>
      <c r="AQ236" s="724">
        <f>+FL_1($T$237,$T$235,$G$236,1200,9.28,-1*$F$237)</f>
        <v>0.33477011200000001</v>
      </c>
      <c r="AR236" s="724"/>
      <c r="AS236" s="724"/>
      <c r="AT236" s="724"/>
      <c r="AU236" s="724"/>
      <c r="AV236" s="724"/>
      <c r="AW236" s="719"/>
      <c r="AX236" s="719"/>
      <c r="AY236" s="719"/>
    </row>
    <row r="237" spans="1:51" ht="15.75" customHeight="1">
      <c r="A237" s="716" t="s">
        <v>677</v>
      </c>
      <c r="B237" s="728" t="s">
        <v>1415</v>
      </c>
      <c r="C237" s="718">
        <f>+$C$235+$G$236</f>
        <v>36248</v>
      </c>
      <c r="D237" s="719"/>
      <c r="E237" s="719"/>
      <c r="F237" s="720">
        <v>0</v>
      </c>
      <c r="G237" s="721"/>
      <c r="H237" s="726" t="s">
        <v>1101</v>
      </c>
      <c r="I237" s="726"/>
      <c r="J237" s="723"/>
      <c r="K237" s="719"/>
      <c r="L237" s="719" t="s">
        <v>241</v>
      </c>
      <c r="M237" s="719"/>
      <c r="N237" s="726" t="s">
        <v>696</v>
      </c>
      <c r="O237" s="726"/>
      <c r="P237" s="731"/>
      <c r="Q237" s="719">
        <v>0</v>
      </c>
      <c r="R237" s="719">
        <v>0</v>
      </c>
      <c r="S237" s="719"/>
      <c r="T237" s="719">
        <v>30</v>
      </c>
      <c r="U237" s="719"/>
      <c r="V237" s="719"/>
      <c r="W237" s="719">
        <v>1.1000000000000001</v>
      </c>
      <c r="X237" s="719"/>
      <c r="Y237" s="719"/>
      <c r="Z237" s="719"/>
      <c r="AA237" s="719"/>
      <c r="AB237" s="719"/>
      <c r="AC237" s="719" t="s">
        <v>2977</v>
      </c>
      <c r="AD237" s="719"/>
      <c r="AE237" s="719"/>
      <c r="AF237" s="719">
        <v>200</v>
      </c>
      <c r="AG237" s="1341">
        <v>36247.08</v>
      </c>
      <c r="AH237" s="719">
        <v>1451</v>
      </c>
      <c r="AI237" s="719">
        <v>-5076</v>
      </c>
      <c r="AJ237" s="719"/>
      <c r="AK237" s="719"/>
      <c r="AL237" s="719"/>
      <c r="AM237" s="719" t="s">
        <v>2608</v>
      </c>
      <c r="AN237" s="719">
        <v>5.25</v>
      </c>
      <c r="AO237" s="719"/>
      <c r="AP237" s="719"/>
      <c r="AQ237" s="724"/>
      <c r="AR237" s="724"/>
      <c r="AS237" s="724"/>
      <c r="AT237" s="724">
        <f>+ab($T$237,$T$235,$T$239,$G$236,$G$238,-1*$F$237,1200)</f>
        <v>7.9442083933778509</v>
      </c>
      <c r="AU237" s="724"/>
      <c r="AV237" s="724"/>
      <c r="AW237" s="719"/>
      <c r="AX237" s="719"/>
      <c r="AY237" s="719"/>
    </row>
    <row r="238" spans="1:51" ht="15.75" hidden="1" customHeight="1">
      <c r="A238" s="716"/>
      <c r="B238" s="718"/>
      <c r="C238" s="718"/>
      <c r="D238" s="719"/>
      <c r="E238" s="719"/>
      <c r="F238" s="720"/>
      <c r="G238" s="721">
        <v>50</v>
      </c>
      <c r="H238" s="726"/>
      <c r="I238" s="726"/>
      <c r="J238" s="727"/>
      <c r="K238" s="719"/>
      <c r="L238" s="719"/>
      <c r="M238" s="730"/>
      <c r="N238" s="726"/>
      <c r="O238" s="726"/>
      <c r="P238" s="731"/>
      <c r="Q238" s="719"/>
      <c r="R238" s="719"/>
      <c r="S238" s="719">
        <f t="shared" ref="S238" si="46">AG239-AG237</f>
        <v>49.619999999995343</v>
      </c>
      <c r="T238" s="719"/>
      <c r="U238" s="719"/>
      <c r="V238" s="719"/>
      <c r="W238" s="719"/>
      <c r="X238" s="719"/>
      <c r="Y238" s="719"/>
      <c r="Z238" s="719"/>
      <c r="AA238" s="719"/>
      <c r="AB238" s="719"/>
      <c r="AC238" s="719"/>
      <c r="AD238" s="719"/>
      <c r="AE238" s="719"/>
      <c r="AF238" s="719"/>
      <c r="AG238" s="1341" t="s">
        <v>723</v>
      </c>
      <c r="AH238" s="719" t="s">
        <v>723</v>
      </c>
      <c r="AI238" s="719" t="s">
        <v>723</v>
      </c>
      <c r="AJ238" s="719"/>
      <c r="AK238" s="719"/>
      <c r="AL238" s="719"/>
      <c r="AM238" s="719"/>
      <c r="AN238" s="719"/>
      <c r="AO238" s="719"/>
      <c r="AP238" s="719"/>
      <c r="AQ238" s="724">
        <f>+FL_2($T$239,$T$237,$G$238,1200,9.28,-1*$F$239)</f>
        <v>-0.33477011200000001</v>
      </c>
      <c r="AR238" s="724"/>
      <c r="AS238" s="724"/>
      <c r="AT238" s="724"/>
      <c r="AU238" s="724"/>
      <c r="AV238" s="724"/>
      <c r="AW238" s="719"/>
      <c r="AX238" s="719"/>
      <c r="AY238" s="719"/>
    </row>
    <row r="239" spans="1:51" ht="15.75" hidden="1" customHeight="1">
      <c r="A239" s="716" t="s">
        <v>677</v>
      </c>
      <c r="B239" s="728" t="s">
        <v>1416</v>
      </c>
      <c r="C239" s="718">
        <f>+$C$237+$G$238</f>
        <v>36298</v>
      </c>
      <c r="D239" s="719"/>
      <c r="E239" s="719"/>
      <c r="F239" s="720">
        <v>0</v>
      </c>
      <c r="G239" s="721"/>
      <c r="H239" s="726"/>
      <c r="I239" s="726"/>
      <c r="J239" s="727"/>
      <c r="K239" s="719"/>
      <c r="L239" s="719" t="s">
        <v>241</v>
      </c>
      <c r="M239" s="730"/>
      <c r="N239" s="726" t="s">
        <v>695</v>
      </c>
      <c r="O239" s="726"/>
      <c r="P239" s="731"/>
      <c r="Q239" s="719">
        <v>0</v>
      </c>
      <c r="R239" s="719">
        <v>0</v>
      </c>
      <c r="S239" s="719"/>
      <c r="T239" s="719">
        <v>-30</v>
      </c>
      <c r="U239" s="719"/>
      <c r="V239" s="719"/>
      <c r="W239" s="719">
        <v>1.1000000000000001</v>
      </c>
      <c r="X239" s="719"/>
      <c r="Y239" s="719"/>
      <c r="Z239" s="719"/>
      <c r="AA239" s="719"/>
      <c r="AB239" s="719"/>
      <c r="AC239" s="719" t="s">
        <v>2977</v>
      </c>
      <c r="AD239" s="719"/>
      <c r="AE239" s="719"/>
      <c r="AF239" s="719">
        <v>200</v>
      </c>
      <c r="AG239" s="1341">
        <v>36296.699999999997</v>
      </c>
      <c r="AH239" s="719">
        <v>1481</v>
      </c>
      <c r="AI239" s="719">
        <v>-4999</v>
      </c>
      <c r="AJ239" s="719"/>
      <c r="AK239" s="719"/>
      <c r="AL239" s="719"/>
      <c r="AM239" s="719" t="s">
        <v>2608</v>
      </c>
      <c r="AN239" s="719">
        <v>5.25</v>
      </c>
      <c r="AO239" s="719"/>
      <c r="AP239" s="719"/>
      <c r="AQ239" s="724"/>
      <c r="AR239" s="724"/>
      <c r="AS239" s="724"/>
      <c r="AT239" s="724">
        <f>+ab($T$239,$T$237,$T$241,$G$238,$G$240,-1*$F$239,1200)</f>
        <v>-7.9442410717051439</v>
      </c>
      <c r="AU239" s="724"/>
      <c r="AV239" s="724"/>
      <c r="AW239" s="719"/>
      <c r="AX239" s="719"/>
      <c r="AY239" s="719"/>
    </row>
    <row r="240" spans="1:51" ht="15.75" hidden="1" customHeight="1">
      <c r="A240" s="716"/>
      <c r="B240" s="718"/>
      <c r="C240" s="718"/>
      <c r="D240" s="719"/>
      <c r="E240" s="719"/>
      <c r="F240" s="720"/>
      <c r="G240" s="721">
        <v>50</v>
      </c>
      <c r="H240" s="726"/>
      <c r="I240" s="726"/>
      <c r="J240" s="727"/>
      <c r="K240" s="719"/>
      <c r="L240" s="719"/>
      <c r="M240" s="730"/>
      <c r="N240" s="726"/>
      <c r="O240" s="726"/>
      <c r="P240" s="731"/>
      <c r="Q240" s="719"/>
      <c r="R240" s="719"/>
      <c r="S240" s="719">
        <f t="shared" ref="S240:S302" si="47">AG241-AG239</f>
        <v>49.630000000004657</v>
      </c>
      <c r="T240" s="719"/>
      <c r="U240" s="719"/>
      <c r="V240" s="719"/>
      <c r="W240" s="719"/>
      <c r="X240" s="719"/>
      <c r="Y240" s="719"/>
      <c r="Z240" s="719"/>
      <c r="AA240" s="719"/>
      <c r="AB240" s="719"/>
      <c r="AC240" s="719"/>
      <c r="AD240" s="719"/>
      <c r="AE240" s="719"/>
      <c r="AF240" s="719"/>
      <c r="AG240" s="1341" t="s">
        <v>723</v>
      </c>
      <c r="AH240" s="719" t="s">
        <v>723</v>
      </c>
      <c r="AI240" s="719" t="s">
        <v>723</v>
      </c>
      <c r="AJ240" s="719"/>
      <c r="AK240" s="719"/>
      <c r="AL240" s="719"/>
      <c r="AM240" s="719"/>
      <c r="AN240" s="719"/>
      <c r="AO240" s="719"/>
      <c r="AP240" s="719"/>
      <c r="AQ240" s="724">
        <f>+FL_1($T$241,$T$239,$G$240,1200,9.28,-1*$F$241)</f>
        <v>0.33477011200000001</v>
      </c>
      <c r="AR240" s="724"/>
      <c r="AS240" s="724"/>
      <c r="AT240" s="724"/>
      <c r="AU240" s="724"/>
      <c r="AV240" s="724"/>
      <c r="AW240" s="719"/>
      <c r="AX240" s="719"/>
      <c r="AY240" s="719"/>
    </row>
    <row r="241" spans="1:51" ht="15.75" hidden="1" customHeight="1">
      <c r="A241" s="716" t="s">
        <v>677</v>
      </c>
      <c r="B241" s="728" t="s">
        <v>1417</v>
      </c>
      <c r="C241" s="718">
        <f>+$C$239+$G$240</f>
        <v>36348</v>
      </c>
      <c r="D241" s="719"/>
      <c r="E241" s="719"/>
      <c r="F241" s="720">
        <v>0</v>
      </c>
      <c r="G241" s="721"/>
      <c r="H241" s="726"/>
      <c r="I241" s="726"/>
      <c r="J241" s="727"/>
      <c r="K241" s="719"/>
      <c r="L241" s="719" t="s">
        <v>241</v>
      </c>
      <c r="M241" s="730"/>
      <c r="N241" s="726" t="s">
        <v>696</v>
      </c>
      <c r="O241" s="726"/>
      <c r="P241" s="731"/>
      <c r="Q241" s="719">
        <v>0</v>
      </c>
      <c r="R241" s="719">
        <v>0</v>
      </c>
      <c r="S241" s="719"/>
      <c r="T241" s="719">
        <v>30</v>
      </c>
      <c r="U241" s="719"/>
      <c r="V241" s="719"/>
      <c r="W241" s="719">
        <v>1.1000000000000001</v>
      </c>
      <c r="X241" s="719"/>
      <c r="Y241" s="719"/>
      <c r="Z241" s="719"/>
      <c r="AA241" s="719"/>
      <c r="AB241" s="719"/>
      <c r="AC241" s="719" t="s">
        <v>2977</v>
      </c>
      <c r="AD241" s="719"/>
      <c r="AE241" s="719"/>
      <c r="AF241" s="719">
        <v>200</v>
      </c>
      <c r="AG241" s="1341">
        <v>36346.33</v>
      </c>
      <c r="AH241" s="719">
        <v>1497</v>
      </c>
      <c r="AI241" s="719">
        <v>-5047</v>
      </c>
      <c r="AJ241" s="719"/>
      <c r="AK241" s="719"/>
      <c r="AL241" s="719"/>
      <c r="AM241" s="719" t="s">
        <v>2608</v>
      </c>
      <c r="AN241" s="719">
        <v>5.25</v>
      </c>
      <c r="AO241" s="719"/>
      <c r="AP241" s="719"/>
      <c r="AQ241" s="724"/>
      <c r="AR241" s="724"/>
      <c r="AS241" s="724"/>
      <c r="AT241" s="724">
        <f>+ab($T$241,$T$239,$T$243,$G$240,$G$242,-1*$F$241,1200)</f>
        <v>7.9442083933778509</v>
      </c>
      <c r="AU241" s="724"/>
      <c r="AV241" s="724"/>
      <c r="AW241" s="719"/>
      <c r="AX241" s="719"/>
      <c r="AY241" s="719"/>
    </row>
    <row r="242" spans="1:51" ht="15.75" hidden="1" customHeight="1">
      <c r="A242" s="716"/>
      <c r="B242" s="718"/>
      <c r="C242" s="718"/>
      <c r="D242" s="719"/>
      <c r="E242" s="719"/>
      <c r="F242" s="720"/>
      <c r="G242" s="721">
        <v>50</v>
      </c>
      <c r="H242" s="726"/>
      <c r="I242" s="726"/>
      <c r="J242" s="727"/>
      <c r="K242" s="719"/>
      <c r="L242" s="719"/>
      <c r="M242" s="730"/>
      <c r="N242" s="726"/>
      <c r="O242" s="726"/>
      <c r="P242" s="731"/>
      <c r="Q242" s="719"/>
      <c r="R242" s="719"/>
      <c r="S242" s="719">
        <f t="shared" si="47"/>
        <v>51.189999999995052</v>
      </c>
      <c r="T242" s="719"/>
      <c r="U242" s="719"/>
      <c r="V242" s="719"/>
      <c r="W242" s="719"/>
      <c r="X242" s="719"/>
      <c r="Y242" s="719"/>
      <c r="Z242" s="719"/>
      <c r="AA242" s="719"/>
      <c r="AB242" s="719"/>
      <c r="AC242" s="719"/>
      <c r="AD242" s="719"/>
      <c r="AE242" s="719"/>
      <c r="AF242" s="719"/>
      <c r="AG242" s="1341"/>
      <c r="AH242" s="719"/>
      <c r="AI242" s="719"/>
      <c r="AJ242" s="719"/>
      <c r="AK242" s="719"/>
      <c r="AL242" s="719"/>
      <c r="AM242" s="719"/>
      <c r="AN242" s="719"/>
      <c r="AO242" s="719"/>
      <c r="AP242" s="719"/>
      <c r="AQ242" s="724">
        <f>+FL_2($T$243,$T$241,$G$242,1200,9.28,-1*$F$243)</f>
        <v>-0.33477011200000001</v>
      </c>
      <c r="AR242" s="724"/>
      <c r="AS242" s="724"/>
      <c r="AT242" s="724"/>
      <c r="AU242" s="724"/>
      <c r="AV242" s="724"/>
      <c r="AW242" s="719"/>
      <c r="AX242" s="719"/>
      <c r="AY242" s="719"/>
    </row>
    <row r="243" spans="1:51" ht="15.75" hidden="1" customHeight="1">
      <c r="A243" s="716" t="s">
        <v>677</v>
      </c>
      <c r="B243" s="728" t="s">
        <v>1418</v>
      </c>
      <c r="C243" s="718">
        <f>+$C$241+$G$242</f>
        <v>36398</v>
      </c>
      <c r="D243" s="719"/>
      <c r="E243" s="719"/>
      <c r="F243" s="720">
        <v>0</v>
      </c>
      <c r="G243" s="721"/>
      <c r="H243" s="726"/>
      <c r="I243" s="726"/>
      <c r="J243" s="723"/>
      <c r="K243" s="719"/>
      <c r="L243" s="719" t="s">
        <v>241</v>
      </c>
      <c r="M243" s="730"/>
      <c r="N243" s="726" t="s">
        <v>695</v>
      </c>
      <c r="O243" s="726"/>
      <c r="P243" s="731"/>
      <c r="Q243" s="719">
        <v>0</v>
      </c>
      <c r="R243" s="719">
        <v>0</v>
      </c>
      <c r="S243" s="719"/>
      <c r="T243" s="719">
        <v>-30</v>
      </c>
      <c r="U243" s="719"/>
      <c r="V243" s="719"/>
      <c r="W243" s="719">
        <v>1.1000000000000001</v>
      </c>
      <c r="X243" s="719"/>
      <c r="Y243" s="719"/>
      <c r="Z243" s="719"/>
      <c r="AA243" s="719"/>
      <c r="AB243" s="719"/>
      <c r="AC243" s="719" t="s">
        <v>2977</v>
      </c>
      <c r="AD243" s="719"/>
      <c r="AE243" s="719"/>
      <c r="AF243" s="719">
        <v>200</v>
      </c>
      <c r="AG243" s="1341">
        <v>36397.519999999997</v>
      </c>
      <c r="AH243" s="719">
        <v>1489</v>
      </c>
      <c r="AI243" s="719">
        <v>-5043</v>
      </c>
      <c r="AJ243" s="719"/>
      <c r="AK243" s="719"/>
      <c r="AL243" s="719"/>
      <c r="AM243" s="719" t="s">
        <v>2608</v>
      </c>
      <c r="AN243" s="719">
        <v>5.25</v>
      </c>
      <c r="AO243" s="719"/>
      <c r="AP243" s="719"/>
      <c r="AQ243" s="724"/>
      <c r="AR243" s="724"/>
      <c r="AS243" s="724"/>
      <c r="AT243" s="724">
        <f>+ab($T$243,$T$241,$T$245,$G$242,$G$244,-1*$F$243,1200)</f>
        <v>-7.9442410717051439</v>
      </c>
      <c r="AU243" s="724"/>
      <c r="AV243" s="724"/>
      <c r="AW243" s="719"/>
      <c r="AX243" s="719"/>
      <c r="AY243" s="719"/>
    </row>
    <row r="244" spans="1:51" ht="15.75" hidden="1" customHeight="1">
      <c r="A244" s="716"/>
      <c r="B244" s="718"/>
      <c r="C244" s="718"/>
      <c r="D244" s="719"/>
      <c r="E244" s="719"/>
      <c r="F244" s="720"/>
      <c r="G244" s="721">
        <v>50</v>
      </c>
      <c r="H244" s="719"/>
      <c r="I244" s="722"/>
      <c r="J244" s="723"/>
      <c r="K244" s="719"/>
      <c r="L244" s="719"/>
      <c r="M244" s="730"/>
      <c r="N244" s="726"/>
      <c r="O244" s="726"/>
      <c r="P244" s="731"/>
      <c r="Q244" s="719"/>
      <c r="R244" s="719"/>
      <c r="S244" s="719">
        <f t="shared" si="47"/>
        <v>51.260000000002037</v>
      </c>
      <c r="T244" s="719"/>
      <c r="U244" s="719"/>
      <c r="V244" s="719"/>
      <c r="W244" s="719"/>
      <c r="X244" s="719"/>
      <c r="Y244" s="719"/>
      <c r="Z244" s="719"/>
      <c r="AA244" s="719"/>
      <c r="AB244" s="719"/>
      <c r="AC244" s="719"/>
      <c r="AD244" s="719"/>
      <c r="AE244" s="719"/>
      <c r="AF244" s="719"/>
      <c r="AG244" s="1341"/>
      <c r="AH244" s="719"/>
      <c r="AI244" s="719"/>
      <c r="AJ244" s="719"/>
      <c r="AK244" s="719"/>
      <c r="AL244" s="719"/>
      <c r="AM244" s="719"/>
      <c r="AN244" s="719"/>
      <c r="AO244" s="719"/>
      <c r="AP244" s="719"/>
      <c r="AQ244" s="724">
        <f>+FL_1($T$245,$T$243,$G$244,1200,9.28,-1*$F$245)</f>
        <v>0.33477011200000001</v>
      </c>
      <c r="AR244" s="724"/>
      <c r="AS244" s="724"/>
      <c r="AT244" s="724"/>
      <c r="AU244" s="724"/>
      <c r="AV244" s="724"/>
      <c r="AW244" s="719"/>
      <c r="AX244" s="719"/>
      <c r="AY244" s="719"/>
    </row>
    <row r="245" spans="1:51" ht="15.75" hidden="1" customHeight="1">
      <c r="A245" s="716" t="s">
        <v>677</v>
      </c>
      <c r="B245" s="728" t="s">
        <v>1419</v>
      </c>
      <c r="C245" s="718">
        <f>+$C$243+$G$244</f>
        <v>36448</v>
      </c>
      <c r="D245" s="719"/>
      <c r="E245" s="719"/>
      <c r="F245" s="720">
        <v>0</v>
      </c>
      <c r="G245" s="721"/>
      <c r="H245" s="726"/>
      <c r="I245" s="722"/>
      <c r="J245" s="727"/>
      <c r="K245" s="719"/>
      <c r="L245" s="719" t="s">
        <v>241</v>
      </c>
      <c r="M245" s="730"/>
      <c r="N245" s="726" t="s">
        <v>696</v>
      </c>
      <c r="O245" s="726"/>
      <c r="P245" s="731"/>
      <c r="Q245" s="719">
        <v>0</v>
      </c>
      <c r="R245" s="719">
        <v>0</v>
      </c>
      <c r="S245" s="719"/>
      <c r="T245" s="719">
        <v>30</v>
      </c>
      <c r="U245" s="719"/>
      <c r="V245" s="719"/>
      <c r="W245" s="719">
        <v>1.1000000000000001</v>
      </c>
      <c r="X245" s="719"/>
      <c r="Y245" s="719"/>
      <c r="Z245" s="719"/>
      <c r="AA245" s="719"/>
      <c r="AB245" s="719"/>
      <c r="AC245" s="719" t="s">
        <v>2977</v>
      </c>
      <c r="AD245" s="719"/>
      <c r="AE245" s="719"/>
      <c r="AF245" s="719">
        <v>200</v>
      </c>
      <c r="AG245" s="1341">
        <v>36448.78</v>
      </c>
      <c r="AH245" s="719">
        <v>1486</v>
      </c>
      <c r="AI245" s="719">
        <v>-5021</v>
      </c>
      <c r="AJ245" s="719"/>
      <c r="AK245" s="719"/>
      <c r="AL245" s="719"/>
      <c r="AM245" s="719" t="s">
        <v>2608</v>
      </c>
      <c r="AN245" s="719">
        <v>5.25</v>
      </c>
      <c r="AO245" s="719"/>
      <c r="AP245" s="719"/>
      <c r="AQ245" s="724"/>
      <c r="AR245" s="724"/>
      <c r="AS245" s="724"/>
      <c r="AT245" s="724">
        <f>+ab($T$245,$T$243,$T$247,$G$244,$G$246,-1*$F$245,1200)</f>
        <v>7.9442083933778509</v>
      </c>
      <c r="AU245" s="724"/>
      <c r="AV245" s="724"/>
      <c r="AW245" s="719"/>
      <c r="AX245" s="719"/>
      <c r="AY245" s="719"/>
    </row>
    <row r="246" spans="1:51" ht="15.75" hidden="1" customHeight="1">
      <c r="A246" s="716"/>
      <c r="B246" s="718"/>
      <c r="C246" s="718"/>
      <c r="D246" s="719"/>
      <c r="E246" s="719"/>
      <c r="F246" s="720"/>
      <c r="G246" s="721">
        <v>50</v>
      </c>
      <c r="H246" s="726"/>
      <c r="I246" s="726"/>
      <c r="J246" s="727"/>
      <c r="K246" s="719"/>
      <c r="L246" s="719"/>
      <c r="M246" s="730"/>
      <c r="N246" s="726"/>
      <c r="O246" s="726"/>
      <c r="P246" s="731"/>
      <c r="Q246" s="719"/>
      <c r="R246" s="719"/>
      <c r="S246" s="719">
        <f t="shared" si="47"/>
        <v>48.05000000000291</v>
      </c>
      <c r="T246" s="719"/>
      <c r="U246" s="719"/>
      <c r="V246" s="719"/>
      <c r="W246" s="719"/>
      <c r="X246" s="719"/>
      <c r="Y246" s="719"/>
      <c r="Z246" s="719"/>
      <c r="AA246" s="719"/>
      <c r="AB246" s="719"/>
      <c r="AC246" s="719"/>
      <c r="AD246" s="719"/>
      <c r="AE246" s="719"/>
      <c r="AF246" s="719"/>
      <c r="AG246" s="1341"/>
      <c r="AH246" s="719"/>
      <c r="AI246" s="719"/>
      <c r="AJ246" s="719"/>
      <c r="AK246" s="719"/>
      <c r="AL246" s="719"/>
      <c r="AM246" s="719"/>
      <c r="AN246" s="719"/>
      <c r="AO246" s="719"/>
      <c r="AP246" s="719"/>
      <c r="AQ246" s="724">
        <f>+FL_1($T$247,$T$245,$G$246,1200,9.28,-1*$F$247)</f>
        <v>0.33477011200000012</v>
      </c>
      <c r="AR246" s="724"/>
      <c r="AS246" s="724"/>
      <c r="AT246" s="724"/>
      <c r="AU246" s="724"/>
      <c r="AV246" s="724"/>
      <c r="AW246" s="719"/>
      <c r="AX246" s="719"/>
      <c r="AY246" s="719"/>
    </row>
    <row r="247" spans="1:51" ht="15.75" hidden="1" customHeight="1">
      <c r="A247" s="716" t="s">
        <v>677</v>
      </c>
      <c r="B247" s="728" t="s">
        <v>1420</v>
      </c>
      <c r="C247" s="718">
        <f>+$C$245+$G$246</f>
        <v>36498</v>
      </c>
      <c r="D247" s="719"/>
      <c r="E247" s="719"/>
      <c r="F247" s="720">
        <v>0</v>
      </c>
      <c r="G247" s="721"/>
      <c r="H247" s="726" t="s">
        <v>138</v>
      </c>
      <c r="I247" s="722" t="s">
        <v>948</v>
      </c>
      <c r="J247" s="723"/>
      <c r="K247" s="719"/>
      <c r="L247" s="719" t="s">
        <v>241</v>
      </c>
      <c r="M247" s="719"/>
      <c r="N247" s="726" t="s">
        <v>695</v>
      </c>
      <c r="O247" s="726"/>
      <c r="P247" s="731"/>
      <c r="Q247" s="719">
        <v>0</v>
      </c>
      <c r="R247" s="719">
        <v>0</v>
      </c>
      <c r="S247" s="719"/>
      <c r="T247" s="719">
        <v>-30</v>
      </c>
      <c r="U247" s="719"/>
      <c r="V247" s="719"/>
      <c r="W247" s="719">
        <v>1.1000000000000001</v>
      </c>
      <c r="X247" s="719"/>
      <c r="Y247" s="719"/>
      <c r="Z247" s="719"/>
      <c r="AA247" s="719"/>
      <c r="AB247" s="719"/>
      <c r="AC247" s="719" t="s">
        <v>2612</v>
      </c>
      <c r="AD247" s="719"/>
      <c r="AE247" s="719"/>
      <c r="AF247" s="719">
        <v>200</v>
      </c>
      <c r="AG247" s="1341">
        <v>36496.83</v>
      </c>
      <c r="AH247" s="719">
        <v>1472</v>
      </c>
      <c r="AI247" s="719">
        <v>-5041</v>
      </c>
      <c r="AJ247" s="719"/>
      <c r="AK247" s="719"/>
      <c r="AL247" s="719"/>
      <c r="AM247" s="719" t="s">
        <v>2608</v>
      </c>
      <c r="AN247" s="719">
        <v>5.25</v>
      </c>
      <c r="AO247" s="719"/>
      <c r="AP247" s="719"/>
      <c r="AQ247" s="724"/>
      <c r="AR247" s="724"/>
      <c r="AS247" s="724"/>
      <c r="AT247" s="724">
        <f>+ab($T$247,$T$245,$T$249,$G$246,$G$248,-1*$F$247,1200)</f>
        <v>-8.2849467556123688</v>
      </c>
      <c r="AU247" s="724"/>
      <c r="AV247" s="724"/>
      <c r="AW247" s="719"/>
      <c r="AX247" s="719"/>
      <c r="AY247" s="719"/>
    </row>
    <row r="248" spans="1:51" ht="15.75" hidden="1" customHeight="1">
      <c r="A248" s="716"/>
      <c r="B248" s="718"/>
      <c r="C248" s="718"/>
      <c r="D248" s="719"/>
      <c r="E248" s="719"/>
      <c r="F248" s="720"/>
      <c r="G248" s="721">
        <v>50</v>
      </c>
      <c r="H248" s="726"/>
      <c r="I248" s="722"/>
      <c r="J248" s="723">
        <f>C247+10</f>
        <v>36508</v>
      </c>
      <c r="K248" s="719" t="s">
        <v>1097</v>
      </c>
      <c r="L248" s="719"/>
      <c r="M248" s="719"/>
      <c r="N248" s="726"/>
      <c r="O248" s="726"/>
      <c r="P248" s="731"/>
      <c r="Q248" s="719"/>
      <c r="R248" s="719"/>
      <c r="S248" s="719">
        <f>AG249-AG247</f>
        <v>49.669999999998254</v>
      </c>
      <c r="T248" s="719"/>
      <c r="U248" s="719"/>
      <c r="V248" s="719"/>
      <c r="W248" s="719"/>
      <c r="X248" s="719"/>
      <c r="Y248" s="719"/>
      <c r="Z248" s="719"/>
      <c r="AA248" s="719"/>
      <c r="AB248" s="719"/>
      <c r="AC248" s="719"/>
      <c r="AD248" s="719"/>
      <c r="AE248" s="719"/>
      <c r="AF248" s="719"/>
      <c r="AG248" s="1341"/>
      <c r="AH248" s="719"/>
      <c r="AI248" s="719"/>
      <c r="AJ248" s="719"/>
      <c r="AK248" s="719"/>
      <c r="AL248" s="719"/>
      <c r="AM248" s="719"/>
      <c r="AN248" s="719"/>
      <c r="AO248" s="719"/>
      <c r="AP248" s="719"/>
      <c r="AQ248" s="724">
        <f>+FL_2($U$249,$T$247,$G$248,1200,9.28,-1*$F$249)</f>
        <v>-0.39834769999999992</v>
      </c>
      <c r="AR248" s="724"/>
      <c r="AS248" s="724"/>
      <c r="AT248" s="724"/>
      <c r="AU248" s="724"/>
      <c r="AV248" s="724"/>
      <c r="AW248" s="719"/>
      <c r="AX248" s="719"/>
      <c r="AY248" s="719"/>
    </row>
    <row r="249" spans="1:51" ht="15.75" hidden="1" customHeight="1">
      <c r="A249" s="716" t="s">
        <v>677</v>
      </c>
      <c r="B249" s="728" t="s">
        <v>1421</v>
      </c>
      <c r="C249" s="718">
        <f>+$C$247+$G$248</f>
        <v>36548</v>
      </c>
      <c r="D249" s="719"/>
      <c r="E249" s="719"/>
      <c r="F249" s="720">
        <v>0</v>
      </c>
      <c r="G249" s="721"/>
      <c r="H249" s="726" t="s">
        <v>668</v>
      </c>
      <c r="I249" s="722"/>
      <c r="J249" s="723"/>
      <c r="K249" s="719"/>
      <c r="L249" s="719" t="s">
        <v>465</v>
      </c>
      <c r="M249" s="719"/>
      <c r="N249" s="726" t="s">
        <v>697</v>
      </c>
      <c r="O249" s="726" t="s">
        <v>696</v>
      </c>
      <c r="P249" s="731"/>
      <c r="Q249" s="719">
        <v>0</v>
      </c>
      <c r="R249" s="719">
        <v>0</v>
      </c>
      <c r="S249" s="719">
        <f>AG250-AG249</f>
        <v>3.2099999999991269</v>
      </c>
      <c r="T249" s="719">
        <v>25</v>
      </c>
      <c r="U249" s="719">
        <v>5</v>
      </c>
      <c r="V249" s="719"/>
      <c r="W249" s="719">
        <v>1.1000000000000001</v>
      </c>
      <c r="X249" s="719">
        <v>1.2</v>
      </c>
      <c r="Y249" s="719"/>
      <c r="Z249" s="719">
        <v>0.45</v>
      </c>
      <c r="AA249" s="719"/>
      <c r="AB249" s="719"/>
      <c r="AC249" s="719"/>
      <c r="AD249" s="719" t="s">
        <v>2616</v>
      </c>
      <c r="AE249" s="719"/>
      <c r="AF249" s="719">
        <v>200</v>
      </c>
      <c r="AG249" s="1341">
        <v>36546.5</v>
      </c>
      <c r="AH249" s="719">
        <v>1487</v>
      </c>
      <c r="AI249" s="719">
        <v>-5062</v>
      </c>
      <c r="AJ249" s="719"/>
      <c r="AK249" s="719"/>
      <c r="AL249" s="719"/>
      <c r="AM249" s="719" t="s">
        <v>2608</v>
      </c>
      <c r="AN249" s="719">
        <v>5.25</v>
      </c>
      <c r="AO249" s="719"/>
      <c r="AP249" s="719"/>
      <c r="AQ249" s="724"/>
      <c r="AR249" s="724"/>
      <c r="AS249" s="724"/>
      <c r="AT249" s="724">
        <f>+ab($U$249,$T$247,$U$251,$G$248,$G$250,-1*$F$249,1200)</f>
        <v>14.446766725215634</v>
      </c>
      <c r="AU249" s="724"/>
      <c r="AV249" s="724"/>
      <c r="AW249" s="719"/>
      <c r="AX249" s="719"/>
      <c r="AY249" s="719"/>
    </row>
    <row r="250" spans="1:51" ht="15.75" hidden="1" customHeight="1">
      <c r="A250" s="716"/>
      <c r="B250" s="718"/>
      <c r="C250" s="718"/>
      <c r="D250" s="719"/>
      <c r="E250" s="719"/>
      <c r="F250" s="720"/>
      <c r="G250" s="721">
        <v>50</v>
      </c>
      <c r="H250" s="726"/>
      <c r="I250" s="722"/>
      <c r="J250" s="723"/>
      <c r="K250" s="719"/>
      <c r="L250" s="719"/>
      <c r="M250" s="719"/>
      <c r="N250" s="726"/>
      <c r="O250" s="726"/>
      <c r="P250" s="731"/>
      <c r="Q250" s="719">
        <v>0</v>
      </c>
      <c r="R250" s="719">
        <v>0</v>
      </c>
      <c r="S250" s="719">
        <f t="shared" ref="S250" si="48">AG251-AG250</f>
        <v>48.040000000000873</v>
      </c>
      <c r="T250" s="719"/>
      <c r="U250" s="719"/>
      <c r="V250" s="719"/>
      <c r="W250" s="719"/>
      <c r="X250" s="719"/>
      <c r="Y250" s="719"/>
      <c r="Z250" s="719"/>
      <c r="AA250" s="719"/>
      <c r="AB250" s="719"/>
      <c r="AC250" s="719"/>
      <c r="AD250" s="719"/>
      <c r="AE250" s="719"/>
      <c r="AF250" s="719">
        <v>200</v>
      </c>
      <c r="AG250" s="1341">
        <v>36549.71</v>
      </c>
      <c r="AH250" s="719">
        <v>1481</v>
      </c>
      <c r="AI250" s="719">
        <v>-5040</v>
      </c>
      <c r="AJ250" s="719"/>
      <c r="AK250" s="719"/>
      <c r="AL250" s="719"/>
      <c r="AM250" s="719"/>
      <c r="AN250" s="719"/>
      <c r="AO250" s="719"/>
      <c r="AP250" s="719"/>
      <c r="AQ250" s="724">
        <f>+FL_2($T$251,$U$249,$G$250,1200,9.28,-1*$F$251)</f>
        <v>-0.24425286799999996</v>
      </c>
      <c r="AR250" s="724"/>
      <c r="AS250" s="724"/>
      <c r="AT250" s="724"/>
      <c r="AU250" s="724"/>
      <c r="AV250" s="724"/>
      <c r="AW250" s="719"/>
      <c r="AX250" s="719"/>
      <c r="AY250" s="719"/>
    </row>
    <row r="251" spans="1:51" ht="15.75" hidden="1" customHeight="1">
      <c r="A251" s="716" t="s">
        <v>677</v>
      </c>
      <c r="B251" s="728" t="s">
        <v>1422</v>
      </c>
      <c r="C251" s="718">
        <f>+$C$249+$G$250</f>
        <v>36598</v>
      </c>
      <c r="D251" s="719"/>
      <c r="E251" s="719"/>
      <c r="F251" s="720">
        <v>0</v>
      </c>
      <c r="G251" s="721"/>
      <c r="H251" s="726" t="s">
        <v>668</v>
      </c>
      <c r="I251" s="722"/>
      <c r="J251" s="723"/>
      <c r="K251" s="719"/>
      <c r="L251" s="719" t="s">
        <v>465</v>
      </c>
      <c r="M251" s="719"/>
      <c r="N251" s="726" t="s">
        <v>695</v>
      </c>
      <c r="O251" s="726" t="s">
        <v>697</v>
      </c>
      <c r="P251" s="731"/>
      <c r="Q251" s="719">
        <v>0</v>
      </c>
      <c r="R251" s="719">
        <v>0</v>
      </c>
      <c r="S251" s="719">
        <f>AG252-AG251</f>
        <v>3.1600000000034925</v>
      </c>
      <c r="T251" s="719">
        <v>-5</v>
      </c>
      <c r="U251" s="719">
        <v>-25</v>
      </c>
      <c r="V251" s="719"/>
      <c r="W251" s="719">
        <v>1.1000000000000001</v>
      </c>
      <c r="X251" s="719">
        <v>1.2</v>
      </c>
      <c r="Y251" s="719"/>
      <c r="Z251" s="719"/>
      <c r="AA251" s="719">
        <v>0.45</v>
      </c>
      <c r="AB251" s="719"/>
      <c r="AC251" s="719" t="s">
        <v>2612</v>
      </c>
      <c r="AD251" s="719"/>
      <c r="AE251" s="719"/>
      <c r="AF251" s="719">
        <v>200</v>
      </c>
      <c r="AG251" s="1341">
        <v>36597.75</v>
      </c>
      <c r="AH251" s="719">
        <v>1505</v>
      </c>
      <c r="AI251" s="719">
        <v>-5016</v>
      </c>
      <c r="AJ251" s="719"/>
      <c r="AK251" s="719"/>
      <c r="AL251" s="719"/>
      <c r="AM251" s="719" t="s">
        <v>2608</v>
      </c>
      <c r="AN251" s="719">
        <v>5.25</v>
      </c>
      <c r="AO251" s="719"/>
      <c r="AP251" s="719"/>
      <c r="AQ251" s="724"/>
      <c r="AR251" s="724"/>
      <c r="AS251" s="724"/>
      <c r="AT251" s="724">
        <f>+ab($T$251,$T$249,$T$253,$G$250,$G$252,-1*$F$251,1200)</f>
        <v>-14.446873203935258</v>
      </c>
      <c r="AU251" s="724"/>
      <c r="AV251" s="724"/>
      <c r="AW251" s="719"/>
      <c r="AX251" s="719"/>
      <c r="AY251" s="719"/>
    </row>
    <row r="252" spans="1:51" ht="15.75" hidden="1" customHeight="1">
      <c r="A252" s="716"/>
      <c r="B252" s="718"/>
      <c r="C252" s="718"/>
      <c r="D252" s="719"/>
      <c r="E252" s="719"/>
      <c r="F252" s="720"/>
      <c r="G252" s="721">
        <v>50</v>
      </c>
      <c r="H252" s="726"/>
      <c r="I252" s="722"/>
      <c r="J252" s="723">
        <f>C253-9.2</f>
        <v>36638.800000000003</v>
      </c>
      <c r="K252" s="719" t="s">
        <v>1097</v>
      </c>
      <c r="L252" s="719"/>
      <c r="M252" s="719"/>
      <c r="N252" s="726"/>
      <c r="O252" s="726"/>
      <c r="P252" s="731"/>
      <c r="Q252" s="719">
        <v>0</v>
      </c>
      <c r="R252" s="719">
        <v>0</v>
      </c>
      <c r="S252" s="719">
        <f>AG253-AG252</f>
        <v>48.029999999998836</v>
      </c>
      <c r="T252" s="719"/>
      <c r="U252" s="719"/>
      <c r="V252" s="719"/>
      <c r="W252" s="719"/>
      <c r="X252" s="719"/>
      <c r="Y252" s="719"/>
      <c r="Z252" s="719"/>
      <c r="AA252" s="719"/>
      <c r="AB252" s="719"/>
      <c r="AC252" s="719"/>
      <c r="AD252" s="719"/>
      <c r="AE252" s="719"/>
      <c r="AF252" s="719">
        <v>200</v>
      </c>
      <c r="AG252" s="1341">
        <v>36600.910000000003</v>
      </c>
      <c r="AH252" s="719">
        <v>1499</v>
      </c>
      <c r="AI252" s="719">
        <v>-5002</v>
      </c>
      <c r="AJ252" s="719"/>
      <c r="AK252" s="719"/>
      <c r="AL252" s="719"/>
      <c r="AM252" s="719"/>
      <c r="AN252" s="719"/>
      <c r="AO252" s="719"/>
      <c r="AP252" s="719"/>
      <c r="AQ252" s="724">
        <f>+FL_1($T$253,$T$251,$G$252,1200,9.28,-1*$F$253)</f>
        <v>0.36774227114500113</v>
      </c>
      <c r="AR252" s="724"/>
      <c r="AS252" s="724"/>
      <c r="AT252" s="724"/>
      <c r="AU252" s="724"/>
      <c r="AV252" s="724"/>
      <c r="AW252" s="719"/>
      <c r="AX252" s="719"/>
      <c r="AY252" s="719"/>
    </row>
    <row r="253" spans="1:51" ht="15.75" hidden="1" customHeight="1">
      <c r="A253" s="716" t="s">
        <v>677</v>
      </c>
      <c r="B253" s="725" t="s">
        <v>1423</v>
      </c>
      <c r="C253" s="718">
        <f>+$C$251+$G$252</f>
        <v>36648</v>
      </c>
      <c r="D253" s="719"/>
      <c r="E253" s="719"/>
      <c r="F253" s="720">
        <f>-475000/(C253-36593)</f>
        <v>-8636.363636363636</v>
      </c>
      <c r="G253" s="721"/>
      <c r="H253" s="726" t="s">
        <v>138</v>
      </c>
      <c r="I253" s="722" t="s">
        <v>948</v>
      </c>
      <c r="J253" s="723"/>
      <c r="K253" s="719"/>
      <c r="L253" s="719" t="s">
        <v>241</v>
      </c>
      <c r="M253" s="719"/>
      <c r="N253" s="726" t="s">
        <v>696</v>
      </c>
      <c r="O253" s="726"/>
      <c r="P253" s="731"/>
      <c r="Q253" s="719">
        <v>20</v>
      </c>
      <c r="R253" s="719">
        <v>-8477.16</v>
      </c>
      <c r="S253" s="719"/>
      <c r="T253" s="719">
        <v>30</v>
      </c>
      <c r="U253" s="719"/>
      <c r="V253" s="719"/>
      <c r="W253" s="719">
        <v>1.1000000000000001</v>
      </c>
      <c r="X253" s="719"/>
      <c r="Y253" s="719"/>
      <c r="Z253" s="719"/>
      <c r="AA253" s="719"/>
      <c r="AB253" s="719"/>
      <c r="AC253" s="719" t="s">
        <v>2612</v>
      </c>
      <c r="AD253" s="719"/>
      <c r="AE253" s="719"/>
      <c r="AF253" s="719">
        <v>200</v>
      </c>
      <c r="AG253" s="1341">
        <v>36648.94</v>
      </c>
      <c r="AH253" s="719">
        <v>1495</v>
      </c>
      <c r="AI253" s="719">
        <v>-5056</v>
      </c>
      <c r="AJ253" s="719"/>
      <c r="AK253" s="719"/>
      <c r="AL253" s="719"/>
      <c r="AM253" s="719" t="s">
        <v>2608</v>
      </c>
      <c r="AN253" s="719">
        <v>5.25</v>
      </c>
      <c r="AO253" s="719"/>
      <c r="AP253" s="719"/>
      <c r="AQ253" s="724"/>
      <c r="AR253" s="724"/>
      <c r="AS253" s="724"/>
      <c r="AT253" s="724">
        <f>+ab($T$253,$T$251,$T$255,$G$252,$G$254,-1*$F$253,1200)</f>
        <v>13.651542658953357</v>
      </c>
      <c r="AU253" s="724"/>
      <c r="AV253" s="724"/>
      <c r="AW253" s="719"/>
      <c r="AX253" s="719"/>
      <c r="AY253" s="719"/>
    </row>
    <row r="254" spans="1:51" ht="15.75" hidden="1" customHeight="1">
      <c r="A254" s="716"/>
      <c r="B254" s="717"/>
      <c r="C254" s="718"/>
      <c r="D254" s="719"/>
      <c r="E254" s="719"/>
      <c r="F254" s="720"/>
      <c r="G254" s="721">
        <v>50</v>
      </c>
      <c r="H254" s="719"/>
      <c r="I254" s="722"/>
      <c r="J254" s="723"/>
      <c r="K254" s="719"/>
      <c r="L254" s="719"/>
      <c r="M254" s="719"/>
      <c r="N254" s="726"/>
      <c r="O254" s="726"/>
      <c r="P254" s="731"/>
      <c r="Q254" s="719"/>
      <c r="R254" s="719"/>
      <c r="S254" s="719">
        <f t="shared" si="47"/>
        <v>49.619999999995343</v>
      </c>
      <c r="T254" s="719"/>
      <c r="U254" s="719"/>
      <c r="V254" s="719"/>
      <c r="W254" s="719"/>
      <c r="X254" s="719"/>
      <c r="Y254" s="719"/>
      <c r="Z254" s="719"/>
      <c r="AA254" s="719"/>
      <c r="AB254" s="719"/>
      <c r="AC254" s="719"/>
      <c r="AD254" s="719"/>
      <c r="AE254" s="719"/>
      <c r="AF254" s="719"/>
      <c r="AG254" s="1341"/>
      <c r="AH254" s="719"/>
      <c r="AI254" s="719"/>
      <c r="AJ254" s="719"/>
      <c r="AK254" s="719"/>
      <c r="AL254" s="719"/>
      <c r="AM254" s="719"/>
      <c r="AN254" s="719"/>
      <c r="AO254" s="719"/>
      <c r="AP254" s="719"/>
      <c r="AQ254" s="724">
        <f>+FL_1($T$255,$T$253,$G$254,1200,9.28,-1*$F$255)</f>
        <v>0.44849253398111122</v>
      </c>
      <c r="AR254" s="724"/>
      <c r="AS254" s="724"/>
      <c r="AT254" s="724"/>
      <c r="AU254" s="724"/>
      <c r="AV254" s="724"/>
      <c r="AW254" s="719"/>
      <c r="AX254" s="719"/>
      <c r="AY254" s="719"/>
    </row>
    <row r="255" spans="1:51" ht="15.75" hidden="1" customHeight="1">
      <c r="A255" s="716" t="s">
        <v>677</v>
      </c>
      <c r="B255" s="725" t="s">
        <v>1424</v>
      </c>
      <c r="C255" s="718">
        <f>+$C$253+$G$254</f>
        <v>36698</v>
      </c>
      <c r="D255" s="719"/>
      <c r="E255" s="719"/>
      <c r="F255" s="720">
        <f>-475000/(C255-36593)</f>
        <v>-4523.8095238095239</v>
      </c>
      <c r="G255" s="721"/>
      <c r="H255" s="726"/>
      <c r="I255" s="722"/>
      <c r="J255" s="723"/>
      <c r="K255" s="719"/>
      <c r="L255" s="719" t="s">
        <v>241</v>
      </c>
      <c r="M255" s="719"/>
      <c r="N255" s="726" t="s">
        <v>696</v>
      </c>
      <c r="O255" s="726"/>
      <c r="P255" s="731"/>
      <c r="Q255" s="719">
        <v>40</v>
      </c>
      <c r="R255" s="719">
        <v>-4521.1499999999996</v>
      </c>
      <c r="S255" s="719"/>
      <c r="T255" s="719">
        <v>25</v>
      </c>
      <c r="U255" s="719"/>
      <c r="V255" s="719"/>
      <c r="W255" s="719">
        <v>1.1000000000000001</v>
      </c>
      <c r="X255" s="719"/>
      <c r="Y255" s="719"/>
      <c r="Z255" s="719"/>
      <c r="AA255" s="719"/>
      <c r="AB255" s="719"/>
      <c r="AC255" s="719" t="s">
        <v>2612</v>
      </c>
      <c r="AD255" s="719"/>
      <c r="AE255" s="719"/>
      <c r="AF255" s="719">
        <v>200</v>
      </c>
      <c r="AG255" s="1341">
        <v>36698.559999999998</v>
      </c>
      <c r="AH255" s="719">
        <v>1463</v>
      </c>
      <c r="AI255" s="719">
        <v>-5093</v>
      </c>
      <c r="AJ255" s="719"/>
      <c r="AK255" s="719"/>
      <c r="AL255" s="719"/>
      <c r="AM255" s="719" t="s">
        <v>2608</v>
      </c>
      <c r="AN255" s="719">
        <v>5.25</v>
      </c>
      <c r="AO255" s="719"/>
      <c r="AP255" s="719"/>
      <c r="AQ255" s="724"/>
      <c r="AR255" s="724"/>
      <c r="AS255" s="724"/>
      <c r="AT255" s="724">
        <f>+ab($T$255,$T$253,$T$257,$G$254,$G$256,-1*$F$255,1200)</f>
        <v>16.857810343878889</v>
      </c>
      <c r="AU255" s="724"/>
      <c r="AV255" s="724"/>
      <c r="AW255" s="719"/>
      <c r="AX255" s="719"/>
      <c r="AY255" s="719"/>
    </row>
    <row r="256" spans="1:51" ht="15.75" hidden="1" customHeight="1">
      <c r="A256" s="716"/>
      <c r="B256" s="717"/>
      <c r="C256" s="718"/>
      <c r="D256" s="719"/>
      <c r="E256" s="719"/>
      <c r="F256" s="720"/>
      <c r="G256" s="721">
        <v>50</v>
      </c>
      <c r="H256" s="726"/>
      <c r="I256" s="722"/>
      <c r="J256" s="723"/>
      <c r="K256" s="719"/>
      <c r="L256" s="719"/>
      <c r="M256" s="719"/>
      <c r="N256" s="726"/>
      <c r="O256" s="726"/>
      <c r="P256" s="731"/>
      <c r="Q256" s="719"/>
      <c r="R256" s="719"/>
      <c r="S256" s="719">
        <f t="shared" si="47"/>
        <v>47.990000000005239</v>
      </c>
      <c r="T256" s="719"/>
      <c r="U256" s="719"/>
      <c r="V256" s="719"/>
      <c r="W256" s="719"/>
      <c r="X256" s="719"/>
      <c r="Y256" s="719"/>
      <c r="Z256" s="719"/>
      <c r="AA256" s="719"/>
      <c r="AB256" s="719"/>
      <c r="AC256" s="719"/>
      <c r="AD256" s="719"/>
      <c r="AE256" s="719"/>
      <c r="AF256" s="719"/>
      <c r="AG256" s="1341"/>
      <c r="AH256" s="719"/>
      <c r="AI256" s="719"/>
      <c r="AJ256" s="719"/>
      <c r="AK256" s="719"/>
      <c r="AL256" s="719"/>
      <c r="AM256" s="719"/>
      <c r="AN256" s="719"/>
      <c r="AO256" s="719"/>
      <c r="AP256" s="719"/>
      <c r="AQ256" s="724">
        <f>+FL_1($T$257,$T$255,$G$256,1200,9.28,-1*$F$257)</f>
        <v>0.36580983530001132</v>
      </c>
      <c r="AR256" s="724"/>
      <c r="AS256" s="724"/>
      <c r="AT256" s="724"/>
      <c r="AU256" s="724"/>
      <c r="AV256" s="724"/>
      <c r="AW256" s="719"/>
      <c r="AX256" s="719"/>
      <c r="AY256" s="719"/>
    </row>
    <row r="257" spans="1:51" ht="15.75" hidden="1" customHeight="1">
      <c r="A257" s="716" t="s">
        <v>677</v>
      </c>
      <c r="B257" s="725" t="s">
        <v>1425</v>
      </c>
      <c r="C257" s="718">
        <f>+$C$255+$G$256</f>
        <v>36748</v>
      </c>
      <c r="D257" s="719"/>
      <c r="E257" s="719"/>
      <c r="F257" s="720">
        <f>-475000/(C257-36593)</f>
        <v>-3064.516129032258</v>
      </c>
      <c r="G257" s="721"/>
      <c r="H257" s="726"/>
      <c r="I257" s="722"/>
      <c r="J257" s="723"/>
      <c r="K257" s="719"/>
      <c r="L257" s="719" t="s">
        <v>241</v>
      </c>
      <c r="M257" s="719"/>
      <c r="N257" s="726" t="s">
        <v>696</v>
      </c>
      <c r="O257" s="726"/>
      <c r="P257" s="731"/>
      <c r="Q257" s="719">
        <v>60</v>
      </c>
      <c r="R257" s="719">
        <v>-3062.72</v>
      </c>
      <c r="S257" s="719"/>
      <c r="T257" s="719">
        <v>20</v>
      </c>
      <c r="U257" s="719"/>
      <c r="V257" s="719"/>
      <c r="W257" s="719">
        <v>1.1000000000000001</v>
      </c>
      <c r="X257" s="719"/>
      <c r="Y257" s="719"/>
      <c r="Z257" s="719"/>
      <c r="AA257" s="719"/>
      <c r="AB257" s="719"/>
      <c r="AC257" s="719" t="s">
        <v>2612</v>
      </c>
      <c r="AD257" s="719"/>
      <c r="AE257" s="719"/>
      <c r="AF257" s="719">
        <v>200</v>
      </c>
      <c r="AG257" s="1341">
        <v>36746.550000000003</v>
      </c>
      <c r="AH257" s="719">
        <v>1478</v>
      </c>
      <c r="AI257" s="719">
        <v>-5102</v>
      </c>
      <c r="AJ257" s="719"/>
      <c r="AK257" s="719"/>
      <c r="AL257" s="719"/>
      <c r="AM257" s="719" t="s">
        <v>2608</v>
      </c>
      <c r="AN257" s="719">
        <v>5.25</v>
      </c>
      <c r="AO257" s="719"/>
      <c r="AP257" s="719"/>
      <c r="AQ257" s="724"/>
      <c r="AR257" s="724"/>
      <c r="AS257" s="724"/>
      <c r="AT257" s="724">
        <f>+ab($T$257,$T$255,$T$259,$G$256,$G$258,-1*$F$257,1200)</f>
        <v>14.118063984765284</v>
      </c>
      <c r="AU257" s="724"/>
      <c r="AV257" s="724"/>
      <c r="AW257" s="719"/>
      <c r="AX257" s="719"/>
      <c r="AY257" s="719"/>
    </row>
    <row r="258" spans="1:51" ht="15.75" hidden="1" customHeight="1">
      <c r="A258" s="716"/>
      <c r="B258" s="717"/>
      <c r="C258" s="718"/>
      <c r="D258" s="719"/>
      <c r="E258" s="719"/>
      <c r="F258" s="720"/>
      <c r="G258" s="721">
        <v>50</v>
      </c>
      <c r="H258" s="726"/>
      <c r="I258" s="722"/>
      <c r="J258" s="723"/>
      <c r="K258" s="719"/>
      <c r="L258" s="719"/>
      <c r="M258" s="719"/>
      <c r="N258" s="726"/>
      <c r="O258" s="726"/>
      <c r="P258" s="731"/>
      <c r="Q258" s="719"/>
      <c r="R258" s="719"/>
      <c r="S258" s="719">
        <f t="shared" si="47"/>
        <v>49.649999999994179</v>
      </c>
      <c r="T258" s="719"/>
      <c r="U258" s="719"/>
      <c r="V258" s="719"/>
      <c r="W258" s="719"/>
      <c r="X258" s="719"/>
      <c r="Y258" s="719"/>
      <c r="Z258" s="719"/>
      <c r="AA258" s="719"/>
      <c r="AB258" s="719"/>
      <c r="AC258" s="719"/>
      <c r="AD258" s="719"/>
      <c r="AE258" s="719"/>
      <c r="AF258" s="719"/>
      <c r="AG258" s="1341"/>
      <c r="AH258" s="719"/>
      <c r="AI258" s="719"/>
      <c r="AJ258" s="719"/>
      <c r="AK258" s="719"/>
      <c r="AL258" s="719"/>
      <c r="AM258" s="719"/>
      <c r="AN258" s="719"/>
      <c r="AO258" s="719"/>
      <c r="AP258" s="719"/>
      <c r="AQ258" s="724">
        <f>+FL_1($T$259,$T$257,$G$258,1200,9.28,-1*$F$259)</f>
        <v>0.37202096355734837</v>
      </c>
      <c r="AR258" s="724"/>
      <c r="AS258" s="724"/>
      <c r="AT258" s="724"/>
      <c r="AU258" s="724"/>
      <c r="AV258" s="724"/>
      <c r="AW258" s="719"/>
      <c r="AX258" s="719"/>
      <c r="AY258" s="719"/>
    </row>
    <row r="259" spans="1:51" ht="15.75" hidden="1" customHeight="1">
      <c r="A259" s="716" t="s">
        <v>677</v>
      </c>
      <c r="B259" s="725" t="s">
        <v>1426</v>
      </c>
      <c r="C259" s="718">
        <f>+$C$257+$G$258</f>
        <v>36798</v>
      </c>
      <c r="D259" s="719"/>
      <c r="E259" s="719">
        <v>-70</v>
      </c>
      <c r="F259" s="720">
        <v>-2500</v>
      </c>
      <c r="G259" s="721"/>
      <c r="H259" s="726"/>
      <c r="I259" s="722"/>
      <c r="J259" s="723"/>
      <c r="K259" s="719"/>
      <c r="L259" s="719" t="s">
        <v>241</v>
      </c>
      <c r="M259" s="719"/>
      <c r="N259" s="726" t="s">
        <v>696</v>
      </c>
      <c r="O259" s="726"/>
      <c r="P259" s="731"/>
      <c r="Q259" s="719">
        <v>70</v>
      </c>
      <c r="R259" s="719">
        <v>-2500</v>
      </c>
      <c r="S259" s="719"/>
      <c r="T259" s="719">
        <v>30</v>
      </c>
      <c r="U259" s="719"/>
      <c r="V259" s="719"/>
      <c r="W259" s="719">
        <v>1.1000000000000001</v>
      </c>
      <c r="X259" s="719"/>
      <c r="Y259" s="719"/>
      <c r="Z259" s="719"/>
      <c r="AA259" s="719"/>
      <c r="AB259" s="719"/>
      <c r="AC259" s="719" t="s">
        <v>2612</v>
      </c>
      <c r="AD259" s="719"/>
      <c r="AE259" s="719"/>
      <c r="AF259" s="719">
        <v>200</v>
      </c>
      <c r="AG259" s="1341">
        <v>36796.199999999997</v>
      </c>
      <c r="AH259" s="719">
        <v>1514</v>
      </c>
      <c r="AI259" s="719">
        <v>-5058</v>
      </c>
      <c r="AJ259" s="719"/>
      <c r="AK259" s="719"/>
      <c r="AL259" s="719"/>
      <c r="AM259" s="719" t="s">
        <v>2608</v>
      </c>
      <c r="AN259" s="719">
        <v>5.25</v>
      </c>
      <c r="AO259" s="719"/>
      <c r="AP259" s="719"/>
      <c r="AQ259" s="724"/>
      <c r="AR259" s="724"/>
      <c r="AS259" s="724"/>
      <c r="AT259" s="724">
        <f>+ab($T$259,$T$257,$T$261,$G$258,$G$260,-1*$F$259,1200)</f>
        <v>8.6559338435976301</v>
      </c>
      <c r="AU259" s="724"/>
      <c r="AV259" s="724"/>
      <c r="AW259" s="719"/>
      <c r="AX259" s="719"/>
      <c r="AY259" s="719"/>
    </row>
    <row r="260" spans="1:51" ht="15.75" hidden="1" customHeight="1">
      <c r="A260" s="716"/>
      <c r="B260" s="717"/>
      <c r="C260" s="718"/>
      <c r="D260" s="719"/>
      <c r="E260" s="719"/>
      <c r="F260" s="720"/>
      <c r="G260" s="721">
        <v>50</v>
      </c>
      <c r="H260" s="726"/>
      <c r="I260" s="722"/>
      <c r="J260" s="723"/>
      <c r="K260" s="719"/>
      <c r="L260" s="719"/>
      <c r="M260" s="719"/>
      <c r="N260" s="726"/>
      <c r="O260" s="726"/>
      <c r="P260" s="731"/>
      <c r="Q260" s="719"/>
      <c r="R260" s="719"/>
      <c r="S260" s="719">
        <f t="shared" si="47"/>
        <v>49.760000000002037</v>
      </c>
      <c r="T260" s="719"/>
      <c r="U260" s="719"/>
      <c r="V260" s="719"/>
      <c r="W260" s="719"/>
      <c r="X260" s="719"/>
      <c r="Y260" s="719"/>
      <c r="Z260" s="719"/>
      <c r="AA260" s="719"/>
      <c r="AB260" s="719"/>
      <c r="AC260" s="719"/>
      <c r="AD260" s="719"/>
      <c r="AE260" s="719"/>
      <c r="AF260" s="719"/>
      <c r="AG260" s="1341"/>
      <c r="AH260" s="719"/>
      <c r="AI260" s="719"/>
      <c r="AJ260" s="719"/>
      <c r="AK260" s="719"/>
      <c r="AL260" s="719"/>
      <c r="AM260" s="719"/>
      <c r="AN260" s="719"/>
      <c r="AO260" s="719"/>
      <c r="AP260" s="719"/>
      <c r="AQ260" s="724">
        <f>+FL_1($T$261,$T$259,$G$260,1200,9.28,-1*$F$261)</f>
        <v>0.41666354151053986</v>
      </c>
      <c r="AR260" s="724"/>
      <c r="AS260" s="724"/>
      <c r="AT260" s="724"/>
      <c r="AU260" s="724"/>
      <c r="AV260" s="724"/>
      <c r="AW260" s="719"/>
      <c r="AX260" s="719"/>
      <c r="AY260" s="719"/>
    </row>
    <row r="261" spans="1:51" ht="15.75" hidden="1" customHeight="1">
      <c r="A261" s="716" t="s">
        <v>677</v>
      </c>
      <c r="B261" s="725" t="s">
        <v>1427</v>
      </c>
      <c r="C261" s="718">
        <f>+$C$259+$G$260</f>
        <v>36848</v>
      </c>
      <c r="D261" s="719"/>
      <c r="E261" s="719">
        <v>-70</v>
      </c>
      <c r="F261" s="720">
        <v>-2500</v>
      </c>
      <c r="G261" s="721"/>
      <c r="H261" s="726"/>
      <c r="I261" s="722"/>
      <c r="J261" s="723"/>
      <c r="K261" s="719"/>
      <c r="L261" s="719" t="s">
        <v>241</v>
      </c>
      <c r="M261" s="719"/>
      <c r="N261" s="726" t="s">
        <v>696</v>
      </c>
      <c r="O261" s="726"/>
      <c r="P261" s="731"/>
      <c r="Q261" s="719">
        <v>70</v>
      </c>
      <c r="R261" s="719">
        <v>-2500</v>
      </c>
      <c r="S261" s="719"/>
      <c r="T261" s="719">
        <v>30</v>
      </c>
      <c r="U261" s="719"/>
      <c r="V261" s="719"/>
      <c r="W261" s="719">
        <v>1.1000000000000001</v>
      </c>
      <c r="X261" s="719"/>
      <c r="Y261" s="719"/>
      <c r="Z261" s="719"/>
      <c r="AA261" s="719"/>
      <c r="AB261" s="719"/>
      <c r="AC261" s="719" t="s">
        <v>2612</v>
      </c>
      <c r="AD261" s="719"/>
      <c r="AE261" s="719"/>
      <c r="AF261" s="719">
        <v>200</v>
      </c>
      <c r="AG261" s="1341">
        <v>36845.96</v>
      </c>
      <c r="AH261" s="719">
        <v>1442</v>
      </c>
      <c r="AI261" s="719">
        <v>-5045</v>
      </c>
      <c r="AJ261" s="719"/>
      <c r="AK261" s="719"/>
      <c r="AL261" s="719"/>
      <c r="AM261" s="719" t="s">
        <v>2608</v>
      </c>
      <c r="AN261" s="719">
        <v>5.25</v>
      </c>
      <c r="AO261" s="719"/>
      <c r="AP261" s="719"/>
      <c r="AQ261" s="724"/>
      <c r="AR261" s="724"/>
      <c r="AS261" s="724"/>
      <c r="AT261" s="724">
        <f>+ab($T$261,$T$259,$T$263,$G$260,$G$262,-1*$F$261,1200)</f>
        <v>8.6559338435976301</v>
      </c>
      <c r="AU261" s="724"/>
      <c r="AV261" s="724"/>
      <c r="AW261" s="719"/>
      <c r="AX261" s="719"/>
      <c r="AY261" s="719"/>
    </row>
    <row r="262" spans="1:51" ht="15.75" hidden="1" customHeight="1">
      <c r="A262" s="716"/>
      <c r="B262" s="717"/>
      <c r="C262" s="718"/>
      <c r="D262" s="719"/>
      <c r="E262" s="719"/>
      <c r="F262" s="720"/>
      <c r="G262" s="721">
        <v>50</v>
      </c>
      <c r="H262" s="726"/>
      <c r="I262" s="722"/>
      <c r="J262" s="723"/>
      <c r="K262" s="719"/>
      <c r="L262" s="719"/>
      <c r="M262" s="719"/>
      <c r="N262" s="726"/>
      <c r="O262" s="726"/>
      <c r="P262" s="731"/>
      <c r="Q262" s="719"/>
      <c r="R262" s="719"/>
      <c r="S262" s="719">
        <f t="shared" si="47"/>
        <v>49.569999999999709</v>
      </c>
      <c r="T262" s="719"/>
      <c r="U262" s="719"/>
      <c r="V262" s="719"/>
      <c r="W262" s="719"/>
      <c r="X262" s="719"/>
      <c r="Y262" s="719"/>
      <c r="Z262" s="719"/>
      <c r="AA262" s="719"/>
      <c r="AB262" s="719"/>
      <c r="AC262" s="719"/>
      <c r="AD262" s="719"/>
      <c r="AE262" s="719"/>
      <c r="AF262" s="719"/>
      <c r="AG262" s="1341"/>
      <c r="AH262" s="719"/>
      <c r="AI262" s="719"/>
      <c r="AJ262" s="719"/>
      <c r="AK262" s="719"/>
      <c r="AL262" s="719"/>
      <c r="AM262" s="719"/>
      <c r="AN262" s="719"/>
      <c r="AO262" s="719"/>
      <c r="AP262" s="719"/>
      <c r="AQ262" s="724">
        <f>+FL_1($T$263,$T$261,$G$262,1200,9.28,-1*$F$263)</f>
        <v>0.40886039221839671</v>
      </c>
      <c r="AR262" s="724"/>
      <c r="AS262" s="724"/>
      <c r="AT262" s="724"/>
      <c r="AU262" s="724"/>
      <c r="AV262" s="724"/>
      <c r="AW262" s="719"/>
      <c r="AX262" s="719"/>
      <c r="AY262" s="719"/>
    </row>
    <row r="263" spans="1:51" ht="15.75" hidden="1" customHeight="1">
      <c r="A263" s="716" t="s">
        <v>677</v>
      </c>
      <c r="B263" s="725" t="s">
        <v>1428</v>
      </c>
      <c r="C263" s="718">
        <f>+$C$261+$G$262</f>
        <v>36898</v>
      </c>
      <c r="D263" s="719"/>
      <c r="E263" s="719"/>
      <c r="F263" s="720">
        <f>-475000/(37030-C263)</f>
        <v>-3598.4848484848485</v>
      </c>
      <c r="G263" s="721"/>
      <c r="H263" s="726"/>
      <c r="I263" s="722"/>
      <c r="J263" s="723"/>
      <c r="K263" s="719"/>
      <c r="L263" s="719" t="s">
        <v>241</v>
      </c>
      <c r="M263" s="719"/>
      <c r="N263" s="726" t="s">
        <v>696</v>
      </c>
      <c r="O263" s="726"/>
      <c r="P263" s="731"/>
      <c r="Q263" s="719">
        <v>50</v>
      </c>
      <c r="R263" s="719">
        <v>-3516.45</v>
      </c>
      <c r="S263" s="719"/>
      <c r="T263" s="719">
        <v>20</v>
      </c>
      <c r="U263" s="719"/>
      <c r="V263" s="719"/>
      <c r="W263" s="719">
        <v>1.1000000000000001</v>
      </c>
      <c r="X263" s="719"/>
      <c r="Y263" s="719"/>
      <c r="Z263" s="719"/>
      <c r="AA263" s="719"/>
      <c r="AB263" s="719"/>
      <c r="AC263" s="719" t="s">
        <v>2612</v>
      </c>
      <c r="AD263" s="719"/>
      <c r="AE263" s="719"/>
      <c r="AF263" s="719">
        <v>200</v>
      </c>
      <c r="AG263" s="1341">
        <v>36895.53</v>
      </c>
      <c r="AH263" s="719">
        <v>1405</v>
      </c>
      <c r="AI263" s="719">
        <v>-5095</v>
      </c>
      <c r="AJ263" s="719"/>
      <c r="AK263" s="719"/>
      <c r="AL263" s="719"/>
      <c r="AM263" s="719" t="s">
        <v>2608</v>
      </c>
      <c r="AN263" s="719">
        <v>5.25</v>
      </c>
      <c r="AO263" s="719"/>
      <c r="AP263" s="719"/>
      <c r="AQ263" s="724"/>
      <c r="AR263" s="724"/>
      <c r="AS263" s="724"/>
      <c r="AT263" s="724">
        <f>+ab($T$263,$T$261,$T$265,$G$262,$G$264,-1*$F$263,1200)</f>
        <v>8.696914120227726</v>
      </c>
      <c r="AU263" s="724"/>
      <c r="AV263" s="724"/>
      <c r="AW263" s="719"/>
      <c r="AX263" s="719"/>
      <c r="AY263" s="719"/>
    </row>
    <row r="264" spans="1:51" ht="15.75" hidden="1" customHeight="1">
      <c r="A264" s="716"/>
      <c r="B264" s="717"/>
      <c r="C264" s="718"/>
      <c r="D264" s="719"/>
      <c r="E264" s="719"/>
      <c r="F264" s="720"/>
      <c r="G264" s="721">
        <v>50</v>
      </c>
      <c r="H264" s="726"/>
      <c r="I264" s="722" t="s">
        <v>2053</v>
      </c>
      <c r="J264" s="723">
        <f>C265-5</f>
        <v>36943</v>
      </c>
      <c r="K264" s="719" t="s">
        <v>1102</v>
      </c>
      <c r="L264" s="719"/>
      <c r="M264" s="719"/>
      <c r="N264" s="726"/>
      <c r="O264" s="726"/>
      <c r="P264" s="731"/>
      <c r="Q264" s="719"/>
      <c r="R264" s="719"/>
      <c r="S264" s="719">
        <f t="shared" si="47"/>
        <v>52.840000000003783</v>
      </c>
      <c r="T264" s="719"/>
      <c r="U264" s="719"/>
      <c r="V264" s="719"/>
      <c r="W264" s="719"/>
      <c r="X264" s="719"/>
      <c r="Y264" s="719"/>
      <c r="Z264" s="719"/>
      <c r="AA264" s="719"/>
      <c r="AB264" s="719"/>
      <c r="AC264" s="719"/>
      <c r="AD264" s="719"/>
      <c r="AE264" s="719"/>
      <c r="AF264" s="719"/>
      <c r="AG264" s="1341"/>
      <c r="AH264" s="719"/>
      <c r="AI264" s="719"/>
      <c r="AJ264" s="719"/>
      <c r="AK264" s="719"/>
      <c r="AL264" s="719"/>
      <c r="AM264" s="719"/>
      <c r="AN264" s="719"/>
      <c r="AO264" s="719"/>
      <c r="AP264" s="719"/>
      <c r="AQ264" s="724">
        <f>+FL_2($T$265,$T$263,$G$264,1200,9.28,-1*$F$265)</f>
        <v>-0.39847028689768277</v>
      </c>
      <c r="AR264" s="724"/>
      <c r="AS264" s="724"/>
      <c r="AT264" s="724"/>
      <c r="AU264" s="724"/>
      <c r="AV264" s="724"/>
      <c r="AW264" s="719"/>
      <c r="AX264" s="719"/>
      <c r="AY264" s="719"/>
    </row>
    <row r="265" spans="1:51" ht="15.75" customHeight="1">
      <c r="A265" s="716" t="s">
        <v>677</v>
      </c>
      <c r="B265" s="725" t="s">
        <v>1429</v>
      </c>
      <c r="C265" s="718">
        <f>+$C$263+$G$264</f>
        <v>36948</v>
      </c>
      <c r="D265" s="719"/>
      <c r="E265" s="719"/>
      <c r="F265" s="720">
        <f>-475000/(37030-C265)</f>
        <v>-5792.6829268292686</v>
      </c>
      <c r="G265" s="721"/>
      <c r="H265" s="726" t="s">
        <v>1101</v>
      </c>
      <c r="I265" s="722"/>
      <c r="J265" s="723"/>
      <c r="K265" s="719"/>
      <c r="L265" s="719" t="s">
        <v>241</v>
      </c>
      <c r="M265" s="719"/>
      <c r="N265" s="726" t="s">
        <v>695</v>
      </c>
      <c r="O265" s="726"/>
      <c r="P265" s="731"/>
      <c r="Q265" s="719">
        <v>30</v>
      </c>
      <c r="R265" s="719">
        <v>-5789.28</v>
      </c>
      <c r="S265" s="719"/>
      <c r="T265" s="719">
        <v>-30</v>
      </c>
      <c r="U265" s="719"/>
      <c r="V265" s="719"/>
      <c r="W265" s="719">
        <v>1.1000000000000001</v>
      </c>
      <c r="X265" s="719"/>
      <c r="Y265" s="719"/>
      <c r="Z265" s="719"/>
      <c r="AA265" s="719"/>
      <c r="AB265" s="719"/>
      <c r="AC265" s="719" t="s">
        <v>2612</v>
      </c>
      <c r="AD265" s="719"/>
      <c r="AE265" s="719"/>
      <c r="AF265" s="719">
        <v>400</v>
      </c>
      <c r="AG265" s="1341">
        <v>36948.370000000003</v>
      </c>
      <c r="AH265" s="719">
        <v>1461</v>
      </c>
      <c r="AI265" s="719">
        <v>-5028</v>
      </c>
      <c r="AJ265" s="719"/>
      <c r="AK265" s="719"/>
      <c r="AL265" s="719"/>
      <c r="AM265" s="719" t="s">
        <v>2609</v>
      </c>
      <c r="AN265" s="719">
        <v>5.25</v>
      </c>
      <c r="AO265" s="719"/>
      <c r="AP265" s="719"/>
      <c r="AQ265" s="724"/>
      <c r="AR265" s="724"/>
      <c r="AS265" s="724"/>
      <c r="AT265" s="724">
        <f>+ab($T$265,$T$263,$T$267,$G$264,$G$266,-1*$F$265,1200)</f>
        <v>-14.064691274542337</v>
      </c>
      <c r="AU265" s="724"/>
      <c r="AV265" s="724"/>
      <c r="AW265" s="719"/>
      <c r="AX265" s="719"/>
      <c r="AY265" s="719"/>
    </row>
    <row r="266" spans="1:51" ht="15.75" hidden="1" customHeight="1">
      <c r="A266" s="716"/>
      <c r="B266" s="717"/>
      <c r="C266" s="718"/>
      <c r="D266" s="719"/>
      <c r="E266" s="719"/>
      <c r="F266" s="720"/>
      <c r="G266" s="721">
        <v>50</v>
      </c>
      <c r="H266" s="726"/>
      <c r="I266" s="722">
        <f>+SUM(G248:G266)</f>
        <v>500</v>
      </c>
      <c r="J266" s="723">
        <f>C265+2.2</f>
        <v>36950.199999999997</v>
      </c>
      <c r="K266" s="719" t="s">
        <v>1102</v>
      </c>
      <c r="L266" s="719"/>
      <c r="M266" s="719"/>
      <c r="N266" s="726"/>
      <c r="O266" s="726"/>
      <c r="P266" s="731"/>
      <c r="Q266" s="719"/>
      <c r="R266" s="719"/>
      <c r="S266" s="719">
        <f t="shared" si="47"/>
        <v>51.259999999994761</v>
      </c>
      <c r="T266" s="719"/>
      <c r="U266" s="719"/>
      <c r="V266" s="719"/>
      <c r="W266" s="719"/>
      <c r="X266" s="719"/>
      <c r="Y266" s="719"/>
      <c r="Z266" s="719"/>
      <c r="AA266" s="719"/>
      <c r="AB266" s="719"/>
      <c r="AC266" s="719"/>
      <c r="AD266" s="719"/>
      <c r="AE266" s="719"/>
      <c r="AF266" s="719"/>
      <c r="AG266" s="1341"/>
      <c r="AH266" s="719"/>
      <c r="AI266" s="719"/>
      <c r="AJ266" s="719"/>
      <c r="AK266" s="719"/>
      <c r="AL266" s="719"/>
      <c r="AM266" s="719"/>
      <c r="AN266" s="719"/>
      <c r="AO266" s="719"/>
      <c r="AP266" s="719"/>
      <c r="AQ266" s="724">
        <f>+FL_2($T$267,$T$265,$G$266,1200,9.28,-1*$F$267)</f>
        <v>-0.34836203689134659</v>
      </c>
      <c r="AR266" s="724"/>
      <c r="AS266" s="724"/>
      <c r="AT266" s="724"/>
      <c r="AU266" s="724"/>
      <c r="AV266" s="724"/>
      <c r="AW266" s="719"/>
      <c r="AX266" s="719"/>
      <c r="AY266" s="719"/>
    </row>
    <row r="267" spans="1:51" ht="15.75" customHeight="1">
      <c r="A267" s="716" t="s">
        <v>677</v>
      </c>
      <c r="B267" s="725" t="s">
        <v>1430</v>
      </c>
      <c r="C267" s="718">
        <f>+$C$265+$G$266</f>
        <v>36998</v>
      </c>
      <c r="D267" s="719"/>
      <c r="E267" s="719"/>
      <c r="F267" s="720">
        <f>-475000/(37030-C267)</f>
        <v>-14843.75</v>
      </c>
      <c r="G267" s="721"/>
      <c r="H267" s="726" t="s">
        <v>997</v>
      </c>
      <c r="I267" s="722"/>
      <c r="J267" s="723"/>
      <c r="K267" s="719"/>
      <c r="L267" s="719" t="s">
        <v>241</v>
      </c>
      <c r="M267" s="719"/>
      <c r="N267" s="726" t="s">
        <v>696</v>
      </c>
      <c r="O267" s="726"/>
      <c r="P267" s="731"/>
      <c r="Q267" s="719">
        <v>11</v>
      </c>
      <c r="R267" s="719">
        <v>-15313.58</v>
      </c>
      <c r="S267" s="719"/>
      <c r="T267" s="719">
        <v>30</v>
      </c>
      <c r="U267" s="719"/>
      <c r="V267" s="719"/>
      <c r="W267" s="719">
        <v>1.1000000000000001</v>
      </c>
      <c r="X267" s="719"/>
      <c r="Y267" s="719"/>
      <c r="Z267" s="719"/>
      <c r="AA267" s="719"/>
      <c r="AB267" s="719"/>
      <c r="AC267" s="719" t="s">
        <v>2977</v>
      </c>
      <c r="AD267" s="719"/>
      <c r="AE267" s="719"/>
      <c r="AF267" s="719">
        <v>200</v>
      </c>
      <c r="AG267" s="1341">
        <v>36999.629999999997</v>
      </c>
      <c r="AH267" s="719">
        <v>1457</v>
      </c>
      <c r="AI267" s="719">
        <v>-5070</v>
      </c>
      <c r="AJ267" s="719"/>
      <c r="AK267" s="719"/>
      <c r="AL267" s="719"/>
      <c r="AM267" s="719" t="s">
        <v>2609</v>
      </c>
      <c r="AN267" s="719">
        <v>5.25</v>
      </c>
      <c r="AO267" s="719"/>
      <c r="AP267" s="719"/>
      <c r="AQ267" s="724"/>
      <c r="AR267" s="724"/>
      <c r="AS267" s="724"/>
      <c r="AT267" s="724">
        <f>+ab($T$267,$T$265,$T$269,$G$266,$G$268,-1*$F$267,1200)</f>
        <v>6.9767744865038042</v>
      </c>
      <c r="AU267" s="724"/>
      <c r="AV267" s="724"/>
      <c r="AW267" s="719"/>
      <c r="AX267" s="719"/>
      <c r="AY267" s="719"/>
    </row>
    <row r="268" spans="1:51" ht="15.75" hidden="1" customHeight="1">
      <c r="A268" s="716"/>
      <c r="B268" s="717"/>
      <c r="C268" s="718"/>
      <c r="D268" s="719"/>
      <c r="E268" s="719"/>
      <c r="F268" s="720"/>
      <c r="G268" s="721">
        <v>50</v>
      </c>
      <c r="H268" s="726"/>
      <c r="I268" s="722">
        <f>SUM(G268:G286)</f>
        <v>500</v>
      </c>
      <c r="J268" s="723">
        <f>C269-2.7</f>
        <v>37045.300000000003</v>
      </c>
      <c r="K268" s="719" t="s">
        <v>1102</v>
      </c>
      <c r="L268" s="719"/>
      <c r="M268" s="719"/>
      <c r="N268" s="726"/>
      <c r="O268" s="726"/>
      <c r="P268" s="731"/>
      <c r="Q268" s="719"/>
      <c r="R268" s="719"/>
      <c r="S268" s="719">
        <f t="shared" si="47"/>
        <v>49.630000000004657</v>
      </c>
      <c r="T268" s="719"/>
      <c r="U268" s="719"/>
      <c r="V268" s="719"/>
      <c r="W268" s="719"/>
      <c r="X268" s="719"/>
      <c r="Y268" s="719"/>
      <c r="Z268" s="719"/>
      <c r="AA268" s="719"/>
      <c r="AB268" s="719"/>
      <c r="AC268" s="719"/>
      <c r="AD268" s="719"/>
      <c r="AE268" s="719"/>
      <c r="AF268" s="719"/>
      <c r="AG268" s="1341"/>
      <c r="AH268" s="719"/>
      <c r="AI268" s="719"/>
      <c r="AJ268" s="719"/>
      <c r="AK268" s="719"/>
      <c r="AL268" s="719"/>
      <c r="AM268" s="719"/>
      <c r="AN268" s="719"/>
      <c r="AO268" s="719"/>
      <c r="AP268" s="719"/>
      <c r="AQ268" s="724">
        <f>+FL_2($T$269,$T$267,$G$268,1200,9.28,-1*$F$269)</f>
        <v>-0.33477011200000001</v>
      </c>
      <c r="AR268" s="724"/>
      <c r="AS268" s="724"/>
      <c r="AT268" s="724"/>
      <c r="AU268" s="724"/>
      <c r="AV268" s="724"/>
      <c r="AW268" s="719"/>
      <c r="AX268" s="719"/>
      <c r="AY268" s="719"/>
    </row>
    <row r="269" spans="1:51" ht="15.75" customHeight="1">
      <c r="A269" s="716" t="s">
        <v>677</v>
      </c>
      <c r="B269" s="725" t="s">
        <v>1431</v>
      </c>
      <c r="C269" s="718">
        <f>+$C$267+$G$268</f>
        <v>37048</v>
      </c>
      <c r="D269" s="719"/>
      <c r="E269" s="719"/>
      <c r="F269" s="720">
        <v>0</v>
      </c>
      <c r="G269" s="721"/>
      <c r="H269" s="726" t="s">
        <v>1101</v>
      </c>
      <c r="I269" s="726"/>
      <c r="J269" s="723"/>
      <c r="K269" s="719"/>
      <c r="L269" s="719" t="s">
        <v>241</v>
      </c>
      <c r="M269" s="719"/>
      <c r="N269" s="726" t="s">
        <v>695</v>
      </c>
      <c r="O269" s="726"/>
      <c r="P269" s="731"/>
      <c r="Q269" s="719">
        <v>0</v>
      </c>
      <c r="R269" s="719">
        <v>0</v>
      </c>
      <c r="S269" s="719"/>
      <c r="T269" s="719">
        <v>-30</v>
      </c>
      <c r="U269" s="719"/>
      <c r="V269" s="719"/>
      <c r="W269" s="719">
        <v>1.1000000000000001</v>
      </c>
      <c r="X269" s="719"/>
      <c r="Y269" s="719"/>
      <c r="Z269" s="719"/>
      <c r="AA269" s="719"/>
      <c r="AB269" s="719"/>
      <c r="AC269" s="719" t="s">
        <v>2977</v>
      </c>
      <c r="AD269" s="719"/>
      <c r="AE269" s="719"/>
      <c r="AF269" s="719">
        <v>200</v>
      </c>
      <c r="AG269" s="1341">
        <v>37049.26</v>
      </c>
      <c r="AH269" s="719">
        <v>1449</v>
      </c>
      <c r="AI269" s="719">
        <v>-5060</v>
      </c>
      <c r="AJ269" s="719"/>
      <c r="AK269" s="719"/>
      <c r="AL269" s="719"/>
      <c r="AM269" s="719" t="s">
        <v>2609</v>
      </c>
      <c r="AN269" s="719">
        <v>5.25</v>
      </c>
      <c r="AO269" s="719"/>
      <c r="AP269" s="719"/>
      <c r="AQ269" s="724"/>
      <c r="AR269" s="724"/>
      <c r="AS269" s="724"/>
      <c r="AT269" s="724">
        <f>+ab($T$269,$T$267,$T$271,$G$268,$G$270,-1*$F$269,1200)</f>
        <v>-7.9442410717051439</v>
      </c>
      <c r="AU269" s="724"/>
      <c r="AV269" s="724"/>
      <c r="AW269" s="719"/>
      <c r="AX269" s="719"/>
      <c r="AY269" s="719"/>
    </row>
    <row r="270" spans="1:51" ht="15.75" hidden="1" customHeight="1">
      <c r="A270" s="716"/>
      <c r="B270" s="717"/>
      <c r="C270" s="718"/>
      <c r="D270" s="719"/>
      <c r="E270" s="719"/>
      <c r="F270" s="720"/>
      <c r="G270" s="721">
        <v>50</v>
      </c>
      <c r="H270" s="726"/>
      <c r="I270" s="722"/>
      <c r="J270" s="723"/>
      <c r="K270" s="719"/>
      <c r="L270" s="719"/>
      <c r="M270" s="719"/>
      <c r="N270" s="726"/>
      <c r="O270" s="726"/>
      <c r="P270" s="731"/>
      <c r="Q270" s="719"/>
      <c r="R270" s="719"/>
      <c r="S270" s="719">
        <f t="shared" si="47"/>
        <v>48.040000000000873</v>
      </c>
      <c r="T270" s="719"/>
      <c r="U270" s="719"/>
      <c r="V270" s="719"/>
      <c r="W270" s="719"/>
      <c r="X270" s="719"/>
      <c r="Y270" s="719"/>
      <c r="Z270" s="719"/>
      <c r="AA270" s="719"/>
      <c r="AB270" s="719"/>
      <c r="AC270" s="719"/>
      <c r="AD270" s="719"/>
      <c r="AE270" s="719"/>
      <c r="AF270" s="719"/>
      <c r="AG270" s="1341"/>
      <c r="AH270" s="719"/>
      <c r="AI270" s="719"/>
      <c r="AJ270" s="719"/>
      <c r="AK270" s="719"/>
      <c r="AL270" s="719"/>
      <c r="AM270" s="719"/>
      <c r="AN270" s="719"/>
      <c r="AO270" s="719"/>
      <c r="AP270" s="719"/>
      <c r="AQ270" s="724">
        <f>+FL_1($T$271,$T$269,$G$270,1200,9.28,-1*$F$271)</f>
        <v>0.33477011200000001</v>
      </c>
      <c r="AR270" s="724"/>
      <c r="AS270" s="724"/>
      <c r="AT270" s="724"/>
      <c r="AU270" s="724"/>
      <c r="AV270" s="724"/>
      <c r="AW270" s="719"/>
      <c r="AX270" s="719"/>
      <c r="AY270" s="719"/>
    </row>
    <row r="271" spans="1:51" ht="15.75" hidden="1" customHeight="1">
      <c r="A271" s="716" t="s">
        <v>677</v>
      </c>
      <c r="B271" s="725" t="s">
        <v>1432</v>
      </c>
      <c r="C271" s="718">
        <f>+$C$269+$G$270</f>
        <v>37098</v>
      </c>
      <c r="D271" s="719"/>
      <c r="E271" s="719"/>
      <c r="F271" s="720">
        <v>0</v>
      </c>
      <c r="G271" s="721"/>
      <c r="H271" s="726"/>
      <c r="I271" s="722"/>
      <c r="J271" s="723"/>
      <c r="K271" s="719"/>
      <c r="L271" s="719" t="s">
        <v>241</v>
      </c>
      <c r="M271" s="719"/>
      <c r="N271" s="726" t="s">
        <v>696</v>
      </c>
      <c r="O271" s="726"/>
      <c r="P271" s="731"/>
      <c r="Q271" s="719">
        <v>0</v>
      </c>
      <c r="R271" s="719">
        <v>0</v>
      </c>
      <c r="S271" s="719"/>
      <c r="T271" s="719">
        <v>30</v>
      </c>
      <c r="U271" s="719"/>
      <c r="V271" s="719"/>
      <c r="W271" s="719">
        <v>1.1000000000000001</v>
      </c>
      <c r="X271" s="719"/>
      <c r="Y271" s="719"/>
      <c r="Z271" s="719"/>
      <c r="AA271" s="719"/>
      <c r="AB271" s="719"/>
      <c r="AC271" s="719" t="s">
        <v>2977</v>
      </c>
      <c r="AD271" s="719"/>
      <c r="AE271" s="719"/>
      <c r="AF271" s="719">
        <v>200</v>
      </c>
      <c r="AG271" s="1341">
        <v>37097.300000000003</v>
      </c>
      <c r="AH271" s="719">
        <v>1459</v>
      </c>
      <c r="AI271" s="719">
        <v>-5092</v>
      </c>
      <c r="AJ271" s="719"/>
      <c r="AK271" s="719"/>
      <c r="AL271" s="719"/>
      <c r="AM271" s="719" t="s">
        <v>2609</v>
      </c>
      <c r="AN271" s="719">
        <v>5.25</v>
      </c>
      <c r="AO271" s="719"/>
      <c r="AP271" s="719"/>
      <c r="AQ271" s="724"/>
      <c r="AR271" s="724"/>
      <c r="AS271" s="724"/>
      <c r="AT271" s="724">
        <f>+ab($T$271,$T$269,$T$273,$G$270,$G$272,-1*$F$271,1200)</f>
        <v>7.9442083933778509</v>
      </c>
      <c r="AU271" s="724"/>
      <c r="AV271" s="724"/>
      <c r="AW271" s="719"/>
      <c r="AX271" s="719"/>
      <c r="AY271" s="719"/>
    </row>
    <row r="272" spans="1:51" ht="15.75" hidden="1" customHeight="1">
      <c r="A272" s="716"/>
      <c r="B272" s="717"/>
      <c r="C272" s="718"/>
      <c r="D272" s="719"/>
      <c r="E272" s="719"/>
      <c r="F272" s="720"/>
      <c r="G272" s="721">
        <v>50</v>
      </c>
      <c r="H272" s="726"/>
      <c r="I272" s="722"/>
      <c r="J272" s="723"/>
      <c r="K272" s="719"/>
      <c r="L272" s="719"/>
      <c r="M272" s="719"/>
      <c r="N272" s="726"/>
      <c r="O272" s="726"/>
      <c r="P272" s="731"/>
      <c r="Q272" s="719"/>
      <c r="R272" s="719"/>
      <c r="S272" s="719">
        <f t="shared" si="47"/>
        <v>51.299999999995634</v>
      </c>
      <c r="T272" s="719"/>
      <c r="U272" s="719"/>
      <c r="V272" s="719"/>
      <c r="W272" s="719"/>
      <c r="X272" s="719"/>
      <c r="Y272" s="719"/>
      <c r="Z272" s="719"/>
      <c r="AA272" s="719"/>
      <c r="AB272" s="719"/>
      <c r="AC272" s="719"/>
      <c r="AD272" s="719"/>
      <c r="AE272" s="719"/>
      <c r="AF272" s="719"/>
      <c r="AG272" s="1341"/>
      <c r="AH272" s="719"/>
      <c r="AI272" s="719"/>
      <c r="AJ272" s="719"/>
      <c r="AK272" s="719"/>
      <c r="AL272" s="719"/>
      <c r="AM272" s="719"/>
      <c r="AN272" s="719"/>
      <c r="AO272" s="719"/>
      <c r="AP272" s="719"/>
      <c r="AQ272" s="724">
        <f>+FL_2($T$273,$T$271,$G$272,1200,9.28,-1*$F$273)</f>
        <v>-0.33477011200000001</v>
      </c>
      <c r="AR272" s="724"/>
      <c r="AS272" s="724"/>
      <c r="AT272" s="724"/>
      <c r="AU272" s="724"/>
      <c r="AV272" s="724"/>
      <c r="AW272" s="719"/>
      <c r="AX272" s="719"/>
      <c r="AY272" s="719"/>
    </row>
    <row r="273" spans="1:58" ht="15.75" hidden="1" customHeight="1">
      <c r="A273" s="716" t="s">
        <v>677</v>
      </c>
      <c r="B273" s="725" t="s">
        <v>1433</v>
      </c>
      <c r="C273" s="718">
        <f>+$C$271+$G$272</f>
        <v>37148</v>
      </c>
      <c r="D273" s="719"/>
      <c r="E273" s="719"/>
      <c r="F273" s="720">
        <v>0</v>
      </c>
      <c r="G273" s="721"/>
      <c r="H273" s="726"/>
      <c r="I273" s="722"/>
      <c r="J273" s="723"/>
      <c r="K273" s="719"/>
      <c r="L273" s="719" t="s">
        <v>241</v>
      </c>
      <c r="M273" s="719"/>
      <c r="N273" s="726" t="s">
        <v>695</v>
      </c>
      <c r="O273" s="726"/>
      <c r="P273" s="731"/>
      <c r="Q273" s="719">
        <v>0</v>
      </c>
      <c r="R273" s="719">
        <v>0</v>
      </c>
      <c r="S273" s="719"/>
      <c r="T273" s="719">
        <v>-30</v>
      </c>
      <c r="U273" s="719"/>
      <c r="V273" s="719"/>
      <c r="W273" s="719">
        <v>1.1000000000000001</v>
      </c>
      <c r="X273" s="719"/>
      <c r="Y273" s="719"/>
      <c r="Z273" s="719"/>
      <c r="AA273" s="719"/>
      <c r="AB273" s="719"/>
      <c r="AC273" s="719" t="s">
        <v>2977</v>
      </c>
      <c r="AD273" s="719"/>
      <c r="AE273" s="719"/>
      <c r="AF273" s="719">
        <v>200</v>
      </c>
      <c r="AG273" s="1341">
        <v>37148.6</v>
      </c>
      <c r="AH273" s="719">
        <v>1474</v>
      </c>
      <c r="AI273" s="719">
        <v>-5070</v>
      </c>
      <c r="AJ273" s="719"/>
      <c r="AK273" s="719"/>
      <c r="AL273" s="719"/>
      <c r="AM273" s="719" t="s">
        <v>2609</v>
      </c>
      <c r="AN273" s="719">
        <v>5.25</v>
      </c>
      <c r="AO273" s="719"/>
      <c r="AP273" s="719"/>
      <c r="AQ273" s="724"/>
      <c r="AR273" s="724"/>
      <c r="AS273" s="724"/>
      <c r="AT273" s="724">
        <f>+ab($T$273,$T$271,$T$275,$G$272,$G$274,-1*$F$273,1200)</f>
        <v>-7.9442410717051439</v>
      </c>
      <c r="AU273" s="724"/>
      <c r="AV273" s="724"/>
      <c r="AW273" s="719"/>
      <c r="AX273" s="719"/>
      <c r="AY273" s="719"/>
    </row>
    <row r="274" spans="1:58" ht="15.75" hidden="1" customHeight="1">
      <c r="A274" s="716"/>
      <c r="B274" s="717"/>
      <c r="C274" s="718"/>
      <c r="D274" s="719"/>
      <c r="E274" s="719"/>
      <c r="F274" s="720"/>
      <c r="G274" s="721">
        <v>50</v>
      </c>
      <c r="H274" s="726"/>
      <c r="I274" s="722"/>
      <c r="J274" s="723"/>
      <c r="K274" s="719"/>
      <c r="L274" s="719"/>
      <c r="M274" s="719"/>
      <c r="N274" s="726"/>
      <c r="O274" s="726"/>
      <c r="P274" s="731"/>
      <c r="Q274" s="719"/>
      <c r="R274" s="719"/>
      <c r="S274" s="719">
        <f t="shared" si="47"/>
        <v>51.230000000003201</v>
      </c>
      <c r="T274" s="719"/>
      <c r="U274" s="719"/>
      <c r="V274" s="719"/>
      <c r="W274" s="719"/>
      <c r="X274" s="719"/>
      <c r="Y274" s="719"/>
      <c r="Z274" s="719"/>
      <c r="AA274" s="719"/>
      <c r="AB274" s="719"/>
      <c r="AC274" s="719"/>
      <c r="AD274" s="719"/>
      <c r="AE274" s="719"/>
      <c r="AF274" s="719"/>
      <c r="AG274" s="1341"/>
      <c r="AH274" s="719"/>
      <c r="AI274" s="719"/>
      <c r="AJ274" s="719"/>
      <c r="AK274" s="719"/>
      <c r="AL274" s="719"/>
      <c r="AM274" s="719"/>
      <c r="AN274" s="719"/>
      <c r="AO274" s="719"/>
      <c r="AP274" s="719"/>
      <c r="AQ274" s="724">
        <f>+FL_1($T$275,$T$273,$G$274,1200,9.28,-1*$F$275)</f>
        <v>0.33477011200000001</v>
      </c>
      <c r="AR274" s="724"/>
      <c r="AS274" s="724"/>
      <c r="AT274" s="724"/>
      <c r="AU274" s="724"/>
      <c r="AV274" s="724"/>
      <c r="AW274" s="719"/>
      <c r="AX274" s="719"/>
      <c r="AY274" s="719"/>
    </row>
    <row r="275" spans="1:58" ht="15.75" hidden="1" customHeight="1">
      <c r="A275" s="716" t="s">
        <v>677</v>
      </c>
      <c r="B275" s="725" t="s">
        <v>1434</v>
      </c>
      <c r="C275" s="718">
        <f>+$C$273+$G$274</f>
        <v>37198</v>
      </c>
      <c r="D275" s="719"/>
      <c r="E275" s="719"/>
      <c r="F275" s="720">
        <v>0</v>
      </c>
      <c r="G275" s="721"/>
      <c r="H275" s="726"/>
      <c r="I275" s="722"/>
      <c r="J275" s="723"/>
      <c r="K275" s="719"/>
      <c r="L275" s="719" t="s">
        <v>241</v>
      </c>
      <c r="M275" s="719"/>
      <c r="N275" s="726" t="s">
        <v>696</v>
      </c>
      <c r="O275" s="726"/>
      <c r="P275" s="731"/>
      <c r="Q275" s="719">
        <v>0</v>
      </c>
      <c r="R275" s="719">
        <v>0</v>
      </c>
      <c r="S275" s="719"/>
      <c r="T275" s="719">
        <v>30</v>
      </c>
      <c r="U275" s="719"/>
      <c r="V275" s="719"/>
      <c r="W275" s="719">
        <v>1.1000000000000001</v>
      </c>
      <c r="X275" s="719"/>
      <c r="Y275" s="719"/>
      <c r="Z275" s="719"/>
      <c r="AA275" s="719"/>
      <c r="AB275" s="719"/>
      <c r="AC275" s="719" t="s">
        <v>2977</v>
      </c>
      <c r="AD275" s="719"/>
      <c r="AE275" s="719"/>
      <c r="AF275" s="719">
        <v>200</v>
      </c>
      <c r="AG275" s="1341">
        <v>37199.83</v>
      </c>
      <c r="AH275" s="719">
        <v>1443</v>
      </c>
      <c r="AI275" s="719">
        <v>-5066</v>
      </c>
      <c r="AJ275" s="719"/>
      <c r="AK275" s="719"/>
      <c r="AL275" s="719"/>
      <c r="AM275" s="719" t="s">
        <v>2609</v>
      </c>
      <c r="AN275" s="719">
        <v>5.25</v>
      </c>
      <c r="AO275" s="719"/>
      <c r="AP275" s="719"/>
      <c r="AQ275" s="724"/>
      <c r="AR275" s="724"/>
      <c r="AS275" s="724"/>
      <c r="AT275" s="724">
        <f>+ab($T$275,$T$273,$T$277,$G$274,$G$276,-1*$F$275,1200)</f>
        <v>7.9442083933778509</v>
      </c>
      <c r="AU275" s="724"/>
      <c r="AV275" s="724"/>
      <c r="AW275" s="719"/>
      <c r="AX275" s="719"/>
      <c r="AY275" s="719"/>
    </row>
    <row r="276" spans="1:58" ht="15.75" hidden="1" customHeight="1">
      <c r="A276" s="716"/>
      <c r="B276" s="717"/>
      <c r="C276" s="718"/>
      <c r="D276" s="719"/>
      <c r="E276" s="719"/>
      <c r="F276" s="720"/>
      <c r="G276" s="721">
        <v>50</v>
      </c>
      <c r="H276" s="726"/>
      <c r="I276" s="722"/>
      <c r="J276" s="727"/>
      <c r="K276" s="719"/>
      <c r="L276" s="719"/>
      <c r="M276" s="719"/>
      <c r="N276" s="726"/>
      <c r="O276" s="719"/>
      <c r="P276" s="719"/>
      <c r="Q276" s="719"/>
      <c r="R276" s="719"/>
      <c r="S276" s="719">
        <f t="shared" si="47"/>
        <v>47.970000000001164</v>
      </c>
      <c r="T276" s="719"/>
      <c r="U276" s="719"/>
      <c r="V276" s="719"/>
      <c r="W276" s="719"/>
      <c r="X276" s="719"/>
      <c r="Y276" s="719"/>
      <c r="Z276" s="719"/>
      <c r="AA276" s="719"/>
      <c r="AB276" s="719"/>
      <c r="AC276" s="719"/>
      <c r="AD276" s="719"/>
      <c r="AE276" s="719"/>
      <c r="AF276" s="719"/>
      <c r="AG276" s="1341"/>
      <c r="AH276" s="719"/>
      <c r="AI276" s="719"/>
      <c r="AJ276" s="719"/>
      <c r="AK276" s="719"/>
      <c r="AL276" s="719"/>
      <c r="AM276" s="719"/>
      <c r="AN276" s="719"/>
      <c r="AO276" s="719"/>
      <c r="AP276" s="719"/>
      <c r="AQ276" s="724">
        <f>+FL_2($T$277,$T$275,$G$276,1200,9.28,-1*$F$277)</f>
        <v>-0.33477011200000001</v>
      </c>
      <c r="AR276" s="724"/>
      <c r="AS276" s="724"/>
      <c r="AT276" s="724"/>
      <c r="AU276" s="724"/>
      <c r="AV276" s="724"/>
      <c r="AW276" s="719"/>
      <c r="AX276" s="719"/>
      <c r="AY276" s="719"/>
    </row>
    <row r="277" spans="1:58" ht="15.75" hidden="1" customHeight="1">
      <c r="A277" s="716" t="s">
        <v>677</v>
      </c>
      <c r="B277" s="725" t="s">
        <v>1435</v>
      </c>
      <c r="C277" s="718">
        <f>+$C$275+$G$276</f>
        <v>37248</v>
      </c>
      <c r="D277" s="719"/>
      <c r="E277" s="719"/>
      <c r="F277" s="720">
        <v>0</v>
      </c>
      <c r="G277" s="721"/>
      <c r="H277" s="726"/>
      <c r="I277" s="722"/>
      <c r="J277" s="727"/>
      <c r="K277" s="719"/>
      <c r="L277" s="719" t="s">
        <v>241</v>
      </c>
      <c r="M277" s="719"/>
      <c r="N277" s="726" t="s">
        <v>695</v>
      </c>
      <c r="O277" s="719"/>
      <c r="P277" s="719"/>
      <c r="Q277" s="719">
        <v>0</v>
      </c>
      <c r="R277" s="719">
        <v>0</v>
      </c>
      <c r="S277" s="719"/>
      <c r="T277" s="719">
        <v>-30</v>
      </c>
      <c r="U277" s="719"/>
      <c r="V277" s="719"/>
      <c r="W277" s="719">
        <v>1.1000000000000001</v>
      </c>
      <c r="X277" s="719"/>
      <c r="Y277" s="719"/>
      <c r="Z277" s="719"/>
      <c r="AA277" s="719"/>
      <c r="AB277" s="719"/>
      <c r="AC277" s="719" t="s">
        <v>2977</v>
      </c>
      <c r="AD277" s="719"/>
      <c r="AE277" s="719"/>
      <c r="AF277" s="719">
        <v>200</v>
      </c>
      <c r="AG277" s="1341">
        <v>37247.800000000003</v>
      </c>
      <c r="AH277" s="719">
        <v>1500</v>
      </c>
      <c r="AI277" s="719">
        <v>-5067</v>
      </c>
      <c r="AJ277" s="719"/>
      <c r="AK277" s="719"/>
      <c r="AL277" s="719"/>
      <c r="AM277" s="719" t="s">
        <v>2609</v>
      </c>
      <c r="AN277" s="719">
        <v>5.25</v>
      </c>
      <c r="AO277" s="719"/>
      <c r="AP277" s="719"/>
      <c r="AQ277" s="724"/>
      <c r="AR277" s="724"/>
      <c r="AS277" s="724"/>
      <c r="AT277" s="724">
        <f>+ab($T$277,$T$275,$T$279,$G$276,$G$278,-1*$F$277,1200)</f>
        <v>-7.9442410717051439</v>
      </c>
      <c r="AU277" s="724"/>
      <c r="AV277" s="724"/>
      <c r="AW277" s="719"/>
      <c r="AX277" s="719"/>
      <c r="AY277" s="719"/>
    </row>
    <row r="278" spans="1:58" ht="15.75" hidden="1" customHeight="1">
      <c r="A278" s="716"/>
      <c r="B278" s="717"/>
      <c r="C278" s="718"/>
      <c r="D278" s="719"/>
      <c r="E278" s="719"/>
      <c r="F278" s="720"/>
      <c r="G278" s="721">
        <v>50</v>
      </c>
      <c r="H278" s="726"/>
      <c r="I278" s="722"/>
      <c r="J278" s="727"/>
      <c r="K278" s="719"/>
      <c r="L278" s="719"/>
      <c r="M278" s="719"/>
      <c r="N278" s="726"/>
      <c r="O278" s="719"/>
      <c r="P278" s="719"/>
      <c r="Q278" s="719"/>
      <c r="R278" s="719"/>
      <c r="S278" s="719">
        <f t="shared" si="47"/>
        <v>51.259999999994761</v>
      </c>
      <c r="T278" s="719"/>
      <c r="U278" s="719"/>
      <c r="V278" s="719"/>
      <c r="W278" s="719"/>
      <c r="X278" s="719"/>
      <c r="Y278" s="719"/>
      <c r="Z278" s="719"/>
      <c r="AA278" s="719"/>
      <c r="AB278" s="719"/>
      <c r="AC278" s="719"/>
      <c r="AD278" s="719"/>
      <c r="AE278" s="719"/>
      <c r="AF278" s="719"/>
      <c r="AG278" s="1341"/>
      <c r="AH278" s="719"/>
      <c r="AI278" s="719"/>
      <c r="AJ278" s="719"/>
      <c r="AK278" s="719"/>
      <c r="AL278" s="719"/>
      <c r="AM278" s="719"/>
      <c r="AN278" s="719"/>
      <c r="AO278" s="719"/>
      <c r="AP278" s="719"/>
      <c r="AQ278" s="724">
        <f>+FL_1($T$279,$T$277,$G$278,1200,9.28,-1*$F$279)</f>
        <v>0.33477011200000001</v>
      </c>
      <c r="AR278" s="724"/>
      <c r="AS278" s="724"/>
      <c r="AT278" s="724"/>
      <c r="AU278" s="724"/>
      <c r="AV278" s="724"/>
      <c r="AW278" s="719"/>
      <c r="AX278" s="719"/>
      <c r="AY278" s="719"/>
      <c r="BD278" s="560"/>
    </row>
    <row r="279" spans="1:58" ht="15.75" hidden="1" customHeight="1">
      <c r="A279" s="716" t="s">
        <v>677</v>
      </c>
      <c r="B279" s="725" t="s">
        <v>1436</v>
      </c>
      <c r="C279" s="718">
        <f>+$C$277+$G$278</f>
        <v>37298</v>
      </c>
      <c r="D279" s="719"/>
      <c r="E279" s="719"/>
      <c r="F279" s="720">
        <v>0</v>
      </c>
      <c r="G279" s="721"/>
      <c r="H279" s="726"/>
      <c r="I279" s="726"/>
      <c r="J279" s="723"/>
      <c r="K279" s="719"/>
      <c r="L279" s="719" t="s">
        <v>241</v>
      </c>
      <c r="M279" s="719"/>
      <c r="N279" s="726" t="s">
        <v>696</v>
      </c>
      <c r="O279" s="719"/>
      <c r="P279" s="719"/>
      <c r="Q279" s="719">
        <v>0</v>
      </c>
      <c r="R279" s="719">
        <v>0</v>
      </c>
      <c r="S279" s="719"/>
      <c r="T279" s="719">
        <v>30</v>
      </c>
      <c r="U279" s="719"/>
      <c r="V279" s="719"/>
      <c r="W279" s="719">
        <v>1.1000000000000001</v>
      </c>
      <c r="X279" s="719"/>
      <c r="Y279" s="719"/>
      <c r="Z279" s="719"/>
      <c r="AA279" s="719"/>
      <c r="AB279" s="719"/>
      <c r="AC279" s="719" t="s">
        <v>2977</v>
      </c>
      <c r="AD279" s="719"/>
      <c r="AE279" s="719"/>
      <c r="AF279" s="719">
        <v>200</v>
      </c>
      <c r="AG279" s="1341">
        <v>37299.06</v>
      </c>
      <c r="AH279" s="719">
        <v>1500</v>
      </c>
      <c r="AI279" s="719">
        <v>-5060</v>
      </c>
      <c r="AJ279" s="719"/>
      <c r="AK279" s="719"/>
      <c r="AL279" s="719"/>
      <c r="AM279" s="719" t="s">
        <v>2609</v>
      </c>
      <c r="AN279" s="719">
        <v>5.25</v>
      </c>
      <c r="AO279" s="719"/>
      <c r="AP279" s="719"/>
      <c r="AQ279" s="724"/>
      <c r="AR279" s="724"/>
      <c r="AS279" s="724"/>
      <c r="AT279" s="724">
        <f>+ab($T$279,$T$277,$T$281,$G$278,$G$280,-1*$F$279,1200)</f>
        <v>7.9442083933778509</v>
      </c>
      <c r="AU279" s="724"/>
      <c r="AV279" s="724"/>
      <c r="AW279" s="719"/>
      <c r="AX279" s="719"/>
      <c r="AY279" s="719"/>
    </row>
    <row r="280" spans="1:58" ht="15.75" hidden="1" customHeight="1">
      <c r="A280" s="716"/>
      <c r="B280" s="717"/>
      <c r="C280" s="718"/>
      <c r="D280" s="719"/>
      <c r="E280" s="719"/>
      <c r="F280" s="720"/>
      <c r="G280" s="721">
        <v>50</v>
      </c>
      <c r="H280" s="726"/>
      <c r="I280" s="726"/>
      <c r="J280" s="723"/>
      <c r="K280" s="719"/>
      <c r="L280" s="719"/>
      <c r="M280" s="719"/>
      <c r="N280" s="726"/>
      <c r="O280" s="719"/>
      <c r="P280" s="719"/>
      <c r="Q280" s="719"/>
      <c r="R280" s="719"/>
      <c r="S280" s="719">
        <f t="shared" si="47"/>
        <v>49.610000000000582</v>
      </c>
      <c r="T280" s="719"/>
      <c r="U280" s="719"/>
      <c r="V280" s="719"/>
      <c r="W280" s="719"/>
      <c r="X280" s="719"/>
      <c r="Y280" s="719"/>
      <c r="Z280" s="719"/>
      <c r="AA280" s="719"/>
      <c r="AB280" s="719"/>
      <c r="AC280" s="719"/>
      <c r="AD280" s="719"/>
      <c r="AE280" s="719"/>
      <c r="AF280" s="719"/>
      <c r="AG280" s="1341"/>
      <c r="AH280" s="719"/>
      <c r="AI280" s="719"/>
      <c r="AJ280" s="719"/>
      <c r="AK280" s="719"/>
      <c r="AL280" s="719"/>
      <c r="AM280" s="719"/>
      <c r="AN280" s="719"/>
      <c r="AO280" s="719"/>
      <c r="AP280" s="719"/>
      <c r="AQ280" s="724">
        <f>+FL_1($T$281,$T$279,$G$280,1200,9.28,-1*$F$281)</f>
        <v>0.33477011200000012</v>
      </c>
      <c r="AR280" s="724"/>
      <c r="AS280" s="724"/>
      <c r="AT280" s="724"/>
      <c r="AU280" s="724"/>
      <c r="AV280" s="724"/>
      <c r="AW280" s="719"/>
      <c r="AX280" s="719"/>
      <c r="AY280" s="719"/>
    </row>
    <row r="281" spans="1:58" ht="15.75" hidden="1" customHeight="1">
      <c r="A281" s="716" t="s">
        <v>677</v>
      </c>
      <c r="B281" s="725" t="s">
        <v>1437</v>
      </c>
      <c r="C281" s="718">
        <f>+$C$279+$G$280</f>
        <v>37348</v>
      </c>
      <c r="D281" s="719"/>
      <c r="E281" s="719"/>
      <c r="F281" s="720">
        <v>0</v>
      </c>
      <c r="G281" s="721"/>
      <c r="H281" s="726" t="s">
        <v>138</v>
      </c>
      <c r="I281" s="722" t="s">
        <v>948</v>
      </c>
      <c r="J281" s="723"/>
      <c r="K281" s="719"/>
      <c r="L281" s="719" t="s">
        <v>241</v>
      </c>
      <c r="M281" s="719"/>
      <c r="N281" s="726" t="s">
        <v>695</v>
      </c>
      <c r="O281" s="719"/>
      <c r="P281" s="719"/>
      <c r="Q281" s="719">
        <v>0</v>
      </c>
      <c r="R281" s="719">
        <v>0</v>
      </c>
      <c r="S281" s="719"/>
      <c r="T281" s="719">
        <v>-30</v>
      </c>
      <c r="U281" s="719"/>
      <c r="V281" s="719"/>
      <c r="W281" s="719">
        <v>1.1000000000000001</v>
      </c>
      <c r="X281" s="719"/>
      <c r="Y281" s="719"/>
      <c r="Z281" s="719"/>
      <c r="AA281" s="719"/>
      <c r="AB281" s="719"/>
      <c r="AC281" s="719" t="s">
        <v>2612</v>
      </c>
      <c r="AD281" s="719"/>
      <c r="AE281" s="719"/>
      <c r="AF281" s="719">
        <v>200</v>
      </c>
      <c r="AG281" s="1341">
        <v>37348.67</v>
      </c>
      <c r="AH281" s="719">
        <v>1494</v>
      </c>
      <c r="AI281" s="719">
        <v>-5098</v>
      </c>
      <c r="AJ281" s="719"/>
      <c r="AK281" s="719"/>
      <c r="AL281" s="719"/>
      <c r="AM281" s="719" t="s">
        <v>2609</v>
      </c>
      <c r="AN281" s="719">
        <v>5.25</v>
      </c>
      <c r="AO281" s="719"/>
      <c r="AP281" s="719"/>
      <c r="AQ281" s="724"/>
      <c r="AR281" s="724"/>
      <c r="AS281" s="724"/>
      <c r="AT281" s="724">
        <f>+ab($T$281,$T$279,$T$283,$G$280,$G$282,-1*$F$281,1200)</f>
        <v>-8.2849467556123688</v>
      </c>
      <c r="AU281" s="724"/>
      <c r="AV281" s="724"/>
      <c r="AW281" s="719"/>
      <c r="AX281" s="719"/>
      <c r="AY281" s="719"/>
    </row>
    <row r="282" spans="1:58" ht="15.75" hidden="1" customHeight="1">
      <c r="A282" s="716"/>
      <c r="B282" s="717"/>
      <c r="C282" s="718"/>
      <c r="D282" s="719"/>
      <c r="E282" s="719"/>
      <c r="F282" s="720"/>
      <c r="G282" s="721">
        <v>50</v>
      </c>
      <c r="H282" s="726"/>
      <c r="I282" s="726"/>
      <c r="J282" s="736">
        <f>C281+10</f>
        <v>37358</v>
      </c>
      <c r="K282" s="719" t="s">
        <v>1097</v>
      </c>
      <c r="L282" s="719"/>
      <c r="M282" s="719"/>
      <c r="N282" s="726"/>
      <c r="O282" s="719"/>
      <c r="P282" s="719"/>
      <c r="Q282" s="719"/>
      <c r="R282" s="719"/>
      <c r="S282" s="719">
        <f>AG283-AG281</f>
        <v>48.05000000000291</v>
      </c>
      <c r="T282" s="719"/>
      <c r="U282" s="719"/>
      <c r="V282" s="719"/>
      <c r="W282" s="719"/>
      <c r="X282" s="719"/>
      <c r="Y282" s="719"/>
      <c r="Z282" s="719"/>
      <c r="AA282" s="719"/>
      <c r="AB282" s="719"/>
      <c r="AC282" s="719"/>
      <c r="AD282" s="719"/>
      <c r="AE282" s="719"/>
      <c r="AF282" s="719"/>
      <c r="AG282" s="1341"/>
      <c r="AH282" s="719"/>
      <c r="AI282" s="719"/>
      <c r="AJ282" s="719"/>
      <c r="AK282" s="719"/>
      <c r="AL282" s="719"/>
      <c r="AM282" s="719"/>
      <c r="AN282" s="719"/>
      <c r="AO282" s="719"/>
      <c r="AP282" s="719"/>
      <c r="AQ282" s="724">
        <f>+FL_2($U$283,$T$281,$G$282,1200,9.28,-1*$F$283)</f>
        <v>-0.39834769999999992</v>
      </c>
      <c r="AR282" s="724"/>
      <c r="AS282" s="724"/>
      <c r="AT282" s="724"/>
      <c r="AU282" s="724"/>
      <c r="AV282" s="724"/>
      <c r="AW282" s="719"/>
      <c r="AX282" s="719"/>
      <c r="AY282" s="719"/>
    </row>
    <row r="283" spans="1:58" ht="15.75" hidden="1" customHeight="1">
      <c r="A283" s="716" t="s">
        <v>677</v>
      </c>
      <c r="B283" s="725" t="s">
        <v>1438</v>
      </c>
      <c r="C283" s="718">
        <f>+$C$281+$G$282</f>
        <v>37398</v>
      </c>
      <c r="D283" s="719"/>
      <c r="E283" s="719"/>
      <c r="F283" s="720">
        <v>0</v>
      </c>
      <c r="G283" s="721"/>
      <c r="H283" s="726" t="s">
        <v>668</v>
      </c>
      <c r="I283" s="729"/>
      <c r="J283" s="723"/>
      <c r="K283" s="719"/>
      <c r="L283" s="719" t="s">
        <v>465</v>
      </c>
      <c r="M283" s="719"/>
      <c r="N283" s="726" t="s">
        <v>697</v>
      </c>
      <c r="O283" s="719" t="s">
        <v>696</v>
      </c>
      <c r="P283" s="719"/>
      <c r="Q283" s="719">
        <v>0</v>
      </c>
      <c r="R283" s="719">
        <v>0</v>
      </c>
      <c r="S283" s="719">
        <f>AG284-AG283</f>
        <v>3.1699999999982538</v>
      </c>
      <c r="T283" s="719">
        <v>25</v>
      </c>
      <c r="U283" s="719">
        <v>5</v>
      </c>
      <c r="V283" s="719"/>
      <c r="W283" s="719">
        <v>1.1000000000000001</v>
      </c>
      <c r="X283" s="719">
        <v>1.2</v>
      </c>
      <c r="Y283" s="719"/>
      <c r="Z283" s="719">
        <v>0.45</v>
      </c>
      <c r="AA283" s="719"/>
      <c r="AB283" s="719"/>
      <c r="AC283" s="719"/>
      <c r="AD283" s="719" t="s">
        <v>2616</v>
      </c>
      <c r="AE283" s="719"/>
      <c r="AF283" s="719">
        <v>200</v>
      </c>
      <c r="AG283" s="1341">
        <v>37396.720000000001</v>
      </c>
      <c r="AH283" s="719">
        <v>1516</v>
      </c>
      <c r="AI283" s="719">
        <v>-5058</v>
      </c>
      <c r="AJ283" s="719"/>
      <c r="AK283" s="719"/>
      <c r="AL283" s="719"/>
      <c r="AM283" s="719" t="s">
        <v>2609</v>
      </c>
      <c r="AN283" s="719">
        <v>5.25</v>
      </c>
      <c r="AO283" s="719"/>
      <c r="AP283" s="719"/>
      <c r="AQ283" s="724"/>
      <c r="AR283" s="724"/>
      <c r="AS283" s="724"/>
      <c r="AT283" s="724">
        <f>+ab($U$283,$T$281,$U$285,$G$282,$G$284,-1*$F$283,1200)</f>
        <v>14.446766725215634</v>
      </c>
      <c r="AU283" s="724"/>
      <c r="AV283" s="724"/>
      <c r="AW283" s="719"/>
      <c r="AX283" s="719"/>
      <c r="AY283" s="719"/>
    </row>
    <row r="284" spans="1:58" ht="15.75" hidden="1" customHeight="1">
      <c r="A284" s="716"/>
      <c r="B284" s="717"/>
      <c r="C284" s="718"/>
      <c r="D284" s="719"/>
      <c r="E284" s="719"/>
      <c r="F284" s="720"/>
      <c r="G284" s="721">
        <v>50</v>
      </c>
      <c r="H284" s="719"/>
      <c r="I284" s="722"/>
      <c r="J284" s="723"/>
      <c r="K284" s="719"/>
      <c r="L284" s="719"/>
      <c r="M284" s="719"/>
      <c r="N284" s="726"/>
      <c r="O284" s="719"/>
      <c r="P284" s="719"/>
      <c r="Q284" s="719">
        <v>0</v>
      </c>
      <c r="R284" s="719">
        <v>0</v>
      </c>
      <c r="S284" s="719">
        <f t="shared" ref="S284" si="49">AG285-AG284</f>
        <v>46.5</v>
      </c>
      <c r="T284" s="719"/>
      <c r="U284" s="719"/>
      <c r="V284" s="719"/>
      <c r="W284" s="719"/>
      <c r="X284" s="719"/>
      <c r="Y284" s="719"/>
      <c r="Z284" s="719"/>
      <c r="AA284" s="719"/>
      <c r="AB284" s="719"/>
      <c r="AC284" s="719"/>
      <c r="AD284" s="719"/>
      <c r="AE284" s="719"/>
      <c r="AF284" s="719">
        <v>200</v>
      </c>
      <c r="AG284" s="1341">
        <v>37399.89</v>
      </c>
      <c r="AH284" s="719">
        <v>1486</v>
      </c>
      <c r="AI284" s="719">
        <v>-5086</v>
      </c>
      <c r="AJ284" s="719"/>
      <c r="AK284" s="719"/>
      <c r="AL284" s="719"/>
      <c r="AM284" s="719"/>
      <c r="AN284" s="719"/>
      <c r="AO284" s="719"/>
      <c r="AP284" s="719"/>
      <c r="AQ284" s="724">
        <f>+FL_2($T$285,$U$283,$G$284,1200,9.28,-1*$F$285)</f>
        <v>-0.24425286799999996</v>
      </c>
      <c r="AR284" s="724"/>
      <c r="AS284" s="724"/>
      <c r="AT284" s="724"/>
      <c r="AU284" s="724"/>
      <c r="AV284" s="724"/>
      <c r="AW284" s="719"/>
      <c r="AX284" s="719"/>
      <c r="AY284" s="719"/>
      <c r="BC284" s="560"/>
    </row>
    <row r="285" spans="1:58" ht="15.75" hidden="1" customHeight="1">
      <c r="A285" s="716" t="s">
        <v>677</v>
      </c>
      <c r="B285" s="725" t="s">
        <v>1439</v>
      </c>
      <c r="C285" s="718">
        <f>+$C$283+$G$284</f>
        <v>37448</v>
      </c>
      <c r="D285" s="719"/>
      <c r="E285" s="719"/>
      <c r="F285" s="720">
        <v>0</v>
      </c>
      <c r="G285" s="721"/>
      <c r="H285" s="719" t="s">
        <v>668</v>
      </c>
      <c r="I285" s="737"/>
      <c r="J285" s="723"/>
      <c r="K285" s="719"/>
      <c r="L285" s="719" t="s">
        <v>465</v>
      </c>
      <c r="M285" s="719"/>
      <c r="N285" s="726" t="s">
        <v>695</v>
      </c>
      <c r="O285" s="719" t="s">
        <v>697</v>
      </c>
      <c r="P285" s="719"/>
      <c r="Q285" s="719">
        <v>0</v>
      </c>
      <c r="R285" s="719">
        <v>0</v>
      </c>
      <c r="S285" s="719">
        <f>AG286-AG285</f>
        <v>3.2399999999979627</v>
      </c>
      <c r="T285" s="719">
        <v>-5</v>
      </c>
      <c r="U285" s="719">
        <v>-25</v>
      </c>
      <c r="V285" s="719"/>
      <c r="W285" s="719">
        <v>1.1000000000000001</v>
      </c>
      <c r="X285" s="719">
        <v>1.2</v>
      </c>
      <c r="Y285" s="719"/>
      <c r="Z285" s="719"/>
      <c r="AA285" s="719">
        <v>0.45</v>
      </c>
      <c r="AB285" s="719"/>
      <c r="AC285" s="719" t="s">
        <v>2612</v>
      </c>
      <c r="AD285" s="719"/>
      <c r="AE285" s="719"/>
      <c r="AF285" s="719">
        <v>200</v>
      </c>
      <c r="AG285" s="1341">
        <v>37446.39</v>
      </c>
      <c r="AH285" s="719">
        <v>1475</v>
      </c>
      <c r="AI285" s="719">
        <v>-5096</v>
      </c>
      <c r="AJ285" s="719"/>
      <c r="AK285" s="719"/>
      <c r="AL285" s="719"/>
      <c r="AM285" s="719" t="s">
        <v>2609</v>
      </c>
      <c r="AN285" s="719">
        <v>5.25</v>
      </c>
      <c r="AO285" s="719"/>
      <c r="AP285" s="719"/>
      <c r="AQ285" s="724"/>
      <c r="AR285" s="724"/>
      <c r="AS285" s="724"/>
      <c r="AT285" s="724">
        <f>+ab($T$285,$T$283,$T$287,$G$284,$G$286,-1*$F$285,1200)</f>
        <v>-14.446873203935258</v>
      </c>
      <c r="AU285" s="724"/>
      <c r="AV285" s="724"/>
      <c r="AW285" s="719"/>
      <c r="AX285" s="719"/>
      <c r="AY285" s="719"/>
    </row>
    <row r="286" spans="1:58" ht="15.75" hidden="1" customHeight="1">
      <c r="A286" s="716"/>
      <c r="B286" s="717"/>
      <c r="C286" s="718"/>
      <c r="D286" s="719"/>
      <c r="E286" s="719"/>
      <c r="F286" s="720"/>
      <c r="G286" s="721">
        <v>50</v>
      </c>
      <c r="H286" s="719"/>
      <c r="I286" s="726"/>
      <c r="J286" s="723">
        <f>C287-9.6</f>
        <v>37488.400000000001</v>
      </c>
      <c r="K286" s="719" t="s">
        <v>1097</v>
      </c>
      <c r="L286" s="719"/>
      <c r="M286" s="719"/>
      <c r="N286" s="726"/>
      <c r="O286" s="719"/>
      <c r="P286" s="719"/>
      <c r="Q286" s="719">
        <v>0</v>
      </c>
      <c r="R286" s="719">
        <v>0</v>
      </c>
      <c r="S286" s="719">
        <f>AG287-AG286</f>
        <v>49.630000000004657</v>
      </c>
      <c r="T286" s="719"/>
      <c r="U286" s="719"/>
      <c r="V286" s="719"/>
      <c r="W286" s="719"/>
      <c r="X286" s="719"/>
      <c r="Y286" s="719"/>
      <c r="Z286" s="719"/>
      <c r="AA286" s="719"/>
      <c r="AB286" s="719"/>
      <c r="AC286" s="719"/>
      <c r="AD286" s="719"/>
      <c r="AE286" s="719"/>
      <c r="AF286" s="719">
        <v>200</v>
      </c>
      <c r="AG286" s="1341">
        <v>37449.629999999997</v>
      </c>
      <c r="AH286" s="719">
        <v>1493</v>
      </c>
      <c r="AI286" s="719">
        <v>-5082</v>
      </c>
      <c r="AJ286" s="719"/>
      <c r="AK286" s="719"/>
      <c r="AL286" s="719"/>
      <c r="AM286" s="719"/>
      <c r="AN286" s="719"/>
      <c r="AO286" s="719"/>
      <c r="AP286" s="719"/>
      <c r="AQ286" s="724">
        <f>+FL_1($T$287,$T$285,$G$286,1200,9.28,-1*$F$287)</f>
        <v>0.39834769999999997</v>
      </c>
      <c r="AR286" s="724"/>
      <c r="AS286" s="724"/>
      <c r="AT286" s="724"/>
      <c r="AU286" s="724"/>
      <c r="AV286" s="724"/>
      <c r="AW286" s="719"/>
      <c r="AX286" s="719"/>
      <c r="AY286" s="719"/>
    </row>
    <row r="287" spans="1:58" ht="15.75" hidden="1" customHeight="1">
      <c r="A287" s="716" t="s">
        <v>677</v>
      </c>
      <c r="B287" s="728" t="s">
        <v>1440</v>
      </c>
      <c r="C287" s="718">
        <f>+$C$285+$G$286</f>
        <v>37498</v>
      </c>
      <c r="D287" s="719"/>
      <c r="E287" s="719"/>
      <c r="F287" s="720">
        <v>0</v>
      </c>
      <c r="G287" s="721"/>
      <c r="H287" s="726" t="s">
        <v>138</v>
      </c>
      <c r="I287" s="722" t="s">
        <v>948</v>
      </c>
      <c r="J287" s="727"/>
      <c r="K287" s="719"/>
      <c r="L287" s="719" t="s">
        <v>241</v>
      </c>
      <c r="M287" s="719"/>
      <c r="N287" s="726" t="s">
        <v>696</v>
      </c>
      <c r="O287" s="726"/>
      <c r="P287" s="726"/>
      <c r="Q287" s="719">
        <v>0</v>
      </c>
      <c r="R287" s="719">
        <v>0</v>
      </c>
      <c r="S287" s="719"/>
      <c r="T287" s="719">
        <v>30</v>
      </c>
      <c r="U287" s="719"/>
      <c r="V287" s="719"/>
      <c r="W287" s="719">
        <v>1.1000000000000001</v>
      </c>
      <c r="X287" s="719"/>
      <c r="Y287" s="719"/>
      <c r="Z287" s="719"/>
      <c r="AA287" s="719"/>
      <c r="AB287" s="719"/>
      <c r="AC287" s="719" t="s">
        <v>2612</v>
      </c>
      <c r="AD287" s="719"/>
      <c r="AE287" s="719"/>
      <c r="AF287" s="719">
        <v>200</v>
      </c>
      <c r="AG287" s="1341">
        <v>37499.26</v>
      </c>
      <c r="AH287" s="719">
        <v>1501</v>
      </c>
      <c r="AI287" s="719">
        <v>-5029</v>
      </c>
      <c r="AJ287" s="719"/>
      <c r="AK287" s="719"/>
      <c r="AL287" s="719"/>
      <c r="AM287" s="719" t="s">
        <v>2609</v>
      </c>
      <c r="AN287" s="719">
        <v>5.25</v>
      </c>
      <c r="AO287" s="719"/>
      <c r="AP287" s="719"/>
      <c r="AQ287" s="724"/>
      <c r="AR287" s="724"/>
      <c r="AS287" s="724"/>
      <c r="AT287" s="724">
        <f>+ab($T$287,$T$285,$T$289,$G$286,$G$288,-1*$F$287,1200)</f>
        <v>9.9968917440918084</v>
      </c>
      <c r="AU287" s="724"/>
      <c r="AV287" s="724"/>
      <c r="AW287" s="719"/>
      <c r="AX287" s="719"/>
      <c r="AY287" s="719"/>
      <c r="BE287" s="560"/>
      <c r="BF287" s="560"/>
    </row>
    <row r="288" spans="1:58" ht="15.75" hidden="1" customHeight="1">
      <c r="A288" s="716"/>
      <c r="B288" s="718"/>
      <c r="C288" s="718"/>
      <c r="D288" s="719"/>
      <c r="E288" s="719"/>
      <c r="F288" s="720"/>
      <c r="G288" s="721">
        <v>50</v>
      </c>
      <c r="H288" s="726"/>
      <c r="I288" s="726"/>
      <c r="J288" s="727"/>
      <c r="K288" s="719"/>
      <c r="L288" s="719"/>
      <c r="M288" s="719"/>
      <c r="N288" s="726"/>
      <c r="O288" s="726"/>
      <c r="P288" s="726"/>
      <c r="Q288" s="719"/>
      <c r="R288" s="719"/>
      <c r="S288" s="719">
        <f t="shared" si="47"/>
        <v>49.659999999996217</v>
      </c>
      <c r="T288" s="719"/>
      <c r="U288" s="719"/>
      <c r="V288" s="719"/>
      <c r="W288" s="719"/>
      <c r="X288" s="719"/>
      <c r="Y288" s="719"/>
      <c r="Z288" s="719"/>
      <c r="AA288" s="719"/>
      <c r="AB288" s="719"/>
      <c r="AC288" s="719"/>
      <c r="AD288" s="719"/>
      <c r="AE288" s="719"/>
      <c r="AF288" s="719"/>
      <c r="AG288" s="1341"/>
      <c r="AH288" s="719"/>
      <c r="AI288" s="719"/>
      <c r="AJ288" s="719"/>
      <c r="AK288" s="719"/>
      <c r="AL288" s="719"/>
      <c r="AM288" s="719"/>
      <c r="AN288" s="719"/>
      <c r="AO288" s="719"/>
      <c r="AP288" s="719"/>
      <c r="AQ288" s="724">
        <f>+FL_2($T$289,$T$287,$G$288,1200,9.28,-1*$F$289)</f>
        <v>-0.33477011200000001</v>
      </c>
      <c r="AR288" s="724"/>
      <c r="AS288" s="724"/>
      <c r="AT288" s="724"/>
      <c r="AU288" s="724"/>
      <c r="AV288" s="724"/>
      <c r="AW288" s="719"/>
      <c r="AX288" s="719"/>
      <c r="AY288" s="719"/>
    </row>
    <row r="289" spans="1:51" ht="15.75" hidden="1" customHeight="1">
      <c r="A289" s="716" t="s">
        <v>677</v>
      </c>
      <c r="B289" s="728" t="s">
        <v>1441</v>
      </c>
      <c r="C289" s="718">
        <f>+$C$287+$G$288</f>
        <v>37548</v>
      </c>
      <c r="D289" s="719"/>
      <c r="E289" s="719"/>
      <c r="F289" s="720">
        <v>0</v>
      </c>
      <c r="G289" s="721"/>
      <c r="H289" s="726"/>
      <c r="I289" s="726"/>
      <c r="J289" s="727"/>
      <c r="K289" s="719"/>
      <c r="L289" s="719" t="s">
        <v>241</v>
      </c>
      <c r="M289" s="719"/>
      <c r="N289" s="726" t="s">
        <v>695</v>
      </c>
      <c r="O289" s="726"/>
      <c r="P289" s="726"/>
      <c r="Q289" s="719">
        <v>0</v>
      </c>
      <c r="R289" s="719">
        <v>0</v>
      </c>
      <c r="S289" s="719"/>
      <c r="T289" s="719">
        <v>-30</v>
      </c>
      <c r="U289" s="719"/>
      <c r="V289" s="719"/>
      <c r="W289" s="719">
        <v>1.1000000000000001</v>
      </c>
      <c r="X289" s="719"/>
      <c r="Y289" s="719"/>
      <c r="Z289" s="719"/>
      <c r="AA289" s="719"/>
      <c r="AB289" s="719"/>
      <c r="AC289" s="719" t="s">
        <v>2977</v>
      </c>
      <c r="AD289" s="719"/>
      <c r="AE289" s="719"/>
      <c r="AF289" s="719">
        <v>200</v>
      </c>
      <c r="AG289" s="1341">
        <v>37548.92</v>
      </c>
      <c r="AH289" s="719">
        <v>1489</v>
      </c>
      <c r="AI289" s="719">
        <v>-5055</v>
      </c>
      <c r="AJ289" s="719"/>
      <c r="AK289" s="719"/>
      <c r="AL289" s="719"/>
      <c r="AM289" s="719" t="s">
        <v>2609</v>
      </c>
      <c r="AN289" s="719">
        <v>5.25</v>
      </c>
      <c r="AO289" s="719"/>
      <c r="AP289" s="719"/>
      <c r="AQ289" s="724"/>
      <c r="AR289" s="724"/>
      <c r="AS289" s="724"/>
      <c r="AT289" s="724">
        <f>+ab($T$289,$T$287,$T$291,$G$288,$G$290,-1*$F$289,1200)</f>
        <v>-7.9442410717051439</v>
      </c>
      <c r="AU289" s="724"/>
      <c r="AV289" s="724"/>
      <c r="AW289" s="719"/>
      <c r="AX289" s="719"/>
      <c r="AY289" s="719"/>
    </row>
    <row r="290" spans="1:51" ht="15.75" hidden="1" customHeight="1">
      <c r="A290" s="716"/>
      <c r="B290" s="718"/>
      <c r="C290" s="718"/>
      <c r="D290" s="719"/>
      <c r="E290" s="719"/>
      <c r="F290" s="720"/>
      <c r="G290" s="721">
        <v>50</v>
      </c>
      <c r="H290" s="726"/>
      <c r="I290" s="726"/>
      <c r="J290" s="727"/>
      <c r="K290" s="719"/>
      <c r="L290" s="719"/>
      <c r="M290" s="719"/>
      <c r="N290" s="726"/>
      <c r="O290" s="726"/>
      <c r="P290" s="726"/>
      <c r="Q290" s="719"/>
      <c r="R290" s="719"/>
      <c r="S290" s="719">
        <f t="shared" si="47"/>
        <v>49.669999999998254</v>
      </c>
      <c r="T290" s="719"/>
      <c r="U290" s="719"/>
      <c r="V290" s="719"/>
      <c r="W290" s="719"/>
      <c r="X290" s="719"/>
      <c r="Y290" s="719"/>
      <c r="Z290" s="719"/>
      <c r="AA290" s="719"/>
      <c r="AB290" s="719"/>
      <c r="AC290" s="719"/>
      <c r="AD290" s="719"/>
      <c r="AE290" s="719"/>
      <c r="AF290" s="719"/>
      <c r="AG290" s="1341"/>
      <c r="AH290" s="719"/>
      <c r="AI290" s="719"/>
      <c r="AJ290" s="719"/>
      <c r="AK290" s="719"/>
      <c r="AL290" s="719"/>
      <c r="AM290" s="719"/>
      <c r="AN290" s="719"/>
      <c r="AO290" s="719"/>
      <c r="AP290" s="719"/>
      <c r="AQ290" s="724">
        <f>+FL_1($T$291,$T$289,$G$290,1200,9.28,-1*$F$291)</f>
        <v>0.33477011200000001</v>
      </c>
      <c r="AR290" s="724"/>
      <c r="AS290" s="724"/>
      <c r="AT290" s="724"/>
      <c r="AU290" s="724"/>
      <c r="AV290" s="724"/>
      <c r="AW290" s="719"/>
      <c r="AX290" s="719"/>
      <c r="AY290" s="719"/>
    </row>
    <row r="291" spans="1:51" ht="15.75" hidden="1" customHeight="1">
      <c r="A291" s="716" t="s">
        <v>677</v>
      </c>
      <c r="B291" s="728" t="s">
        <v>1442</v>
      </c>
      <c r="C291" s="718">
        <f>+$C$289+$G$290</f>
        <v>37598</v>
      </c>
      <c r="D291" s="719"/>
      <c r="E291" s="719"/>
      <c r="F291" s="720">
        <v>0</v>
      </c>
      <c r="G291" s="721"/>
      <c r="H291" s="726"/>
      <c r="I291" s="726"/>
      <c r="J291" s="727"/>
      <c r="K291" s="719"/>
      <c r="L291" s="719" t="s">
        <v>241</v>
      </c>
      <c r="M291" s="719"/>
      <c r="N291" s="726" t="s">
        <v>696</v>
      </c>
      <c r="O291" s="726"/>
      <c r="P291" s="726"/>
      <c r="Q291" s="719">
        <v>0</v>
      </c>
      <c r="R291" s="719">
        <v>0</v>
      </c>
      <c r="S291" s="719"/>
      <c r="T291" s="719">
        <v>30</v>
      </c>
      <c r="U291" s="719"/>
      <c r="V291" s="719"/>
      <c r="W291" s="719">
        <v>1.1000000000000001</v>
      </c>
      <c r="X291" s="719"/>
      <c r="Y291" s="719"/>
      <c r="Z291" s="719"/>
      <c r="AA291" s="719"/>
      <c r="AB291" s="719"/>
      <c r="AC291" s="719" t="s">
        <v>2977</v>
      </c>
      <c r="AD291" s="719"/>
      <c r="AE291" s="719"/>
      <c r="AF291" s="719">
        <v>200</v>
      </c>
      <c r="AG291" s="1341">
        <v>37598.589999999997</v>
      </c>
      <c r="AH291" s="719">
        <v>1501</v>
      </c>
      <c r="AI291" s="719">
        <v>-5035</v>
      </c>
      <c r="AJ291" s="719"/>
      <c r="AK291" s="719"/>
      <c r="AL291" s="719"/>
      <c r="AM291" s="719" t="s">
        <v>2609</v>
      </c>
      <c r="AN291" s="719">
        <v>5.25</v>
      </c>
      <c r="AO291" s="719"/>
      <c r="AP291" s="719"/>
      <c r="AQ291" s="724"/>
      <c r="AR291" s="724"/>
      <c r="AS291" s="724"/>
      <c r="AT291" s="724">
        <f>+ab($T$291,$T$289,$T$293,$G$290,$G$292,-1*$F$291,1200)</f>
        <v>7.9442083933778509</v>
      </c>
      <c r="AU291" s="724"/>
      <c r="AV291" s="724"/>
      <c r="AW291" s="719"/>
      <c r="AX291" s="719"/>
      <c r="AY291" s="719"/>
    </row>
    <row r="292" spans="1:51" ht="15.75" hidden="1" customHeight="1">
      <c r="A292" s="716"/>
      <c r="B292" s="718"/>
      <c r="C292" s="718"/>
      <c r="D292" s="719"/>
      <c r="E292" s="719"/>
      <c r="F292" s="720"/>
      <c r="G292" s="721">
        <v>50</v>
      </c>
      <c r="H292" s="726"/>
      <c r="I292" s="726"/>
      <c r="J292" s="727"/>
      <c r="K292" s="719"/>
      <c r="L292" s="719"/>
      <c r="M292" s="719"/>
      <c r="N292" s="726"/>
      <c r="O292" s="726"/>
      <c r="P292" s="726"/>
      <c r="Q292" s="719"/>
      <c r="R292" s="719"/>
      <c r="S292" s="719">
        <f t="shared" si="47"/>
        <v>51.180000000000291</v>
      </c>
      <c r="T292" s="719"/>
      <c r="U292" s="719"/>
      <c r="V292" s="719"/>
      <c r="W292" s="719"/>
      <c r="X292" s="719"/>
      <c r="Y292" s="719"/>
      <c r="Z292" s="719"/>
      <c r="AA292" s="719"/>
      <c r="AB292" s="719"/>
      <c r="AC292" s="719"/>
      <c r="AD292" s="719"/>
      <c r="AE292" s="719"/>
      <c r="AF292" s="719"/>
      <c r="AG292" s="1341"/>
      <c r="AH292" s="719"/>
      <c r="AI292" s="719"/>
      <c r="AJ292" s="719"/>
      <c r="AK292" s="719"/>
      <c r="AL292" s="719"/>
      <c r="AM292" s="719"/>
      <c r="AN292" s="719"/>
      <c r="AO292" s="719"/>
      <c r="AP292" s="719"/>
      <c r="AQ292" s="724">
        <f>+FL_2($T$293,$T$291,$G$292,1200,9.28,-1*$F$293)</f>
        <v>-0.33477011200000001</v>
      </c>
      <c r="AR292" s="724"/>
      <c r="AS292" s="724"/>
      <c r="AT292" s="724"/>
      <c r="AU292" s="724"/>
      <c r="AV292" s="724"/>
      <c r="AW292" s="719"/>
      <c r="AX292" s="719"/>
      <c r="AY292" s="719"/>
    </row>
    <row r="293" spans="1:51" ht="15.75" hidden="1" customHeight="1">
      <c r="A293" s="716" t="s">
        <v>677</v>
      </c>
      <c r="B293" s="728" t="s">
        <v>1443</v>
      </c>
      <c r="C293" s="718">
        <f>+$C$291+$G$292</f>
        <v>37648</v>
      </c>
      <c r="D293" s="719"/>
      <c r="E293" s="719"/>
      <c r="F293" s="720">
        <v>0</v>
      </c>
      <c r="G293" s="721"/>
      <c r="H293" s="726"/>
      <c r="I293" s="726"/>
      <c r="J293" s="727"/>
      <c r="K293" s="719"/>
      <c r="L293" s="719" t="s">
        <v>241</v>
      </c>
      <c r="M293" s="719"/>
      <c r="N293" s="726" t="s">
        <v>695</v>
      </c>
      <c r="O293" s="726"/>
      <c r="P293" s="726"/>
      <c r="Q293" s="719">
        <v>0</v>
      </c>
      <c r="R293" s="719">
        <v>0</v>
      </c>
      <c r="S293" s="719"/>
      <c r="T293" s="719">
        <v>-30</v>
      </c>
      <c r="U293" s="719"/>
      <c r="V293" s="719"/>
      <c r="W293" s="719">
        <v>1.1000000000000001</v>
      </c>
      <c r="X293" s="719"/>
      <c r="Y293" s="719"/>
      <c r="Z293" s="719"/>
      <c r="AA293" s="719"/>
      <c r="AB293" s="719"/>
      <c r="AC293" s="719" t="s">
        <v>2977</v>
      </c>
      <c r="AD293" s="719"/>
      <c r="AE293" s="719"/>
      <c r="AF293" s="719">
        <v>200</v>
      </c>
      <c r="AG293" s="1341">
        <v>37649.769999999997</v>
      </c>
      <c r="AH293" s="719">
        <v>1507</v>
      </c>
      <c r="AI293" s="719">
        <v>-5019</v>
      </c>
      <c r="AJ293" s="719"/>
      <c r="AK293" s="719"/>
      <c r="AL293" s="719"/>
      <c r="AM293" s="719" t="s">
        <v>2609</v>
      </c>
      <c r="AN293" s="719">
        <v>5.25</v>
      </c>
      <c r="AO293" s="719"/>
      <c r="AP293" s="719"/>
      <c r="AQ293" s="724"/>
      <c r="AR293" s="724"/>
      <c r="AS293" s="724"/>
      <c r="AT293" s="724">
        <f>+ab($T$293,$T$291,$T$295,$G$292,$G$294,-1*$F$293,1200)</f>
        <v>-7.9442410717051439</v>
      </c>
      <c r="AU293" s="724"/>
      <c r="AV293" s="724"/>
      <c r="AW293" s="719"/>
      <c r="AX293" s="719"/>
      <c r="AY293" s="719"/>
    </row>
    <row r="294" spans="1:51" ht="15.75" hidden="1" customHeight="1">
      <c r="A294" s="716"/>
      <c r="B294" s="718"/>
      <c r="C294" s="718"/>
      <c r="D294" s="719"/>
      <c r="E294" s="719"/>
      <c r="F294" s="720"/>
      <c r="G294" s="721">
        <v>50</v>
      </c>
      <c r="H294" s="726"/>
      <c r="I294" s="722"/>
      <c r="J294" s="723"/>
      <c r="K294" s="719"/>
      <c r="L294" s="719"/>
      <c r="M294" s="719"/>
      <c r="N294" s="726"/>
      <c r="O294" s="726"/>
      <c r="P294" s="726"/>
      <c r="Q294" s="719"/>
      <c r="R294" s="719"/>
      <c r="S294" s="719">
        <f t="shared" si="47"/>
        <v>47.950000000004366</v>
      </c>
      <c r="T294" s="719"/>
      <c r="U294" s="719"/>
      <c r="V294" s="719"/>
      <c r="W294" s="719"/>
      <c r="X294" s="719"/>
      <c r="Y294" s="719"/>
      <c r="Z294" s="719"/>
      <c r="AA294" s="719"/>
      <c r="AB294" s="719"/>
      <c r="AC294" s="719"/>
      <c r="AD294" s="719"/>
      <c r="AE294" s="719"/>
      <c r="AF294" s="719"/>
      <c r="AG294" s="1341"/>
      <c r="AH294" s="719"/>
      <c r="AI294" s="719"/>
      <c r="AJ294" s="719"/>
      <c r="AK294" s="719"/>
      <c r="AL294" s="719"/>
      <c r="AM294" s="719"/>
      <c r="AN294" s="719"/>
      <c r="AO294" s="719"/>
      <c r="AP294" s="719"/>
      <c r="AQ294" s="724">
        <f>+FL_1($T$295,$T$293,$G$294,1200,9.28,-1*$F$295)</f>
        <v>0.33477011200000001</v>
      </c>
      <c r="AR294" s="724"/>
      <c r="AS294" s="724"/>
      <c r="AT294" s="724"/>
      <c r="AU294" s="724"/>
      <c r="AV294" s="724"/>
      <c r="AW294" s="719"/>
      <c r="AX294" s="719"/>
      <c r="AY294" s="719"/>
    </row>
    <row r="295" spans="1:51" ht="15.75" hidden="1" customHeight="1">
      <c r="A295" s="716" t="s">
        <v>677</v>
      </c>
      <c r="B295" s="728" t="s">
        <v>1444</v>
      </c>
      <c r="C295" s="718">
        <f>+$C$293+$G$294</f>
        <v>37698</v>
      </c>
      <c r="D295" s="719"/>
      <c r="E295" s="719"/>
      <c r="F295" s="720">
        <v>0</v>
      </c>
      <c r="G295" s="721"/>
      <c r="H295" s="726"/>
      <c r="I295" s="726"/>
      <c r="J295" s="727"/>
      <c r="K295" s="719"/>
      <c r="L295" s="719" t="s">
        <v>241</v>
      </c>
      <c r="M295" s="719"/>
      <c r="N295" s="726" t="s">
        <v>696</v>
      </c>
      <c r="O295" s="726"/>
      <c r="P295" s="726"/>
      <c r="Q295" s="719">
        <v>0</v>
      </c>
      <c r="R295" s="719">
        <v>0</v>
      </c>
      <c r="S295" s="719"/>
      <c r="T295" s="719">
        <v>30</v>
      </c>
      <c r="U295" s="719"/>
      <c r="V295" s="719"/>
      <c r="W295" s="719">
        <v>1.1000000000000001</v>
      </c>
      <c r="X295" s="719"/>
      <c r="Y295" s="719"/>
      <c r="Z295" s="719"/>
      <c r="AA295" s="719"/>
      <c r="AB295" s="719"/>
      <c r="AC295" s="719" t="s">
        <v>2977</v>
      </c>
      <c r="AD295" s="719"/>
      <c r="AE295" s="719"/>
      <c r="AF295" s="719">
        <v>200</v>
      </c>
      <c r="AG295" s="1341">
        <v>37697.72</v>
      </c>
      <c r="AH295" s="719">
        <v>1504</v>
      </c>
      <c r="AI295" s="719">
        <v>-5074</v>
      </c>
      <c r="AJ295" s="719"/>
      <c r="AK295" s="719"/>
      <c r="AL295" s="719"/>
      <c r="AM295" s="719" t="s">
        <v>2609</v>
      </c>
      <c r="AN295" s="719">
        <v>5.25</v>
      </c>
      <c r="AO295" s="719"/>
      <c r="AP295" s="719"/>
      <c r="AQ295" s="724"/>
      <c r="AR295" s="724"/>
      <c r="AS295" s="724"/>
      <c r="AT295" s="724">
        <f>+ab($T$295,$T$293,$T$297,$G$294,$G$296,-1*$F$295,1200)</f>
        <v>7.9442083933778509</v>
      </c>
      <c r="AU295" s="724"/>
      <c r="AV295" s="724"/>
      <c r="AW295" s="719"/>
      <c r="AX295" s="719"/>
      <c r="AY295" s="719"/>
    </row>
    <row r="296" spans="1:51" ht="15.75" hidden="1" customHeight="1">
      <c r="A296" s="716"/>
      <c r="B296" s="718"/>
      <c r="C296" s="718"/>
      <c r="D296" s="719"/>
      <c r="E296" s="719"/>
      <c r="F296" s="720"/>
      <c r="G296" s="721">
        <v>50</v>
      </c>
      <c r="H296" s="726"/>
      <c r="I296" s="722"/>
      <c r="J296" s="723"/>
      <c r="K296" s="719"/>
      <c r="L296" s="719"/>
      <c r="M296" s="719"/>
      <c r="N296" s="726"/>
      <c r="O296" s="726"/>
      <c r="P296" s="726"/>
      <c r="Q296" s="719"/>
      <c r="R296" s="719"/>
      <c r="S296" s="719">
        <f t="shared" si="47"/>
        <v>49.69999999999709</v>
      </c>
      <c r="T296" s="719"/>
      <c r="U296" s="719"/>
      <c r="V296" s="719"/>
      <c r="W296" s="719"/>
      <c r="X296" s="719"/>
      <c r="Y296" s="719"/>
      <c r="Z296" s="719"/>
      <c r="AA296" s="719"/>
      <c r="AB296" s="719"/>
      <c r="AC296" s="719"/>
      <c r="AD296" s="719"/>
      <c r="AE296" s="719"/>
      <c r="AF296" s="719"/>
      <c r="AG296" s="1341"/>
      <c r="AH296" s="719"/>
      <c r="AI296" s="719"/>
      <c r="AJ296" s="719"/>
      <c r="AK296" s="719"/>
      <c r="AL296" s="719"/>
      <c r="AM296" s="719"/>
      <c r="AN296" s="719"/>
      <c r="AO296" s="719"/>
      <c r="AP296" s="719"/>
      <c r="AQ296" s="724">
        <f>+FL_2($T$297,$T$295,$G$296,1200,9.28,-1*$F$297)</f>
        <v>-0.33477011200000001</v>
      </c>
      <c r="AR296" s="724"/>
      <c r="AS296" s="724"/>
      <c r="AT296" s="724"/>
      <c r="AU296" s="724"/>
      <c r="AV296" s="724"/>
      <c r="AW296" s="719"/>
      <c r="AX296" s="719"/>
      <c r="AY296" s="719"/>
    </row>
    <row r="297" spans="1:51" ht="15.75" hidden="1" customHeight="1">
      <c r="A297" s="716" t="s">
        <v>677</v>
      </c>
      <c r="B297" s="725" t="s">
        <v>1445</v>
      </c>
      <c r="C297" s="718">
        <f>+$C$295+$G$296</f>
        <v>37748</v>
      </c>
      <c r="D297" s="719"/>
      <c r="E297" s="719"/>
      <c r="F297" s="720">
        <v>0</v>
      </c>
      <c r="G297" s="721"/>
      <c r="H297" s="726"/>
      <c r="I297" s="726"/>
      <c r="J297" s="727"/>
      <c r="K297" s="719"/>
      <c r="L297" s="719" t="s">
        <v>241</v>
      </c>
      <c r="M297" s="719"/>
      <c r="N297" s="726" t="s">
        <v>695</v>
      </c>
      <c r="O297" s="726"/>
      <c r="P297" s="726"/>
      <c r="Q297" s="719">
        <v>0</v>
      </c>
      <c r="R297" s="719">
        <v>0</v>
      </c>
      <c r="S297" s="719"/>
      <c r="T297" s="719">
        <v>-30</v>
      </c>
      <c r="U297" s="719"/>
      <c r="V297" s="719"/>
      <c r="W297" s="719">
        <v>1.1000000000000001</v>
      </c>
      <c r="X297" s="719"/>
      <c r="Y297" s="719"/>
      <c r="Z297" s="719"/>
      <c r="AA297" s="719"/>
      <c r="AB297" s="719"/>
      <c r="AC297" s="719" t="s">
        <v>2977</v>
      </c>
      <c r="AD297" s="719"/>
      <c r="AE297" s="719"/>
      <c r="AF297" s="719">
        <v>200</v>
      </c>
      <c r="AG297" s="1341">
        <v>37747.42</v>
      </c>
      <c r="AH297" s="719">
        <v>1498</v>
      </c>
      <c r="AI297" s="719">
        <v>-5071</v>
      </c>
      <c r="AJ297" s="719"/>
      <c r="AK297" s="719"/>
      <c r="AL297" s="719"/>
      <c r="AM297" s="719" t="s">
        <v>2609</v>
      </c>
      <c r="AN297" s="719">
        <v>5.25</v>
      </c>
      <c r="AO297" s="719"/>
      <c r="AP297" s="719"/>
      <c r="AQ297" s="724"/>
      <c r="AR297" s="724"/>
      <c r="AS297" s="724"/>
      <c r="AT297" s="724">
        <f>+ab($T$297,$T$295,$T$299,$G$296,$G$298,-1*$F$297,1200)</f>
        <v>-7.9442410717051439</v>
      </c>
      <c r="AU297" s="724"/>
      <c r="AV297" s="724"/>
      <c r="AW297" s="719"/>
      <c r="AX297" s="719"/>
      <c r="AY297" s="719"/>
    </row>
    <row r="298" spans="1:51" ht="15.75" hidden="1" customHeight="1">
      <c r="A298" s="716"/>
      <c r="B298" s="717"/>
      <c r="C298" s="718"/>
      <c r="D298" s="719"/>
      <c r="E298" s="719"/>
      <c r="F298" s="720"/>
      <c r="G298" s="721">
        <v>50</v>
      </c>
      <c r="H298" s="726"/>
      <c r="I298" s="722"/>
      <c r="J298" s="727"/>
      <c r="K298" s="719"/>
      <c r="L298" s="719"/>
      <c r="M298" s="719"/>
      <c r="N298" s="726"/>
      <c r="O298" s="726"/>
      <c r="P298" s="726"/>
      <c r="Q298" s="719"/>
      <c r="R298" s="719"/>
      <c r="S298" s="719">
        <f t="shared" si="47"/>
        <v>51.180000000000291</v>
      </c>
      <c r="T298" s="719"/>
      <c r="U298" s="719"/>
      <c r="V298" s="719"/>
      <c r="W298" s="719"/>
      <c r="X298" s="719"/>
      <c r="Y298" s="719"/>
      <c r="Z298" s="719"/>
      <c r="AA298" s="719"/>
      <c r="AB298" s="719"/>
      <c r="AC298" s="719"/>
      <c r="AD298" s="719"/>
      <c r="AE298" s="719"/>
      <c r="AF298" s="719"/>
      <c r="AG298" s="1341"/>
      <c r="AH298" s="719"/>
      <c r="AI298" s="719"/>
      <c r="AJ298" s="719"/>
      <c r="AK298" s="719"/>
      <c r="AL298" s="719"/>
      <c r="AM298" s="719"/>
      <c r="AN298" s="719"/>
      <c r="AO298" s="719"/>
      <c r="AP298" s="719"/>
      <c r="AQ298" s="724">
        <f>+FL_1($T$299,$T$297,$G$298,1200,9.28,-1*$F$299)</f>
        <v>0.33477011200000001</v>
      </c>
      <c r="AR298" s="724"/>
      <c r="AS298" s="724"/>
      <c r="AT298" s="724"/>
      <c r="AU298" s="724"/>
      <c r="AV298" s="724"/>
      <c r="AW298" s="719"/>
      <c r="AX298" s="719"/>
      <c r="AY298" s="719"/>
    </row>
    <row r="299" spans="1:51" ht="15.75" customHeight="1">
      <c r="A299" s="716" t="s">
        <v>677</v>
      </c>
      <c r="B299" s="725" t="s">
        <v>1446</v>
      </c>
      <c r="C299" s="718">
        <f>+$C$297+$G$298</f>
        <v>37798</v>
      </c>
      <c r="D299" s="719"/>
      <c r="E299" s="719"/>
      <c r="F299" s="720">
        <v>0</v>
      </c>
      <c r="G299" s="721"/>
      <c r="H299" s="726" t="s">
        <v>1101</v>
      </c>
      <c r="I299" s="722"/>
      <c r="J299" s="727"/>
      <c r="K299" s="719"/>
      <c r="L299" s="719" t="s">
        <v>241</v>
      </c>
      <c r="M299" s="719"/>
      <c r="N299" s="726" t="s">
        <v>696</v>
      </c>
      <c r="O299" s="726"/>
      <c r="P299" s="726"/>
      <c r="Q299" s="719">
        <v>0</v>
      </c>
      <c r="R299" s="719">
        <v>0</v>
      </c>
      <c r="S299" s="719"/>
      <c r="T299" s="719">
        <v>30</v>
      </c>
      <c r="U299" s="719"/>
      <c r="V299" s="719"/>
      <c r="W299" s="719">
        <v>1.1000000000000001</v>
      </c>
      <c r="X299" s="719"/>
      <c r="Y299" s="719"/>
      <c r="Z299" s="719"/>
      <c r="AA299" s="719"/>
      <c r="AB299" s="719"/>
      <c r="AC299" s="719" t="s">
        <v>2977</v>
      </c>
      <c r="AD299" s="719"/>
      <c r="AE299" s="719"/>
      <c r="AF299" s="719">
        <v>200</v>
      </c>
      <c r="AG299" s="1341">
        <v>37798.6</v>
      </c>
      <c r="AH299" s="719">
        <v>1515</v>
      </c>
      <c r="AI299" s="719">
        <v>-5042</v>
      </c>
      <c r="AJ299" s="719"/>
      <c r="AK299" s="719"/>
      <c r="AL299" s="719"/>
      <c r="AM299" s="719" t="s">
        <v>2609</v>
      </c>
      <c r="AN299" s="719">
        <v>5.25</v>
      </c>
      <c r="AO299" s="719"/>
      <c r="AP299" s="719"/>
      <c r="AQ299" s="724"/>
      <c r="AR299" s="724"/>
      <c r="AS299" s="724"/>
      <c r="AT299" s="724">
        <f>+ab($T$299,$T$297,$T$301,$G$298,$G$300,-1*$F$299,1200)</f>
        <v>7.9442083933778509</v>
      </c>
      <c r="AU299" s="724"/>
      <c r="AV299" s="724"/>
      <c r="AW299" s="719"/>
      <c r="AX299" s="719"/>
      <c r="AY299" s="719"/>
    </row>
    <row r="300" spans="1:51" ht="15.75" hidden="1" customHeight="1">
      <c r="A300" s="716"/>
      <c r="B300" s="717"/>
      <c r="C300" s="718"/>
      <c r="D300" s="719"/>
      <c r="E300" s="719"/>
      <c r="F300" s="720"/>
      <c r="G300" s="721">
        <v>50</v>
      </c>
      <c r="H300" s="726"/>
      <c r="I300" s="726">
        <f>+SUM(G282:G300)</f>
        <v>500</v>
      </c>
      <c r="J300" s="727">
        <f>C299+10</f>
        <v>37808</v>
      </c>
      <c r="K300" s="719" t="s">
        <v>1102</v>
      </c>
      <c r="L300" s="719"/>
      <c r="M300" s="719"/>
      <c r="N300" s="726"/>
      <c r="O300" s="726"/>
      <c r="P300" s="726"/>
      <c r="Q300" s="719"/>
      <c r="R300" s="719"/>
      <c r="S300" s="719">
        <f t="shared" si="47"/>
        <v>47.989999999997963</v>
      </c>
      <c r="T300" s="719"/>
      <c r="U300" s="719"/>
      <c r="V300" s="719"/>
      <c r="W300" s="719"/>
      <c r="X300" s="719"/>
      <c r="Y300" s="719"/>
      <c r="Z300" s="719"/>
      <c r="AA300" s="719"/>
      <c r="AB300" s="719"/>
      <c r="AC300" s="719"/>
      <c r="AD300" s="719"/>
      <c r="AE300" s="719"/>
      <c r="AF300" s="719"/>
      <c r="AG300" s="1341"/>
      <c r="AH300" s="719"/>
      <c r="AI300" s="719"/>
      <c r="AJ300" s="719"/>
      <c r="AK300" s="719"/>
      <c r="AL300" s="719"/>
      <c r="AM300" s="719"/>
      <c r="AN300" s="719"/>
      <c r="AO300" s="719"/>
      <c r="AP300" s="719"/>
      <c r="AQ300" s="724">
        <f>+FL_2($T$301,$T$299,$G$300,1200,9.28,-1*$F$301)</f>
        <v>-0.33477011200000001</v>
      </c>
      <c r="AR300" s="724"/>
      <c r="AS300" s="724"/>
      <c r="AT300" s="724"/>
      <c r="AU300" s="724"/>
      <c r="AV300" s="724"/>
      <c r="AW300" s="719"/>
      <c r="AX300" s="719"/>
      <c r="AY300" s="719"/>
    </row>
    <row r="301" spans="1:51" ht="15.75" customHeight="1">
      <c r="A301" s="716" t="s">
        <v>677</v>
      </c>
      <c r="B301" s="725" t="s">
        <v>1447</v>
      </c>
      <c r="C301" s="718">
        <f>+$C$299+$G$300</f>
        <v>37848</v>
      </c>
      <c r="D301" s="719"/>
      <c r="E301" s="719"/>
      <c r="F301" s="720">
        <v>0</v>
      </c>
      <c r="G301" s="721"/>
      <c r="H301" s="726" t="s">
        <v>997</v>
      </c>
      <c r="I301" s="726"/>
      <c r="J301" s="727"/>
      <c r="K301" s="719"/>
      <c r="L301" s="719" t="s">
        <v>241</v>
      </c>
      <c r="M301" s="719"/>
      <c r="N301" s="726" t="s">
        <v>695</v>
      </c>
      <c r="O301" s="726"/>
      <c r="P301" s="726"/>
      <c r="Q301" s="719">
        <v>0</v>
      </c>
      <c r="R301" s="719">
        <v>0</v>
      </c>
      <c r="S301" s="719"/>
      <c r="T301" s="719">
        <v>-30</v>
      </c>
      <c r="U301" s="719"/>
      <c r="V301" s="719"/>
      <c r="W301" s="719">
        <v>1.1000000000000001</v>
      </c>
      <c r="X301" s="719"/>
      <c r="Y301" s="719"/>
      <c r="Z301" s="719"/>
      <c r="AA301" s="719"/>
      <c r="AB301" s="719"/>
      <c r="AC301" s="719" t="s">
        <v>2977</v>
      </c>
      <c r="AD301" s="719"/>
      <c r="AE301" s="719"/>
      <c r="AF301" s="719">
        <v>200</v>
      </c>
      <c r="AG301" s="1341">
        <v>37846.589999999997</v>
      </c>
      <c r="AH301" s="719">
        <v>1502</v>
      </c>
      <c r="AI301" s="719">
        <v>-5048</v>
      </c>
      <c r="AJ301" s="719"/>
      <c r="AK301" s="719"/>
      <c r="AL301" s="719"/>
      <c r="AM301" s="719" t="s">
        <v>2609</v>
      </c>
      <c r="AN301" s="719">
        <v>5.25</v>
      </c>
      <c r="AO301" s="719"/>
      <c r="AP301" s="719"/>
      <c r="AQ301" s="724"/>
      <c r="AR301" s="724"/>
      <c r="AS301" s="724"/>
      <c r="AT301" s="724">
        <f>+ab($T$301,$T$299,$T$303,$G$300,$G$302,-1*$F$301,1200)</f>
        <v>-7.9442410717051439</v>
      </c>
      <c r="AU301" s="724"/>
      <c r="AV301" s="724"/>
      <c r="AW301" s="719"/>
      <c r="AX301" s="719"/>
      <c r="AY301" s="719"/>
    </row>
    <row r="302" spans="1:51" ht="15.75" hidden="1" customHeight="1">
      <c r="A302" s="716"/>
      <c r="B302" s="717"/>
      <c r="C302" s="718"/>
      <c r="D302" s="719"/>
      <c r="E302" s="719"/>
      <c r="F302" s="720"/>
      <c r="G302" s="721">
        <v>50</v>
      </c>
      <c r="H302" s="726"/>
      <c r="I302" s="726">
        <f>SUM(G302:G320)</f>
        <v>500</v>
      </c>
      <c r="J302" s="727">
        <f>C303-10</f>
        <v>37888</v>
      </c>
      <c r="K302" s="719" t="s">
        <v>1102</v>
      </c>
      <c r="L302" s="719"/>
      <c r="M302" s="719"/>
      <c r="N302" s="726"/>
      <c r="O302" s="726"/>
      <c r="P302" s="726"/>
      <c r="Q302" s="719"/>
      <c r="R302" s="719"/>
      <c r="S302" s="719">
        <f t="shared" si="47"/>
        <v>51.340000000003783</v>
      </c>
      <c r="T302" s="719"/>
      <c r="U302" s="719"/>
      <c r="V302" s="719"/>
      <c r="W302" s="719"/>
      <c r="X302" s="719"/>
      <c r="Y302" s="719"/>
      <c r="Z302" s="719"/>
      <c r="AA302" s="719"/>
      <c r="AB302" s="719"/>
      <c r="AC302" s="719"/>
      <c r="AD302" s="719"/>
      <c r="AE302" s="719"/>
      <c r="AF302" s="719"/>
      <c r="AG302" s="1341"/>
      <c r="AH302" s="719"/>
      <c r="AI302" s="719"/>
      <c r="AJ302" s="719"/>
      <c r="AK302" s="719"/>
      <c r="AL302" s="719"/>
      <c r="AM302" s="719"/>
      <c r="AN302" s="719"/>
      <c r="AO302" s="719"/>
      <c r="AP302" s="719"/>
      <c r="AQ302" s="724">
        <f>+FL_1($T$303,$T$301,$G$302,1200,9.28,-1*$F$303)</f>
        <v>0.33477011200000001</v>
      </c>
      <c r="AR302" s="724"/>
      <c r="AS302" s="724"/>
      <c r="AT302" s="724"/>
      <c r="AU302" s="724"/>
      <c r="AV302" s="724"/>
      <c r="AW302" s="719"/>
      <c r="AX302" s="719"/>
      <c r="AY302" s="719"/>
    </row>
    <row r="303" spans="1:51" ht="15.75" customHeight="1">
      <c r="A303" s="716" t="s">
        <v>677</v>
      </c>
      <c r="B303" s="725" t="s">
        <v>1448</v>
      </c>
      <c r="C303" s="718">
        <f>+$C$301+$G$302</f>
        <v>37898</v>
      </c>
      <c r="D303" s="719"/>
      <c r="E303" s="719"/>
      <c r="F303" s="720">
        <v>0</v>
      </c>
      <c r="G303" s="721"/>
      <c r="H303" s="726" t="s">
        <v>1101</v>
      </c>
      <c r="I303" s="726"/>
      <c r="J303" s="727"/>
      <c r="K303" s="719"/>
      <c r="L303" s="719" t="s">
        <v>241</v>
      </c>
      <c r="M303" s="719"/>
      <c r="N303" s="726" t="s">
        <v>696</v>
      </c>
      <c r="O303" s="726"/>
      <c r="P303" s="726"/>
      <c r="Q303" s="719">
        <v>0</v>
      </c>
      <c r="R303" s="719">
        <v>0</v>
      </c>
      <c r="S303" s="719"/>
      <c r="T303" s="719">
        <v>30</v>
      </c>
      <c r="U303" s="719"/>
      <c r="V303" s="719"/>
      <c r="W303" s="719">
        <v>1.1000000000000001</v>
      </c>
      <c r="X303" s="719"/>
      <c r="Y303" s="719"/>
      <c r="Z303" s="719"/>
      <c r="AA303" s="719"/>
      <c r="AB303" s="719"/>
      <c r="AC303" s="719" t="s">
        <v>2977</v>
      </c>
      <c r="AD303" s="719"/>
      <c r="AE303" s="719"/>
      <c r="AF303" s="719">
        <v>200</v>
      </c>
      <c r="AG303" s="1341">
        <v>37897.93</v>
      </c>
      <c r="AH303" s="719">
        <v>1503</v>
      </c>
      <c r="AI303" s="719">
        <v>-5092</v>
      </c>
      <c r="AJ303" s="719"/>
      <c r="AK303" s="719"/>
      <c r="AL303" s="719"/>
      <c r="AM303" s="719" t="s">
        <v>2609</v>
      </c>
      <c r="AN303" s="719">
        <v>5.25</v>
      </c>
      <c r="AO303" s="719"/>
      <c r="AP303" s="719"/>
      <c r="AQ303" s="724"/>
      <c r="AR303" s="724"/>
      <c r="AS303" s="724"/>
      <c r="AT303" s="724">
        <f>+ab($T$303,$T$301,$T$305,$G$302,$G$304,-1*$F$303,1200)</f>
        <v>7.9442083933778509</v>
      </c>
      <c r="AU303" s="724"/>
      <c r="AV303" s="724"/>
      <c r="AW303" s="719"/>
      <c r="AX303" s="719"/>
      <c r="AY303" s="719"/>
    </row>
    <row r="304" spans="1:51" ht="15.75" hidden="1" customHeight="1">
      <c r="A304" s="716"/>
      <c r="B304" s="717"/>
      <c r="C304" s="718"/>
      <c r="D304" s="719"/>
      <c r="E304" s="719"/>
      <c r="F304" s="720"/>
      <c r="G304" s="721">
        <v>50</v>
      </c>
      <c r="H304" s="726"/>
      <c r="I304" s="722"/>
      <c r="J304" s="727"/>
      <c r="K304" s="719"/>
      <c r="L304" s="719"/>
      <c r="M304" s="719"/>
      <c r="N304" s="726"/>
      <c r="O304" s="726"/>
      <c r="P304" s="726"/>
      <c r="Q304" s="719"/>
      <c r="R304" s="719"/>
      <c r="S304" s="719">
        <f t="shared" ref="S304:S364" si="50">AG305-AG303</f>
        <v>49.610000000000582</v>
      </c>
      <c r="T304" s="719"/>
      <c r="U304" s="719"/>
      <c r="V304" s="719"/>
      <c r="W304" s="719"/>
      <c r="X304" s="719"/>
      <c r="Y304" s="719"/>
      <c r="Z304" s="719"/>
      <c r="AA304" s="719"/>
      <c r="AB304" s="719"/>
      <c r="AC304" s="719"/>
      <c r="AD304" s="719"/>
      <c r="AE304" s="719"/>
      <c r="AF304" s="719"/>
      <c r="AG304" s="1341"/>
      <c r="AH304" s="719"/>
      <c r="AI304" s="719"/>
      <c r="AJ304" s="719"/>
      <c r="AK304" s="719"/>
      <c r="AL304" s="719"/>
      <c r="AM304" s="719"/>
      <c r="AN304" s="719"/>
      <c r="AO304" s="719"/>
      <c r="AP304" s="719"/>
      <c r="AQ304" s="724">
        <f>+FL_2($T$305,$T$303,$G$304,1200,9.28,-1*$F$305)</f>
        <v>-0.33477011200000001</v>
      </c>
      <c r="AR304" s="724"/>
      <c r="AS304" s="724"/>
      <c r="AT304" s="724"/>
      <c r="AU304" s="724"/>
      <c r="AV304" s="724"/>
      <c r="AW304" s="719"/>
      <c r="AX304" s="719"/>
      <c r="AY304" s="719"/>
    </row>
    <row r="305" spans="1:56" ht="15.75" hidden="1" customHeight="1">
      <c r="A305" s="716" t="s">
        <v>677</v>
      </c>
      <c r="B305" s="725" t="s">
        <v>1449</v>
      </c>
      <c r="C305" s="718">
        <f>+$C$303+$G$304</f>
        <v>37948</v>
      </c>
      <c r="D305" s="719"/>
      <c r="E305" s="719"/>
      <c r="F305" s="720">
        <v>0</v>
      </c>
      <c r="G305" s="721"/>
      <c r="H305" s="726"/>
      <c r="I305" s="726"/>
      <c r="J305" s="727"/>
      <c r="K305" s="719"/>
      <c r="L305" s="719" t="s">
        <v>241</v>
      </c>
      <c r="M305" s="719"/>
      <c r="N305" s="726" t="s">
        <v>695</v>
      </c>
      <c r="O305" s="726"/>
      <c r="P305" s="726"/>
      <c r="Q305" s="719">
        <v>0</v>
      </c>
      <c r="R305" s="719">
        <v>0</v>
      </c>
      <c r="S305" s="719"/>
      <c r="T305" s="719">
        <v>-30</v>
      </c>
      <c r="U305" s="719"/>
      <c r="V305" s="719"/>
      <c r="W305" s="719">
        <v>1.1000000000000001</v>
      </c>
      <c r="X305" s="719"/>
      <c r="Y305" s="719"/>
      <c r="Z305" s="719"/>
      <c r="AA305" s="719"/>
      <c r="AB305" s="719"/>
      <c r="AC305" s="719" t="s">
        <v>2977</v>
      </c>
      <c r="AD305" s="719"/>
      <c r="AE305" s="719"/>
      <c r="AF305" s="719">
        <v>200</v>
      </c>
      <c r="AG305" s="1341">
        <v>37947.54</v>
      </c>
      <c r="AH305" s="719">
        <v>1499</v>
      </c>
      <c r="AI305" s="719">
        <v>-5066</v>
      </c>
      <c r="AJ305" s="719"/>
      <c r="AK305" s="719"/>
      <c r="AL305" s="719"/>
      <c r="AM305" s="719" t="s">
        <v>2609</v>
      </c>
      <c r="AN305" s="719">
        <v>5.25</v>
      </c>
      <c r="AO305" s="719"/>
      <c r="AP305" s="719"/>
      <c r="AQ305" s="724"/>
      <c r="AR305" s="724"/>
      <c r="AS305" s="724"/>
      <c r="AT305" s="724">
        <f>+ab($T$305,$T$303,$T$307,$G$304,$G$306,-1*$F$305,1200)</f>
        <v>-7.9442410717051439</v>
      </c>
      <c r="AU305" s="724"/>
      <c r="AV305" s="724"/>
      <c r="AW305" s="719"/>
      <c r="AX305" s="719"/>
      <c r="AY305" s="719"/>
    </row>
    <row r="306" spans="1:56" ht="15.75" hidden="1" customHeight="1">
      <c r="A306" s="716"/>
      <c r="B306" s="717"/>
      <c r="C306" s="718"/>
      <c r="D306" s="719"/>
      <c r="E306" s="719"/>
      <c r="F306" s="720"/>
      <c r="G306" s="721">
        <v>50</v>
      </c>
      <c r="H306" s="726"/>
      <c r="I306" s="726"/>
      <c r="J306" s="727"/>
      <c r="K306" s="719"/>
      <c r="L306" s="719"/>
      <c r="M306" s="719"/>
      <c r="N306" s="726"/>
      <c r="O306" s="726"/>
      <c r="P306" s="726"/>
      <c r="Q306" s="719"/>
      <c r="R306" s="719"/>
      <c r="S306" s="719">
        <f t="shared" si="50"/>
        <v>51.220000000001164</v>
      </c>
      <c r="T306" s="719"/>
      <c r="U306" s="719"/>
      <c r="V306" s="719"/>
      <c r="W306" s="719"/>
      <c r="X306" s="719"/>
      <c r="Y306" s="719"/>
      <c r="Z306" s="719"/>
      <c r="AA306" s="719"/>
      <c r="AB306" s="719"/>
      <c r="AC306" s="719"/>
      <c r="AD306" s="719"/>
      <c r="AE306" s="719"/>
      <c r="AF306" s="719"/>
      <c r="AG306" s="1341"/>
      <c r="AH306" s="719"/>
      <c r="AI306" s="719"/>
      <c r="AJ306" s="719"/>
      <c r="AK306" s="719"/>
      <c r="AL306" s="719"/>
      <c r="AM306" s="719"/>
      <c r="AN306" s="719"/>
      <c r="AO306" s="719"/>
      <c r="AP306" s="719"/>
      <c r="AQ306" s="724">
        <f>+FL_1($T$307,$T$305,$G$306,1200,9.28,-1*$F$307)</f>
        <v>0.33477011200000001</v>
      </c>
      <c r="AR306" s="724"/>
      <c r="AS306" s="724"/>
      <c r="AT306" s="724"/>
      <c r="AU306" s="724"/>
      <c r="AV306" s="724"/>
      <c r="AW306" s="719"/>
      <c r="AX306" s="719"/>
      <c r="AY306" s="719"/>
    </row>
    <row r="307" spans="1:56" ht="15.75" hidden="1" customHeight="1">
      <c r="A307" s="716" t="s">
        <v>677</v>
      </c>
      <c r="B307" s="725" t="s">
        <v>1450</v>
      </c>
      <c r="C307" s="718">
        <f>+$C$305+$G$306</f>
        <v>37998</v>
      </c>
      <c r="D307" s="719"/>
      <c r="E307" s="719"/>
      <c r="F307" s="720">
        <v>0</v>
      </c>
      <c r="G307" s="721"/>
      <c r="H307" s="726"/>
      <c r="I307" s="726"/>
      <c r="J307" s="727"/>
      <c r="K307" s="719"/>
      <c r="L307" s="719" t="s">
        <v>241</v>
      </c>
      <c r="M307" s="719"/>
      <c r="N307" s="726" t="s">
        <v>696</v>
      </c>
      <c r="O307" s="726"/>
      <c r="P307" s="726"/>
      <c r="Q307" s="719">
        <v>0</v>
      </c>
      <c r="R307" s="719">
        <v>0</v>
      </c>
      <c r="S307" s="719"/>
      <c r="T307" s="719">
        <v>30</v>
      </c>
      <c r="U307" s="719"/>
      <c r="V307" s="719"/>
      <c r="W307" s="719">
        <v>1.1000000000000001</v>
      </c>
      <c r="X307" s="719"/>
      <c r="Y307" s="719"/>
      <c r="Z307" s="719"/>
      <c r="AA307" s="719"/>
      <c r="AB307" s="719"/>
      <c r="AC307" s="719" t="s">
        <v>2977</v>
      </c>
      <c r="AD307" s="719"/>
      <c r="AE307" s="719"/>
      <c r="AF307" s="719">
        <v>200</v>
      </c>
      <c r="AG307" s="1341">
        <v>37998.76</v>
      </c>
      <c r="AH307" s="719">
        <v>1487</v>
      </c>
      <c r="AI307" s="719">
        <v>-5041</v>
      </c>
      <c r="AJ307" s="719"/>
      <c r="AK307" s="719"/>
      <c r="AL307" s="719"/>
      <c r="AM307" s="719" t="s">
        <v>2609</v>
      </c>
      <c r="AN307" s="719">
        <v>5.25</v>
      </c>
      <c r="AO307" s="719"/>
      <c r="AP307" s="719"/>
      <c r="AQ307" s="724"/>
      <c r="AR307" s="724"/>
      <c r="AS307" s="724"/>
      <c r="AT307" s="724">
        <f>+ab($T$307,$T$305,$T$309,$G$306,$G$308,-1*$F$307,1200)</f>
        <v>7.9442083933778509</v>
      </c>
      <c r="AU307" s="724"/>
      <c r="AV307" s="724"/>
      <c r="AW307" s="719"/>
      <c r="AX307" s="719"/>
      <c r="AY307" s="719"/>
    </row>
    <row r="308" spans="1:56" ht="15.75" hidden="1" customHeight="1">
      <c r="A308" s="716"/>
      <c r="B308" s="717"/>
      <c r="C308" s="718"/>
      <c r="D308" s="719"/>
      <c r="E308" s="719"/>
      <c r="F308" s="720"/>
      <c r="G308" s="721">
        <v>50</v>
      </c>
      <c r="H308" s="726"/>
      <c r="I308" s="726"/>
      <c r="J308" s="727"/>
      <c r="K308" s="719"/>
      <c r="L308" s="719"/>
      <c r="M308" s="719"/>
      <c r="N308" s="726"/>
      <c r="O308" s="726"/>
      <c r="P308" s="726"/>
      <c r="Q308" s="719"/>
      <c r="R308" s="719"/>
      <c r="S308" s="719">
        <f t="shared" si="50"/>
        <v>49.650000000001455</v>
      </c>
      <c r="T308" s="719"/>
      <c r="U308" s="719"/>
      <c r="V308" s="719"/>
      <c r="W308" s="719"/>
      <c r="X308" s="719"/>
      <c r="Y308" s="719"/>
      <c r="Z308" s="719"/>
      <c r="AA308" s="719"/>
      <c r="AB308" s="719"/>
      <c r="AC308" s="719"/>
      <c r="AD308" s="719"/>
      <c r="AE308" s="719"/>
      <c r="AF308" s="719"/>
      <c r="AG308" s="1341"/>
      <c r="AH308" s="719"/>
      <c r="AI308" s="719"/>
      <c r="AJ308" s="719"/>
      <c r="AK308" s="719"/>
      <c r="AL308" s="719"/>
      <c r="AM308" s="719"/>
      <c r="AN308" s="719"/>
      <c r="AO308" s="719"/>
      <c r="AP308" s="719"/>
      <c r="AQ308" s="724">
        <f>+FL_2($T$309,$T$307,$G$308,1200,9.28,-1*$F$309)</f>
        <v>-0.33477011200000001</v>
      </c>
      <c r="AR308" s="724"/>
      <c r="AS308" s="724"/>
      <c r="AT308" s="724"/>
      <c r="AU308" s="724"/>
      <c r="AV308" s="724"/>
      <c r="AW308" s="719"/>
      <c r="AX308" s="719"/>
      <c r="AY308" s="719"/>
    </row>
    <row r="309" spans="1:56" ht="15.75" hidden="1" customHeight="1">
      <c r="A309" s="716" t="s">
        <v>677</v>
      </c>
      <c r="B309" s="725" t="s">
        <v>1451</v>
      </c>
      <c r="C309" s="718">
        <f>+$C$307+$G$308</f>
        <v>38048</v>
      </c>
      <c r="D309" s="719"/>
      <c r="E309" s="719"/>
      <c r="F309" s="720">
        <v>0</v>
      </c>
      <c r="G309" s="721"/>
      <c r="H309" s="726"/>
      <c r="I309" s="726"/>
      <c r="J309" s="727"/>
      <c r="K309" s="719"/>
      <c r="L309" s="719" t="s">
        <v>241</v>
      </c>
      <c r="M309" s="719"/>
      <c r="N309" s="726" t="s">
        <v>695</v>
      </c>
      <c r="O309" s="726"/>
      <c r="P309" s="726"/>
      <c r="Q309" s="719">
        <v>0</v>
      </c>
      <c r="R309" s="719">
        <v>0</v>
      </c>
      <c r="S309" s="719"/>
      <c r="T309" s="719">
        <v>-30</v>
      </c>
      <c r="U309" s="719"/>
      <c r="V309" s="719"/>
      <c r="W309" s="719">
        <v>1.1000000000000001</v>
      </c>
      <c r="X309" s="719"/>
      <c r="Y309" s="719"/>
      <c r="Z309" s="719"/>
      <c r="AA309" s="719"/>
      <c r="AB309" s="719"/>
      <c r="AC309" s="719" t="s">
        <v>2977</v>
      </c>
      <c r="AD309" s="719"/>
      <c r="AE309" s="719"/>
      <c r="AF309" s="719">
        <v>200</v>
      </c>
      <c r="AG309" s="1341">
        <v>38048.410000000003</v>
      </c>
      <c r="AH309" s="719">
        <v>1495</v>
      </c>
      <c r="AI309" s="719">
        <v>-5103</v>
      </c>
      <c r="AJ309" s="719"/>
      <c r="AK309" s="719"/>
      <c r="AL309" s="719"/>
      <c r="AM309" s="719" t="s">
        <v>2609</v>
      </c>
      <c r="AN309" s="719">
        <v>5.25</v>
      </c>
      <c r="AO309" s="719"/>
      <c r="AP309" s="719"/>
      <c r="AQ309" s="724"/>
      <c r="AR309" s="724"/>
      <c r="AS309" s="724"/>
      <c r="AT309" s="724">
        <f>+ab($T$309,$T$307,$T$311,$G$308,$G$310,-1*$F$309,1200)</f>
        <v>-7.9442410717051439</v>
      </c>
      <c r="AU309" s="724"/>
      <c r="AV309" s="724"/>
      <c r="AW309" s="719"/>
      <c r="AX309" s="719"/>
      <c r="AY309" s="719"/>
    </row>
    <row r="310" spans="1:56" ht="15.75" hidden="1" customHeight="1">
      <c r="A310" s="716"/>
      <c r="B310" s="717"/>
      <c r="C310" s="718"/>
      <c r="D310" s="719"/>
      <c r="E310" s="719"/>
      <c r="F310" s="720"/>
      <c r="G310" s="721">
        <v>50</v>
      </c>
      <c r="H310" s="726"/>
      <c r="I310" s="726"/>
      <c r="J310" s="727"/>
      <c r="K310" s="719"/>
      <c r="L310" s="719"/>
      <c r="M310" s="719"/>
      <c r="N310" s="726"/>
      <c r="O310" s="726"/>
      <c r="P310" s="726"/>
      <c r="Q310" s="719"/>
      <c r="R310" s="719"/>
      <c r="S310" s="719">
        <f t="shared" si="50"/>
        <v>49.57999999999447</v>
      </c>
      <c r="T310" s="719"/>
      <c r="U310" s="719"/>
      <c r="V310" s="719"/>
      <c r="W310" s="719"/>
      <c r="X310" s="719"/>
      <c r="Y310" s="719"/>
      <c r="Z310" s="719"/>
      <c r="AA310" s="719"/>
      <c r="AB310" s="719"/>
      <c r="AC310" s="719"/>
      <c r="AD310" s="719"/>
      <c r="AE310" s="719"/>
      <c r="AF310" s="719"/>
      <c r="AG310" s="1341"/>
      <c r="AH310" s="719"/>
      <c r="AI310" s="719"/>
      <c r="AJ310" s="719"/>
      <c r="AK310" s="719"/>
      <c r="AL310" s="719"/>
      <c r="AM310" s="719"/>
      <c r="AN310" s="719"/>
      <c r="AO310" s="719"/>
      <c r="AP310" s="719"/>
      <c r="AQ310" s="724">
        <f>+FL_1($T$311,$T$309,$G$310,1200,9.28,-1*$F$311)</f>
        <v>0.33477011200000001</v>
      </c>
      <c r="AR310" s="724"/>
      <c r="AS310" s="724"/>
      <c r="AT310" s="724"/>
      <c r="AU310" s="724"/>
      <c r="AV310" s="724"/>
      <c r="AW310" s="719"/>
      <c r="AX310" s="719"/>
      <c r="AY310" s="719"/>
    </row>
    <row r="311" spans="1:56" ht="15.75" hidden="1" customHeight="1">
      <c r="A311" s="716" t="s">
        <v>677</v>
      </c>
      <c r="B311" s="725" t="s">
        <v>1452</v>
      </c>
      <c r="C311" s="718">
        <f>+$C$309+$G$310</f>
        <v>38098</v>
      </c>
      <c r="D311" s="719"/>
      <c r="E311" s="719"/>
      <c r="F311" s="720">
        <v>0</v>
      </c>
      <c r="G311" s="721"/>
      <c r="H311" s="726"/>
      <c r="I311" s="726"/>
      <c r="J311" s="727"/>
      <c r="K311" s="719"/>
      <c r="L311" s="719" t="s">
        <v>241</v>
      </c>
      <c r="M311" s="719"/>
      <c r="N311" s="726" t="s">
        <v>696</v>
      </c>
      <c r="O311" s="726"/>
      <c r="P311" s="726"/>
      <c r="Q311" s="719">
        <v>0</v>
      </c>
      <c r="R311" s="719">
        <v>0</v>
      </c>
      <c r="S311" s="719"/>
      <c r="T311" s="719">
        <v>30</v>
      </c>
      <c r="U311" s="719"/>
      <c r="V311" s="719"/>
      <c r="W311" s="719">
        <v>1.1000000000000001</v>
      </c>
      <c r="X311" s="719"/>
      <c r="Y311" s="719"/>
      <c r="Z311" s="719"/>
      <c r="AA311" s="719"/>
      <c r="AB311" s="719"/>
      <c r="AC311" s="719" t="s">
        <v>2977</v>
      </c>
      <c r="AD311" s="719"/>
      <c r="AE311" s="719"/>
      <c r="AF311" s="719">
        <v>200</v>
      </c>
      <c r="AG311" s="1341">
        <v>38097.99</v>
      </c>
      <c r="AH311" s="719">
        <v>1493</v>
      </c>
      <c r="AI311" s="719">
        <v>-5100</v>
      </c>
      <c r="AJ311" s="719"/>
      <c r="AK311" s="719"/>
      <c r="AL311" s="719"/>
      <c r="AM311" s="719" t="s">
        <v>2609</v>
      </c>
      <c r="AN311" s="719">
        <v>5.25</v>
      </c>
      <c r="AO311" s="719"/>
      <c r="AP311" s="719"/>
      <c r="AQ311" s="724"/>
      <c r="AR311" s="724"/>
      <c r="AS311" s="724"/>
      <c r="AT311" s="724">
        <f>+ab($T$311,$T$309,$T$313,$G$310,$G$312,-1*$F$311,1200)</f>
        <v>7.9442083933778509</v>
      </c>
      <c r="AU311" s="724"/>
      <c r="AV311" s="724"/>
      <c r="AW311" s="719"/>
      <c r="AX311" s="719"/>
      <c r="AY311" s="719"/>
    </row>
    <row r="312" spans="1:56" ht="15.75" hidden="1" customHeight="1">
      <c r="A312" s="716"/>
      <c r="B312" s="717"/>
      <c r="C312" s="718"/>
      <c r="D312" s="719"/>
      <c r="E312" s="719"/>
      <c r="F312" s="720"/>
      <c r="G312" s="721">
        <v>50</v>
      </c>
      <c r="H312" s="726"/>
      <c r="I312" s="726"/>
      <c r="J312" s="727"/>
      <c r="K312" s="719"/>
      <c r="L312" s="719"/>
      <c r="M312" s="719"/>
      <c r="N312" s="726"/>
      <c r="O312" s="726"/>
      <c r="P312" s="726"/>
      <c r="Q312" s="719"/>
      <c r="R312" s="719"/>
      <c r="S312" s="719">
        <f t="shared" si="50"/>
        <v>50.010000000002037</v>
      </c>
      <c r="T312" s="719"/>
      <c r="U312" s="719"/>
      <c r="V312" s="719"/>
      <c r="W312" s="719"/>
      <c r="X312" s="719"/>
      <c r="Y312" s="719"/>
      <c r="Z312" s="719"/>
      <c r="AA312" s="719"/>
      <c r="AB312" s="719"/>
      <c r="AC312" s="719"/>
      <c r="AD312" s="719"/>
      <c r="AE312" s="719"/>
      <c r="AF312" s="719"/>
      <c r="AG312" s="1341"/>
      <c r="AH312" s="719"/>
      <c r="AI312" s="719"/>
      <c r="AJ312" s="719"/>
      <c r="AK312" s="719"/>
      <c r="AL312" s="719"/>
      <c r="AM312" s="719"/>
      <c r="AN312" s="719"/>
      <c r="AO312" s="719"/>
      <c r="AP312" s="719"/>
      <c r="AQ312" s="724">
        <f>+FL_2($T$313,$T$311,$G$312,1200,9.28,-1*$F$313)</f>
        <v>-0.33477011200000001</v>
      </c>
      <c r="AR312" s="724"/>
      <c r="AS312" s="724"/>
      <c r="AT312" s="724"/>
      <c r="AU312" s="724"/>
      <c r="AV312" s="724"/>
      <c r="AW312" s="719"/>
      <c r="AX312" s="719"/>
      <c r="AY312" s="719"/>
    </row>
    <row r="313" spans="1:56" ht="15.75" hidden="1" customHeight="1">
      <c r="A313" s="716" t="s">
        <v>677</v>
      </c>
      <c r="B313" s="725" t="s">
        <v>1453</v>
      </c>
      <c r="C313" s="718">
        <f>+$C$311+$G$312</f>
        <v>38148</v>
      </c>
      <c r="D313" s="719"/>
      <c r="E313" s="719"/>
      <c r="F313" s="720">
        <v>0</v>
      </c>
      <c r="G313" s="721"/>
      <c r="H313" s="726"/>
      <c r="I313" s="726"/>
      <c r="J313" s="727"/>
      <c r="K313" s="719"/>
      <c r="L313" s="719" t="s">
        <v>241</v>
      </c>
      <c r="M313" s="719"/>
      <c r="N313" s="726" t="s">
        <v>695</v>
      </c>
      <c r="O313" s="726"/>
      <c r="P313" s="726"/>
      <c r="Q313" s="719">
        <v>0</v>
      </c>
      <c r="R313" s="719">
        <v>0</v>
      </c>
      <c r="S313" s="719"/>
      <c r="T313" s="719">
        <v>-30</v>
      </c>
      <c r="U313" s="719"/>
      <c r="V313" s="719"/>
      <c r="W313" s="719">
        <v>1.1000000000000001</v>
      </c>
      <c r="X313" s="719"/>
      <c r="Y313" s="719"/>
      <c r="Z313" s="719"/>
      <c r="AA313" s="719"/>
      <c r="AB313" s="719"/>
      <c r="AC313" s="719" t="s">
        <v>2977</v>
      </c>
      <c r="AD313" s="719"/>
      <c r="AE313" s="719"/>
      <c r="AF313" s="719">
        <v>200</v>
      </c>
      <c r="AG313" s="1341">
        <v>38148</v>
      </c>
      <c r="AH313" s="719">
        <v>1503</v>
      </c>
      <c r="AI313" s="719">
        <v>-5100</v>
      </c>
      <c r="AJ313" s="719"/>
      <c r="AK313" s="719"/>
      <c r="AL313" s="719"/>
      <c r="AM313" s="719" t="s">
        <v>2609</v>
      </c>
      <c r="AN313" s="719">
        <v>5.25</v>
      </c>
      <c r="AO313" s="719"/>
      <c r="AP313" s="719"/>
      <c r="AQ313" s="724"/>
      <c r="AR313" s="724"/>
      <c r="AS313" s="724"/>
      <c r="AT313" s="724">
        <f>+ab($T$313,$T$311,$T$315,$G$312,$G$314,-1*$F$313,1200)</f>
        <v>-7.9442410717051439</v>
      </c>
      <c r="AU313" s="724"/>
      <c r="AV313" s="724"/>
      <c r="AW313" s="719"/>
      <c r="AX313" s="719"/>
      <c r="AY313" s="719"/>
      <c r="BD313" s="560"/>
    </row>
    <row r="314" spans="1:56" ht="15.75" hidden="1" customHeight="1">
      <c r="A314" s="716"/>
      <c r="B314" s="717"/>
      <c r="C314" s="718"/>
      <c r="D314" s="719"/>
      <c r="E314" s="719"/>
      <c r="F314" s="720"/>
      <c r="G314" s="721">
        <v>50</v>
      </c>
      <c r="H314" s="726"/>
      <c r="I314" s="726"/>
      <c r="J314" s="727"/>
      <c r="K314" s="719"/>
      <c r="L314" s="719"/>
      <c r="M314" s="719"/>
      <c r="N314" s="726"/>
      <c r="O314" s="726"/>
      <c r="P314" s="726"/>
      <c r="Q314" s="719"/>
      <c r="R314" s="719"/>
      <c r="S314" s="719">
        <f t="shared" si="50"/>
        <v>50.940000000002328</v>
      </c>
      <c r="T314" s="719"/>
      <c r="U314" s="719"/>
      <c r="V314" s="719"/>
      <c r="W314" s="719"/>
      <c r="X314" s="719"/>
      <c r="Y314" s="719"/>
      <c r="Z314" s="719"/>
      <c r="AA314" s="719"/>
      <c r="AB314" s="719"/>
      <c r="AC314" s="719"/>
      <c r="AD314" s="719"/>
      <c r="AE314" s="719"/>
      <c r="AF314" s="719"/>
      <c r="AG314" s="1341"/>
      <c r="AH314" s="719"/>
      <c r="AI314" s="719"/>
      <c r="AJ314" s="719"/>
      <c r="AK314" s="719"/>
      <c r="AL314" s="719"/>
      <c r="AM314" s="719"/>
      <c r="AN314" s="719"/>
      <c r="AO314" s="719"/>
      <c r="AP314" s="719"/>
      <c r="AQ314" s="724">
        <f>+FL_1($T$315,$T$313,$G$314,1200,9.28,-1*$F$315)</f>
        <v>0.33477011200000001</v>
      </c>
      <c r="AR314" s="724"/>
      <c r="AS314" s="724"/>
      <c r="AT314" s="724"/>
      <c r="AU314" s="724"/>
      <c r="AV314" s="724"/>
      <c r="AW314" s="719"/>
      <c r="AX314" s="719"/>
      <c r="AY314" s="719"/>
    </row>
    <row r="315" spans="1:56" ht="15.75" hidden="1" customHeight="1">
      <c r="A315" s="716" t="s">
        <v>677</v>
      </c>
      <c r="B315" s="725" t="s">
        <v>1454</v>
      </c>
      <c r="C315" s="718">
        <f>+$C$313+$G$314</f>
        <v>38198</v>
      </c>
      <c r="D315" s="719"/>
      <c r="E315" s="719"/>
      <c r="F315" s="720">
        <v>0</v>
      </c>
      <c r="G315" s="721"/>
      <c r="H315" s="726" t="s">
        <v>138</v>
      </c>
      <c r="I315" s="722" t="s">
        <v>948</v>
      </c>
      <c r="J315" s="727"/>
      <c r="K315" s="719"/>
      <c r="L315" s="719" t="s">
        <v>241</v>
      </c>
      <c r="M315" s="719"/>
      <c r="N315" s="726" t="s">
        <v>696</v>
      </c>
      <c r="O315" s="726"/>
      <c r="P315" s="726"/>
      <c r="Q315" s="719">
        <v>0</v>
      </c>
      <c r="R315" s="719">
        <v>0</v>
      </c>
      <c r="S315" s="719"/>
      <c r="T315" s="719">
        <v>30</v>
      </c>
      <c r="U315" s="719"/>
      <c r="V315" s="719"/>
      <c r="W315" s="719">
        <v>1.1000000000000001</v>
      </c>
      <c r="X315" s="719"/>
      <c r="Y315" s="719"/>
      <c r="Z315" s="719"/>
      <c r="AA315" s="719"/>
      <c r="AB315" s="719"/>
      <c r="AC315" s="719" t="s">
        <v>2977</v>
      </c>
      <c r="AD315" s="719"/>
      <c r="AE315" s="719"/>
      <c r="AF315" s="719">
        <v>200</v>
      </c>
      <c r="AG315" s="1341">
        <v>38198.94</v>
      </c>
      <c r="AH315" s="719">
        <v>1520</v>
      </c>
      <c r="AI315" s="719">
        <v>-5023</v>
      </c>
      <c r="AJ315" s="719"/>
      <c r="AK315" s="719"/>
      <c r="AL315" s="719"/>
      <c r="AM315" s="719" t="s">
        <v>2609</v>
      </c>
      <c r="AN315" s="719">
        <v>5.25</v>
      </c>
      <c r="AO315" s="719"/>
      <c r="AP315" s="719"/>
      <c r="AQ315" s="724"/>
      <c r="AR315" s="724"/>
      <c r="AS315" s="724"/>
      <c r="AT315" s="724">
        <f>+ab($T$315,$T$313,$T$317,$G$314,$G$316,-1*$F$315,1200)</f>
        <v>9.9968917440918084</v>
      </c>
      <c r="AU315" s="724"/>
      <c r="AV315" s="724"/>
      <c r="AW315" s="719"/>
      <c r="AX315" s="719"/>
      <c r="AY315" s="719"/>
    </row>
    <row r="316" spans="1:56" ht="15.75" hidden="1" customHeight="1">
      <c r="A316" s="716"/>
      <c r="B316" s="717"/>
      <c r="C316" s="718"/>
      <c r="D316" s="719"/>
      <c r="E316" s="719"/>
      <c r="F316" s="720"/>
      <c r="G316" s="721">
        <v>50</v>
      </c>
      <c r="H316" s="726"/>
      <c r="I316" s="726"/>
      <c r="J316" s="727">
        <f>C315+10</f>
        <v>38208</v>
      </c>
      <c r="K316" s="719" t="s">
        <v>1097</v>
      </c>
      <c r="L316" s="719"/>
      <c r="M316" s="719"/>
      <c r="N316" s="726"/>
      <c r="O316" s="726"/>
      <c r="P316" s="726"/>
      <c r="Q316" s="719"/>
      <c r="R316" s="719"/>
      <c r="S316" s="719">
        <f>AG317-AG315</f>
        <v>46.409999999996217</v>
      </c>
      <c r="T316" s="719"/>
      <c r="U316" s="719"/>
      <c r="V316" s="719"/>
      <c r="W316" s="719"/>
      <c r="X316" s="719"/>
      <c r="Y316" s="719"/>
      <c r="Z316" s="719"/>
      <c r="AA316" s="719"/>
      <c r="AB316" s="719"/>
      <c r="AC316" s="719"/>
      <c r="AD316" s="719"/>
      <c r="AE316" s="719"/>
      <c r="AF316" s="719"/>
      <c r="AG316" s="1341"/>
      <c r="AH316" s="719"/>
      <c r="AI316" s="719"/>
      <c r="AJ316" s="719"/>
      <c r="AK316" s="719"/>
      <c r="AL316" s="719"/>
      <c r="AM316" s="719"/>
      <c r="AN316" s="719"/>
      <c r="AO316" s="719"/>
      <c r="AP316" s="719"/>
      <c r="AQ316" s="724">
        <f>+FL_2($U$317,$T$315,$G$316,1200,9.28,-1*$F$317)</f>
        <v>-0.29489941866666664</v>
      </c>
      <c r="AR316" s="724"/>
      <c r="AS316" s="724"/>
      <c r="AT316" s="724"/>
      <c r="AU316" s="724"/>
      <c r="AV316" s="724"/>
      <c r="AW316" s="719"/>
      <c r="AX316" s="719"/>
      <c r="AY316" s="719"/>
    </row>
    <row r="317" spans="1:56" ht="15.75" hidden="1" customHeight="1">
      <c r="A317" s="716" t="s">
        <v>677</v>
      </c>
      <c r="B317" s="725" t="s">
        <v>1455</v>
      </c>
      <c r="C317" s="718">
        <f>+$C$315+$G$316</f>
        <v>38248</v>
      </c>
      <c r="D317" s="719"/>
      <c r="E317" s="719"/>
      <c r="F317" s="720">
        <v>0</v>
      </c>
      <c r="G317" s="721"/>
      <c r="H317" s="726" t="s">
        <v>668</v>
      </c>
      <c r="I317" s="722" t="s">
        <v>2053</v>
      </c>
      <c r="J317" s="727">
        <f>C317+5</f>
        <v>38253</v>
      </c>
      <c r="K317" s="719" t="s">
        <v>1102</v>
      </c>
      <c r="L317" s="719" t="s">
        <v>465</v>
      </c>
      <c r="M317" s="719"/>
      <c r="N317" s="726" t="s">
        <v>697</v>
      </c>
      <c r="O317" s="726" t="s">
        <v>695</v>
      </c>
      <c r="P317" s="726"/>
      <c r="Q317" s="719">
        <v>0</v>
      </c>
      <c r="R317" s="719">
        <v>0</v>
      </c>
      <c r="S317" s="719">
        <f>AG318-AG317</f>
        <v>3.2000000000043656</v>
      </c>
      <c r="T317" s="719">
        <v>-5</v>
      </c>
      <c r="U317" s="719">
        <v>-25</v>
      </c>
      <c r="V317" s="719"/>
      <c r="W317" s="719">
        <v>1.1000000000000001</v>
      </c>
      <c r="X317" s="719">
        <v>1.2</v>
      </c>
      <c r="Y317" s="719"/>
      <c r="Z317" s="719">
        <v>0.45</v>
      </c>
      <c r="AA317" s="719"/>
      <c r="AB317" s="719"/>
      <c r="AC317" s="719"/>
      <c r="AD317" s="719" t="s">
        <v>2612</v>
      </c>
      <c r="AE317" s="719"/>
      <c r="AF317" s="719">
        <v>200</v>
      </c>
      <c r="AG317" s="1341">
        <v>38245.35</v>
      </c>
      <c r="AH317" s="719">
        <v>1479</v>
      </c>
      <c r="AI317" s="719">
        <v>-5062</v>
      </c>
      <c r="AJ317" s="719"/>
      <c r="AK317" s="719"/>
      <c r="AL317" s="719"/>
      <c r="AM317" s="719" t="s">
        <v>2609</v>
      </c>
      <c r="AN317" s="719">
        <v>5.25</v>
      </c>
      <c r="AO317" s="719"/>
      <c r="AP317" s="719"/>
      <c r="AQ317" s="724"/>
      <c r="AR317" s="724"/>
      <c r="AS317" s="724"/>
      <c r="AT317" s="724">
        <f>+ab($U$317,$T$315,$U$319,$G$316,$G$318,-1*$F$317,1200)</f>
        <v>-11.145107873316856</v>
      </c>
      <c r="AU317" s="724"/>
      <c r="AV317" s="724"/>
      <c r="AW317" s="719"/>
      <c r="AX317" s="719"/>
      <c r="AY317" s="719"/>
    </row>
    <row r="318" spans="1:56" ht="15.75" hidden="1" customHeight="1">
      <c r="A318" s="716"/>
      <c r="B318" s="717"/>
      <c r="C318" s="718"/>
      <c r="D318" s="719"/>
      <c r="E318" s="719"/>
      <c r="F318" s="720"/>
      <c r="G318" s="721">
        <v>50</v>
      </c>
      <c r="H318" s="726"/>
      <c r="I318" s="726"/>
      <c r="J318" s="727"/>
      <c r="K318" s="719"/>
      <c r="L318" s="719"/>
      <c r="M318" s="719"/>
      <c r="N318" s="726"/>
      <c r="O318" s="726"/>
      <c r="P318" s="726"/>
      <c r="Q318" s="719">
        <v>0</v>
      </c>
      <c r="R318" s="719">
        <v>0</v>
      </c>
      <c r="S318" s="719">
        <f t="shared" ref="S318" si="51">AG319-AG318</f>
        <v>49.610000000000582</v>
      </c>
      <c r="T318" s="719"/>
      <c r="U318" s="719"/>
      <c r="V318" s="719"/>
      <c r="W318" s="719"/>
      <c r="X318" s="719"/>
      <c r="Y318" s="719"/>
      <c r="Z318" s="719"/>
      <c r="AA318" s="719"/>
      <c r="AB318" s="719"/>
      <c r="AC318" s="719"/>
      <c r="AD318" s="719"/>
      <c r="AE318" s="719"/>
      <c r="AF318" s="719">
        <v>200</v>
      </c>
      <c r="AG318" s="1341">
        <v>38248.550000000003</v>
      </c>
      <c r="AH318" s="719">
        <v>1514</v>
      </c>
      <c r="AI318" s="719">
        <v>-5061</v>
      </c>
      <c r="AJ318" s="719"/>
      <c r="AK318" s="719"/>
      <c r="AL318" s="719"/>
      <c r="AM318" s="719"/>
      <c r="AN318" s="719"/>
      <c r="AO318" s="719"/>
      <c r="AP318" s="719"/>
      <c r="AQ318" s="724">
        <f>+FL_1($T$319,$U$317,$G$318,1200,9.28,-1*$F$319)</f>
        <v>0.30632183866666668</v>
      </c>
      <c r="AR318" s="724"/>
      <c r="AS318" s="724"/>
      <c r="AT318" s="724"/>
      <c r="AU318" s="724"/>
      <c r="AV318" s="724"/>
      <c r="AW318" s="719"/>
      <c r="AX318" s="719"/>
      <c r="AY318" s="719"/>
    </row>
    <row r="319" spans="1:56" ht="15.75" hidden="1" customHeight="1">
      <c r="A319" s="716" t="s">
        <v>677</v>
      </c>
      <c r="B319" s="725" t="s">
        <v>1456</v>
      </c>
      <c r="C319" s="718">
        <f>+$C$317+$G$318</f>
        <v>38298</v>
      </c>
      <c r="D319" s="719"/>
      <c r="E319" s="719"/>
      <c r="F319" s="720">
        <v>0</v>
      </c>
      <c r="G319" s="721"/>
      <c r="H319" s="726" t="s">
        <v>668</v>
      </c>
      <c r="I319" s="726"/>
      <c r="J319" s="727"/>
      <c r="K319" s="719"/>
      <c r="L319" s="719" t="s">
        <v>465</v>
      </c>
      <c r="M319" s="719"/>
      <c r="N319" s="726" t="s">
        <v>696</v>
      </c>
      <c r="O319" s="726" t="s">
        <v>697</v>
      </c>
      <c r="P319" s="726"/>
      <c r="Q319" s="719">
        <v>0</v>
      </c>
      <c r="R319" s="719">
        <v>0</v>
      </c>
      <c r="S319" s="719">
        <f>AG320-AG319</f>
        <v>3.1999999999970896</v>
      </c>
      <c r="T319" s="719">
        <v>25</v>
      </c>
      <c r="U319" s="719">
        <v>5</v>
      </c>
      <c r="V319" s="719"/>
      <c r="W319" s="719">
        <v>1.1000000000000001</v>
      </c>
      <c r="X319" s="719">
        <v>1.2</v>
      </c>
      <c r="Y319" s="719"/>
      <c r="Z319" s="719"/>
      <c r="AA319" s="719">
        <v>0.45</v>
      </c>
      <c r="AB319" s="719"/>
      <c r="AC319" s="719" t="s">
        <v>2616</v>
      </c>
      <c r="AD319" s="719"/>
      <c r="AE319" s="719"/>
      <c r="AF319" s="719">
        <v>200</v>
      </c>
      <c r="AG319" s="1341">
        <v>38298.160000000003</v>
      </c>
      <c r="AH319" s="719">
        <v>1503</v>
      </c>
      <c r="AI319" s="719">
        <v>-5072</v>
      </c>
      <c r="AJ319" s="719"/>
      <c r="AK319" s="719"/>
      <c r="AL319" s="719"/>
      <c r="AM319" s="719" t="s">
        <v>2609</v>
      </c>
      <c r="AN319" s="719">
        <v>5.25</v>
      </c>
      <c r="AO319" s="719"/>
      <c r="AP319" s="719"/>
      <c r="AQ319" s="724"/>
      <c r="AR319" s="724"/>
      <c r="AS319" s="724"/>
      <c r="AT319" s="724">
        <f>+ab($T$319,$T$317,$T$321,$G$318,$G$320,-1*$F$319,1200)</f>
        <v>11.14504395531122</v>
      </c>
      <c r="AU319" s="724"/>
      <c r="AV319" s="724"/>
      <c r="AW319" s="719"/>
      <c r="AX319" s="719"/>
      <c r="AY319" s="719"/>
      <c r="BC319" s="560"/>
    </row>
    <row r="320" spans="1:56" ht="15.75" hidden="1" customHeight="1">
      <c r="A320" s="716"/>
      <c r="B320" s="717"/>
      <c r="C320" s="718"/>
      <c r="D320" s="719"/>
      <c r="E320" s="719"/>
      <c r="F320" s="720"/>
      <c r="G320" s="721">
        <v>50</v>
      </c>
      <c r="H320" s="726"/>
      <c r="I320" s="726"/>
      <c r="J320" s="727">
        <f>C321-9.6</f>
        <v>38338.400000000001</v>
      </c>
      <c r="K320" s="719" t="s">
        <v>1097</v>
      </c>
      <c r="L320" s="719"/>
      <c r="M320" s="719"/>
      <c r="N320" s="726"/>
      <c r="O320" s="726"/>
      <c r="P320" s="726"/>
      <c r="Q320" s="719">
        <v>0</v>
      </c>
      <c r="R320" s="719">
        <v>0</v>
      </c>
      <c r="S320" s="719">
        <f>AG321-AG320</f>
        <v>48.059999999997672</v>
      </c>
      <c r="T320" s="719"/>
      <c r="U320" s="719"/>
      <c r="V320" s="719"/>
      <c r="W320" s="719"/>
      <c r="X320" s="719"/>
      <c r="Y320" s="719"/>
      <c r="Z320" s="719"/>
      <c r="AA320" s="719"/>
      <c r="AB320" s="719"/>
      <c r="AC320" s="719"/>
      <c r="AD320" s="719"/>
      <c r="AE320" s="719"/>
      <c r="AF320" s="719">
        <v>200</v>
      </c>
      <c r="AG320" s="1341">
        <v>38301.360000000001</v>
      </c>
      <c r="AH320" s="719">
        <v>1498</v>
      </c>
      <c r="AI320" s="719">
        <v>-5074</v>
      </c>
      <c r="AJ320" s="719"/>
      <c r="AK320" s="719"/>
      <c r="AL320" s="719"/>
      <c r="AM320" s="719"/>
      <c r="AN320" s="719"/>
      <c r="AO320" s="719"/>
      <c r="AP320" s="719"/>
      <c r="AQ320" s="724">
        <f>+FL_1($T$321,$T$319,$G$320,1200,9.28,-1*$F$321)</f>
        <v>0.29489941866666669</v>
      </c>
      <c r="AR320" s="724"/>
      <c r="AS320" s="724"/>
      <c r="AT320" s="724"/>
      <c r="AU320" s="724"/>
      <c r="AV320" s="724"/>
      <c r="AW320" s="719"/>
      <c r="AX320" s="719"/>
      <c r="AY320" s="719"/>
    </row>
    <row r="321" spans="1:58" ht="15.75" hidden="1" customHeight="1">
      <c r="A321" s="716" t="s">
        <v>677</v>
      </c>
      <c r="B321" s="725" t="s">
        <v>1457</v>
      </c>
      <c r="C321" s="718">
        <f>+$C$319+$G$320</f>
        <v>38348</v>
      </c>
      <c r="D321" s="719"/>
      <c r="E321" s="719"/>
      <c r="F321" s="720">
        <v>0</v>
      </c>
      <c r="G321" s="721"/>
      <c r="H321" s="720" t="s">
        <v>138</v>
      </c>
      <c r="I321" s="720" t="s">
        <v>948</v>
      </c>
      <c r="J321" s="727"/>
      <c r="K321" s="720"/>
      <c r="L321" s="719" t="s">
        <v>241</v>
      </c>
      <c r="M321" s="719"/>
      <c r="N321" s="726" t="s">
        <v>695</v>
      </c>
      <c r="O321" s="726"/>
      <c r="P321" s="726"/>
      <c r="Q321" s="719">
        <v>0</v>
      </c>
      <c r="R321" s="719">
        <v>0</v>
      </c>
      <c r="S321" s="719"/>
      <c r="T321" s="719">
        <v>-30</v>
      </c>
      <c r="U321" s="719"/>
      <c r="V321" s="719"/>
      <c r="W321" s="719">
        <v>1.1000000000000001</v>
      </c>
      <c r="X321" s="719"/>
      <c r="Y321" s="719"/>
      <c r="Z321" s="719"/>
      <c r="AA321" s="719"/>
      <c r="AB321" s="719"/>
      <c r="AC321" s="719" t="s">
        <v>2977</v>
      </c>
      <c r="AD321" s="719"/>
      <c r="AE321" s="719"/>
      <c r="AF321" s="719">
        <v>200</v>
      </c>
      <c r="AG321" s="1341">
        <v>38349.42</v>
      </c>
      <c r="AH321" s="719">
        <v>1515</v>
      </c>
      <c r="AI321" s="719">
        <v>-5066</v>
      </c>
      <c r="AJ321" s="719"/>
      <c r="AK321" s="719"/>
      <c r="AL321" s="719"/>
      <c r="AM321" s="719" t="s">
        <v>2609</v>
      </c>
      <c r="AN321" s="719">
        <v>5.25</v>
      </c>
      <c r="AO321" s="719"/>
      <c r="AP321" s="719"/>
      <c r="AQ321" s="724"/>
      <c r="AR321" s="724"/>
      <c r="AS321" s="724"/>
      <c r="AT321" s="724">
        <f>+ab($T$321,$T$319,$T$323,$G$320,$G$322,-1*$F$321,1200)</f>
        <v>-8.2849467556123688</v>
      </c>
      <c r="AU321" s="724"/>
      <c r="AV321" s="724"/>
      <c r="AW321" s="719"/>
      <c r="AX321" s="719"/>
      <c r="AY321" s="719"/>
    </row>
    <row r="322" spans="1:58" ht="15.75" hidden="1" customHeight="1">
      <c r="A322" s="716"/>
      <c r="B322" s="717"/>
      <c r="C322" s="718"/>
      <c r="D322" s="719"/>
      <c r="E322" s="719"/>
      <c r="F322" s="720"/>
      <c r="G322" s="721">
        <v>50</v>
      </c>
      <c r="H322" s="720"/>
      <c r="I322" s="720"/>
      <c r="J322" s="723"/>
      <c r="K322" s="720"/>
      <c r="L322" s="719"/>
      <c r="M322" s="719"/>
      <c r="N322" s="726"/>
      <c r="O322" s="726"/>
      <c r="P322" s="726"/>
      <c r="Q322" s="719"/>
      <c r="R322" s="719"/>
      <c r="S322" s="719">
        <f t="shared" si="50"/>
        <v>48.040000000000873</v>
      </c>
      <c r="T322" s="719"/>
      <c r="U322" s="719"/>
      <c r="V322" s="719"/>
      <c r="W322" s="719"/>
      <c r="X322" s="719"/>
      <c r="Y322" s="719"/>
      <c r="Z322" s="719"/>
      <c r="AA322" s="719"/>
      <c r="AB322" s="719"/>
      <c r="AC322" s="719"/>
      <c r="AD322" s="719"/>
      <c r="AE322" s="719"/>
      <c r="AF322" s="719"/>
      <c r="AG322" s="1341"/>
      <c r="AH322" s="719"/>
      <c r="AI322" s="719"/>
      <c r="AJ322" s="719"/>
      <c r="AK322" s="719"/>
      <c r="AL322" s="719"/>
      <c r="AM322" s="719"/>
      <c r="AN322" s="719"/>
      <c r="AO322" s="719"/>
      <c r="AP322" s="719"/>
      <c r="AQ322" s="724">
        <f>+FL_1($T$323,$T$321,$G$322,1200,9.28,-1*$F$323)</f>
        <v>0.33477011200000001</v>
      </c>
      <c r="AR322" s="724"/>
      <c r="AS322" s="724"/>
      <c r="AT322" s="724"/>
      <c r="AU322" s="724"/>
      <c r="AV322" s="724"/>
      <c r="AW322" s="719"/>
      <c r="AX322" s="719"/>
      <c r="AY322" s="719"/>
      <c r="BE322" s="560"/>
      <c r="BF322" s="560"/>
    </row>
    <row r="323" spans="1:58" ht="15.75" hidden="1" customHeight="1">
      <c r="A323" s="716" t="s">
        <v>677</v>
      </c>
      <c r="B323" s="725" t="s">
        <v>1458</v>
      </c>
      <c r="C323" s="718">
        <f>+$C$321+$G$322</f>
        <v>38398</v>
      </c>
      <c r="D323" s="719"/>
      <c r="E323" s="719"/>
      <c r="F323" s="720">
        <v>0</v>
      </c>
      <c r="G323" s="721"/>
      <c r="H323" s="720"/>
      <c r="I323" s="720"/>
      <c r="J323" s="727"/>
      <c r="K323" s="720"/>
      <c r="L323" s="719" t="s">
        <v>241</v>
      </c>
      <c r="M323" s="719"/>
      <c r="N323" s="726" t="s">
        <v>696</v>
      </c>
      <c r="O323" s="726"/>
      <c r="P323" s="726"/>
      <c r="Q323" s="719">
        <v>0</v>
      </c>
      <c r="R323" s="719">
        <v>0</v>
      </c>
      <c r="S323" s="719"/>
      <c r="T323" s="719">
        <v>30</v>
      </c>
      <c r="U323" s="719"/>
      <c r="V323" s="719"/>
      <c r="W323" s="719">
        <v>1.1000000000000001</v>
      </c>
      <c r="X323" s="719"/>
      <c r="Y323" s="719"/>
      <c r="Z323" s="719"/>
      <c r="AA323" s="719"/>
      <c r="AB323" s="719"/>
      <c r="AC323" s="719" t="s">
        <v>2977</v>
      </c>
      <c r="AD323" s="719"/>
      <c r="AE323" s="719"/>
      <c r="AF323" s="719">
        <v>200</v>
      </c>
      <c r="AG323" s="1341">
        <v>38397.46</v>
      </c>
      <c r="AH323" s="719">
        <v>1509</v>
      </c>
      <c r="AI323" s="719">
        <v>-5086</v>
      </c>
      <c r="AJ323" s="719"/>
      <c r="AK323" s="719"/>
      <c r="AL323" s="719"/>
      <c r="AM323" s="719" t="s">
        <v>2609</v>
      </c>
      <c r="AN323" s="719">
        <v>5.25</v>
      </c>
      <c r="AO323" s="719"/>
      <c r="AP323" s="719"/>
      <c r="AQ323" s="724"/>
      <c r="AR323" s="724"/>
      <c r="AS323" s="724"/>
      <c r="AT323" s="724">
        <f>+ab($T$323,$T$321,$T$325,$G$322,$G$324,-1*$F$323,1200)</f>
        <v>7.9442083933778509</v>
      </c>
      <c r="AU323" s="724"/>
      <c r="AV323" s="724"/>
      <c r="AW323" s="719"/>
      <c r="AX323" s="719"/>
      <c r="AY323" s="719"/>
    </row>
    <row r="324" spans="1:58" ht="15.75" hidden="1" customHeight="1">
      <c r="A324" s="716"/>
      <c r="B324" s="717"/>
      <c r="C324" s="718"/>
      <c r="D324" s="719"/>
      <c r="E324" s="719"/>
      <c r="F324" s="720"/>
      <c r="G324" s="721">
        <v>50</v>
      </c>
      <c r="H324" s="720"/>
      <c r="I324" s="720"/>
      <c r="J324" s="723"/>
      <c r="K324" s="720"/>
      <c r="L324" s="719"/>
      <c r="M324" s="719"/>
      <c r="N324" s="726"/>
      <c r="O324" s="726"/>
      <c r="P324" s="726"/>
      <c r="Q324" s="719"/>
      <c r="R324" s="719"/>
      <c r="S324" s="719">
        <f t="shared" si="50"/>
        <v>51.200000000004366</v>
      </c>
      <c r="T324" s="719"/>
      <c r="U324" s="719"/>
      <c r="V324" s="719"/>
      <c r="W324" s="719"/>
      <c r="X324" s="719"/>
      <c r="Y324" s="719"/>
      <c r="Z324" s="719"/>
      <c r="AA324" s="719"/>
      <c r="AB324" s="719"/>
      <c r="AC324" s="719"/>
      <c r="AD324" s="719"/>
      <c r="AE324" s="719"/>
      <c r="AF324" s="719"/>
      <c r="AG324" s="1341"/>
      <c r="AH324" s="719"/>
      <c r="AI324" s="719"/>
      <c r="AJ324" s="719"/>
      <c r="AK324" s="719"/>
      <c r="AL324" s="719"/>
      <c r="AM324" s="719"/>
      <c r="AN324" s="719"/>
      <c r="AO324" s="719"/>
      <c r="AP324" s="719"/>
      <c r="AQ324" s="724">
        <f>+FL_2($T$325,$T$323,$G$324,1200,9.28,-1*$F$325)</f>
        <v>-0.33477011200000001</v>
      </c>
      <c r="AR324" s="724"/>
      <c r="AS324" s="724"/>
      <c r="AT324" s="724"/>
      <c r="AU324" s="724"/>
      <c r="AV324" s="724"/>
      <c r="AW324" s="719"/>
      <c r="AX324" s="719"/>
      <c r="AY324" s="719"/>
    </row>
    <row r="325" spans="1:58" ht="15.75" hidden="1" customHeight="1">
      <c r="A325" s="716" t="s">
        <v>677</v>
      </c>
      <c r="B325" s="725" t="s">
        <v>1459</v>
      </c>
      <c r="C325" s="718">
        <f>+$C$323+$G$324</f>
        <v>38448</v>
      </c>
      <c r="D325" s="719"/>
      <c r="E325" s="719"/>
      <c r="F325" s="720">
        <v>0</v>
      </c>
      <c r="G325" s="721"/>
      <c r="H325" s="720"/>
      <c r="I325" s="720"/>
      <c r="J325" s="723"/>
      <c r="K325" s="720"/>
      <c r="L325" s="719" t="s">
        <v>241</v>
      </c>
      <c r="M325" s="719"/>
      <c r="N325" s="726" t="s">
        <v>695</v>
      </c>
      <c r="O325" s="726"/>
      <c r="P325" s="726"/>
      <c r="Q325" s="719">
        <v>0</v>
      </c>
      <c r="R325" s="719">
        <v>0</v>
      </c>
      <c r="S325" s="719"/>
      <c r="T325" s="719">
        <v>-30</v>
      </c>
      <c r="U325" s="719"/>
      <c r="V325" s="719"/>
      <c r="W325" s="719">
        <v>1.1000000000000001</v>
      </c>
      <c r="X325" s="719"/>
      <c r="Y325" s="719"/>
      <c r="Z325" s="719"/>
      <c r="AA325" s="719"/>
      <c r="AB325" s="719"/>
      <c r="AC325" s="719" t="s">
        <v>2977</v>
      </c>
      <c r="AD325" s="719"/>
      <c r="AE325" s="719"/>
      <c r="AF325" s="719">
        <v>200</v>
      </c>
      <c r="AG325" s="1341">
        <v>38448.660000000003</v>
      </c>
      <c r="AH325" s="719">
        <v>1497</v>
      </c>
      <c r="AI325" s="719">
        <v>-5060</v>
      </c>
      <c r="AJ325" s="719"/>
      <c r="AK325" s="719"/>
      <c r="AL325" s="719"/>
      <c r="AM325" s="719" t="s">
        <v>2609</v>
      </c>
      <c r="AN325" s="719">
        <v>5.25</v>
      </c>
      <c r="AO325" s="719"/>
      <c r="AP325" s="719"/>
      <c r="AQ325" s="724"/>
      <c r="AR325" s="724"/>
      <c r="AS325" s="724"/>
      <c r="AT325" s="724">
        <f>+ab($T$325,$T$323,$T$327,$G$324,$G$326,-1*$F$325,1200)</f>
        <v>-7.9442410717051439</v>
      </c>
      <c r="AU325" s="724"/>
      <c r="AV325" s="724"/>
      <c r="AW325" s="719"/>
      <c r="AX325" s="719"/>
      <c r="AY325" s="719"/>
    </row>
    <row r="326" spans="1:58" ht="15.75" hidden="1" customHeight="1">
      <c r="A326" s="716"/>
      <c r="B326" s="717"/>
      <c r="C326" s="718"/>
      <c r="D326" s="719"/>
      <c r="E326" s="719"/>
      <c r="F326" s="720"/>
      <c r="G326" s="721">
        <v>50</v>
      </c>
      <c r="H326" s="720"/>
      <c r="I326" s="720"/>
      <c r="J326" s="723"/>
      <c r="K326" s="720"/>
      <c r="L326" s="719"/>
      <c r="M326" s="719"/>
      <c r="N326" s="726"/>
      <c r="O326" s="726"/>
      <c r="P326" s="726"/>
      <c r="Q326" s="719"/>
      <c r="R326" s="719"/>
      <c r="S326" s="719">
        <f t="shared" si="50"/>
        <v>48.139999999999418</v>
      </c>
      <c r="T326" s="719"/>
      <c r="U326" s="719"/>
      <c r="V326" s="719"/>
      <c r="W326" s="719"/>
      <c r="X326" s="719"/>
      <c r="Y326" s="719"/>
      <c r="Z326" s="719"/>
      <c r="AA326" s="719"/>
      <c r="AB326" s="719"/>
      <c r="AC326" s="719"/>
      <c r="AD326" s="719"/>
      <c r="AE326" s="719"/>
      <c r="AF326" s="719"/>
      <c r="AG326" s="1341"/>
      <c r="AH326" s="719"/>
      <c r="AI326" s="719"/>
      <c r="AJ326" s="719"/>
      <c r="AK326" s="719"/>
      <c r="AL326" s="719"/>
      <c r="AM326" s="719"/>
      <c r="AN326" s="719"/>
      <c r="AO326" s="719"/>
      <c r="AP326" s="719"/>
      <c r="AQ326" s="724">
        <f>+FL_1($T$327,$T$325,$G$326,1200,9.28,-1*$F$327)</f>
        <v>0.33477011200000001</v>
      </c>
      <c r="AR326" s="724"/>
      <c r="AS326" s="724"/>
      <c r="AT326" s="724"/>
      <c r="AU326" s="724"/>
      <c r="AV326" s="724"/>
      <c r="AW326" s="719"/>
      <c r="AX326" s="719"/>
      <c r="AY326" s="719"/>
    </row>
    <row r="327" spans="1:58" ht="15.75" hidden="1" customHeight="1">
      <c r="A327" s="716" t="s">
        <v>677</v>
      </c>
      <c r="B327" s="725" t="s">
        <v>1460</v>
      </c>
      <c r="C327" s="718">
        <f>+$C$325+$G$326</f>
        <v>38498</v>
      </c>
      <c r="D327" s="719"/>
      <c r="E327" s="719"/>
      <c r="F327" s="720">
        <v>0</v>
      </c>
      <c r="G327" s="721"/>
      <c r="H327" s="720"/>
      <c r="I327" s="720"/>
      <c r="J327" s="723"/>
      <c r="K327" s="720"/>
      <c r="L327" s="719" t="s">
        <v>241</v>
      </c>
      <c r="M327" s="719"/>
      <c r="N327" s="726" t="s">
        <v>696</v>
      </c>
      <c r="O327" s="726"/>
      <c r="P327" s="726"/>
      <c r="Q327" s="719">
        <v>0</v>
      </c>
      <c r="R327" s="719">
        <v>0</v>
      </c>
      <c r="S327" s="719"/>
      <c r="T327" s="719">
        <v>30</v>
      </c>
      <c r="U327" s="719"/>
      <c r="V327" s="719"/>
      <c r="W327" s="719">
        <v>1.1000000000000001</v>
      </c>
      <c r="X327" s="719"/>
      <c r="Y327" s="719"/>
      <c r="Z327" s="719"/>
      <c r="AA327" s="719"/>
      <c r="AB327" s="719"/>
      <c r="AC327" s="719" t="s">
        <v>2977</v>
      </c>
      <c r="AD327" s="719"/>
      <c r="AE327" s="719"/>
      <c r="AF327" s="719">
        <v>200</v>
      </c>
      <c r="AG327" s="1341">
        <v>38496.800000000003</v>
      </c>
      <c r="AH327" s="719">
        <v>1511</v>
      </c>
      <c r="AI327" s="719">
        <v>-5082</v>
      </c>
      <c r="AJ327" s="719"/>
      <c r="AK327" s="719"/>
      <c r="AL327" s="719"/>
      <c r="AM327" s="719" t="s">
        <v>2609</v>
      </c>
      <c r="AN327" s="719">
        <v>5.25</v>
      </c>
      <c r="AO327" s="719"/>
      <c r="AP327" s="719"/>
      <c r="AQ327" s="724"/>
      <c r="AR327" s="724"/>
      <c r="AS327" s="724"/>
      <c r="AT327" s="724">
        <f>+ab($T$327,$T$325,$T$329,$G$326,$G$328,-1*$F$327,1200)</f>
        <v>7.9442083933778509</v>
      </c>
      <c r="AU327" s="724"/>
      <c r="AV327" s="724"/>
      <c r="AW327" s="719"/>
      <c r="AX327" s="719"/>
      <c r="AY327" s="719"/>
    </row>
    <row r="328" spans="1:58" ht="15.75" hidden="1" customHeight="1">
      <c r="A328" s="716"/>
      <c r="B328" s="717"/>
      <c r="C328" s="718"/>
      <c r="D328" s="719"/>
      <c r="E328" s="719"/>
      <c r="F328" s="720"/>
      <c r="G328" s="721">
        <v>50</v>
      </c>
      <c r="H328" s="720"/>
      <c r="I328" s="720"/>
      <c r="J328" s="723"/>
      <c r="K328" s="720"/>
      <c r="L328" s="719"/>
      <c r="M328" s="719"/>
      <c r="N328" s="726"/>
      <c r="O328" s="726"/>
      <c r="P328" s="726"/>
      <c r="Q328" s="719"/>
      <c r="R328" s="719"/>
      <c r="S328" s="719">
        <f t="shared" si="50"/>
        <v>51.129999999997381</v>
      </c>
      <c r="T328" s="719"/>
      <c r="U328" s="719"/>
      <c r="V328" s="719"/>
      <c r="W328" s="719"/>
      <c r="X328" s="719"/>
      <c r="Y328" s="719"/>
      <c r="Z328" s="719"/>
      <c r="AA328" s="719"/>
      <c r="AB328" s="719"/>
      <c r="AC328" s="719"/>
      <c r="AD328" s="719"/>
      <c r="AE328" s="719"/>
      <c r="AF328" s="719"/>
      <c r="AG328" s="1341"/>
      <c r="AH328" s="719"/>
      <c r="AI328" s="719"/>
      <c r="AJ328" s="719"/>
      <c r="AK328" s="719"/>
      <c r="AL328" s="719"/>
      <c r="AM328" s="719"/>
      <c r="AN328" s="719"/>
      <c r="AO328" s="719"/>
      <c r="AP328" s="719"/>
      <c r="AQ328" s="724">
        <f>+FL_2($T$329,$T$327,$G$328,1200,9.28,-1*$F$329)</f>
        <v>-0.33477011200000001</v>
      </c>
      <c r="AR328" s="724"/>
      <c r="AS328" s="724"/>
      <c r="AT328" s="724"/>
      <c r="AU328" s="724"/>
      <c r="AV328" s="724"/>
      <c r="AW328" s="719"/>
      <c r="AX328" s="719"/>
      <c r="AY328" s="719"/>
    </row>
    <row r="329" spans="1:58" ht="15.75" hidden="1" customHeight="1">
      <c r="A329" s="716" t="s">
        <v>677</v>
      </c>
      <c r="B329" s="725" t="s">
        <v>1461</v>
      </c>
      <c r="C329" s="718">
        <f>+$C$327+$G$328</f>
        <v>38548</v>
      </c>
      <c r="D329" s="719"/>
      <c r="E329" s="719"/>
      <c r="F329" s="720">
        <v>0</v>
      </c>
      <c r="G329" s="721"/>
      <c r="H329" s="720"/>
      <c r="I329" s="720"/>
      <c r="J329" s="723"/>
      <c r="K329" s="720"/>
      <c r="L329" s="719" t="s">
        <v>241</v>
      </c>
      <c r="M329" s="719"/>
      <c r="N329" s="726" t="s">
        <v>695</v>
      </c>
      <c r="O329" s="726"/>
      <c r="P329" s="726"/>
      <c r="Q329" s="719">
        <v>0</v>
      </c>
      <c r="R329" s="719">
        <v>0</v>
      </c>
      <c r="S329" s="719"/>
      <c r="T329" s="719">
        <v>-30</v>
      </c>
      <c r="U329" s="719"/>
      <c r="V329" s="719"/>
      <c r="W329" s="719">
        <v>1.1000000000000001</v>
      </c>
      <c r="X329" s="719"/>
      <c r="Y329" s="719"/>
      <c r="Z329" s="719"/>
      <c r="AA329" s="719"/>
      <c r="AB329" s="719"/>
      <c r="AC329" s="719" t="s">
        <v>2977</v>
      </c>
      <c r="AD329" s="719"/>
      <c r="AE329" s="719"/>
      <c r="AF329" s="719">
        <v>200</v>
      </c>
      <c r="AG329" s="1341">
        <v>38547.93</v>
      </c>
      <c r="AH329" s="719">
        <v>1510</v>
      </c>
      <c r="AI329" s="719">
        <v>-5038</v>
      </c>
      <c r="AJ329" s="719"/>
      <c r="AK329" s="719"/>
      <c r="AL329" s="719"/>
      <c r="AM329" s="719" t="s">
        <v>2609</v>
      </c>
      <c r="AN329" s="719">
        <v>5.25</v>
      </c>
      <c r="AO329" s="719"/>
      <c r="AP329" s="719"/>
      <c r="AQ329" s="724"/>
      <c r="AR329" s="724"/>
      <c r="AS329" s="724"/>
      <c r="AT329" s="724">
        <f>+ab($T$329,$T$327,$T$331,$G$328,$G$330,-1*$F$329,1200)</f>
        <v>-7.9442410717051439</v>
      </c>
      <c r="AU329" s="724"/>
      <c r="AV329" s="724"/>
      <c r="AW329" s="719"/>
      <c r="AX329" s="719"/>
      <c r="AY329" s="719"/>
    </row>
    <row r="330" spans="1:58" ht="15.75" hidden="1" customHeight="1">
      <c r="A330" s="716"/>
      <c r="B330" s="717"/>
      <c r="C330" s="718"/>
      <c r="D330" s="719"/>
      <c r="E330" s="719"/>
      <c r="F330" s="720"/>
      <c r="G330" s="721">
        <v>50</v>
      </c>
      <c r="H330" s="720"/>
      <c r="I330" s="720"/>
      <c r="J330" s="723"/>
      <c r="K330" s="720"/>
      <c r="L330" s="719"/>
      <c r="M330" s="719"/>
      <c r="N330" s="726"/>
      <c r="O330" s="726"/>
      <c r="P330" s="726"/>
      <c r="Q330" s="719"/>
      <c r="R330" s="719"/>
      <c r="S330" s="719">
        <f t="shared" si="50"/>
        <v>51.230000000003201</v>
      </c>
      <c r="T330" s="719"/>
      <c r="U330" s="719"/>
      <c r="V330" s="719"/>
      <c r="W330" s="719"/>
      <c r="X330" s="719"/>
      <c r="Y330" s="719"/>
      <c r="Z330" s="719"/>
      <c r="AA330" s="719"/>
      <c r="AB330" s="719"/>
      <c r="AC330" s="719"/>
      <c r="AD330" s="719"/>
      <c r="AE330" s="719"/>
      <c r="AF330" s="719"/>
      <c r="AG330" s="1341"/>
      <c r="AH330" s="719"/>
      <c r="AI330" s="719"/>
      <c r="AJ330" s="719"/>
      <c r="AK330" s="719"/>
      <c r="AL330" s="719"/>
      <c r="AM330" s="719"/>
      <c r="AN330" s="719"/>
      <c r="AO330" s="719"/>
      <c r="AP330" s="719"/>
      <c r="AQ330" s="724">
        <f>+FL_1($T$331,$T$329,$G$330,1200,9.28,-1*$F$331)</f>
        <v>0.33477011200000001</v>
      </c>
      <c r="AR330" s="724"/>
      <c r="AS330" s="724"/>
      <c r="AT330" s="724"/>
      <c r="AU330" s="724"/>
      <c r="AV330" s="724"/>
      <c r="AW330" s="719"/>
      <c r="AX330" s="719"/>
      <c r="AY330" s="719"/>
    </row>
    <row r="331" spans="1:58" ht="15.75" hidden="1" customHeight="1">
      <c r="A331" s="716" t="s">
        <v>677</v>
      </c>
      <c r="B331" s="725" t="s">
        <v>1462</v>
      </c>
      <c r="C331" s="718">
        <f>+$C$329+$G$330</f>
        <v>38598</v>
      </c>
      <c r="D331" s="719"/>
      <c r="E331" s="719"/>
      <c r="F331" s="720">
        <v>0</v>
      </c>
      <c r="G331" s="721"/>
      <c r="H331" s="726"/>
      <c r="I331" s="722"/>
      <c r="J331" s="723"/>
      <c r="K331" s="719"/>
      <c r="L331" s="719" t="s">
        <v>241</v>
      </c>
      <c r="M331" s="719"/>
      <c r="N331" s="726" t="s">
        <v>696</v>
      </c>
      <c r="O331" s="726"/>
      <c r="P331" s="726"/>
      <c r="Q331" s="719">
        <v>0</v>
      </c>
      <c r="R331" s="719">
        <v>0</v>
      </c>
      <c r="S331" s="719"/>
      <c r="T331" s="719">
        <v>30</v>
      </c>
      <c r="U331" s="719"/>
      <c r="V331" s="719"/>
      <c r="W331" s="719">
        <v>1.1000000000000001</v>
      </c>
      <c r="X331" s="719"/>
      <c r="Y331" s="719"/>
      <c r="Z331" s="719"/>
      <c r="AA331" s="719"/>
      <c r="AB331" s="719"/>
      <c r="AC331" s="719" t="s">
        <v>2977</v>
      </c>
      <c r="AD331" s="719"/>
      <c r="AE331" s="719"/>
      <c r="AF331" s="719">
        <v>200</v>
      </c>
      <c r="AG331" s="1341">
        <v>38599.160000000003</v>
      </c>
      <c r="AH331" s="719">
        <v>1489</v>
      </c>
      <c r="AI331" s="719">
        <v>-5062</v>
      </c>
      <c r="AJ331" s="719"/>
      <c r="AK331" s="719"/>
      <c r="AL331" s="719"/>
      <c r="AM331" s="719" t="s">
        <v>2609</v>
      </c>
      <c r="AN331" s="719">
        <v>5.25</v>
      </c>
      <c r="AO331" s="719"/>
      <c r="AP331" s="719"/>
      <c r="AQ331" s="724"/>
      <c r="AR331" s="724"/>
      <c r="AS331" s="724"/>
      <c r="AT331" s="724">
        <f>+ab($T$331,$T$329,$T$333,$G$330,$G$332,-1*$F$331,1200)</f>
        <v>7.9442083933778509</v>
      </c>
      <c r="AU331" s="724"/>
      <c r="AV331" s="724"/>
      <c r="AW331" s="719"/>
      <c r="AX331" s="719"/>
      <c r="AY331" s="719"/>
    </row>
    <row r="332" spans="1:58" ht="15.75" hidden="1" customHeight="1">
      <c r="A332" s="716"/>
      <c r="B332" s="717"/>
      <c r="C332" s="718"/>
      <c r="D332" s="719"/>
      <c r="E332" s="719"/>
      <c r="F332" s="720"/>
      <c r="G332" s="721">
        <v>50</v>
      </c>
      <c r="H332" s="719"/>
      <c r="I332" s="722"/>
      <c r="J332" s="723"/>
      <c r="K332" s="719"/>
      <c r="L332" s="719"/>
      <c r="M332" s="719"/>
      <c r="N332" s="726"/>
      <c r="O332" s="726"/>
      <c r="P332" s="726"/>
      <c r="Q332" s="719"/>
      <c r="R332" s="719"/>
      <c r="S332" s="719">
        <f t="shared" si="50"/>
        <v>49.69999999999709</v>
      </c>
      <c r="T332" s="719"/>
      <c r="U332" s="719"/>
      <c r="V332" s="719"/>
      <c r="W332" s="719"/>
      <c r="X332" s="719"/>
      <c r="Y332" s="719"/>
      <c r="Z332" s="719"/>
      <c r="AA332" s="719"/>
      <c r="AB332" s="719"/>
      <c r="AC332" s="719"/>
      <c r="AD332" s="719"/>
      <c r="AE332" s="719"/>
      <c r="AF332" s="719"/>
      <c r="AG332" s="1341"/>
      <c r="AH332" s="719"/>
      <c r="AI332" s="719"/>
      <c r="AJ332" s="719"/>
      <c r="AK332" s="719"/>
      <c r="AL332" s="719"/>
      <c r="AM332" s="719"/>
      <c r="AN332" s="719"/>
      <c r="AO332" s="719"/>
      <c r="AP332" s="719"/>
      <c r="AQ332" s="724">
        <f>+FL_2($T$333,$T$331,$G$332,1200,9.28,-1*$F$333)</f>
        <v>-0.33477011200000001</v>
      </c>
      <c r="AR332" s="724"/>
      <c r="AS332" s="724"/>
      <c r="AT332" s="724"/>
      <c r="AU332" s="724"/>
      <c r="AV332" s="724"/>
      <c r="AW332" s="719"/>
      <c r="AX332" s="719"/>
      <c r="AY332" s="719"/>
    </row>
    <row r="333" spans="1:58" ht="15.75" customHeight="1">
      <c r="A333" s="716" t="s">
        <v>677</v>
      </c>
      <c r="B333" s="725" t="s">
        <v>1463</v>
      </c>
      <c r="C333" s="718">
        <f>+$C$331+$G$332</f>
        <v>38648</v>
      </c>
      <c r="D333" s="719"/>
      <c r="E333" s="719"/>
      <c r="F333" s="720">
        <v>0</v>
      </c>
      <c r="G333" s="721"/>
      <c r="H333" s="726" t="s">
        <v>1101</v>
      </c>
      <c r="I333" s="722"/>
      <c r="J333" s="723"/>
      <c r="K333" s="719"/>
      <c r="L333" s="719" t="s">
        <v>241</v>
      </c>
      <c r="M333" s="719"/>
      <c r="N333" s="726" t="s">
        <v>695</v>
      </c>
      <c r="O333" s="726"/>
      <c r="P333" s="726"/>
      <c r="Q333" s="719">
        <v>0</v>
      </c>
      <c r="R333" s="719">
        <v>0</v>
      </c>
      <c r="S333" s="719"/>
      <c r="T333" s="719">
        <v>-30</v>
      </c>
      <c r="U333" s="719"/>
      <c r="V333" s="719"/>
      <c r="W333" s="719">
        <v>1.1000000000000001</v>
      </c>
      <c r="X333" s="719"/>
      <c r="Y333" s="719"/>
      <c r="Z333" s="719"/>
      <c r="AA333" s="719"/>
      <c r="AB333" s="719"/>
      <c r="AC333" s="719" t="s">
        <v>2977</v>
      </c>
      <c r="AD333" s="719"/>
      <c r="AE333" s="719"/>
      <c r="AF333" s="719">
        <v>200</v>
      </c>
      <c r="AG333" s="1341">
        <v>38648.86</v>
      </c>
      <c r="AH333" s="719">
        <v>1493</v>
      </c>
      <c r="AI333" s="719">
        <v>-4982</v>
      </c>
      <c r="AJ333" s="719"/>
      <c r="AK333" s="719"/>
      <c r="AL333" s="719"/>
      <c r="AM333" s="719" t="s">
        <v>2609</v>
      </c>
      <c r="AN333" s="719">
        <v>5.25</v>
      </c>
      <c r="AO333" s="719"/>
      <c r="AP333" s="719"/>
      <c r="AQ333" s="724"/>
      <c r="AR333" s="724"/>
      <c r="AS333" s="724"/>
      <c r="AT333" s="724">
        <f>+ab($T$333,$T$331,$T$335,$G$332,$G$334,-1*$F$333,1200)</f>
        <v>-7.9442410717051439</v>
      </c>
      <c r="AU333" s="724"/>
      <c r="AV333" s="724"/>
      <c r="AW333" s="719"/>
      <c r="AX333" s="719"/>
      <c r="AY333" s="719"/>
    </row>
    <row r="334" spans="1:58" ht="15.75" hidden="1" customHeight="1">
      <c r="A334" s="716"/>
      <c r="B334" s="717"/>
      <c r="C334" s="718"/>
      <c r="D334" s="719"/>
      <c r="E334" s="719"/>
      <c r="F334" s="720"/>
      <c r="G334" s="721">
        <v>50</v>
      </c>
      <c r="H334" s="726"/>
      <c r="I334" s="722">
        <f>+SUM(G316:G334)</f>
        <v>500</v>
      </c>
      <c r="J334" s="723">
        <f>C333+2.2</f>
        <v>38650.199999999997</v>
      </c>
      <c r="K334" s="719" t="s">
        <v>1102</v>
      </c>
      <c r="L334" s="719"/>
      <c r="M334" s="719"/>
      <c r="N334" s="726"/>
      <c r="O334" s="726"/>
      <c r="P334" s="726"/>
      <c r="Q334" s="719"/>
      <c r="R334" s="719"/>
      <c r="S334" s="719">
        <f t="shared" si="50"/>
        <v>48.089999999996508</v>
      </c>
      <c r="T334" s="719"/>
      <c r="U334" s="719"/>
      <c r="V334" s="719"/>
      <c r="W334" s="719"/>
      <c r="X334" s="719"/>
      <c r="Y334" s="719"/>
      <c r="Z334" s="719"/>
      <c r="AA334" s="719"/>
      <c r="AB334" s="719"/>
      <c r="AC334" s="719"/>
      <c r="AD334" s="719"/>
      <c r="AE334" s="719"/>
      <c r="AF334" s="719"/>
      <c r="AG334" s="1341"/>
      <c r="AH334" s="719"/>
      <c r="AI334" s="719"/>
      <c r="AJ334" s="719"/>
      <c r="AK334" s="719"/>
      <c r="AL334" s="719"/>
      <c r="AM334" s="719"/>
      <c r="AN334" s="719"/>
      <c r="AO334" s="719"/>
      <c r="AP334" s="719"/>
      <c r="AQ334" s="724">
        <f>+FL_1($T$335,$T$333,$G$334,1200,9.28,-1*$F$335)</f>
        <v>0.33477011200000001</v>
      </c>
      <c r="AR334" s="724"/>
      <c r="AS334" s="724"/>
      <c r="AT334" s="724"/>
      <c r="AU334" s="724"/>
      <c r="AV334" s="724"/>
      <c r="AW334" s="719"/>
      <c r="AX334" s="719"/>
      <c r="AY334" s="719"/>
    </row>
    <row r="335" spans="1:58" ht="15.75" customHeight="1">
      <c r="A335" s="716" t="s">
        <v>677</v>
      </c>
      <c r="B335" s="725" t="s">
        <v>1464</v>
      </c>
      <c r="C335" s="718">
        <f>+$C$333+$G$334</f>
        <v>38698</v>
      </c>
      <c r="D335" s="719"/>
      <c r="E335" s="719"/>
      <c r="F335" s="720">
        <v>0</v>
      </c>
      <c r="G335" s="721"/>
      <c r="H335" s="726" t="s">
        <v>997</v>
      </c>
      <c r="I335" s="722"/>
      <c r="J335" s="723"/>
      <c r="K335" s="719"/>
      <c r="L335" s="719" t="s">
        <v>241</v>
      </c>
      <c r="M335" s="719"/>
      <c r="N335" s="726" t="s">
        <v>696</v>
      </c>
      <c r="O335" s="726"/>
      <c r="P335" s="726"/>
      <c r="Q335" s="719">
        <v>0</v>
      </c>
      <c r="R335" s="719">
        <v>0</v>
      </c>
      <c r="S335" s="719"/>
      <c r="T335" s="719">
        <v>30</v>
      </c>
      <c r="U335" s="719"/>
      <c r="V335" s="719"/>
      <c r="W335" s="719">
        <v>1.1000000000000001</v>
      </c>
      <c r="X335" s="719"/>
      <c r="Y335" s="719"/>
      <c r="Z335" s="719"/>
      <c r="AA335" s="719"/>
      <c r="AB335" s="719"/>
      <c r="AC335" s="719" t="s">
        <v>2977</v>
      </c>
      <c r="AD335" s="719"/>
      <c r="AE335" s="719"/>
      <c r="AF335" s="719">
        <v>200</v>
      </c>
      <c r="AG335" s="1341">
        <v>38696.949999999997</v>
      </c>
      <c r="AH335" s="719">
        <v>1481</v>
      </c>
      <c r="AI335" s="719">
        <v>-5007</v>
      </c>
      <c r="AJ335" s="719"/>
      <c r="AK335" s="719"/>
      <c r="AL335" s="719"/>
      <c r="AM335" s="719" t="s">
        <v>2609</v>
      </c>
      <c r="AN335" s="719">
        <v>5.25</v>
      </c>
      <c r="AO335" s="719"/>
      <c r="AP335" s="719"/>
      <c r="AQ335" s="724"/>
      <c r="AR335" s="724"/>
      <c r="AS335" s="724"/>
      <c r="AT335" s="724">
        <f>+ab($T$335,$T$333,$T$337,$G$334,$G$336,-1*$F$335,1200)</f>
        <v>7.9442083933778509</v>
      </c>
      <c r="AU335" s="724"/>
      <c r="AV335" s="724"/>
      <c r="AW335" s="719"/>
      <c r="AX335" s="719"/>
      <c r="AY335" s="719"/>
    </row>
    <row r="336" spans="1:58" ht="15.75" hidden="1" customHeight="1">
      <c r="A336" s="716"/>
      <c r="B336" s="717"/>
      <c r="C336" s="718"/>
      <c r="D336" s="719"/>
      <c r="E336" s="719"/>
      <c r="F336" s="720"/>
      <c r="G336" s="721">
        <v>50</v>
      </c>
      <c r="H336" s="726"/>
      <c r="I336" s="722">
        <f>SUM(G336:G354)</f>
        <v>500</v>
      </c>
      <c r="J336" s="723">
        <f>C337-2.6</f>
        <v>38745.4</v>
      </c>
      <c r="K336" s="719" t="s">
        <v>1102</v>
      </c>
      <c r="L336" s="719"/>
      <c r="M336" s="719"/>
      <c r="N336" s="726"/>
      <c r="O336" s="726"/>
      <c r="P336" s="726"/>
      <c r="Q336" s="719"/>
      <c r="R336" s="719"/>
      <c r="S336" s="719">
        <f t="shared" si="50"/>
        <v>51.190000000002328</v>
      </c>
      <c r="T336" s="719"/>
      <c r="U336" s="719"/>
      <c r="V336" s="719"/>
      <c r="W336" s="719"/>
      <c r="X336" s="719"/>
      <c r="Y336" s="719"/>
      <c r="Z336" s="719"/>
      <c r="AA336" s="719"/>
      <c r="AB336" s="719"/>
      <c r="AC336" s="719"/>
      <c r="AD336" s="719"/>
      <c r="AE336" s="719"/>
      <c r="AF336" s="719"/>
      <c r="AG336" s="1341"/>
      <c r="AH336" s="719"/>
      <c r="AI336" s="719"/>
      <c r="AJ336" s="719"/>
      <c r="AK336" s="719"/>
      <c r="AL336" s="719"/>
      <c r="AM336" s="719"/>
      <c r="AN336" s="719"/>
      <c r="AO336" s="719"/>
      <c r="AP336" s="719"/>
      <c r="AQ336" s="724">
        <f>+FL_2($T$337,$T$335,$G$336,1200,9.28,-1*$F$337)</f>
        <v>-0.33477011200000001</v>
      </c>
      <c r="AR336" s="724"/>
      <c r="AS336" s="724"/>
      <c r="AT336" s="724"/>
      <c r="AU336" s="724"/>
      <c r="AV336" s="724"/>
      <c r="AW336" s="719"/>
      <c r="AX336" s="719"/>
      <c r="AY336" s="719"/>
    </row>
    <row r="337" spans="1:51" ht="15.75" customHeight="1">
      <c r="A337" s="716" t="s">
        <v>677</v>
      </c>
      <c r="B337" s="725" t="s">
        <v>1465</v>
      </c>
      <c r="C337" s="718">
        <f>+$C$335+$G$336</f>
        <v>38748</v>
      </c>
      <c r="D337" s="719"/>
      <c r="E337" s="719"/>
      <c r="F337" s="720">
        <v>0</v>
      </c>
      <c r="G337" s="721"/>
      <c r="H337" s="726" t="s">
        <v>1101</v>
      </c>
      <c r="I337" s="722"/>
      <c r="J337" s="723"/>
      <c r="K337" s="719"/>
      <c r="L337" s="719" t="s">
        <v>241</v>
      </c>
      <c r="M337" s="719"/>
      <c r="N337" s="726" t="s">
        <v>695</v>
      </c>
      <c r="O337" s="726"/>
      <c r="P337" s="726"/>
      <c r="Q337" s="719">
        <v>0</v>
      </c>
      <c r="R337" s="719">
        <v>0</v>
      </c>
      <c r="S337" s="719"/>
      <c r="T337" s="719">
        <v>-30</v>
      </c>
      <c r="U337" s="719"/>
      <c r="V337" s="719"/>
      <c r="W337" s="719">
        <v>1.1000000000000001</v>
      </c>
      <c r="X337" s="719"/>
      <c r="Y337" s="719"/>
      <c r="Z337" s="719"/>
      <c r="AA337" s="719"/>
      <c r="AB337" s="719"/>
      <c r="AC337" s="719" t="s">
        <v>2977</v>
      </c>
      <c r="AD337" s="719"/>
      <c r="AE337" s="719"/>
      <c r="AF337" s="719">
        <v>200</v>
      </c>
      <c r="AG337" s="1341">
        <v>38748.14</v>
      </c>
      <c r="AH337" s="719">
        <v>1484</v>
      </c>
      <c r="AI337" s="719">
        <v>-5021</v>
      </c>
      <c r="AJ337" s="719"/>
      <c r="AK337" s="719"/>
      <c r="AL337" s="719"/>
      <c r="AM337" s="719" t="s">
        <v>2609</v>
      </c>
      <c r="AN337" s="719">
        <v>5.25</v>
      </c>
      <c r="AO337" s="719"/>
      <c r="AP337" s="719"/>
      <c r="AQ337" s="724"/>
      <c r="AR337" s="724"/>
      <c r="AS337" s="724"/>
      <c r="AT337" s="724">
        <f>+ab($T$337,$T$335,$T$339,$G$336,$G$338,-1*$F$337,1200)</f>
        <v>-7.9442410717051439</v>
      </c>
      <c r="AU337" s="724"/>
      <c r="AV337" s="724"/>
      <c r="AW337" s="719"/>
      <c r="AX337" s="719"/>
      <c r="AY337" s="719"/>
    </row>
    <row r="338" spans="1:51" ht="15.75" hidden="1" customHeight="1">
      <c r="A338" s="716"/>
      <c r="B338" s="717"/>
      <c r="C338" s="718"/>
      <c r="D338" s="719"/>
      <c r="E338" s="719"/>
      <c r="F338" s="720"/>
      <c r="G338" s="721">
        <v>50</v>
      </c>
      <c r="H338" s="726"/>
      <c r="I338" s="722"/>
      <c r="J338" s="723"/>
      <c r="K338" s="719"/>
      <c r="L338" s="719"/>
      <c r="M338" s="719"/>
      <c r="N338" s="726"/>
      <c r="O338" s="726"/>
      <c r="P338" s="726"/>
      <c r="Q338" s="719"/>
      <c r="R338" s="719"/>
      <c r="S338" s="719">
        <f t="shared" si="50"/>
        <v>51.230000000003201</v>
      </c>
      <c r="T338" s="719"/>
      <c r="U338" s="719"/>
      <c r="V338" s="719"/>
      <c r="W338" s="719"/>
      <c r="X338" s="719"/>
      <c r="Y338" s="719"/>
      <c r="Z338" s="719"/>
      <c r="AA338" s="719"/>
      <c r="AB338" s="719"/>
      <c r="AC338" s="719"/>
      <c r="AD338" s="719"/>
      <c r="AE338" s="719"/>
      <c r="AF338" s="719"/>
      <c r="AG338" s="1341"/>
      <c r="AH338" s="719"/>
      <c r="AI338" s="719"/>
      <c r="AJ338" s="719"/>
      <c r="AK338" s="719"/>
      <c r="AL338" s="719"/>
      <c r="AM338" s="719"/>
      <c r="AN338" s="719"/>
      <c r="AO338" s="719"/>
      <c r="AP338" s="719"/>
      <c r="AQ338" s="724">
        <f>+FL_1($T$339,$T$337,$G$338,1200,9.28,-1*$F$339)</f>
        <v>0.33477011200000001</v>
      </c>
      <c r="AR338" s="724"/>
      <c r="AS338" s="724"/>
      <c r="AT338" s="724"/>
      <c r="AU338" s="724"/>
      <c r="AV338" s="724"/>
      <c r="AW338" s="719"/>
      <c r="AX338" s="719"/>
      <c r="AY338" s="719"/>
    </row>
    <row r="339" spans="1:51" ht="15.75" hidden="1" customHeight="1">
      <c r="A339" s="716" t="s">
        <v>677</v>
      </c>
      <c r="B339" s="725" t="s">
        <v>1466</v>
      </c>
      <c r="C339" s="718">
        <f>+$C$337+$G$338</f>
        <v>38798</v>
      </c>
      <c r="D339" s="719"/>
      <c r="E339" s="719"/>
      <c r="F339" s="720">
        <v>0</v>
      </c>
      <c r="G339" s="721"/>
      <c r="H339" s="726"/>
      <c r="I339" s="726"/>
      <c r="J339" s="723"/>
      <c r="K339" s="719"/>
      <c r="L339" s="719" t="s">
        <v>241</v>
      </c>
      <c r="M339" s="719"/>
      <c r="N339" s="726" t="s">
        <v>696</v>
      </c>
      <c r="O339" s="726"/>
      <c r="P339" s="726"/>
      <c r="Q339" s="719">
        <v>0</v>
      </c>
      <c r="R339" s="719">
        <v>0</v>
      </c>
      <c r="S339" s="719"/>
      <c r="T339" s="719">
        <v>30</v>
      </c>
      <c r="U339" s="719"/>
      <c r="V339" s="719"/>
      <c r="W339" s="719">
        <v>1.1000000000000001</v>
      </c>
      <c r="X339" s="719"/>
      <c r="Y339" s="719"/>
      <c r="Z339" s="719"/>
      <c r="AA339" s="719"/>
      <c r="AB339" s="719"/>
      <c r="AC339" s="719" t="s">
        <v>2977</v>
      </c>
      <c r="AD339" s="719"/>
      <c r="AE339" s="719"/>
      <c r="AF339" s="719">
        <v>200</v>
      </c>
      <c r="AG339" s="1341">
        <v>38799.370000000003</v>
      </c>
      <c r="AH339" s="719">
        <v>1495</v>
      </c>
      <c r="AI339" s="719">
        <v>-5067</v>
      </c>
      <c r="AJ339" s="719"/>
      <c r="AK339" s="719"/>
      <c r="AL339" s="719"/>
      <c r="AM339" s="719" t="s">
        <v>2609</v>
      </c>
      <c r="AN339" s="719">
        <v>5.25</v>
      </c>
      <c r="AO339" s="719"/>
      <c r="AP339" s="719"/>
      <c r="AQ339" s="724"/>
      <c r="AR339" s="724"/>
      <c r="AS339" s="724"/>
      <c r="AT339" s="724">
        <f>+ab($T$339,$T$337,$T$341,$G$338,$G$340,-1*$F$339,1200)</f>
        <v>7.9442083933778509</v>
      </c>
      <c r="AU339" s="724"/>
      <c r="AV339" s="724"/>
      <c r="AW339" s="719"/>
      <c r="AX339" s="719"/>
      <c r="AY339" s="719"/>
    </row>
    <row r="340" spans="1:51" ht="15.75" hidden="1" customHeight="1">
      <c r="A340" s="716"/>
      <c r="B340" s="717"/>
      <c r="C340" s="718"/>
      <c r="D340" s="719"/>
      <c r="E340" s="719"/>
      <c r="F340" s="720"/>
      <c r="G340" s="721">
        <v>50</v>
      </c>
      <c r="H340" s="720"/>
      <c r="I340" s="720"/>
      <c r="J340" s="723"/>
      <c r="K340" s="720"/>
      <c r="L340" s="719"/>
      <c r="M340" s="719"/>
      <c r="N340" s="726"/>
      <c r="O340" s="726"/>
      <c r="P340" s="726"/>
      <c r="Q340" s="719"/>
      <c r="R340" s="719"/>
      <c r="S340" s="719">
        <f t="shared" si="50"/>
        <v>48.040000000000873</v>
      </c>
      <c r="T340" s="719"/>
      <c r="U340" s="719"/>
      <c r="V340" s="719"/>
      <c r="W340" s="719"/>
      <c r="X340" s="719"/>
      <c r="Y340" s="719"/>
      <c r="Z340" s="719"/>
      <c r="AA340" s="719"/>
      <c r="AB340" s="719"/>
      <c r="AC340" s="719"/>
      <c r="AD340" s="719"/>
      <c r="AE340" s="719"/>
      <c r="AF340" s="719"/>
      <c r="AG340" s="1341"/>
      <c r="AH340" s="719"/>
      <c r="AI340" s="719"/>
      <c r="AJ340" s="719"/>
      <c r="AK340" s="719"/>
      <c r="AL340" s="719"/>
      <c r="AM340" s="719"/>
      <c r="AN340" s="719"/>
      <c r="AO340" s="719"/>
      <c r="AP340" s="719"/>
      <c r="AQ340" s="724">
        <f>+FL_2($T$341,$T$339,$G$340,1200,9.28,-1*$F$341)</f>
        <v>-0.33477011200000001</v>
      </c>
      <c r="AR340" s="724"/>
      <c r="AS340" s="724"/>
      <c r="AT340" s="724"/>
      <c r="AU340" s="724"/>
      <c r="AV340" s="724"/>
      <c r="AW340" s="719"/>
      <c r="AX340" s="719"/>
      <c r="AY340" s="719"/>
    </row>
    <row r="341" spans="1:51" ht="15.75" hidden="1" customHeight="1">
      <c r="A341" s="716" t="s">
        <v>677</v>
      </c>
      <c r="B341" s="728" t="s">
        <v>1467</v>
      </c>
      <c r="C341" s="718">
        <f>+$C$339+$G$340</f>
        <v>38848</v>
      </c>
      <c r="D341" s="719"/>
      <c r="E341" s="719"/>
      <c r="F341" s="720">
        <v>0</v>
      </c>
      <c r="G341" s="721"/>
      <c r="H341" s="720"/>
      <c r="I341" s="726"/>
      <c r="J341" s="723"/>
      <c r="K341" s="720"/>
      <c r="L341" s="719" t="s">
        <v>241</v>
      </c>
      <c r="M341" s="719"/>
      <c r="N341" s="726" t="s">
        <v>695</v>
      </c>
      <c r="O341" s="726"/>
      <c r="P341" s="726"/>
      <c r="Q341" s="719">
        <v>0</v>
      </c>
      <c r="R341" s="719">
        <v>0</v>
      </c>
      <c r="S341" s="719"/>
      <c r="T341" s="719">
        <v>-30</v>
      </c>
      <c r="U341" s="719"/>
      <c r="V341" s="719"/>
      <c r="W341" s="719">
        <v>1.1000000000000001</v>
      </c>
      <c r="X341" s="719"/>
      <c r="Y341" s="719"/>
      <c r="Z341" s="719"/>
      <c r="AA341" s="719"/>
      <c r="AB341" s="719"/>
      <c r="AC341" s="719" t="s">
        <v>2977</v>
      </c>
      <c r="AD341" s="719"/>
      <c r="AE341" s="719"/>
      <c r="AF341" s="719">
        <v>200</v>
      </c>
      <c r="AG341" s="1341">
        <v>38847.410000000003</v>
      </c>
      <c r="AH341" s="719">
        <v>1453</v>
      </c>
      <c r="AI341" s="719">
        <v>-5072</v>
      </c>
      <c r="AJ341" s="719"/>
      <c r="AK341" s="719"/>
      <c r="AL341" s="719"/>
      <c r="AM341" s="719" t="s">
        <v>2609</v>
      </c>
      <c r="AN341" s="719">
        <v>5.25</v>
      </c>
      <c r="AO341" s="719"/>
      <c r="AP341" s="719"/>
      <c r="AQ341" s="724"/>
      <c r="AR341" s="724"/>
      <c r="AS341" s="724"/>
      <c r="AT341" s="724">
        <f>+ab($T$341,$T$339,$T$343,$G$340,$G$342,-1*$F$341,1200)</f>
        <v>-7.9442410717051439</v>
      </c>
      <c r="AU341" s="724"/>
      <c r="AV341" s="724"/>
      <c r="AW341" s="719"/>
      <c r="AX341" s="719"/>
      <c r="AY341" s="719"/>
    </row>
    <row r="342" spans="1:51" ht="15.75" hidden="1" customHeight="1">
      <c r="A342" s="716"/>
      <c r="B342" s="718"/>
      <c r="C342" s="718"/>
      <c r="D342" s="719"/>
      <c r="E342" s="719"/>
      <c r="F342" s="720"/>
      <c r="G342" s="721">
        <v>50</v>
      </c>
      <c r="H342" s="720"/>
      <c r="I342" s="726"/>
      <c r="J342" s="723"/>
      <c r="K342" s="720"/>
      <c r="L342" s="719"/>
      <c r="M342" s="719"/>
      <c r="N342" s="726"/>
      <c r="O342" s="726"/>
      <c r="P342" s="726"/>
      <c r="Q342" s="719"/>
      <c r="R342" s="719"/>
      <c r="S342" s="719">
        <f t="shared" si="50"/>
        <v>51.109999999993306</v>
      </c>
      <c r="T342" s="719"/>
      <c r="U342" s="719"/>
      <c r="V342" s="719"/>
      <c r="W342" s="719"/>
      <c r="X342" s="719"/>
      <c r="Y342" s="719"/>
      <c r="Z342" s="719"/>
      <c r="AA342" s="719"/>
      <c r="AB342" s="719"/>
      <c r="AC342" s="719"/>
      <c r="AD342" s="719"/>
      <c r="AE342" s="719"/>
      <c r="AF342" s="719"/>
      <c r="AG342" s="1341"/>
      <c r="AH342" s="719"/>
      <c r="AI342" s="719"/>
      <c r="AJ342" s="719"/>
      <c r="AK342" s="719"/>
      <c r="AL342" s="719"/>
      <c r="AM342" s="719"/>
      <c r="AN342" s="719"/>
      <c r="AO342" s="719"/>
      <c r="AP342" s="719"/>
      <c r="AQ342" s="724">
        <f>+FL_1($T$343,$T$341,$G$342,1200,9.28,-1*$F$343)</f>
        <v>0.33477011200000001</v>
      </c>
      <c r="AR342" s="724"/>
      <c r="AS342" s="724"/>
      <c r="AT342" s="724"/>
      <c r="AU342" s="724"/>
      <c r="AV342" s="724"/>
      <c r="AW342" s="719"/>
      <c r="AX342" s="719"/>
      <c r="AY342" s="719"/>
    </row>
    <row r="343" spans="1:51" ht="15.75" hidden="1" customHeight="1">
      <c r="A343" s="716" t="s">
        <v>677</v>
      </c>
      <c r="B343" s="728" t="s">
        <v>1468</v>
      </c>
      <c r="C343" s="718">
        <f>+$C$341+$G$342</f>
        <v>38898</v>
      </c>
      <c r="D343" s="719"/>
      <c r="E343" s="719"/>
      <c r="F343" s="720">
        <v>0</v>
      </c>
      <c r="G343" s="721"/>
      <c r="H343" s="726"/>
      <c r="I343" s="726"/>
      <c r="J343" s="727"/>
      <c r="K343" s="719"/>
      <c r="L343" s="719" t="s">
        <v>241</v>
      </c>
      <c r="M343" s="719"/>
      <c r="N343" s="726" t="s">
        <v>696</v>
      </c>
      <c r="O343" s="726"/>
      <c r="P343" s="726"/>
      <c r="Q343" s="719">
        <v>0</v>
      </c>
      <c r="R343" s="719">
        <v>0</v>
      </c>
      <c r="S343" s="719"/>
      <c r="T343" s="719">
        <v>30</v>
      </c>
      <c r="U343" s="719"/>
      <c r="V343" s="719"/>
      <c r="W343" s="719">
        <v>1.1000000000000001</v>
      </c>
      <c r="X343" s="719"/>
      <c r="Y343" s="719"/>
      <c r="Z343" s="719"/>
      <c r="AA343" s="719"/>
      <c r="AB343" s="719"/>
      <c r="AC343" s="719" t="s">
        <v>2977</v>
      </c>
      <c r="AD343" s="719"/>
      <c r="AE343" s="719"/>
      <c r="AF343" s="719">
        <v>200</v>
      </c>
      <c r="AG343" s="1341">
        <v>38898.519999999997</v>
      </c>
      <c r="AH343" s="719">
        <v>1493</v>
      </c>
      <c r="AI343" s="719">
        <v>-5028</v>
      </c>
      <c r="AJ343" s="719"/>
      <c r="AK343" s="719"/>
      <c r="AL343" s="719"/>
      <c r="AM343" s="719" t="s">
        <v>2609</v>
      </c>
      <c r="AN343" s="719">
        <v>5.25</v>
      </c>
      <c r="AO343" s="719"/>
      <c r="AP343" s="719"/>
      <c r="AQ343" s="724"/>
      <c r="AR343" s="724"/>
      <c r="AS343" s="724"/>
      <c r="AT343" s="724">
        <f>+ab($T$343,$T$341,$T$345,$G$342,$G$344,-1*$F$343,1200)</f>
        <v>7.9442083933778509</v>
      </c>
      <c r="AU343" s="724"/>
      <c r="AV343" s="724"/>
      <c r="AW343" s="719"/>
      <c r="AX343" s="719"/>
      <c r="AY343" s="719"/>
    </row>
    <row r="344" spans="1:51" ht="15.75" hidden="1" customHeight="1">
      <c r="A344" s="716"/>
      <c r="B344" s="718"/>
      <c r="C344" s="718"/>
      <c r="D344" s="719"/>
      <c r="E344" s="719"/>
      <c r="F344" s="720"/>
      <c r="G344" s="721">
        <v>50</v>
      </c>
      <c r="H344" s="726"/>
      <c r="I344" s="722"/>
      <c r="J344" s="727"/>
      <c r="K344" s="719"/>
      <c r="L344" s="719"/>
      <c r="M344" s="719"/>
      <c r="N344" s="726"/>
      <c r="O344" s="726"/>
      <c r="P344" s="726"/>
      <c r="Q344" s="719"/>
      <c r="R344" s="719"/>
      <c r="S344" s="719">
        <f t="shared" si="50"/>
        <v>48.100000000005821</v>
      </c>
      <c r="T344" s="719"/>
      <c r="U344" s="719"/>
      <c r="V344" s="719"/>
      <c r="W344" s="719"/>
      <c r="X344" s="719"/>
      <c r="Y344" s="719"/>
      <c r="Z344" s="719"/>
      <c r="AA344" s="719"/>
      <c r="AB344" s="719"/>
      <c r="AC344" s="719"/>
      <c r="AD344" s="719"/>
      <c r="AE344" s="719"/>
      <c r="AF344" s="719"/>
      <c r="AG344" s="1341"/>
      <c r="AH344" s="719"/>
      <c r="AI344" s="719"/>
      <c r="AJ344" s="719"/>
      <c r="AK344" s="719"/>
      <c r="AL344" s="719"/>
      <c r="AM344" s="719"/>
      <c r="AN344" s="719"/>
      <c r="AO344" s="719"/>
      <c r="AP344" s="719"/>
      <c r="AQ344" s="724">
        <f>+FL_2($T$345,$T$343,$G$344,1200,9.28,-1*$F$345)</f>
        <v>-0.33477011200000001</v>
      </c>
      <c r="AR344" s="724"/>
      <c r="AS344" s="724"/>
      <c r="AT344" s="724"/>
      <c r="AU344" s="724"/>
      <c r="AV344" s="724"/>
      <c r="AW344" s="719"/>
      <c r="AX344" s="719"/>
      <c r="AY344" s="719"/>
    </row>
    <row r="345" spans="1:51" ht="15.75" hidden="1" customHeight="1">
      <c r="A345" s="716" t="s">
        <v>677</v>
      </c>
      <c r="B345" s="728" t="s">
        <v>1469</v>
      </c>
      <c r="C345" s="718">
        <f>+$C$343+$G$344</f>
        <v>38948</v>
      </c>
      <c r="D345" s="719"/>
      <c r="E345" s="719"/>
      <c r="F345" s="720">
        <v>0</v>
      </c>
      <c r="G345" s="721"/>
      <c r="H345" s="726"/>
      <c r="I345" s="726"/>
      <c r="J345" s="727"/>
      <c r="K345" s="719"/>
      <c r="L345" s="719" t="s">
        <v>241</v>
      </c>
      <c r="M345" s="719"/>
      <c r="N345" s="726" t="s">
        <v>695</v>
      </c>
      <c r="O345" s="726"/>
      <c r="P345" s="726"/>
      <c r="Q345" s="719">
        <v>0</v>
      </c>
      <c r="R345" s="719">
        <v>0</v>
      </c>
      <c r="S345" s="719"/>
      <c r="T345" s="719">
        <v>-30</v>
      </c>
      <c r="U345" s="719"/>
      <c r="V345" s="719"/>
      <c r="W345" s="719">
        <v>1.1000000000000001</v>
      </c>
      <c r="X345" s="719"/>
      <c r="Y345" s="719"/>
      <c r="Z345" s="719"/>
      <c r="AA345" s="719"/>
      <c r="AB345" s="719"/>
      <c r="AC345" s="719" t="s">
        <v>2977</v>
      </c>
      <c r="AD345" s="719"/>
      <c r="AE345" s="719"/>
      <c r="AF345" s="719">
        <v>200</v>
      </c>
      <c r="AG345" s="1341">
        <v>38946.620000000003</v>
      </c>
      <c r="AH345" s="719">
        <v>1521</v>
      </c>
      <c r="AI345" s="719">
        <v>-5079</v>
      </c>
      <c r="AJ345" s="719"/>
      <c r="AK345" s="719"/>
      <c r="AL345" s="719"/>
      <c r="AM345" s="719" t="s">
        <v>2609</v>
      </c>
      <c r="AN345" s="719">
        <v>5.25</v>
      </c>
      <c r="AO345" s="719"/>
      <c r="AP345" s="719"/>
      <c r="AQ345" s="724"/>
      <c r="AR345" s="724"/>
      <c r="AS345" s="724"/>
      <c r="AT345" s="724">
        <f>+ab($T$345,$T$343,$T$347,$G$344,$G$346,-1*$F$345,1200)</f>
        <v>-7.9442410717051439</v>
      </c>
      <c r="AU345" s="724"/>
      <c r="AV345" s="724"/>
      <c r="AW345" s="719"/>
      <c r="AX345" s="719"/>
      <c r="AY345" s="719"/>
    </row>
    <row r="346" spans="1:51" ht="15.75" hidden="1" customHeight="1">
      <c r="A346" s="716"/>
      <c r="B346" s="718"/>
      <c r="C346" s="718"/>
      <c r="D346" s="719"/>
      <c r="E346" s="719"/>
      <c r="F346" s="720"/>
      <c r="G346" s="721">
        <v>50</v>
      </c>
      <c r="H346" s="726"/>
      <c r="I346" s="722"/>
      <c r="J346" s="727"/>
      <c r="K346" s="719"/>
      <c r="L346" s="719"/>
      <c r="M346" s="719"/>
      <c r="N346" s="726"/>
      <c r="O346" s="726"/>
      <c r="P346" s="726"/>
      <c r="Q346" s="719"/>
      <c r="R346" s="719"/>
      <c r="S346" s="719">
        <f t="shared" si="50"/>
        <v>49.639999999999418</v>
      </c>
      <c r="T346" s="719"/>
      <c r="U346" s="719"/>
      <c r="V346" s="719"/>
      <c r="W346" s="719"/>
      <c r="X346" s="719"/>
      <c r="Y346" s="719"/>
      <c r="Z346" s="719"/>
      <c r="AA346" s="719"/>
      <c r="AB346" s="719"/>
      <c r="AC346" s="719"/>
      <c r="AD346" s="719"/>
      <c r="AE346" s="719"/>
      <c r="AF346" s="719"/>
      <c r="AG346" s="1341"/>
      <c r="AH346" s="719"/>
      <c r="AI346" s="719"/>
      <c r="AJ346" s="719"/>
      <c r="AK346" s="719"/>
      <c r="AL346" s="719"/>
      <c r="AM346" s="719"/>
      <c r="AN346" s="719"/>
      <c r="AO346" s="719"/>
      <c r="AP346" s="719"/>
      <c r="AQ346" s="724">
        <f>+FL_1($T$347,$T$345,$G$346,1200,9.28,-1*$F$347)</f>
        <v>0.33477011200000001</v>
      </c>
      <c r="AR346" s="724"/>
      <c r="AS346" s="724"/>
      <c r="AT346" s="724"/>
      <c r="AU346" s="724"/>
      <c r="AV346" s="724"/>
      <c r="AW346" s="719"/>
      <c r="AX346" s="719"/>
      <c r="AY346" s="719"/>
    </row>
    <row r="347" spans="1:51" ht="15.75" hidden="1" customHeight="1">
      <c r="A347" s="716" t="s">
        <v>677</v>
      </c>
      <c r="B347" s="728" t="s">
        <v>1470</v>
      </c>
      <c r="C347" s="718">
        <f>+$C$345+$G$346</f>
        <v>38998</v>
      </c>
      <c r="D347" s="719"/>
      <c r="E347" s="719"/>
      <c r="F347" s="720">
        <v>0</v>
      </c>
      <c r="G347" s="721"/>
      <c r="H347" s="726"/>
      <c r="I347" s="726"/>
      <c r="J347" s="727"/>
      <c r="K347" s="719"/>
      <c r="L347" s="719" t="s">
        <v>241</v>
      </c>
      <c r="M347" s="719"/>
      <c r="N347" s="726" t="s">
        <v>696</v>
      </c>
      <c r="O347" s="726"/>
      <c r="P347" s="726"/>
      <c r="Q347" s="719">
        <v>0</v>
      </c>
      <c r="R347" s="719">
        <v>0</v>
      </c>
      <c r="S347" s="719"/>
      <c r="T347" s="719">
        <v>30</v>
      </c>
      <c r="U347" s="719"/>
      <c r="V347" s="719"/>
      <c r="W347" s="719">
        <v>1.1000000000000001</v>
      </c>
      <c r="X347" s="719"/>
      <c r="Y347" s="719"/>
      <c r="Z347" s="719"/>
      <c r="AA347" s="719"/>
      <c r="AB347" s="719"/>
      <c r="AC347" s="719" t="s">
        <v>2977</v>
      </c>
      <c r="AD347" s="719"/>
      <c r="AE347" s="719"/>
      <c r="AF347" s="719">
        <v>200</v>
      </c>
      <c r="AG347" s="1341">
        <v>38996.26</v>
      </c>
      <c r="AH347" s="719">
        <v>1476</v>
      </c>
      <c r="AI347" s="719">
        <v>-5080</v>
      </c>
      <c r="AJ347" s="719"/>
      <c r="AK347" s="719"/>
      <c r="AL347" s="719"/>
      <c r="AM347" s="719" t="s">
        <v>2609</v>
      </c>
      <c r="AN347" s="719">
        <v>5.25</v>
      </c>
      <c r="AO347" s="719"/>
      <c r="AP347" s="719"/>
      <c r="AQ347" s="724"/>
      <c r="AR347" s="724"/>
      <c r="AS347" s="724"/>
      <c r="AT347" s="724">
        <f>+ab($T$347,$T$345,$T$349,$G$346,$G$348,-1*$F$347,1200)</f>
        <v>7.9442083933778509</v>
      </c>
      <c r="AU347" s="724"/>
      <c r="AV347" s="724"/>
      <c r="AW347" s="719"/>
      <c r="AX347" s="719"/>
      <c r="AY347" s="719"/>
    </row>
    <row r="348" spans="1:51" ht="15.75" hidden="1" customHeight="1">
      <c r="A348" s="716"/>
      <c r="B348" s="718"/>
      <c r="C348" s="718"/>
      <c r="D348" s="719"/>
      <c r="E348" s="719"/>
      <c r="F348" s="720"/>
      <c r="G348" s="721">
        <v>50</v>
      </c>
      <c r="H348" s="726"/>
      <c r="I348" s="722"/>
      <c r="J348" s="727"/>
      <c r="K348" s="719"/>
      <c r="L348" s="719"/>
      <c r="M348" s="719"/>
      <c r="N348" s="726"/>
      <c r="O348" s="726"/>
      <c r="P348" s="726"/>
      <c r="Q348" s="719"/>
      <c r="R348" s="719"/>
      <c r="S348" s="719">
        <f t="shared" si="50"/>
        <v>51.209999999999127</v>
      </c>
      <c r="T348" s="719"/>
      <c r="U348" s="719"/>
      <c r="V348" s="719"/>
      <c r="W348" s="719"/>
      <c r="X348" s="719"/>
      <c r="Y348" s="719"/>
      <c r="Z348" s="719"/>
      <c r="AA348" s="719"/>
      <c r="AB348" s="719"/>
      <c r="AC348" s="719"/>
      <c r="AD348" s="719"/>
      <c r="AE348" s="719"/>
      <c r="AF348" s="719"/>
      <c r="AG348" s="1341"/>
      <c r="AH348" s="719"/>
      <c r="AI348" s="719"/>
      <c r="AJ348" s="719"/>
      <c r="AK348" s="719"/>
      <c r="AL348" s="719"/>
      <c r="AM348" s="719"/>
      <c r="AN348" s="719"/>
      <c r="AO348" s="719"/>
      <c r="AP348" s="719"/>
      <c r="AQ348" s="724">
        <f>+FL_1($T$349,$T$347,$G$348,1200,9.28,-1*$F$349)</f>
        <v>0.33477011200000012</v>
      </c>
      <c r="AR348" s="724"/>
      <c r="AS348" s="724"/>
      <c r="AT348" s="724"/>
      <c r="AU348" s="724"/>
      <c r="AV348" s="724"/>
      <c r="AW348" s="719"/>
      <c r="AX348" s="719"/>
      <c r="AY348" s="719"/>
    </row>
    <row r="349" spans="1:51" ht="15.75" hidden="1" customHeight="1">
      <c r="A349" s="716" t="s">
        <v>677</v>
      </c>
      <c r="B349" s="728" t="s">
        <v>1471</v>
      </c>
      <c r="C349" s="718">
        <f>+$C$347+$G$348</f>
        <v>39048</v>
      </c>
      <c r="D349" s="719"/>
      <c r="E349" s="719"/>
      <c r="F349" s="720">
        <v>0</v>
      </c>
      <c r="G349" s="721"/>
      <c r="H349" s="726" t="s">
        <v>138</v>
      </c>
      <c r="I349" s="726" t="s">
        <v>948</v>
      </c>
      <c r="J349" s="727"/>
      <c r="K349" s="719"/>
      <c r="L349" s="719" t="s">
        <v>241</v>
      </c>
      <c r="M349" s="719"/>
      <c r="N349" s="726" t="s">
        <v>695</v>
      </c>
      <c r="O349" s="726"/>
      <c r="P349" s="726"/>
      <c r="Q349" s="719">
        <v>0</v>
      </c>
      <c r="R349" s="719">
        <v>0</v>
      </c>
      <c r="S349" s="719"/>
      <c r="T349" s="719">
        <v>-30</v>
      </c>
      <c r="U349" s="719"/>
      <c r="V349" s="719"/>
      <c r="W349" s="719">
        <v>1.1000000000000001</v>
      </c>
      <c r="X349" s="719"/>
      <c r="Y349" s="719"/>
      <c r="Z349" s="719"/>
      <c r="AA349" s="719"/>
      <c r="AB349" s="719"/>
      <c r="AC349" s="719" t="s">
        <v>2612</v>
      </c>
      <c r="AD349" s="719"/>
      <c r="AE349" s="719"/>
      <c r="AF349" s="719">
        <v>200</v>
      </c>
      <c r="AG349" s="1341">
        <v>39047.47</v>
      </c>
      <c r="AH349" s="719">
        <v>1459</v>
      </c>
      <c r="AI349" s="719">
        <v>-5031</v>
      </c>
      <c r="AJ349" s="719"/>
      <c r="AK349" s="719"/>
      <c r="AL349" s="719"/>
      <c r="AM349" s="719" t="s">
        <v>2609</v>
      </c>
      <c r="AN349" s="719">
        <v>5.25</v>
      </c>
      <c r="AO349" s="719"/>
      <c r="AP349" s="719"/>
      <c r="AQ349" s="724"/>
      <c r="AR349" s="724"/>
      <c r="AS349" s="724"/>
      <c r="AT349" s="724">
        <f>+ab($T$349,$T$347,$T$351,$G$348,$G$350,-1*$F$349,1200)</f>
        <v>-8.2849467556123688</v>
      </c>
      <c r="AU349" s="724"/>
      <c r="AV349" s="724"/>
      <c r="AW349" s="719"/>
      <c r="AX349" s="719"/>
      <c r="AY349" s="719"/>
    </row>
    <row r="350" spans="1:51" ht="15.75" hidden="1" customHeight="1">
      <c r="A350" s="716"/>
      <c r="B350" s="718"/>
      <c r="C350" s="718"/>
      <c r="D350" s="719"/>
      <c r="E350" s="719"/>
      <c r="F350" s="720"/>
      <c r="G350" s="721">
        <v>50</v>
      </c>
      <c r="H350" s="726"/>
      <c r="I350" s="726"/>
      <c r="J350" s="727">
        <f>C349+10</f>
        <v>39058</v>
      </c>
      <c r="K350" s="719" t="s">
        <v>1097</v>
      </c>
      <c r="L350" s="719"/>
      <c r="M350" s="719"/>
      <c r="N350" s="726"/>
      <c r="O350" s="726"/>
      <c r="P350" s="726"/>
      <c r="Q350" s="719"/>
      <c r="R350" s="719"/>
      <c r="S350" s="719">
        <f>AG351-AG349</f>
        <v>48.119999999995343</v>
      </c>
      <c r="T350" s="719"/>
      <c r="U350" s="719"/>
      <c r="V350" s="719"/>
      <c r="W350" s="719"/>
      <c r="X350" s="719"/>
      <c r="Y350" s="719"/>
      <c r="Z350" s="719"/>
      <c r="AA350" s="719"/>
      <c r="AB350" s="719"/>
      <c r="AC350" s="719"/>
      <c r="AD350" s="719"/>
      <c r="AE350" s="719"/>
      <c r="AF350" s="719"/>
      <c r="AG350" s="1341"/>
      <c r="AH350" s="719"/>
      <c r="AI350" s="719"/>
      <c r="AJ350" s="719"/>
      <c r="AK350" s="719"/>
      <c r="AL350" s="719"/>
      <c r="AM350" s="719"/>
      <c r="AN350" s="719"/>
      <c r="AO350" s="719"/>
      <c r="AP350" s="719"/>
      <c r="AQ350" s="724">
        <f>+FL_2($U$351,$T$349,$G$350,1200,9.28,-1*$F$351)</f>
        <v>-0.39834769999999992</v>
      </c>
      <c r="AR350" s="724"/>
      <c r="AS350" s="724"/>
      <c r="AT350" s="724"/>
      <c r="AU350" s="724"/>
      <c r="AV350" s="724"/>
      <c r="AW350" s="719"/>
      <c r="AX350" s="719"/>
      <c r="AY350" s="719"/>
    </row>
    <row r="351" spans="1:51" ht="15.75" hidden="1" customHeight="1">
      <c r="A351" s="716" t="s">
        <v>677</v>
      </c>
      <c r="B351" s="728" t="s">
        <v>1472</v>
      </c>
      <c r="C351" s="718">
        <f>+$C$349+$G$350</f>
        <v>39098</v>
      </c>
      <c r="D351" s="719"/>
      <c r="E351" s="719"/>
      <c r="F351" s="720">
        <v>0</v>
      </c>
      <c r="G351" s="721"/>
      <c r="H351" s="726" t="s">
        <v>668</v>
      </c>
      <c r="I351" s="722"/>
      <c r="J351" s="727"/>
      <c r="K351" s="719"/>
      <c r="L351" s="719" t="s">
        <v>465</v>
      </c>
      <c r="M351" s="719"/>
      <c r="N351" s="726" t="s">
        <v>697</v>
      </c>
      <c r="O351" s="726" t="s">
        <v>696</v>
      </c>
      <c r="P351" s="726"/>
      <c r="Q351" s="719">
        <v>0</v>
      </c>
      <c r="R351" s="719">
        <v>0</v>
      </c>
      <c r="S351" s="719">
        <f>AG352-AG351</f>
        <v>3.1700000000055297</v>
      </c>
      <c r="T351" s="719">
        <v>25</v>
      </c>
      <c r="U351" s="719">
        <v>5</v>
      </c>
      <c r="V351" s="719"/>
      <c r="W351" s="719">
        <v>1.1000000000000001</v>
      </c>
      <c r="X351" s="719">
        <v>1.2</v>
      </c>
      <c r="Y351" s="719"/>
      <c r="Z351" s="719">
        <v>0.45</v>
      </c>
      <c r="AA351" s="719"/>
      <c r="AB351" s="719"/>
      <c r="AC351" s="719"/>
      <c r="AD351" s="719" t="s">
        <v>2616</v>
      </c>
      <c r="AE351" s="719"/>
      <c r="AF351" s="719">
        <v>200</v>
      </c>
      <c r="AG351" s="1341">
        <v>39095.589999999997</v>
      </c>
      <c r="AH351" s="719">
        <v>1459</v>
      </c>
      <c r="AI351" s="719">
        <v>-5081</v>
      </c>
      <c r="AJ351" s="719"/>
      <c r="AK351" s="719"/>
      <c r="AL351" s="719"/>
      <c r="AM351" s="719" t="s">
        <v>2609</v>
      </c>
      <c r="AN351" s="719">
        <v>5.25</v>
      </c>
      <c r="AO351" s="719"/>
      <c r="AP351" s="719"/>
      <c r="AQ351" s="724"/>
      <c r="AR351" s="724"/>
      <c r="AS351" s="724"/>
      <c r="AT351" s="724">
        <f>+ab($U$351,$T$349,$U$353,$G$350,$G$352,-1*$F$351,1200)</f>
        <v>14.446766725215634</v>
      </c>
      <c r="AU351" s="724"/>
      <c r="AV351" s="724"/>
      <c r="AW351" s="719"/>
      <c r="AX351" s="719"/>
      <c r="AY351" s="719"/>
    </row>
    <row r="352" spans="1:51" ht="15.75" hidden="1" customHeight="1">
      <c r="A352" s="716"/>
      <c r="B352" s="718"/>
      <c r="C352" s="718"/>
      <c r="D352" s="719"/>
      <c r="E352" s="719"/>
      <c r="F352" s="720"/>
      <c r="G352" s="721">
        <v>50</v>
      </c>
      <c r="H352" s="726"/>
      <c r="I352" s="726"/>
      <c r="J352" s="727"/>
      <c r="K352" s="719"/>
      <c r="L352" s="719"/>
      <c r="M352" s="719"/>
      <c r="N352" s="726"/>
      <c r="O352" s="726"/>
      <c r="P352" s="726"/>
      <c r="Q352" s="719">
        <v>0</v>
      </c>
      <c r="R352" s="719">
        <v>0</v>
      </c>
      <c r="S352" s="719">
        <f t="shared" ref="S352" si="52">AG353-AG352</f>
        <v>46.389999999999418</v>
      </c>
      <c r="T352" s="719"/>
      <c r="U352" s="719"/>
      <c r="V352" s="719"/>
      <c r="W352" s="719"/>
      <c r="X352" s="719"/>
      <c r="Y352" s="719"/>
      <c r="Z352" s="719"/>
      <c r="AA352" s="719"/>
      <c r="AB352" s="719"/>
      <c r="AC352" s="719"/>
      <c r="AD352" s="719"/>
      <c r="AE352" s="719"/>
      <c r="AF352" s="719">
        <v>200</v>
      </c>
      <c r="AG352" s="1341">
        <v>39098.76</v>
      </c>
      <c r="AH352" s="719">
        <v>1455</v>
      </c>
      <c r="AI352" s="719">
        <v>-5076</v>
      </c>
      <c r="AJ352" s="719"/>
      <c r="AK352" s="719"/>
      <c r="AL352" s="719"/>
      <c r="AM352" s="719"/>
      <c r="AN352" s="719"/>
      <c r="AO352" s="719"/>
      <c r="AP352" s="719"/>
      <c r="AQ352" s="724">
        <f>+FL_2($T$353,$U$351,$G$352,1200,9.28,-1*$F$353)</f>
        <v>-0.24425286799999996</v>
      </c>
      <c r="AR352" s="724"/>
      <c r="AS352" s="724"/>
      <c r="AT352" s="724"/>
      <c r="AU352" s="724"/>
      <c r="AV352" s="724"/>
      <c r="AW352" s="719"/>
      <c r="AX352" s="719"/>
      <c r="AY352" s="719"/>
    </row>
    <row r="353" spans="1:51" ht="15.75" hidden="1" customHeight="1">
      <c r="A353" s="716" t="s">
        <v>677</v>
      </c>
      <c r="B353" s="728" t="s">
        <v>1473</v>
      </c>
      <c r="C353" s="718">
        <f>+$C$351+$G$352</f>
        <v>39148</v>
      </c>
      <c r="D353" s="719"/>
      <c r="E353" s="719"/>
      <c r="F353" s="720">
        <v>0</v>
      </c>
      <c r="G353" s="721"/>
      <c r="H353" s="726" t="s">
        <v>668</v>
      </c>
      <c r="I353" s="722"/>
      <c r="J353" s="727"/>
      <c r="K353" s="719"/>
      <c r="L353" s="719" t="s">
        <v>465</v>
      </c>
      <c r="M353" s="719"/>
      <c r="N353" s="726" t="s">
        <v>695</v>
      </c>
      <c r="O353" s="726" t="s">
        <v>697</v>
      </c>
      <c r="P353" s="726"/>
      <c r="Q353" s="719">
        <v>0</v>
      </c>
      <c r="R353" s="719">
        <v>0</v>
      </c>
      <c r="S353" s="719">
        <f>AG354-AG353</f>
        <v>3.1999999999970896</v>
      </c>
      <c r="T353" s="719">
        <v>-5</v>
      </c>
      <c r="U353" s="719">
        <v>-25</v>
      </c>
      <c r="V353" s="719"/>
      <c r="W353" s="719">
        <v>1.1000000000000001</v>
      </c>
      <c r="X353" s="719">
        <v>1.2</v>
      </c>
      <c r="Y353" s="719"/>
      <c r="Z353" s="719"/>
      <c r="AA353" s="719">
        <v>0.45</v>
      </c>
      <c r="AB353" s="719"/>
      <c r="AC353" s="719" t="s">
        <v>2612</v>
      </c>
      <c r="AD353" s="719"/>
      <c r="AE353" s="719"/>
      <c r="AF353" s="719">
        <v>200</v>
      </c>
      <c r="AG353" s="1341">
        <v>39145.15</v>
      </c>
      <c r="AH353" s="719">
        <v>1446</v>
      </c>
      <c r="AI353" s="719">
        <v>-5111</v>
      </c>
      <c r="AJ353" s="719"/>
      <c r="AK353" s="719"/>
      <c r="AL353" s="719"/>
      <c r="AM353" s="719" t="s">
        <v>2609</v>
      </c>
      <c r="AN353" s="719">
        <v>5.25</v>
      </c>
      <c r="AO353" s="719"/>
      <c r="AP353" s="719"/>
      <c r="AQ353" s="724"/>
      <c r="AR353" s="724"/>
      <c r="AS353" s="724"/>
      <c r="AT353" s="724">
        <f>+ab($T$353,$T$351,$T$355,$G$352,$G$354,-1*$F$353,1200)</f>
        <v>-14.446873203935258</v>
      </c>
      <c r="AU353" s="724"/>
      <c r="AV353" s="724"/>
      <c r="AW353" s="719"/>
      <c r="AX353" s="719"/>
      <c r="AY353" s="719"/>
    </row>
    <row r="354" spans="1:51" ht="15.75" hidden="1" customHeight="1">
      <c r="A354" s="716"/>
      <c r="B354" s="718"/>
      <c r="C354" s="718"/>
      <c r="D354" s="719"/>
      <c r="E354" s="719"/>
      <c r="F354" s="720"/>
      <c r="G354" s="721">
        <v>50</v>
      </c>
      <c r="H354" s="726"/>
      <c r="I354" s="726"/>
      <c r="J354" s="727">
        <f>C355-9.6</f>
        <v>39188.400000000001</v>
      </c>
      <c r="K354" s="719" t="s">
        <v>1097</v>
      </c>
      <c r="L354" s="719"/>
      <c r="M354" s="719"/>
      <c r="N354" s="726"/>
      <c r="O354" s="726"/>
      <c r="P354" s="726"/>
      <c r="Q354" s="719">
        <v>0</v>
      </c>
      <c r="R354" s="719">
        <v>0</v>
      </c>
      <c r="S354" s="719">
        <f>AG355-AG354</f>
        <v>47.980000000003201</v>
      </c>
      <c r="T354" s="719"/>
      <c r="U354" s="719"/>
      <c r="V354" s="719"/>
      <c r="W354" s="719"/>
      <c r="X354" s="719"/>
      <c r="Y354" s="719"/>
      <c r="Z354" s="719"/>
      <c r="AA354" s="719"/>
      <c r="AB354" s="719"/>
      <c r="AC354" s="719"/>
      <c r="AD354" s="719"/>
      <c r="AE354" s="719"/>
      <c r="AF354" s="719">
        <v>200</v>
      </c>
      <c r="AG354" s="1341">
        <v>39148.35</v>
      </c>
      <c r="AH354" s="719">
        <v>1472</v>
      </c>
      <c r="AI354" s="719">
        <v>-5088</v>
      </c>
      <c r="AJ354" s="719"/>
      <c r="AK354" s="719"/>
      <c r="AL354" s="719"/>
      <c r="AM354" s="719"/>
      <c r="AN354" s="719"/>
      <c r="AO354" s="719"/>
      <c r="AP354" s="719"/>
      <c r="AQ354" s="724">
        <f>+FL_1($T$355,$T$353,$G$354,1200,9.28,-1*$F$355)</f>
        <v>0.39834769999999997</v>
      </c>
      <c r="AR354" s="724"/>
      <c r="AS354" s="724"/>
      <c r="AT354" s="724"/>
      <c r="AU354" s="724"/>
      <c r="AV354" s="724"/>
      <c r="AW354" s="719"/>
      <c r="AX354" s="719"/>
      <c r="AY354" s="719"/>
    </row>
    <row r="355" spans="1:51" ht="15.75" hidden="1" customHeight="1">
      <c r="A355" s="716" t="s">
        <v>677</v>
      </c>
      <c r="B355" s="728" t="s">
        <v>1474</v>
      </c>
      <c r="C355" s="718">
        <f>+$C$353+$G$354</f>
        <v>39198</v>
      </c>
      <c r="D355" s="719"/>
      <c r="E355" s="719"/>
      <c r="F355" s="720">
        <v>0</v>
      </c>
      <c r="G355" s="721"/>
      <c r="H355" s="726" t="s">
        <v>138</v>
      </c>
      <c r="I355" s="726" t="s">
        <v>948</v>
      </c>
      <c r="J355" s="727"/>
      <c r="K355" s="719"/>
      <c r="L355" s="719" t="s">
        <v>241</v>
      </c>
      <c r="M355" s="719"/>
      <c r="N355" s="726" t="s">
        <v>696</v>
      </c>
      <c r="O355" s="726"/>
      <c r="P355" s="726"/>
      <c r="Q355" s="719">
        <v>0</v>
      </c>
      <c r="R355" s="719">
        <v>0</v>
      </c>
      <c r="S355" s="719"/>
      <c r="T355" s="719">
        <v>30</v>
      </c>
      <c r="U355" s="719"/>
      <c r="V355" s="719"/>
      <c r="W355" s="719">
        <v>1.1000000000000001</v>
      </c>
      <c r="X355" s="719"/>
      <c r="Y355" s="719"/>
      <c r="Z355" s="719"/>
      <c r="AA355" s="719"/>
      <c r="AB355" s="719"/>
      <c r="AC355" s="719" t="s">
        <v>2612</v>
      </c>
      <c r="AD355" s="719"/>
      <c r="AE355" s="719"/>
      <c r="AF355" s="719">
        <v>200</v>
      </c>
      <c r="AG355" s="1341">
        <v>39196.33</v>
      </c>
      <c r="AH355" s="719">
        <v>1511</v>
      </c>
      <c r="AI355" s="719">
        <v>-5070</v>
      </c>
      <c r="AJ355" s="719"/>
      <c r="AK355" s="719"/>
      <c r="AL355" s="719"/>
      <c r="AM355" s="719" t="s">
        <v>2609</v>
      </c>
      <c r="AN355" s="719">
        <v>5.25</v>
      </c>
      <c r="AO355" s="719"/>
      <c r="AP355" s="719"/>
      <c r="AQ355" s="724"/>
      <c r="AR355" s="724"/>
      <c r="AS355" s="724"/>
      <c r="AT355" s="724">
        <f>+ab($T$355,$T$353,$T$357,$G$354,$G$356,-1*$F$355,1200)</f>
        <v>9.9968917440918084</v>
      </c>
      <c r="AU355" s="724"/>
      <c r="AV355" s="724"/>
      <c r="AW355" s="719"/>
      <c r="AX355" s="719"/>
      <c r="AY355" s="719"/>
    </row>
    <row r="356" spans="1:51" ht="15.75" hidden="1" customHeight="1">
      <c r="A356" s="716"/>
      <c r="B356" s="718"/>
      <c r="C356" s="718"/>
      <c r="D356" s="719"/>
      <c r="E356" s="719"/>
      <c r="F356" s="720"/>
      <c r="G356" s="721">
        <v>50</v>
      </c>
      <c r="H356" s="726"/>
      <c r="I356" s="726"/>
      <c r="J356" s="727"/>
      <c r="K356" s="719"/>
      <c r="L356" s="719"/>
      <c r="M356" s="719"/>
      <c r="N356" s="726"/>
      <c r="O356" s="726"/>
      <c r="P356" s="726"/>
      <c r="Q356" s="719"/>
      <c r="R356" s="719"/>
      <c r="S356" s="719">
        <f t="shared" si="50"/>
        <v>51.299999999995634</v>
      </c>
      <c r="T356" s="719"/>
      <c r="U356" s="719"/>
      <c r="V356" s="719"/>
      <c r="W356" s="719"/>
      <c r="X356" s="719"/>
      <c r="Y356" s="719"/>
      <c r="Z356" s="719"/>
      <c r="AA356" s="719"/>
      <c r="AB356" s="719"/>
      <c r="AC356" s="719"/>
      <c r="AD356" s="719"/>
      <c r="AE356" s="719"/>
      <c r="AF356" s="719"/>
      <c r="AG356" s="1341"/>
      <c r="AH356" s="719"/>
      <c r="AI356" s="719"/>
      <c r="AJ356" s="719"/>
      <c r="AK356" s="719"/>
      <c r="AL356" s="719"/>
      <c r="AM356" s="719"/>
      <c r="AN356" s="719"/>
      <c r="AO356" s="719"/>
      <c r="AP356" s="719"/>
      <c r="AQ356" s="724">
        <f>+FL_2($T$357,$T$355,$G$356,1200,9.28,-1*$F$357)</f>
        <v>-0.33477011200000001</v>
      </c>
      <c r="AR356" s="724"/>
      <c r="AS356" s="724"/>
      <c r="AT356" s="724"/>
      <c r="AU356" s="724"/>
      <c r="AV356" s="724"/>
      <c r="AW356" s="719"/>
      <c r="AX356" s="719"/>
      <c r="AY356" s="719"/>
    </row>
    <row r="357" spans="1:51" ht="15.75" hidden="1" customHeight="1">
      <c r="A357" s="716" t="s">
        <v>677</v>
      </c>
      <c r="B357" s="728" t="s">
        <v>1475</v>
      </c>
      <c r="C357" s="718">
        <f>+$C$355+$G$356</f>
        <v>39248</v>
      </c>
      <c r="D357" s="719"/>
      <c r="E357" s="719"/>
      <c r="F357" s="720">
        <v>0</v>
      </c>
      <c r="G357" s="721"/>
      <c r="H357" s="726"/>
      <c r="I357" s="726"/>
      <c r="J357" s="727"/>
      <c r="K357" s="719"/>
      <c r="L357" s="719" t="s">
        <v>241</v>
      </c>
      <c r="M357" s="719"/>
      <c r="N357" s="726" t="s">
        <v>695</v>
      </c>
      <c r="O357" s="726"/>
      <c r="P357" s="726"/>
      <c r="Q357" s="719">
        <v>0</v>
      </c>
      <c r="R357" s="719">
        <v>0</v>
      </c>
      <c r="S357" s="719"/>
      <c r="T357" s="719">
        <v>-30</v>
      </c>
      <c r="U357" s="719"/>
      <c r="V357" s="719"/>
      <c r="W357" s="719">
        <v>1.1000000000000001</v>
      </c>
      <c r="X357" s="719"/>
      <c r="Y357" s="719"/>
      <c r="Z357" s="719"/>
      <c r="AA357" s="719"/>
      <c r="AB357" s="719"/>
      <c r="AC357" s="719" t="s">
        <v>2977</v>
      </c>
      <c r="AD357" s="719"/>
      <c r="AE357" s="719"/>
      <c r="AF357" s="719">
        <v>200</v>
      </c>
      <c r="AG357" s="1341">
        <v>39247.629999999997</v>
      </c>
      <c r="AH357" s="719">
        <v>1515</v>
      </c>
      <c r="AI357" s="719">
        <v>-5107</v>
      </c>
      <c r="AJ357" s="719"/>
      <c r="AK357" s="719"/>
      <c r="AL357" s="719"/>
      <c r="AM357" s="719" t="s">
        <v>2609</v>
      </c>
      <c r="AN357" s="719">
        <v>5.25</v>
      </c>
      <c r="AO357" s="719"/>
      <c r="AP357" s="719"/>
      <c r="AQ357" s="724"/>
      <c r="AR357" s="724"/>
      <c r="AS357" s="724"/>
      <c r="AT357" s="724">
        <f>+ab($T$357,$T$355,$T$359,$G$356,$G$358,-1*$F$357,1200)</f>
        <v>-7.9442410717051439</v>
      </c>
      <c r="AU357" s="724"/>
      <c r="AV357" s="724"/>
      <c r="AW357" s="719"/>
      <c r="AX357" s="719"/>
      <c r="AY357" s="719"/>
    </row>
    <row r="358" spans="1:51" ht="15.75" hidden="1" customHeight="1">
      <c r="A358" s="716"/>
      <c r="B358" s="718"/>
      <c r="C358" s="718"/>
      <c r="D358" s="719"/>
      <c r="E358" s="719"/>
      <c r="F358" s="720"/>
      <c r="G358" s="721">
        <v>50</v>
      </c>
      <c r="H358" s="726"/>
      <c r="I358" s="726"/>
      <c r="J358" s="727"/>
      <c r="K358" s="719"/>
      <c r="L358" s="719"/>
      <c r="M358" s="719"/>
      <c r="N358" s="726"/>
      <c r="O358" s="726"/>
      <c r="P358" s="726"/>
      <c r="Q358" s="719"/>
      <c r="R358" s="719"/>
      <c r="S358" s="719">
        <f t="shared" si="50"/>
        <v>49.600000000005821</v>
      </c>
      <c r="T358" s="719"/>
      <c r="U358" s="719"/>
      <c r="V358" s="719"/>
      <c r="W358" s="719"/>
      <c r="X358" s="719"/>
      <c r="Y358" s="719"/>
      <c r="Z358" s="719"/>
      <c r="AA358" s="719"/>
      <c r="AB358" s="719"/>
      <c r="AC358" s="719"/>
      <c r="AD358" s="719"/>
      <c r="AE358" s="719"/>
      <c r="AF358" s="719"/>
      <c r="AG358" s="1341"/>
      <c r="AH358" s="719"/>
      <c r="AI358" s="719"/>
      <c r="AJ358" s="719"/>
      <c r="AK358" s="719"/>
      <c r="AL358" s="719"/>
      <c r="AM358" s="719"/>
      <c r="AN358" s="719"/>
      <c r="AO358" s="719"/>
      <c r="AP358" s="719"/>
      <c r="AQ358" s="724">
        <f>+FL_1($T$359,$T$357,$G$358,1200,9.28,-1*$F$359)</f>
        <v>0.33477011200000001</v>
      </c>
      <c r="AR358" s="724"/>
      <c r="AS358" s="724"/>
      <c r="AT358" s="724"/>
      <c r="AU358" s="724"/>
      <c r="AV358" s="724"/>
      <c r="AW358" s="719"/>
      <c r="AX358" s="719"/>
      <c r="AY358" s="719"/>
    </row>
    <row r="359" spans="1:51" ht="15.75" hidden="1" customHeight="1">
      <c r="A359" s="716" t="s">
        <v>677</v>
      </c>
      <c r="B359" s="728" t="s">
        <v>1476</v>
      </c>
      <c r="C359" s="718">
        <f>+$C$357+$G$358</f>
        <v>39298</v>
      </c>
      <c r="D359" s="719"/>
      <c r="E359" s="719"/>
      <c r="F359" s="720">
        <v>0</v>
      </c>
      <c r="G359" s="721"/>
      <c r="H359" s="726"/>
      <c r="I359" s="726"/>
      <c r="J359" s="727"/>
      <c r="K359" s="719"/>
      <c r="L359" s="719" t="s">
        <v>241</v>
      </c>
      <c r="M359" s="719"/>
      <c r="N359" s="726" t="s">
        <v>696</v>
      </c>
      <c r="O359" s="726"/>
      <c r="P359" s="726"/>
      <c r="Q359" s="719">
        <v>0</v>
      </c>
      <c r="R359" s="719">
        <v>0</v>
      </c>
      <c r="S359" s="719"/>
      <c r="T359" s="719">
        <v>30</v>
      </c>
      <c r="U359" s="719"/>
      <c r="V359" s="719"/>
      <c r="W359" s="719">
        <v>1.1000000000000001</v>
      </c>
      <c r="X359" s="719"/>
      <c r="Y359" s="719"/>
      <c r="Z359" s="719"/>
      <c r="AA359" s="719"/>
      <c r="AB359" s="719"/>
      <c r="AC359" s="719" t="s">
        <v>2977</v>
      </c>
      <c r="AD359" s="719"/>
      <c r="AE359" s="719"/>
      <c r="AF359" s="719">
        <v>200</v>
      </c>
      <c r="AG359" s="1341">
        <v>39297.230000000003</v>
      </c>
      <c r="AH359" s="719">
        <v>1519</v>
      </c>
      <c r="AI359" s="719">
        <v>-5121</v>
      </c>
      <c r="AJ359" s="719"/>
      <c r="AK359" s="719"/>
      <c r="AL359" s="719"/>
      <c r="AM359" s="719" t="s">
        <v>2609</v>
      </c>
      <c r="AN359" s="719">
        <v>5.25</v>
      </c>
      <c r="AO359" s="719"/>
      <c r="AP359" s="719"/>
      <c r="AQ359" s="724"/>
      <c r="AR359" s="724"/>
      <c r="AS359" s="724"/>
      <c r="AT359" s="724">
        <f>+ab($T$359,$T$357,$T$361,$G$358,$G$360,-1*$F$359,1200)</f>
        <v>7.9442083933778509</v>
      </c>
      <c r="AU359" s="724"/>
      <c r="AV359" s="724"/>
      <c r="AW359" s="719"/>
      <c r="AX359" s="719"/>
      <c r="AY359" s="719"/>
    </row>
    <row r="360" spans="1:51" ht="15.75" hidden="1" customHeight="1">
      <c r="A360" s="716"/>
      <c r="B360" s="718"/>
      <c r="C360" s="718"/>
      <c r="D360" s="719"/>
      <c r="E360" s="719"/>
      <c r="F360" s="720"/>
      <c r="G360" s="721">
        <v>50</v>
      </c>
      <c r="H360" s="726"/>
      <c r="I360" s="726"/>
      <c r="J360" s="727"/>
      <c r="K360" s="719"/>
      <c r="L360" s="719"/>
      <c r="M360" s="719"/>
      <c r="N360" s="726"/>
      <c r="O360" s="726"/>
      <c r="P360" s="726"/>
      <c r="Q360" s="719"/>
      <c r="R360" s="719"/>
      <c r="S360" s="719">
        <f t="shared" si="50"/>
        <v>49.629999999997381</v>
      </c>
      <c r="T360" s="719"/>
      <c r="U360" s="719"/>
      <c r="V360" s="719"/>
      <c r="W360" s="719"/>
      <c r="X360" s="719"/>
      <c r="Y360" s="719"/>
      <c r="Z360" s="719"/>
      <c r="AA360" s="719"/>
      <c r="AB360" s="719"/>
      <c r="AC360" s="719"/>
      <c r="AD360" s="719"/>
      <c r="AE360" s="719"/>
      <c r="AF360" s="719"/>
      <c r="AG360" s="1341"/>
      <c r="AH360" s="719"/>
      <c r="AI360" s="719"/>
      <c r="AJ360" s="719"/>
      <c r="AK360" s="719"/>
      <c r="AL360" s="719"/>
      <c r="AM360" s="719"/>
      <c r="AN360" s="719"/>
      <c r="AO360" s="719"/>
      <c r="AP360" s="719"/>
      <c r="AQ360" s="724">
        <f>+FL_2($T$361,$T$359,$G$360,1200,9.28,-1*$F$361)</f>
        <v>-0.33477011200000001</v>
      </c>
      <c r="AR360" s="724"/>
      <c r="AS360" s="724"/>
      <c r="AT360" s="724"/>
      <c r="AU360" s="724"/>
      <c r="AV360" s="724"/>
      <c r="AW360" s="719"/>
      <c r="AX360" s="719"/>
      <c r="AY360" s="719"/>
    </row>
    <row r="361" spans="1:51" ht="15.75" hidden="1" customHeight="1">
      <c r="A361" s="716" t="s">
        <v>677</v>
      </c>
      <c r="B361" s="728" t="s">
        <v>1477</v>
      </c>
      <c r="C361" s="718">
        <f>+$C$359+$G$360</f>
        <v>39348</v>
      </c>
      <c r="D361" s="719"/>
      <c r="E361" s="719"/>
      <c r="F361" s="720">
        <v>0</v>
      </c>
      <c r="G361" s="721"/>
      <c r="H361" s="726"/>
      <c r="I361" s="726"/>
      <c r="J361" s="727"/>
      <c r="K361" s="719"/>
      <c r="L361" s="719" t="s">
        <v>241</v>
      </c>
      <c r="M361" s="719"/>
      <c r="N361" s="726" t="s">
        <v>695</v>
      </c>
      <c r="O361" s="726"/>
      <c r="P361" s="726"/>
      <c r="Q361" s="719">
        <v>0</v>
      </c>
      <c r="R361" s="719">
        <v>0</v>
      </c>
      <c r="S361" s="719"/>
      <c r="T361" s="719">
        <v>-30</v>
      </c>
      <c r="U361" s="719"/>
      <c r="V361" s="719"/>
      <c r="W361" s="719">
        <v>1.1000000000000001</v>
      </c>
      <c r="X361" s="719"/>
      <c r="Y361" s="719"/>
      <c r="Z361" s="719"/>
      <c r="AA361" s="719"/>
      <c r="AB361" s="719"/>
      <c r="AC361" s="719" t="s">
        <v>2977</v>
      </c>
      <c r="AD361" s="719"/>
      <c r="AE361" s="719"/>
      <c r="AF361" s="719">
        <v>200</v>
      </c>
      <c r="AG361" s="1341">
        <v>39346.86</v>
      </c>
      <c r="AH361" s="719">
        <v>1551</v>
      </c>
      <c r="AI361" s="719">
        <v>-5083</v>
      </c>
      <c r="AJ361" s="719"/>
      <c r="AK361" s="719"/>
      <c r="AL361" s="719"/>
      <c r="AM361" s="719" t="s">
        <v>2609</v>
      </c>
      <c r="AN361" s="719">
        <v>5.25</v>
      </c>
      <c r="AO361" s="719"/>
      <c r="AP361" s="719"/>
      <c r="AQ361" s="724"/>
      <c r="AR361" s="724"/>
      <c r="AS361" s="724"/>
      <c r="AT361" s="724">
        <f>+ab($T$361,$T$359,$T$363,$G$360,$G$362,-1*$F$361,1200)</f>
        <v>-7.9442410717051439</v>
      </c>
      <c r="AU361" s="724"/>
      <c r="AV361" s="724"/>
      <c r="AW361" s="719"/>
      <c r="AX361" s="719"/>
      <c r="AY361" s="719"/>
    </row>
    <row r="362" spans="1:51" ht="15.75" hidden="1" customHeight="1">
      <c r="A362" s="716"/>
      <c r="B362" s="718"/>
      <c r="C362" s="718"/>
      <c r="D362" s="719"/>
      <c r="E362" s="719"/>
      <c r="F362" s="720"/>
      <c r="G362" s="721">
        <v>50</v>
      </c>
      <c r="H362" s="726"/>
      <c r="I362" s="722"/>
      <c r="J362" s="727"/>
      <c r="K362" s="719"/>
      <c r="L362" s="719"/>
      <c r="M362" s="719"/>
      <c r="N362" s="726"/>
      <c r="O362" s="726"/>
      <c r="P362" s="726"/>
      <c r="Q362" s="719"/>
      <c r="R362" s="719"/>
      <c r="S362" s="719">
        <f t="shared" si="50"/>
        <v>51.25</v>
      </c>
      <c r="T362" s="719"/>
      <c r="U362" s="719"/>
      <c r="V362" s="719"/>
      <c r="W362" s="719"/>
      <c r="X362" s="719"/>
      <c r="Y362" s="719"/>
      <c r="Z362" s="719"/>
      <c r="AA362" s="719"/>
      <c r="AB362" s="719"/>
      <c r="AC362" s="719"/>
      <c r="AD362" s="719"/>
      <c r="AE362" s="719"/>
      <c r="AF362" s="719"/>
      <c r="AG362" s="1341"/>
      <c r="AH362" s="719"/>
      <c r="AI362" s="719"/>
      <c r="AJ362" s="719"/>
      <c r="AK362" s="719"/>
      <c r="AL362" s="719"/>
      <c r="AM362" s="719"/>
      <c r="AN362" s="719"/>
      <c r="AO362" s="719"/>
      <c r="AP362" s="719"/>
      <c r="AQ362" s="724">
        <f>+FL_1($T$363,$T$361,$G$362,1200,9.28,-1*$F$363)</f>
        <v>0.33477011200000001</v>
      </c>
      <c r="AR362" s="724"/>
      <c r="AS362" s="724"/>
      <c r="AT362" s="724"/>
      <c r="AU362" s="724"/>
      <c r="AV362" s="724"/>
      <c r="AW362" s="719"/>
      <c r="AX362" s="719"/>
      <c r="AY362" s="719"/>
    </row>
    <row r="363" spans="1:51" ht="15.75" hidden="1" customHeight="1">
      <c r="A363" s="716" t="s">
        <v>677</v>
      </c>
      <c r="B363" s="728" t="s">
        <v>1478</v>
      </c>
      <c r="C363" s="718">
        <f>+$C$361+$G$362</f>
        <v>39398</v>
      </c>
      <c r="D363" s="719"/>
      <c r="E363" s="719"/>
      <c r="F363" s="720">
        <v>0</v>
      </c>
      <c r="G363" s="721"/>
      <c r="H363" s="726"/>
      <c r="I363" s="726"/>
      <c r="J363" s="727"/>
      <c r="K363" s="719"/>
      <c r="L363" s="719" t="s">
        <v>241</v>
      </c>
      <c r="M363" s="719"/>
      <c r="N363" s="726" t="s">
        <v>696</v>
      </c>
      <c r="O363" s="726"/>
      <c r="P363" s="726"/>
      <c r="Q363" s="719">
        <v>0</v>
      </c>
      <c r="R363" s="719">
        <v>0</v>
      </c>
      <c r="S363" s="719"/>
      <c r="T363" s="719">
        <v>30</v>
      </c>
      <c r="U363" s="719"/>
      <c r="V363" s="719"/>
      <c r="W363" s="719">
        <v>1.1000000000000001</v>
      </c>
      <c r="X363" s="719"/>
      <c r="Y363" s="719"/>
      <c r="Z363" s="719"/>
      <c r="AA363" s="719"/>
      <c r="AB363" s="719"/>
      <c r="AC363" s="719" t="s">
        <v>2977</v>
      </c>
      <c r="AD363" s="719"/>
      <c r="AE363" s="719"/>
      <c r="AF363" s="719">
        <v>200</v>
      </c>
      <c r="AG363" s="1341">
        <v>39398.11</v>
      </c>
      <c r="AH363" s="719">
        <v>1538</v>
      </c>
      <c r="AI363" s="719">
        <v>-5113</v>
      </c>
      <c r="AJ363" s="719"/>
      <c r="AK363" s="719"/>
      <c r="AL363" s="719"/>
      <c r="AM363" s="719" t="s">
        <v>2609</v>
      </c>
      <c r="AN363" s="719">
        <v>5.25</v>
      </c>
      <c r="AO363" s="719"/>
      <c r="AP363" s="719"/>
      <c r="AQ363" s="724"/>
      <c r="AR363" s="724"/>
      <c r="AS363" s="724"/>
      <c r="AT363" s="724">
        <f>+ab($T$363,$T$361,$T$365,$G$362,$G$364,-1*$F$363,1200)</f>
        <v>7.9442083933778509</v>
      </c>
      <c r="AU363" s="724"/>
      <c r="AV363" s="724"/>
      <c r="AW363" s="719"/>
      <c r="AX363" s="719"/>
      <c r="AY363" s="719"/>
    </row>
    <row r="364" spans="1:51" ht="15.75" hidden="1" customHeight="1">
      <c r="A364" s="716"/>
      <c r="B364" s="718"/>
      <c r="C364" s="718"/>
      <c r="D364" s="719"/>
      <c r="E364" s="719"/>
      <c r="F364" s="720"/>
      <c r="G364" s="721">
        <v>50</v>
      </c>
      <c r="H364" s="726"/>
      <c r="I364" s="726"/>
      <c r="J364" s="727"/>
      <c r="K364" s="719"/>
      <c r="L364" s="719"/>
      <c r="M364" s="719"/>
      <c r="N364" s="726"/>
      <c r="O364" s="726"/>
      <c r="P364" s="726"/>
      <c r="Q364" s="719"/>
      <c r="R364" s="719"/>
      <c r="S364" s="719">
        <f t="shared" si="50"/>
        <v>49.629999999997381</v>
      </c>
      <c r="T364" s="719"/>
      <c r="U364" s="719"/>
      <c r="V364" s="719"/>
      <c r="W364" s="719"/>
      <c r="X364" s="719"/>
      <c r="Y364" s="719"/>
      <c r="Z364" s="719"/>
      <c r="AA364" s="719"/>
      <c r="AB364" s="719"/>
      <c r="AC364" s="719"/>
      <c r="AD364" s="719"/>
      <c r="AE364" s="719"/>
      <c r="AF364" s="719"/>
      <c r="AG364" s="1341"/>
      <c r="AH364" s="719"/>
      <c r="AI364" s="719"/>
      <c r="AJ364" s="719"/>
      <c r="AK364" s="719"/>
      <c r="AL364" s="719"/>
      <c r="AM364" s="719"/>
      <c r="AN364" s="719"/>
      <c r="AO364" s="719"/>
      <c r="AP364" s="719"/>
      <c r="AQ364" s="724">
        <f>+FL_2($T$365,$T$363,$G$364,1200,9.28,-1*$F$365)</f>
        <v>-0.34437310105681623</v>
      </c>
      <c r="AR364" s="724"/>
      <c r="AS364" s="724"/>
      <c r="AT364" s="724"/>
      <c r="AU364" s="724"/>
      <c r="AV364" s="724"/>
      <c r="AW364" s="719"/>
      <c r="AX364" s="719"/>
      <c r="AY364" s="719"/>
    </row>
    <row r="365" spans="1:51" ht="15.75" hidden="1" customHeight="1">
      <c r="A365" s="716" t="s">
        <v>677</v>
      </c>
      <c r="B365" s="728" t="s">
        <v>1479</v>
      </c>
      <c r="C365" s="718">
        <f>+$C$363+$G$364</f>
        <v>39448</v>
      </c>
      <c r="D365" s="719"/>
      <c r="E365" s="719"/>
      <c r="F365" s="720">
        <f>-560000/(C365-39421)</f>
        <v>-20740.740740740741</v>
      </c>
      <c r="G365" s="721"/>
      <c r="H365" s="726"/>
      <c r="I365" s="726"/>
      <c r="J365" s="727"/>
      <c r="K365" s="719"/>
      <c r="L365" s="719" t="s">
        <v>241</v>
      </c>
      <c r="M365" s="719"/>
      <c r="N365" s="726" t="s">
        <v>695</v>
      </c>
      <c r="O365" s="726"/>
      <c r="P365" s="726"/>
      <c r="Q365" s="719">
        <v>7</v>
      </c>
      <c r="R365" s="719">
        <v>-21519.4</v>
      </c>
      <c r="S365" s="719"/>
      <c r="T365" s="719">
        <v>-30</v>
      </c>
      <c r="U365" s="719"/>
      <c r="V365" s="719"/>
      <c r="W365" s="719">
        <v>1.1000000000000001</v>
      </c>
      <c r="X365" s="719"/>
      <c r="Y365" s="719"/>
      <c r="Z365" s="719"/>
      <c r="AA365" s="719"/>
      <c r="AB365" s="719"/>
      <c r="AC365" s="719" t="s">
        <v>2612</v>
      </c>
      <c r="AD365" s="719"/>
      <c r="AE365" s="719"/>
      <c r="AF365" s="719">
        <v>200</v>
      </c>
      <c r="AG365" s="1341">
        <v>39447.74</v>
      </c>
      <c r="AH365" s="719">
        <v>1562</v>
      </c>
      <c r="AI365" s="719">
        <v>-5108</v>
      </c>
      <c r="AJ365" s="719"/>
      <c r="AK365" s="719"/>
      <c r="AL365" s="719"/>
      <c r="AM365" s="719" t="s">
        <v>2609</v>
      </c>
      <c r="AN365" s="719">
        <v>5.25</v>
      </c>
      <c r="AO365" s="719"/>
      <c r="AP365" s="719"/>
      <c r="AQ365" s="724"/>
      <c r="AR365" s="724"/>
      <c r="AS365" s="724"/>
      <c r="AT365" s="724">
        <f>+ab($T$365,$T$363,$T$367,$G$364,$G$366,-1*$F$365,1200)</f>
        <v>-8.8180397590871298</v>
      </c>
      <c r="AU365" s="724"/>
      <c r="AV365" s="724"/>
      <c r="AW365" s="719"/>
      <c r="AX365" s="719"/>
      <c r="AY365" s="719"/>
    </row>
    <row r="366" spans="1:51" ht="15.75" hidden="1" customHeight="1">
      <c r="A366" s="716"/>
      <c r="B366" s="718"/>
      <c r="C366" s="718"/>
      <c r="D366" s="719"/>
      <c r="E366" s="719"/>
      <c r="F366" s="720"/>
      <c r="G366" s="721">
        <v>50</v>
      </c>
      <c r="H366" s="726"/>
      <c r="I366" s="726"/>
      <c r="J366" s="727"/>
      <c r="K366" s="719"/>
      <c r="L366" s="719"/>
      <c r="M366" s="719"/>
      <c r="N366" s="726"/>
      <c r="O366" s="726"/>
      <c r="P366" s="726"/>
      <c r="Q366" s="719"/>
      <c r="R366" s="719"/>
      <c r="S366" s="719">
        <f t="shared" ref="S366:S368" si="53">AG367-AG365</f>
        <v>51.200000000004366</v>
      </c>
      <c r="T366" s="719"/>
      <c r="U366" s="719"/>
      <c r="V366" s="719"/>
      <c r="W366" s="719"/>
      <c r="X366" s="719"/>
      <c r="Y366" s="719"/>
      <c r="Z366" s="719"/>
      <c r="AA366" s="719"/>
      <c r="AB366" s="719"/>
      <c r="AC366" s="719"/>
      <c r="AD366" s="719"/>
      <c r="AE366" s="719"/>
      <c r="AF366" s="719"/>
      <c r="AG366" s="1341"/>
      <c r="AH366" s="719"/>
      <c r="AI366" s="719"/>
      <c r="AJ366" s="719"/>
      <c r="AK366" s="719"/>
      <c r="AL366" s="719"/>
      <c r="AM366" s="719"/>
      <c r="AN366" s="719"/>
      <c r="AO366" s="719"/>
      <c r="AP366" s="719"/>
      <c r="AQ366" s="724">
        <f>+FL_2($T$367,$T$365,$G$366,1200,9.28,-1*$F$367)</f>
        <v>-0.36368396304861067</v>
      </c>
      <c r="AR366" s="724"/>
      <c r="AS366" s="724"/>
      <c r="AT366" s="724"/>
      <c r="AU366" s="724"/>
      <c r="AV366" s="724"/>
      <c r="AW366" s="719"/>
      <c r="AX366" s="719"/>
      <c r="AY366" s="719"/>
    </row>
    <row r="367" spans="1:51" ht="15.75" customHeight="1">
      <c r="A367" s="716" t="s">
        <v>677</v>
      </c>
      <c r="B367" s="728" t="s">
        <v>1480</v>
      </c>
      <c r="C367" s="718">
        <f>+$C$365+$G$366</f>
        <v>39498</v>
      </c>
      <c r="D367" s="719"/>
      <c r="E367" s="719"/>
      <c r="F367" s="720">
        <f>-560000/(C367-39421)</f>
        <v>-7272.727272727273</v>
      </c>
      <c r="G367" s="721"/>
      <c r="H367" s="726" t="s">
        <v>1101</v>
      </c>
      <c r="I367" s="726"/>
      <c r="J367" s="727"/>
      <c r="K367" s="719"/>
      <c r="L367" s="719" t="s">
        <v>241</v>
      </c>
      <c r="M367" s="719"/>
      <c r="N367" s="726" t="s">
        <v>696</v>
      </c>
      <c r="O367" s="726"/>
      <c r="P367" s="726"/>
      <c r="Q367" s="719">
        <v>24</v>
      </c>
      <c r="R367" s="719">
        <v>-7266.3</v>
      </c>
      <c r="S367" s="719"/>
      <c r="T367" s="719">
        <v>30</v>
      </c>
      <c r="U367" s="719"/>
      <c r="V367" s="719"/>
      <c r="W367" s="719">
        <v>1.1000000000000001</v>
      </c>
      <c r="X367" s="719"/>
      <c r="Y367" s="719"/>
      <c r="Z367" s="719"/>
      <c r="AA367" s="719"/>
      <c r="AB367" s="719"/>
      <c r="AC367" s="719" t="s">
        <v>2612</v>
      </c>
      <c r="AD367" s="719"/>
      <c r="AE367" s="719"/>
      <c r="AF367" s="719">
        <v>200</v>
      </c>
      <c r="AG367" s="1341">
        <v>39498.94</v>
      </c>
      <c r="AH367" s="719">
        <v>1563</v>
      </c>
      <c r="AI367" s="719">
        <v>-5063</v>
      </c>
      <c r="AJ367" s="719"/>
      <c r="AK367" s="719"/>
      <c r="AL367" s="719"/>
      <c r="AM367" s="719" t="s">
        <v>2609</v>
      </c>
      <c r="AN367" s="719">
        <v>5.25</v>
      </c>
      <c r="AO367" s="719"/>
      <c r="AP367" s="719"/>
      <c r="AQ367" s="724"/>
      <c r="AR367" s="724"/>
      <c r="AS367" s="724"/>
      <c r="AT367" s="724">
        <f>+ab($T$367,$T$365,$T$369,$G$366,$G$368,-1*$F$367,1200)</f>
        <v>9.1147857335631031</v>
      </c>
      <c r="AU367" s="724"/>
      <c r="AV367" s="724"/>
      <c r="AW367" s="719"/>
      <c r="AX367" s="719"/>
      <c r="AY367" s="719"/>
    </row>
    <row r="368" spans="1:51" ht="15.75" hidden="1" customHeight="1">
      <c r="A368" s="716"/>
      <c r="B368" s="718"/>
      <c r="C368" s="718"/>
      <c r="D368" s="719"/>
      <c r="E368" s="719"/>
      <c r="F368" s="720"/>
      <c r="G368" s="721">
        <v>50</v>
      </c>
      <c r="H368" s="726"/>
      <c r="I368" s="726">
        <f>+SUM(G350:G368)</f>
        <v>500</v>
      </c>
      <c r="J368" s="727">
        <f>C367+2.1</f>
        <v>39500.1</v>
      </c>
      <c r="K368" s="719" t="s">
        <v>1102</v>
      </c>
      <c r="L368" s="719"/>
      <c r="M368" s="719"/>
      <c r="N368" s="726"/>
      <c r="O368" s="726"/>
      <c r="P368" s="726"/>
      <c r="Q368" s="719"/>
      <c r="R368" s="719"/>
      <c r="S368" s="719">
        <f t="shared" si="53"/>
        <v>48.119999999995343</v>
      </c>
      <c r="T368" s="719"/>
      <c r="U368" s="719"/>
      <c r="V368" s="719"/>
      <c r="W368" s="719"/>
      <c r="X368" s="719"/>
      <c r="Y368" s="719"/>
      <c r="Z368" s="719"/>
      <c r="AA368" s="719"/>
      <c r="AB368" s="719"/>
      <c r="AC368" s="719"/>
      <c r="AD368" s="719"/>
      <c r="AE368" s="719"/>
      <c r="AF368" s="719"/>
      <c r="AG368" s="1341"/>
      <c r="AH368" s="719"/>
      <c r="AI368" s="719"/>
      <c r="AJ368" s="719"/>
      <c r="AK368" s="719"/>
      <c r="AL368" s="719"/>
      <c r="AM368" s="719"/>
      <c r="AN368" s="719"/>
      <c r="AO368" s="719"/>
      <c r="AP368" s="719"/>
      <c r="AQ368" s="724">
        <f>+FL_1($T$369,$T$367,$G$368,1200,9.28,-1*$F$369)</f>
        <v>0.42445491892211495</v>
      </c>
      <c r="AR368" s="724"/>
      <c r="AS368" s="724"/>
      <c r="AT368" s="724"/>
      <c r="AU368" s="724"/>
      <c r="AV368" s="724"/>
      <c r="AW368" s="719"/>
      <c r="AX368" s="719"/>
      <c r="AY368" s="719"/>
    </row>
    <row r="369" spans="1:51" ht="15.75" customHeight="1">
      <c r="A369" s="716" t="s">
        <v>677</v>
      </c>
      <c r="B369" s="728" t="s">
        <v>1481</v>
      </c>
      <c r="C369" s="718">
        <f>+$C$367+$G$368</f>
        <v>39548</v>
      </c>
      <c r="D369" s="719"/>
      <c r="E369" s="719"/>
      <c r="F369" s="720">
        <f>-560000/(C369-39421)</f>
        <v>-4409.4488188976375</v>
      </c>
      <c r="G369" s="721"/>
      <c r="H369" s="726" t="s">
        <v>997</v>
      </c>
      <c r="I369" s="726"/>
      <c r="J369" s="727"/>
      <c r="K369" s="719"/>
      <c r="L369" s="719" t="s">
        <v>241</v>
      </c>
      <c r="M369" s="719"/>
      <c r="N369" s="726" t="s">
        <v>696</v>
      </c>
      <c r="O369" s="726"/>
      <c r="P369" s="726"/>
      <c r="Q369" s="719">
        <v>47</v>
      </c>
      <c r="R369" s="719">
        <v>-4440.5</v>
      </c>
      <c r="S369" s="719"/>
      <c r="T369" s="719">
        <v>20</v>
      </c>
      <c r="U369" s="719"/>
      <c r="V369" s="719"/>
      <c r="W369" s="719">
        <v>1.1000000000000001</v>
      </c>
      <c r="X369" s="719"/>
      <c r="Y369" s="719"/>
      <c r="Z369" s="719"/>
      <c r="AA369" s="719"/>
      <c r="AB369" s="719"/>
      <c r="AC369" s="719" t="s">
        <v>2612</v>
      </c>
      <c r="AD369" s="719"/>
      <c r="AE369" s="719"/>
      <c r="AF369" s="719">
        <v>200</v>
      </c>
      <c r="AG369" s="1341">
        <v>39547.06</v>
      </c>
      <c r="AH369" s="719">
        <v>1509</v>
      </c>
      <c r="AI369" s="719">
        <v>-5098</v>
      </c>
      <c r="AJ369" s="719"/>
      <c r="AK369" s="719"/>
      <c r="AL369" s="719"/>
      <c r="AM369" s="719" t="s">
        <v>2609</v>
      </c>
      <c r="AN369" s="719">
        <v>5.25</v>
      </c>
      <c r="AO369" s="719"/>
      <c r="AP369" s="719"/>
      <c r="AQ369" s="724"/>
      <c r="AR369" s="724"/>
      <c r="AS369" s="724"/>
      <c r="AT369" s="724">
        <f>+ab($T$369,$T$367,$T$371,$G$368,$G$370,-1*$F$369,1200)</f>
        <v>19.72832461842788</v>
      </c>
      <c r="AU369" s="724"/>
      <c r="AV369" s="724"/>
      <c r="AW369" s="719"/>
      <c r="AX369" s="719"/>
      <c r="AY369" s="719"/>
    </row>
    <row r="370" spans="1:51" ht="15.75" hidden="1" customHeight="1">
      <c r="A370" s="716"/>
      <c r="B370" s="718"/>
      <c r="C370" s="718"/>
      <c r="D370" s="719"/>
      <c r="E370" s="719"/>
      <c r="F370" s="720"/>
      <c r="G370" s="721">
        <v>50</v>
      </c>
      <c r="H370" s="726"/>
      <c r="I370" s="726">
        <f>SUM(G370:G388)</f>
        <v>495</v>
      </c>
      <c r="J370" s="727">
        <f>C371-2.6</f>
        <v>39595.4</v>
      </c>
      <c r="K370" s="719" t="s">
        <v>1102</v>
      </c>
      <c r="L370" s="719"/>
      <c r="M370" s="719"/>
      <c r="N370" s="726"/>
      <c r="O370" s="726"/>
      <c r="P370" s="726"/>
      <c r="Q370" s="719"/>
      <c r="R370" s="719"/>
      <c r="S370" s="719">
        <f t="shared" ref="S370:S432" si="54">AG371-AG369</f>
        <v>49.630000000004657</v>
      </c>
      <c r="T370" s="719"/>
      <c r="U370" s="719"/>
      <c r="V370" s="719"/>
      <c r="W370" s="719"/>
      <c r="X370" s="719"/>
      <c r="Y370" s="719"/>
      <c r="Z370" s="719"/>
      <c r="AA370" s="719"/>
      <c r="AB370" s="719"/>
      <c r="AC370" s="719"/>
      <c r="AD370" s="719"/>
      <c r="AE370" s="719"/>
      <c r="AF370" s="719"/>
      <c r="AG370" s="1341"/>
      <c r="AH370" s="719"/>
      <c r="AI370" s="719"/>
      <c r="AJ370" s="719"/>
      <c r="AK370" s="719"/>
      <c r="AL370" s="719"/>
      <c r="AM370" s="719"/>
      <c r="AN370" s="719"/>
      <c r="AO370" s="719"/>
      <c r="AP370" s="719"/>
      <c r="AQ370" s="724">
        <f>+FL_1($T$371,$T$369,$G$370,1200,9.28,-1*$F$371)</f>
        <v>0.36354090371247971</v>
      </c>
      <c r="AR370" s="724"/>
      <c r="AS370" s="724"/>
      <c r="AT370" s="724"/>
      <c r="AU370" s="724"/>
      <c r="AV370" s="724"/>
      <c r="AW370" s="719"/>
      <c r="AX370" s="719"/>
      <c r="AY370" s="719"/>
    </row>
    <row r="371" spans="1:51" ht="15.75" customHeight="1">
      <c r="A371" s="716" t="s">
        <v>677</v>
      </c>
      <c r="B371" s="728" t="s">
        <v>1482</v>
      </c>
      <c r="C371" s="718">
        <f>+$C$369+$G$370</f>
        <v>39598</v>
      </c>
      <c r="D371" s="719"/>
      <c r="E371" s="719">
        <v>-50</v>
      </c>
      <c r="F371" s="720">
        <v>-4000</v>
      </c>
      <c r="G371" s="721"/>
      <c r="H371" s="726" t="s">
        <v>1101</v>
      </c>
      <c r="I371" s="726"/>
      <c r="J371" s="727"/>
      <c r="K371" s="719"/>
      <c r="L371" s="719" t="s">
        <v>241</v>
      </c>
      <c r="M371" s="719"/>
      <c r="N371" s="726" t="s">
        <v>696</v>
      </c>
      <c r="O371" s="726"/>
      <c r="P371" s="726"/>
      <c r="Q371" s="719">
        <v>53</v>
      </c>
      <c r="R371" s="719">
        <v>-4000</v>
      </c>
      <c r="S371" s="719"/>
      <c r="T371" s="719">
        <v>20</v>
      </c>
      <c r="U371" s="719"/>
      <c r="V371" s="719"/>
      <c r="W371" s="719">
        <v>1.1000000000000001</v>
      </c>
      <c r="X371" s="719"/>
      <c r="Y371" s="719"/>
      <c r="Z371" s="719"/>
      <c r="AA371" s="719"/>
      <c r="AB371" s="719"/>
      <c r="AC371" s="719" t="s">
        <v>2612</v>
      </c>
      <c r="AD371" s="719"/>
      <c r="AE371" s="719"/>
      <c r="AF371" s="719">
        <v>200</v>
      </c>
      <c r="AG371" s="1341">
        <v>39596.69</v>
      </c>
      <c r="AH371" s="719">
        <v>1495</v>
      </c>
      <c r="AI371" s="719">
        <v>-5071</v>
      </c>
      <c r="AJ371" s="719"/>
      <c r="AK371" s="719"/>
      <c r="AL371" s="719"/>
      <c r="AM371" s="719" t="s">
        <v>2609</v>
      </c>
      <c r="AN371" s="719">
        <v>5.25</v>
      </c>
      <c r="AO371" s="719"/>
      <c r="AP371" s="719"/>
      <c r="AQ371" s="724"/>
      <c r="AR371" s="724"/>
      <c r="AS371" s="724"/>
      <c r="AT371" s="724">
        <f>+ab($T$371,$T$369,$T$373,$G$370,$G$372,-1*$F$371,1200)</f>
        <v>14.999117131444221</v>
      </c>
      <c r="AU371" s="724"/>
      <c r="AV371" s="724"/>
      <c r="AW371" s="719"/>
      <c r="AX371" s="719"/>
      <c r="AY371" s="719"/>
    </row>
    <row r="372" spans="1:51" ht="15.75" hidden="1" customHeight="1">
      <c r="A372" s="716"/>
      <c r="B372" s="718"/>
      <c r="C372" s="718"/>
      <c r="D372" s="719"/>
      <c r="E372" s="719"/>
      <c r="F372" s="720"/>
      <c r="G372" s="721">
        <v>50</v>
      </c>
      <c r="H372" s="726"/>
      <c r="I372" s="726"/>
      <c r="J372" s="727"/>
      <c r="K372" s="719"/>
      <c r="L372" s="719"/>
      <c r="M372" s="719"/>
      <c r="N372" s="726"/>
      <c r="O372" s="726"/>
      <c r="P372" s="726"/>
      <c r="Q372" s="719"/>
      <c r="R372" s="719"/>
      <c r="S372" s="719">
        <f t="shared" si="54"/>
        <v>51.189999999995052</v>
      </c>
      <c r="T372" s="719"/>
      <c r="U372" s="719"/>
      <c r="V372" s="719"/>
      <c r="W372" s="719"/>
      <c r="X372" s="719"/>
      <c r="Y372" s="719"/>
      <c r="Z372" s="719"/>
      <c r="AA372" s="719"/>
      <c r="AB372" s="719"/>
      <c r="AC372" s="719"/>
      <c r="AD372" s="719"/>
      <c r="AE372" s="719"/>
      <c r="AF372" s="719"/>
      <c r="AG372" s="1341"/>
      <c r="AH372" s="719"/>
      <c r="AI372" s="719"/>
      <c r="AJ372" s="719"/>
      <c r="AK372" s="719"/>
      <c r="AL372" s="719"/>
      <c r="AM372" s="719"/>
      <c r="AN372" s="719"/>
      <c r="AO372" s="719"/>
      <c r="AP372" s="719"/>
      <c r="AQ372" s="724">
        <f>+FL_1($T$373,$T$371,$G$372,1200,9.28,-1*$F$373)</f>
        <v>0.37653464563942785</v>
      </c>
      <c r="AR372" s="724"/>
      <c r="AS372" s="724"/>
      <c r="AT372" s="724"/>
      <c r="AU372" s="724"/>
      <c r="AV372" s="724"/>
      <c r="AW372" s="719"/>
      <c r="AX372" s="719"/>
      <c r="AY372" s="719"/>
    </row>
    <row r="373" spans="1:51" ht="15.75" hidden="1" customHeight="1">
      <c r="A373" s="716" t="s">
        <v>677</v>
      </c>
      <c r="B373" s="728" t="s">
        <v>1483</v>
      </c>
      <c r="C373" s="718">
        <f>+$C$371+$G$372</f>
        <v>39648</v>
      </c>
      <c r="D373" s="719"/>
      <c r="E373" s="719"/>
      <c r="F373" s="720">
        <f>-475000/(39747-C373)</f>
        <v>-4797.9797979797977</v>
      </c>
      <c r="G373" s="721"/>
      <c r="H373" s="726"/>
      <c r="I373" s="726"/>
      <c r="J373" s="727"/>
      <c r="K373" s="719"/>
      <c r="L373" s="719" t="s">
        <v>241</v>
      </c>
      <c r="M373" s="719"/>
      <c r="N373" s="726" t="s">
        <v>696</v>
      </c>
      <c r="O373" s="726"/>
      <c r="P373" s="726"/>
      <c r="Q373" s="719">
        <v>32</v>
      </c>
      <c r="R373" s="719">
        <v>-5651.56</v>
      </c>
      <c r="S373" s="719"/>
      <c r="T373" s="719">
        <v>20</v>
      </c>
      <c r="U373" s="719"/>
      <c r="V373" s="719"/>
      <c r="W373" s="719">
        <v>1.1000000000000001</v>
      </c>
      <c r="X373" s="719"/>
      <c r="Y373" s="719"/>
      <c r="Z373" s="719"/>
      <c r="AA373" s="719"/>
      <c r="AB373" s="719"/>
      <c r="AC373" s="719" t="s">
        <v>2612</v>
      </c>
      <c r="AD373" s="719"/>
      <c r="AE373" s="719"/>
      <c r="AF373" s="719">
        <v>200</v>
      </c>
      <c r="AG373" s="1341">
        <v>39647.879999999997</v>
      </c>
      <c r="AH373" s="719">
        <v>1479</v>
      </c>
      <c r="AI373" s="719">
        <v>-5061</v>
      </c>
      <c r="AJ373" s="719"/>
      <c r="AK373" s="719"/>
      <c r="AL373" s="719"/>
      <c r="AM373" s="719" t="s">
        <v>2609</v>
      </c>
      <c r="AN373" s="719">
        <v>5.25</v>
      </c>
      <c r="AO373" s="719"/>
      <c r="AP373" s="719"/>
      <c r="AQ373" s="724"/>
      <c r="AR373" s="724"/>
      <c r="AS373" s="724"/>
      <c r="AT373" s="724">
        <f>+ab($T$373,$T$371,$T$375,$G$372,$G$374,-1*$F$373,1200)</f>
        <v>9.3138886997583246</v>
      </c>
      <c r="AU373" s="724"/>
      <c r="AV373" s="724"/>
      <c r="AW373" s="719"/>
      <c r="AX373" s="719"/>
      <c r="AY373" s="719"/>
    </row>
    <row r="374" spans="1:51" ht="15.75" hidden="1" customHeight="1">
      <c r="A374" s="716"/>
      <c r="B374" s="718"/>
      <c r="C374" s="718"/>
      <c r="D374" s="719"/>
      <c r="E374" s="719"/>
      <c r="F374" s="720"/>
      <c r="G374" s="721">
        <v>50</v>
      </c>
      <c r="H374" s="726"/>
      <c r="I374" s="722"/>
      <c r="J374" s="727"/>
      <c r="K374" s="719"/>
      <c r="L374" s="719"/>
      <c r="M374" s="719"/>
      <c r="N374" s="726"/>
      <c r="O374" s="726"/>
      <c r="P374" s="726"/>
      <c r="Q374" s="719"/>
      <c r="R374" s="719"/>
      <c r="S374" s="719">
        <f t="shared" si="54"/>
        <v>51.270000000004075</v>
      </c>
      <c r="T374" s="719"/>
      <c r="U374" s="719"/>
      <c r="V374" s="719"/>
      <c r="W374" s="719"/>
      <c r="X374" s="719"/>
      <c r="Y374" s="719"/>
      <c r="Z374" s="719"/>
      <c r="AA374" s="719"/>
      <c r="AB374" s="719"/>
      <c r="AC374" s="719"/>
      <c r="AD374" s="719"/>
      <c r="AE374" s="719"/>
      <c r="AF374" s="719"/>
      <c r="AG374" s="1341"/>
      <c r="AH374" s="719"/>
      <c r="AI374" s="719"/>
      <c r="AJ374" s="719"/>
      <c r="AK374" s="719"/>
      <c r="AL374" s="719"/>
      <c r="AM374" s="719"/>
      <c r="AN374" s="719"/>
      <c r="AO374" s="719"/>
      <c r="AP374" s="719"/>
      <c r="AQ374" s="724">
        <f>+FL_2($T$375,$T$373,$G$374,1200,9.28,-1*$F$375)</f>
        <v>-0.38094917854383031</v>
      </c>
      <c r="AR374" s="724"/>
      <c r="AS374" s="724"/>
      <c r="AT374" s="724"/>
      <c r="AU374" s="724"/>
      <c r="AV374" s="724"/>
      <c r="AW374" s="719"/>
      <c r="AX374" s="719"/>
      <c r="AY374" s="719"/>
    </row>
    <row r="375" spans="1:51" ht="15.75" hidden="1" customHeight="1">
      <c r="A375" s="716" t="s">
        <v>677</v>
      </c>
      <c r="B375" s="725" t="s">
        <v>1484</v>
      </c>
      <c r="C375" s="718">
        <f>+$C$373+$G$374</f>
        <v>39698</v>
      </c>
      <c r="D375" s="719"/>
      <c r="E375" s="719"/>
      <c r="F375" s="720">
        <f>-475000/(39747-C375)</f>
        <v>-9693.8775510204086</v>
      </c>
      <c r="G375" s="721"/>
      <c r="H375" s="726"/>
      <c r="I375" s="726"/>
      <c r="J375" s="727"/>
      <c r="K375" s="719"/>
      <c r="L375" s="719" t="s">
        <v>241</v>
      </c>
      <c r="M375" s="719"/>
      <c r="N375" s="726" t="s">
        <v>695</v>
      </c>
      <c r="O375" s="726"/>
      <c r="P375" s="726"/>
      <c r="Q375" s="719">
        <v>20</v>
      </c>
      <c r="R375" s="719">
        <v>-11656.33</v>
      </c>
      <c r="S375" s="719"/>
      <c r="T375" s="719">
        <v>-30</v>
      </c>
      <c r="U375" s="719"/>
      <c r="V375" s="719"/>
      <c r="W375" s="719">
        <v>1.1000000000000001</v>
      </c>
      <c r="X375" s="719"/>
      <c r="Y375" s="719"/>
      <c r="Z375" s="719"/>
      <c r="AA375" s="719"/>
      <c r="AB375" s="719"/>
      <c r="AC375" s="719" t="s">
        <v>2612</v>
      </c>
      <c r="AD375" s="719"/>
      <c r="AE375" s="719"/>
      <c r="AF375" s="719">
        <v>200</v>
      </c>
      <c r="AG375" s="1341">
        <v>39699.15</v>
      </c>
      <c r="AH375" s="719">
        <v>1455</v>
      </c>
      <c r="AI375" s="719">
        <v>-5099</v>
      </c>
      <c r="AJ375" s="719"/>
      <c r="AK375" s="719"/>
      <c r="AL375" s="719"/>
      <c r="AM375" s="719" t="s">
        <v>2609</v>
      </c>
      <c r="AN375" s="719">
        <v>5.25</v>
      </c>
      <c r="AO375" s="719"/>
      <c r="AP375" s="719"/>
      <c r="AQ375" s="724"/>
      <c r="AR375" s="724"/>
      <c r="AS375" s="724"/>
      <c r="AT375" s="724">
        <f>+ab($T$375,$T$373,$T$377,$G$374,$G$376,-1*$F$375,1200)</f>
        <v>-11.246909458654024</v>
      </c>
      <c r="AU375" s="724"/>
      <c r="AV375" s="724"/>
      <c r="AW375" s="719"/>
      <c r="AX375" s="719"/>
      <c r="AY375" s="719"/>
    </row>
    <row r="376" spans="1:51" ht="15.75" hidden="1" customHeight="1">
      <c r="A376" s="716"/>
      <c r="B376" s="717"/>
      <c r="C376" s="718"/>
      <c r="D376" s="719"/>
      <c r="E376" s="719"/>
      <c r="F376" s="720"/>
      <c r="G376" s="721">
        <v>50</v>
      </c>
      <c r="H376" s="726"/>
      <c r="I376" s="722"/>
      <c r="J376" s="727"/>
      <c r="K376" s="719"/>
      <c r="L376" s="719"/>
      <c r="M376" s="719"/>
      <c r="N376" s="726"/>
      <c r="O376" s="726"/>
      <c r="P376" s="726"/>
      <c r="Q376" s="719"/>
      <c r="R376" s="719"/>
      <c r="S376" s="719">
        <f t="shared" si="54"/>
        <v>49.629999999997381</v>
      </c>
      <c r="T376" s="719"/>
      <c r="U376" s="719"/>
      <c r="V376" s="719"/>
      <c r="W376" s="719"/>
      <c r="X376" s="719"/>
      <c r="Y376" s="719"/>
      <c r="Z376" s="719"/>
      <c r="AA376" s="719"/>
      <c r="AB376" s="719"/>
      <c r="AC376" s="719"/>
      <c r="AD376" s="719"/>
      <c r="AE376" s="719"/>
      <c r="AF376" s="719"/>
      <c r="AG376" s="1341"/>
      <c r="AH376" s="719"/>
      <c r="AI376" s="719"/>
      <c r="AJ376" s="719"/>
      <c r="AK376" s="719"/>
      <c r="AL376" s="719"/>
      <c r="AM376" s="719"/>
      <c r="AN376" s="719"/>
      <c r="AO376" s="719"/>
      <c r="AP376" s="719"/>
      <c r="AQ376" s="724">
        <f>+FL_1($T$377,$T$375,$G$376,1200,9.28,-1*$F$377)</f>
        <v>0.33477011200000001</v>
      </c>
      <c r="AR376" s="724"/>
      <c r="AS376" s="724"/>
      <c r="AT376" s="724"/>
      <c r="AU376" s="724"/>
      <c r="AV376" s="724"/>
      <c r="AW376" s="719"/>
      <c r="AX376" s="719"/>
      <c r="AY376" s="719"/>
    </row>
    <row r="377" spans="1:51" ht="15.75" hidden="1" customHeight="1">
      <c r="A377" s="716" t="s">
        <v>677</v>
      </c>
      <c r="B377" s="725" t="s">
        <v>1485</v>
      </c>
      <c r="C377" s="718">
        <f>+$C$375+$G$376</f>
        <v>39748</v>
      </c>
      <c r="D377" s="719"/>
      <c r="E377" s="719"/>
      <c r="F377" s="720">
        <v>0</v>
      </c>
      <c r="G377" s="721"/>
      <c r="H377" s="726"/>
      <c r="I377" s="726"/>
      <c r="J377" s="727"/>
      <c r="K377" s="719"/>
      <c r="L377" s="719" t="s">
        <v>241</v>
      </c>
      <c r="M377" s="719"/>
      <c r="N377" s="726" t="s">
        <v>696</v>
      </c>
      <c r="O377" s="726"/>
      <c r="P377" s="726"/>
      <c r="Q377" s="719">
        <v>0</v>
      </c>
      <c r="R377" s="719">
        <v>0</v>
      </c>
      <c r="S377" s="719"/>
      <c r="T377" s="719">
        <v>30</v>
      </c>
      <c r="U377" s="719"/>
      <c r="V377" s="719"/>
      <c r="W377" s="719">
        <v>1.1000000000000001</v>
      </c>
      <c r="X377" s="719"/>
      <c r="Y377" s="719"/>
      <c r="Z377" s="719"/>
      <c r="AA377" s="719"/>
      <c r="AB377" s="719"/>
      <c r="AC377" s="719" t="s">
        <v>2977</v>
      </c>
      <c r="AD377" s="719"/>
      <c r="AE377" s="719"/>
      <c r="AF377" s="719">
        <v>200</v>
      </c>
      <c r="AG377" s="1341">
        <v>39748.78</v>
      </c>
      <c r="AH377" s="719">
        <v>1444</v>
      </c>
      <c r="AI377" s="719">
        <v>-5132</v>
      </c>
      <c r="AJ377" s="719"/>
      <c r="AK377" s="719"/>
      <c r="AL377" s="719"/>
      <c r="AM377" s="719" t="s">
        <v>2609</v>
      </c>
      <c r="AN377" s="719">
        <v>5.25</v>
      </c>
      <c r="AO377" s="719"/>
      <c r="AP377" s="719"/>
      <c r="AQ377" s="724"/>
      <c r="AR377" s="724"/>
      <c r="AS377" s="724"/>
      <c r="AT377" s="724">
        <f>+ab($T$377,$T$375,$T$379,$G$376,$G$378,-1*$F$377,1200)</f>
        <v>7.9442083933778509</v>
      </c>
      <c r="AU377" s="724"/>
      <c r="AV377" s="724"/>
      <c r="AW377" s="719"/>
      <c r="AX377" s="719"/>
      <c r="AY377" s="719"/>
    </row>
    <row r="378" spans="1:51" ht="15.75" hidden="1" customHeight="1">
      <c r="A378" s="716"/>
      <c r="B378" s="717"/>
      <c r="C378" s="718"/>
      <c r="D378" s="719"/>
      <c r="E378" s="719"/>
      <c r="F378" s="720"/>
      <c r="G378" s="721">
        <v>50</v>
      </c>
      <c r="H378" s="726"/>
      <c r="I378" s="722"/>
      <c r="J378" s="727"/>
      <c r="K378" s="719"/>
      <c r="L378" s="719"/>
      <c r="M378" s="719"/>
      <c r="N378" s="726"/>
      <c r="O378" s="726"/>
      <c r="P378" s="726"/>
      <c r="Q378" s="719"/>
      <c r="R378" s="719"/>
      <c r="S378" s="719">
        <f t="shared" si="54"/>
        <v>49.620000000002619</v>
      </c>
      <c r="T378" s="719"/>
      <c r="U378" s="719"/>
      <c r="V378" s="719"/>
      <c r="W378" s="719"/>
      <c r="X378" s="719"/>
      <c r="Y378" s="719"/>
      <c r="Z378" s="719"/>
      <c r="AA378" s="719"/>
      <c r="AB378" s="719"/>
      <c r="AC378" s="719"/>
      <c r="AD378" s="719"/>
      <c r="AE378" s="719"/>
      <c r="AF378" s="719"/>
      <c r="AG378" s="1341"/>
      <c r="AH378" s="719"/>
      <c r="AI378" s="719"/>
      <c r="AJ378" s="719"/>
      <c r="AK378" s="719"/>
      <c r="AL378" s="719"/>
      <c r="AM378" s="719"/>
      <c r="AN378" s="719"/>
      <c r="AO378" s="719"/>
      <c r="AP378" s="719"/>
      <c r="AQ378" s="724">
        <f>+FL_2($T$379,$T$377,$G$378,1200,9.28,-1*$F$379)</f>
        <v>-0.33477011200000001</v>
      </c>
      <c r="AR378" s="724"/>
      <c r="AS378" s="724"/>
      <c r="AT378" s="724"/>
      <c r="AU378" s="724"/>
      <c r="AV378" s="724"/>
      <c r="AW378" s="719"/>
      <c r="AX378" s="719"/>
      <c r="AY378" s="719"/>
    </row>
    <row r="379" spans="1:51" ht="15.75" hidden="1" customHeight="1">
      <c r="A379" s="716" t="s">
        <v>677</v>
      </c>
      <c r="B379" s="725" t="s">
        <v>1486</v>
      </c>
      <c r="C379" s="718">
        <f>+$C$377+$G$378</f>
        <v>39798</v>
      </c>
      <c r="D379" s="719"/>
      <c r="E379" s="719"/>
      <c r="F379" s="720">
        <v>0</v>
      </c>
      <c r="G379" s="721"/>
      <c r="H379" s="726"/>
      <c r="I379" s="726"/>
      <c r="J379" s="727"/>
      <c r="K379" s="719"/>
      <c r="L379" s="719" t="s">
        <v>241</v>
      </c>
      <c r="M379" s="719"/>
      <c r="N379" s="726" t="s">
        <v>695</v>
      </c>
      <c r="O379" s="726"/>
      <c r="P379" s="726"/>
      <c r="Q379" s="719">
        <v>0</v>
      </c>
      <c r="R379" s="719">
        <v>0</v>
      </c>
      <c r="S379" s="719"/>
      <c r="T379" s="719">
        <v>-30</v>
      </c>
      <c r="U379" s="719"/>
      <c r="V379" s="719"/>
      <c r="W379" s="719">
        <v>1.1000000000000001</v>
      </c>
      <c r="X379" s="719"/>
      <c r="Y379" s="719"/>
      <c r="Z379" s="719"/>
      <c r="AA379" s="719"/>
      <c r="AB379" s="719"/>
      <c r="AC379" s="719" t="s">
        <v>2977</v>
      </c>
      <c r="AD379" s="719"/>
      <c r="AE379" s="719"/>
      <c r="AF379" s="719">
        <v>200</v>
      </c>
      <c r="AG379" s="1341">
        <v>39798.400000000001</v>
      </c>
      <c r="AH379" s="719">
        <v>1446</v>
      </c>
      <c r="AI379" s="719">
        <v>-5083</v>
      </c>
      <c r="AJ379" s="719"/>
      <c r="AK379" s="719"/>
      <c r="AL379" s="719"/>
      <c r="AM379" s="719" t="s">
        <v>2609</v>
      </c>
      <c r="AN379" s="719">
        <v>5.25</v>
      </c>
      <c r="AO379" s="719"/>
      <c r="AP379" s="719"/>
      <c r="AQ379" s="724"/>
      <c r="AR379" s="724"/>
      <c r="AS379" s="724"/>
      <c r="AT379" s="724">
        <f>+ab($T$379,$T$377,$T$381,$G$378,$G$380,-1*$F$379,1200)</f>
        <v>-7.9442410717051439</v>
      </c>
      <c r="AU379" s="724"/>
      <c r="AV379" s="724"/>
      <c r="AW379" s="719"/>
      <c r="AX379" s="719"/>
      <c r="AY379" s="719"/>
    </row>
    <row r="380" spans="1:51" ht="15.75" hidden="1" customHeight="1">
      <c r="A380" s="716"/>
      <c r="B380" s="717"/>
      <c r="C380" s="718"/>
      <c r="D380" s="719"/>
      <c r="E380" s="719"/>
      <c r="F380" s="720"/>
      <c r="G380" s="721">
        <v>50</v>
      </c>
      <c r="H380" s="726"/>
      <c r="I380" s="722"/>
      <c r="J380" s="727"/>
      <c r="K380" s="719"/>
      <c r="L380" s="719"/>
      <c r="M380" s="719"/>
      <c r="N380" s="726"/>
      <c r="O380" s="726"/>
      <c r="P380" s="726"/>
      <c r="Q380" s="719"/>
      <c r="R380" s="719"/>
      <c r="S380" s="719">
        <f t="shared" si="54"/>
        <v>48.129999999997381</v>
      </c>
      <c r="T380" s="719"/>
      <c r="U380" s="719"/>
      <c r="V380" s="719"/>
      <c r="W380" s="719"/>
      <c r="X380" s="719"/>
      <c r="Y380" s="719"/>
      <c r="Z380" s="719"/>
      <c r="AA380" s="719"/>
      <c r="AB380" s="719"/>
      <c r="AC380" s="719"/>
      <c r="AD380" s="719"/>
      <c r="AE380" s="719"/>
      <c r="AF380" s="719"/>
      <c r="AG380" s="1341"/>
      <c r="AH380" s="719"/>
      <c r="AI380" s="719"/>
      <c r="AJ380" s="719"/>
      <c r="AK380" s="719"/>
      <c r="AL380" s="719"/>
      <c r="AM380" s="719"/>
      <c r="AN380" s="719"/>
      <c r="AO380" s="719"/>
      <c r="AP380" s="719"/>
      <c r="AQ380" s="724">
        <f>+FL_1($T$381,$T$379,$G$380,1200,9.28,-1*$F$381)</f>
        <v>0.33477011200000001</v>
      </c>
      <c r="AR380" s="724"/>
      <c r="AS380" s="724"/>
      <c r="AT380" s="724"/>
      <c r="AU380" s="724"/>
      <c r="AV380" s="724"/>
      <c r="AW380" s="719"/>
      <c r="AX380" s="719"/>
      <c r="AY380" s="719"/>
    </row>
    <row r="381" spans="1:51" ht="15.75" hidden="1" customHeight="1">
      <c r="A381" s="716" t="s">
        <v>677</v>
      </c>
      <c r="B381" s="725" t="s">
        <v>1487</v>
      </c>
      <c r="C381" s="718">
        <f>+$C$379+$G$380</f>
        <v>39848</v>
      </c>
      <c r="D381" s="719"/>
      <c r="E381" s="719"/>
      <c r="F381" s="720">
        <v>0</v>
      </c>
      <c r="G381" s="721"/>
      <c r="H381" s="726"/>
      <c r="I381" s="726"/>
      <c r="J381" s="727"/>
      <c r="K381" s="719"/>
      <c r="L381" s="719" t="s">
        <v>241</v>
      </c>
      <c r="M381" s="719"/>
      <c r="N381" s="726" t="s">
        <v>696</v>
      </c>
      <c r="O381" s="726"/>
      <c r="P381" s="726"/>
      <c r="Q381" s="719">
        <v>0</v>
      </c>
      <c r="R381" s="719">
        <v>0</v>
      </c>
      <c r="S381" s="719"/>
      <c r="T381" s="719">
        <v>30</v>
      </c>
      <c r="U381" s="719"/>
      <c r="V381" s="719"/>
      <c r="W381" s="719">
        <v>1.1000000000000001</v>
      </c>
      <c r="X381" s="719"/>
      <c r="Y381" s="719"/>
      <c r="Z381" s="719"/>
      <c r="AA381" s="719"/>
      <c r="AB381" s="719"/>
      <c r="AC381" s="719" t="s">
        <v>2977</v>
      </c>
      <c r="AD381" s="719"/>
      <c r="AE381" s="719"/>
      <c r="AF381" s="719">
        <v>200</v>
      </c>
      <c r="AG381" s="1341">
        <v>39846.53</v>
      </c>
      <c r="AH381" s="719">
        <v>1435</v>
      </c>
      <c r="AI381" s="719">
        <v>-5079</v>
      </c>
      <c r="AJ381" s="719"/>
      <c r="AK381" s="719"/>
      <c r="AL381" s="719"/>
      <c r="AM381" s="719" t="s">
        <v>2609</v>
      </c>
      <c r="AN381" s="719">
        <v>5.25</v>
      </c>
      <c r="AO381" s="719"/>
      <c r="AP381" s="719"/>
      <c r="AQ381" s="724"/>
      <c r="AR381" s="724"/>
      <c r="AS381" s="724"/>
      <c r="AT381" s="724">
        <f>+ab($T$381,$T$379,$T$383,$G$380,$G$382,-1*$F$381,1200)</f>
        <v>7.5310236569509383</v>
      </c>
      <c r="AU381" s="724"/>
      <c r="AV381" s="724"/>
      <c r="AW381" s="719"/>
      <c r="AX381" s="719"/>
      <c r="AY381" s="719"/>
    </row>
    <row r="382" spans="1:51" ht="15.75" hidden="1" customHeight="1">
      <c r="A382" s="716"/>
      <c r="B382" s="717"/>
      <c r="C382" s="718"/>
      <c r="D382" s="719"/>
      <c r="E382" s="719"/>
      <c r="F382" s="720"/>
      <c r="G382" s="721">
        <v>45</v>
      </c>
      <c r="H382" s="726"/>
      <c r="I382" s="726"/>
      <c r="J382" s="727"/>
      <c r="K382" s="719"/>
      <c r="L382" s="719"/>
      <c r="M382" s="719"/>
      <c r="N382" s="726"/>
      <c r="O382" s="726"/>
      <c r="P382" s="726"/>
      <c r="Q382" s="719"/>
      <c r="R382" s="719"/>
      <c r="S382" s="719">
        <f t="shared" si="54"/>
        <v>44.790000000000873</v>
      </c>
      <c r="T382" s="719"/>
      <c r="U382" s="719"/>
      <c r="V382" s="719"/>
      <c r="W382" s="719"/>
      <c r="X382" s="719"/>
      <c r="Y382" s="719"/>
      <c r="Z382" s="719"/>
      <c r="AA382" s="719"/>
      <c r="AB382" s="719"/>
      <c r="AC382" s="719"/>
      <c r="AD382" s="719"/>
      <c r="AE382" s="719"/>
      <c r="AF382" s="719"/>
      <c r="AG382" s="1341"/>
      <c r="AH382" s="719"/>
      <c r="AI382" s="719"/>
      <c r="AJ382" s="719"/>
      <c r="AK382" s="719"/>
      <c r="AL382" s="719"/>
      <c r="AM382" s="719"/>
      <c r="AN382" s="719"/>
      <c r="AO382" s="719"/>
      <c r="AP382" s="719"/>
      <c r="AQ382" s="724">
        <f>+FL_1($T$383,$T$381,$G$382,1200,9.28,-1*$F$383)</f>
        <v>0.31069252799999991</v>
      </c>
      <c r="AR382" s="724"/>
      <c r="AS382" s="724"/>
      <c r="AT382" s="724"/>
      <c r="AU382" s="724"/>
      <c r="AV382" s="724"/>
      <c r="AW382" s="719"/>
      <c r="AX382" s="719"/>
      <c r="AY382" s="719"/>
    </row>
    <row r="383" spans="1:51" ht="15.75" hidden="1" customHeight="1">
      <c r="A383" s="716" t="s">
        <v>677</v>
      </c>
      <c r="B383" s="725" t="s">
        <v>1488</v>
      </c>
      <c r="C383" s="718">
        <f>+$C$381+$G$382</f>
        <v>39893</v>
      </c>
      <c r="D383" s="719"/>
      <c r="E383" s="719"/>
      <c r="F383" s="720">
        <v>0</v>
      </c>
      <c r="G383" s="721"/>
      <c r="H383" s="726" t="s">
        <v>138</v>
      </c>
      <c r="I383" s="722" t="s">
        <v>948</v>
      </c>
      <c r="J383" s="727"/>
      <c r="K383" s="719"/>
      <c r="L383" s="719" t="s">
        <v>241</v>
      </c>
      <c r="M383" s="719"/>
      <c r="N383" s="726" t="s">
        <v>695</v>
      </c>
      <c r="O383" s="726"/>
      <c r="P383" s="726"/>
      <c r="Q383" s="719">
        <v>0</v>
      </c>
      <c r="R383" s="719">
        <v>0</v>
      </c>
      <c r="S383" s="719"/>
      <c r="T383" s="719">
        <v>-30</v>
      </c>
      <c r="U383" s="719"/>
      <c r="V383" s="719"/>
      <c r="W383" s="719">
        <v>1.1000000000000001</v>
      </c>
      <c r="X383" s="719"/>
      <c r="Y383" s="719"/>
      <c r="Z383" s="719"/>
      <c r="AA383" s="719"/>
      <c r="AB383" s="719"/>
      <c r="AC383" s="719" t="s">
        <v>2612</v>
      </c>
      <c r="AD383" s="719"/>
      <c r="AE383" s="719"/>
      <c r="AF383" s="719">
        <v>200</v>
      </c>
      <c r="AG383" s="1341">
        <v>39891.32</v>
      </c>
      <c r="AH383" s="719">
        <v>1424</v>
      </c>
      <c r="AI383" s="719">
        <v>-5089</v>
      </c>
      <c r="AJ383" s="719"/>
      <c r="AK383" s="719"/>
      <c r="AL383" s="719"/>
      <c r="AM383" s="719" t="s">
        <v>2609</v>
      </c>
      <c r="AN383" s="719">
        <v>5.25</v>
      </c>
      <c r="AO383" s="719"/>
      <c r="AP383" s="719"/>
      <c r="AQ383" s="724"/>
      <c r="AR383" s="724"/>
      <c r="AS383" s="724"/>
      <c r="AT383" s="724">
        <f>+ab($T$383,$T$381,$T$385,$G$382,$G$384,-1*$F$383,1200)</f>
        <v>-7.8367762497742808</v>
      </c>
      <c r="AU383" s="724"/>
      <c r="AV383" s="724"/>
      <c r="AW383" s="719"/>
      <c r="AX383" s="719"/>
      <c r="AY383" s="719"/>
    </row>
    <row r="384" spans="1:51" ht="15.75" hidden="1" customHeight="1">
      <c r="A384" s="716"/>
      <c r="B384" s="717"/>
      <c r="C384" s="718"/>
      <c r="D384" s="719"/>
      <c r="E384" s="719"/>
      <c r="F384" s="720"/>
      <c r="G384" s="721">
        <v>50</v>
      </c>
      <c r="H384" s="726"/>
      <c r="I384" s="726"/>
      <c r="J384" s="727">
        <f>C383+10</f>
        <v>39903</v>
      </c>
      <c r="K384" s="719" t="s">
        <v>1097</v>
      </c>
      <c r="L384" s="719"/>
      <c r="M384" s="719"/>
      <c r="N384" s="726"/>
      <c r="O384" s="726"/>
      <c r="P384" s="726"/>
      <c r="Q384" s="719"/>
      <c r="R384" s="719"/>
      <c r="S384" s="719">
        <f>AG385-AG383</f>
        <v>51.209999999999127</v>
      </c>
      <c r="T384" s="719"/>
      <c r="U384" s="719"/>
      <c r="V384" s="719"/>
      <c r="W384" s="719"/>
      <c r="X384" s="719"/>
      <c r="Y384" s="719"/>
      <c r="Z384" s="719"/>
      <c r="AA384" s="719"/>
      <c r="AB384" s="719"/>
      <c r="AC384" s="719"/>
      <c r="AD384" s="719"/>
      <c r="AE384" s="719"/>
      <c r="AF384" s="719"/>
      <c r="AG384" s="1341"/>
      <c r="AH384" s="719"/>
      <c r="AI384" s="719"/>
      <c r="AJ384" s="719"/>
      <c r="AK384" s="719"/>
      <c r="AL384" s="719"/>
      <c r="AM384" s="719"/>
      <c r="AN384" s="719"/>
      <c r="AO384" s="719"/>
      <c r="AP384" s="719"/>
      <c r="AQ384" s="724">
        <f>+FL_2($U$385,$T$383,$G$384,1200,9.28,-1*$F$385)</f>
        <v>-0.39834769999999992</v>
      </c>
      <c r="AR384" s="724"/>
      <c r="AS384" s="724"/>
      <c r="AT384" s="724"/>
      <c r="AU384" s="724"/>
      <c r="AV384" s="724"/>
      <c r="AW384" s="719"/>
      <c r="AX384" s="719"/>
      <c r="AY384" s="719"/>
    </row>
    <row r="385" spans="1:51" ht="15.75" hidden="1" customHeight="1">
      <c r="A385" s="716" t="s">
        <v>677</v>
      </c>
      <c r="B385" s="725" t="s">
        <v>1489</v>
      </c>
      <c r="C385" s="718">
        <f>+$C$383+$G$384</f>
        <v>39943</v>
      </c>
      <c r="D385" s="719"/>
      <c r="E385" s="719"/>
      <c r="F385" s="720">
        <v>0</v>
      </c>
      <c r="G385" s="721"/>
      <c r="H385" s="726" t="s">
        <v>668</v>
      </c>
      <c r="I385" s="722"/>
      <c r="J385" s="727"/>
      <c r="K385" s="719"/>
      <c r="L385" s="719" t="s">
        <v>465</v>
      </c>
      <c r="M385" s="719"/>
      <c r="N385" s="726" t="s">
        <v>697</v>
      </c>
      <c r="O385" s="726" t="s">
        <v>696</v>
      </c>
      <c r="P385" s="726"/>
      <c r="Q385" s="719">
        <v>0</v>
      </c>
      <c r="R385" s="719">
        <v>0</v>
      </c>
      <c r="S385" s="719">
        <f>AG386-AG385</f>
        <v>3.2200000000011642</v>
      </c>
      <c r="T385" s="719">
        <v>25</v>
      </c>
      <c r="U385" s="719">
        <v>5</v>
      </c>
      <c r="V385" s="719"/>
      <c r="W385" s="719">
        <v>1.1000000000000001</v>
      </c>
      <c r="X385" s="719">
        <v>1.2</v>
      </c>
      <c r="Y385" s="719"/>
      <c r="Z385" s="719">
        <v>0.45</v>
      </c>
      <c r="AA385" s="719"/>
      <c r="AB385" s="719"/>
      <c r="AC385" s="719"/>
      <c r="AD385" s="719" t="s">
        <v>2616</v>
      </c>
      <c r="AE385" s="719"/>
      <c r="AF385" s="719">
        <v>200</v>
      </c>
      <c r="AG385" s="1341">
        <v>39942.53</v>
      </c>
      <c r="AH385" s="719">
        <v>1433</v>
      </c>
      <c r="AI385" s="719">
        <v>-5058</v>
      </c>
      <c r="AJ385" s="719"/>
      <c r="AK385" s="719"/>
      <c r="AL385" s="719"/>
      <c r="AM385" s="719" t="s">
        <v>2609</v>
      </c>
      <c r="AN385" s="719">
        <v>5.25</v>
      </c>
      <c r="AO385" s="719"/>
      <c r="AP385" s="719"/>
      <c r="AQ385" s="724"/>
      <c r="AR385" s="724"/>
      <c r="AS385" s="724"/>
      <c r="AT385" s="724">
        <f>+ab($U$385,$T$383,$U$387,$G$384,$G$386,-1*$F$385,1200)</f>
        <v>14.446766725215634</v>
      </c>
      <c r="AU385" s="724"/>
      <c r="AV385" s="724"/>
      <c r="AW385" s="719"/>
      <c r="AX385" s="719"/>
      <c r="AY385" s="719"/>
    </row>
    <row r="386" spans="1:51" ht="15.75" hidden="1" customHeight="1">
      <c r="A386" s="716"/>
      <c r="B386" s="717"/>
      <c r="C386" s="718"/>
      <c r="D386" s="719"/>
      <c r="E386" s="719"/>
      <c r="F386" s="720"/>
      <c r="G386" s="721">
        <v>50</v>
      </c>
      <c r="H386" s="726"/>
      <c r="I386" s="726"/>
      <c r="J386" s="727"/>
      <c r="K386" s="719"/>
      <c r="L386" s="719"/>
      <c r="M386" s="719"/>
      <c r="N386" s="726"/>
      <c r="O386" s="726"/>
      <c r="P386" s="726"/>
      <c r="Q386" s="719">
        <v>0</v>
      </c>
      <c r="R386" s="719">
        <v>0</v>
      </c>
      <c r="S386" s="719">
        <f t="shared" ref="S386" si="55">AG387-AG386</f>
        <v>44.870000000002619</v>
      </c>
      <c r="T386" s="719"/>
      <c r="U386" s="719"/>
      <c r="V386" s="719"/>
      <c r="W386" s="719"/>
      <c r="X386" s="719"/>
      <c r="Y386" s="719"/>
      <c r="Z386" s="719"/>
      <c r="AA386" s="719"/>
      <c r="AB386" s="719"/>
      <c r="AC386" s="719"/>
      <c r="AD386" s="719"/>
      <c r="AE386" s="719"/>
      <c r="AF386" s="719">
        <v>200</v>
      </c>
      <c r="AG386" s="1341">
        <v>39945.75</v>
      </c>
      <c r="AH386" s="719">
        <v>1411</v>
      </c>
      <c r="AI386" s="719">
        <v>-5073</v>
      </c>
      <c r="AJ386" s="719"/>
      <c r="AK386" s="719"/>
      <c r="AL386" s="719"/>
      <c r="AM386" s="719"/>
      <c r="AN386" s="719"/>
      <c r="AO386" s="719"/>
      <c r="AP386" s="719"/>
      <c r="AQ386" s="724">
        <f>+FL_2($T$387,$U$385,$G$386,1200,9.28,-1*$F$387)</f>
        <v>-0.24425286799999996</v>
      </c>
      <c r="AR386" s="724"/>
      <c r="AS386" s="724"/>
      <c r="AT386" s="724"/>
      <c r="AU386" s="724"/>
      <c r="AV386" s="724"/>
      <c r="AW386" s="719"/>
      <c r="AX386" s="719"/>
      <c r="AY386" s="719"/>
    </row>
    <row r="387" spans="1:51" ht="15.75" hidden="1" customHeight="1">
      <c r="A387" s="716" t="s">
        <v>677</v>
      </c>
      <c r="B387" s="725" t="s">
        <v>1490</v>
      </c>
      <c r="C387" s="718">
        <f>+$C$385+$G$386</f>
        <v>39993</v>
      </c>
      <c r="D387" s="719"/>
      <c r="E387" s="719"/>
      <c r="F387" s="720">
        <v>0</v>
      </c>
      <c r="G387" s="721"/>
      <c r="H387" s="726" t="s">
        <v>668</v>
      </c>
      <c r="I387" s="722"/>
      <c r="J387" s="727"/>
      <c r="K387" s="719"/>
      <c r="L387" s="719" t="s">
        <v>465</v>
      </c>
      <c r="M387" s="719"/>
      <c r="N387" s="726" t="s">
        <v>695</v>
      </c>
      <c r="O387" s="726" t="s">
        <v>697</v>
      </c>
      <c r="P387" s="726"/>
      <c r="Q387" s="719">
        <v>0</v>
      </c>
      <c r="R387" s="719">
        <v>0</v>
      </c>
      <c r="S387" s="719">
        <f>AG388-AG387</f>
        <v>3.1899999999950523</v>
      </c>
      <c r="T387" s="719">
        <v>-5</v>
      </c>
      <c r="U387" s="719">
        <v>-25</v>
      </c>
      <c r="V387" s="719"/>
      <c r="W387" s="719">
        <v>1.1000000000000001</v>
      </c>
      <c r="X387" s="719">
        <v>1.2</v>
      </c>
      <c r="Y387" s="719"/>
      <c r="Z387" s="719"/>
      <c r="AA387" s="719">
        <v>0.45</v>
      </c>
      <c r="AB387" s="719"/>
      <c r="AC387" s="719" t="s">
        <v>2612</v>
      </c>
      <c r="AD387" s="719"/>
      <c r="AE387" s="719"/>
      <c r="AF387" s="719">
        <v>200</v>
      </c>
      <c r="AG387" s="1341">
        <v>39990.620000000003</v>
      </c>
      <c r="AH387" s="719">
        <v>1424</v>
      </c>
      <c r="AI387" s="719">
        <v>-5102</v>
      </c>
      <c r="AJ387" s="719"/>
      <c r="AK387" s="719"/>
      <c r="AL387" s="719"/>
      <c r="AM387" s="719" t="s">
        <v>2609</v>
      </c>
      <c r="AN387" s="719">
        <v>5.25</v>
      </c>
      <c r="AO387" s="719"/>
      <c r="AP387" s="719"/>
      <c r="AQ387" s="724"/>
      <c r="AR387" s="724"/>
      <c r="AS387" s="724"/>
      <c r="AT387" s="724">
        <f>+ab($T$387,$T$385,$T$389,$G$386,$G$388,-1*$F$387,1200)</f>
        <v>-14.446873203935258</v>
      </c>
      <c r="AU387" s="724"/>
      <c r="AV387" s="724"/>
      <c r="AW387" s="719"/>
      <c r="AX387" s="719"/>
      <c r="AY387" s="719"/>
    </row>
    <row r="388" spans="1:51" ht="15.75" hidden="1" customHeight="1">
      <c r="A388" s="716"/>
      <c r="B388" s="717"/>
      <c r="C388" s="718"/>
      <c r="D388" s="719"/>
      <c r="E388" s="719"/>
      <c r="F388" s="720"/>
      <c r="G388" s="721">
        <v>50</v>
      </c>
      <c r="H388" s="726"/>
      <c r="I388" s="726"/>
      <c r="J388" s="727">
        <f>C389-9.4</f>
        <v>40033.599999999999</v>
      </c>
      <c r="K388" s="719" t="s">
        <v>1097</v>
      </c>
      <c r="L388" s="719"/>
      <c r="M388" s="719"/>
      <c r="N388" s="726"/>
      <c r="O388" s="726"/>
      <c r="P388" s="726"/>
      <c r="Q388" s="719">
        <v>0</v>
      </c>
      <c r="R388" s="719">
        <v>0</v>
      </c>
      <c r="S388" s="719">
        <f>AG389-AG388</f>
        <v>48.060000000004948</v>
      </c>
      <c r="T388" s="719"/>
      <c r="U388" s="719"/>
      <c r="V388" s="719"/>
      <c r="W388" s="719"/>
      <c r="X388" s="719"/>
      <c r="Y388" s="719"/>
      <c r="Z388" s="719"/>
      <c r="AA388" s="719"/>
      <c r="AB388" s="719"/>
      <c r="AC388" s="719"/>
      <c r="AD388" s="719"/>
      <c r="AE388" s="719"/>
      <c r="AF388" s="719">
        <v>200</v>
      </c>
      <c r="AG388" s="1341">
        <v>39993.81</v>
      </c>
      <c r="AH388" s="719">
        <v>1426</v>
      </c>
      <c r="AI388" s="719">
        <v>-5098</v>
      </c>
      <c r="AJ388" s="719"/>
      <c r="AK388" s="719"/>
      <c r="AL388" s="719"/>
      <c r="AM388" s="719"/>
      <c r="AN388" s="719"/>
      <c r="AO388" s="719"/>
      <c r="AP388" s="719"/>
      <c r="AQ388" s="724">
        <f>+FL_1($T$389,$T$387,$G$388,1200,9.28,-1*$F$389)</f>
        <v>0.39834769999999997</v>
      </c>
      <c r="AR388" s="724"/>
      <c r="AS388" s="724"/>
      <c r="AT388" s="724"/>
      <c r="AU388" s="724"/>
      <c r="AV388" s="724"/>
      <c r="AW388" s="719"/>
      <c r="AX388" s="719"/>
      <c r="AY388" s="719"/>
    </row>
    <row r="389" spans="1:51" ht="15.75" hidden="1" customHeight="1">
      <c r="A389" s="716" t="s">
        <v>677</v>
      </c>
      <c r="B389" s="725" t="s">
        <v>1491</v>
      </c>
      <c r="C389" s="718">
        <f>+$C$387+$G$388</f>
        <v>40043</v>
      </c>
      <c r="D389" s="719"/>
      <c r="E389" s="719"/>
      <c r="F389" s="720">
        <v>0</v>
      </c>
      <c r="G389" s="721"/>
      <c r="H389" s="726" t="s">
        <v>138</v>
      </c>
      <c r="I389" s="722" t="s">
        <v>948</v>
      </c>
      <c r="J389" s="727"/>
      <c r="K389" s="719"/>
      <c r="L389" s="719" t="s">
        <v>241</v>
      </c>
      <c r="M389" s="719"/>
      <c r="N389" s="726" t="s">
        <v>696</v>
      </c>
      <c r="O389" s="726"/>
      <c r="P389" s="726"/>
      <c r="Q389" s="719">
        <v>0</v>
      </c>
      <c r="R389" s="719">
        <v>0</v>
      </c>
      <c r="S389" s="719"/>
      <c r="T389" s="719">
        <v>30</v>
      </c>
      <c r="U389" s="719"/>
      <c r="V389" s="719"/>
      <c r="W389" s="719">
        <v>1.1000000000000001</v>
      </c>
      <c r="X389" s="719"/>
      <c r="Y389" s="719"/>
      <c r="Z389" s="719"/>
      <c r="AA389" s="719"/>
      <c r="AB389" s="719"/>
      <c r="AC389" s="719" t="s">
        <v>2612</v>
      </c>
      <c r="AD389" s="719"/>
      <c r="AE389" s="719"/>
      <c r="AF389" s="719">
        <v>200</v>
      </c>
      <c r="AG389" s="1341">
        <v>40041.870000000003</v>
      </c>
      <c r="AH389" s="719">
        <v>1473</v>
      </c>
      <c r="AI389" s="719">
        <v>-5081</v>
      </c>
      <c r="AJ389" s="719"/>
      <c r="AK389" s="719"/>
      <c r="AL389" s="719"/>
      <c r="AM389" s="719" t="s">
        <v>2609</v>
      </c>
      <c r="AN389" s="719">
        <v>5.25</v>
      </c>
      <c r="AO389" s="719"/>
      <c r="AP389" s="719"/>
      <c r="AQ389" s="724"/>
      <c r="AR389" s="724"/>
      <c r="AS389" s="724"/>
      <c r="AT389" s="724">
        <f>+ab($T$389,$T$387,$T$391,$G$388,$G$390,-1*$F$389,1200)</f>
        <v>9.9968917440918084</v>
      </c>
      <c r="AU389" s="724"/>
      <c r="AV389" s="724"/>
      <c r="AW389" s="719"/>
      <c r="AX389" s="719"/>
      <c r="AY389" s="719"/>
    </row>
    <row r="390" spans="1:51" ht="15.75" hidden="1" customHeight="1">
      <c r="A390" s="716"/>
      <c r="B390" s="717"/>
      <c r="C390" s="718"/>
      <c r="D390" s="719"/>
      <c r="E390" s="719"/>
      <c r="F390" s="720"/>
      <c r="G390" s="721">
        <v>50</v>
      </c>
      <c r="H390" s="726"/>
      <c r="I390" s="726"/>
      <c r="J390" s="727"/>
      <c r="K390" s="719"/>
      <c r="L390" s="719"/>
      <c r="M390" s="719"/>
      <c r="N390" s="726"/>
      <c r="O390" s="726"/>
      <c r="P390" s="738"/>
      <c r="Q390" s="719"/>
      <c r="R390" s="719"/>
      <c r="S390" s="719">
        <f t="shared" si="54"/>
        <v>51.19999999999709</v>
      </c>
      <c r="T390" s="719"/>
      <c r="U390" s="719"/>
      <c r="V390" s="719"/>
      <c r="W390" s="719"/>
      <c r="X390" s="719"/>
      <c r="Y390" s="719"/>
      <c r="Z390" s="719"/>
      <c r="AA390" s="719"/>
      <c r="AB390" s="719"/>
      <c r="AC390" s="719"/>
      <c r="AD390" s="719"/>
      <c r="AE390" s="719"/>
      <c r="AF390" s="719"/>
      <c r="AG390" s="1341"/>
      <c r="AH390" s="719"/>
      <c r="AI390" s="719"/>
      <c r="AJ390" s="719"/>
      <c r="AK390" s="719"/>
      <c r="AL390" s="719"/>
      <c r="AM390" s="719"/>
      <c r="AN390" s="719"/>
      <c r="AO390" s="719"/>
      <c r="AP390" s="719"/>
      <c r="AQ390" s="724">
        <f>+FL_2($T$391,$T$389,$G$390,1200,9.28,-1*$F$391)</f>
        <v>-0.33477011200000001</v>
      </c>
      <c r="AR390" s="724"/>
      <c r="AS390" s="724"/>
      <c r="AT390" s="724"/>
      <c r="AU390" s="724"/>
      <c r="AV390" s="724"/>
      <c r="AW390" s="719"/>
      <c r="AX390" s="719"/>
      <c r="AY390" s="719"/>
    </row>
    <row r="391" spans="1:51" ht="15.75" hidden="1" customHeight="1">
      <c r="A391" s="716" t="s">
        <v>677</v>
      </c>
      <c r="B391" s="725" t="s">
        <v>1492</v>
      </c>
      <c r="C391" s="718">
        <f>+$C$389+$G$390</f>
        <v>40093</v>
      </c>
      <c r="D391" s="719"/>
      <c r="E391" s="719"/>
      <c r="F391" s="720">
        <v>0</v>
      </c>
      <c r="G391" s="721"/>
      <c r="H391" s="726"/>
      <c r="I391" s="726"/>
      <c r="J391" s="727"/>
      <c r="K391" s="719"/>
      <c r="L391" s="719" t="s">
        <v>241</v>
      </c>
      <c r="M391" s="719"/>
      <c r="N391" s="726" t="s">
        <v>695</v>
      </c>
      <c r="O391" s="726"/>
      <c r="P391" s="726"/>
      <c r="Q391" s="719">
        <v>0</v>
      </c>
      <c r="R391" s="719">
        <v>0</v>
      </c>
      <c r="S391" s="719"/>
      <c r="T391" s="719">
        <v>-30</v>
      </c>
      <c r="U391" s="719"/>
      <c r="V391" s="719"/>
      <c r="W391" s="719">
        <v>1.1000000000000001</v>
      </c>
      <c r="X391" s="719"/>
      <c r="Y391" s="719"/>
      <c r="Z391" s="719"/>
      <c r="AA391" s="719"/>
      <c r="AB391" s="719"/>
      <c r="AC391" s="719" t="s">
        <v>2977</v>
      </c>
      <c r="AD391" s="719"/>
      <c r="AE391" s="719"/>
      <c r="AF391" s="719">
        <v>200</v>
      </c>
      <c r="AG391" s="1341">
        <v>40093.07</v>
      </c>
      <c r="AH391" s="719">
        <v>1493</v>
      </c>
      <c r="AI391" s="719">
        <v>-5054</v>
      </c>
      <c r="AJ391" s="719"/>
      <c r="AK391" s="719"/>
      <c r="AL391" s="719"/>
      <c r="AM391" s="719" t="s">
        <v>2609</v>
      </c>
      <c r="AN391" s="719">
        <v>5.25</v>
      </c>
      <c r="AO391" s="719"/>
      <c r="AP391" s="719"/>
      <c r="AQ391" s="724"/>
      <c r="AR391" s="724"/>
      <c r="AS391" s="724"/>
      <c r="AT391" s="724">
        <f>+ab($T$391,$T$389,$T$393,$G$390,$G$392,-1*$F$391,1200)</f>
        <v>-7.9442410717051439</v>
      </c>
      <c r="AU391" s="724"/>
      <c r="AV391" s="724"/>
      <c r="AW391" s="719"/>
      <c r="AX391" s="719"/>
      <c r="AY391" s="719"/>
    </row>
    <row r="392" spans="1:51" ht="15.75" hidden="1" customHeight="1">
      <c r="A392" s="716"/>
      <c r="B392" s="717"/>
      <c r="C392" s="718"/>
      <c r="D392" s="719"/>
      <c r="E392" s="719"/>
      <c r="F392" s="720"/>
      <c r="G392" s="721">
        <v>50</v>
      </c>
      <c r="H392" s="726"/>
      <c r="I392" s="726"/>
      <c r="J392" s="727"/>
      <c r="K392" s="719"/>
      <c r="L392" s="719"/>
      <c r="M392" s="719"/>
      <c r="N392" s="726"/>
      <c r="O392" s="726"/>
      <c r="P392" s="726"/>
      <c r="Q392" s="719"/>
      <c r="R392" s="719"/>
      <c r="S392" s="719">
        <f t="shared" si="54"/>
        <v>51.309999999997672</v>
      </c>
      <c r="T392" s="719"/>
      <c r="U392" s="719"/>
      <c r="V392" s="719"/>
      <c r="W392" s="719"/>
      <c r="X392" s="719"/>
      <c r="Y392" s="719"/>
      <c r="Z392" s="719"/>
      <c r="AA392" s="719"/>
      <c r="AB392" s="719"/>
      <c r="AC392" s="719"/>
      <c r="AD392" s="719"/>
      <c r="AE392" s="719"/>
      <c r="AF392" s="719"/>
      <c r="AG392" s="1341"/>
      <c r="AH392" s="719"/>
      <c r="AI392" s="719"/>
      <c r="AJ392" s="719"/>
      <c r="AK392" s="719"/>
      <c r="AL392" s="719"/>
      <c r="AM392" s="719"/>
      <c r="AN392" s="719"/>
      <c r="AO392" s="719"/>
      <c r="AP392" s="719"/>
      <c r="AQ392" s="724">
        <f>+FL_1($T$393,$T$391,$G$392,1200,9.28,-1*$F$393)</f>
        <v>0.33477011200000001</v>
      </c>
      <c r="AR392" s="724"/>
      <c r="AS392" s="724"/>
      <c r="AT392" s="724"/>
      <c r="AU392" s="724"/>
      <c r="AV392" s="724"/>
      <c r="AW392" s="719"/>
      <c r="AX392" s="719"/>
      <c r="AY392" s="719"/>
    </row>
    <row r="393" spans="1:51" ht="15.75" hidden="1" customHeight="1">
      <c r="A393" s="716" t="s">
        <v>677</v>
      </c>
      <c r="B393" s="725" t="s">
        <v>1493</v>
      </c>
      <c r="C393" s="718">
        <f>+$C$391+$G$392</f>
        <v>40143</v>
      </c>
      <c r="D393" s="719"/>
      <c r="E393" s="719"/>
      <c r="F393" s="720">
        <v>0</v>
      </c>
      <c r="G393" s="721"/>
      <c r="H393" s="726"/>
      <c r="I393" s="726"/>
      <c r="J393" s="727"/>
      <c r="K393" s="719"/>
      <c r="L393" s="719" t="s">
        <v>241</v>
      </c>
      <c r="M393" s="719"/>
      <c r="N393" s="726" t="s">
        <v>696</v>
      </c>
      <c r="O393" s="726"/>
      <c r="P393" s="726"/>
      <c r="Q393" s="719">
        <v>0</v>
      </c>
      <c r="R393" s="719">
        <v>0</v>
      </c>
      <c r="S393" s="719"/>
      <c r="T393" s="719">
        <v>30</v>
      </c>
      <c r="U393" s="719"/>
      <c r="V393" s="719"/>
      <c r="W393" s="719">
        <v>1.1000000000000001</v>
      </c>
      <c r="X393" s="719"/>
      <c r="Y393" s="719"/>
      <c r="Z393" s="719"/>
      <c r="AA393" s="719"/>
      <c r="AB393" s="719"/>
      <c r="AC393" s="719" t="s">
        <v>2977</v>
      </c>
      <c r="AD393" s="719"/>
      <c r="AE393" s="719"/>
      <c r="AF393" s="719">
        <v>200</v>
      </c>
      <c r="AG393" s="1341">
        <v>40144.379999999997</v>
      </c>
      <c r="AH393" s="719">
        <v>1481</v>
      </c>
      <c r="AI393" s="719">
        <v>-5083</v>
      </c>
      <c r="AJ393" s="719"/>
      <c r="AK393" s="719"/>
      <c r="AL393" s="719"/>
      <c r="AM393" s="719" t="s">
        <v>2609</v>
      </c>
      <c r="AN393" s="719">
        <v>5.25</v>
      </c>
      <c r="AO393" s="719"/>
      <c r="AP393" s="719"/>
      <c r="AQ393" s="724"/>
      <c r="AR393" s="724"/>
      <c r="AS393" s="724"/>
      <c r="AT393" s="724">
        <f>+ab($T$393,$T$391,$T$395,$G$392,$G$394,-1*$F$393,1200)</f>
        <v>7.9442083933778509</v>
      </c>
      <c r="AU393" s="724"/>
      <c r="AV393" s="724"/>
      <c r="AW393" s="719"/>
      <c r="AX393" s="719"/>
      <c r="AY393" s="719"/>
    </row>
    <row r="394" spans="1:51" ht="15.75" hidden="1" customHeight="1">
      <c r="A394" s="716"/>
      <c r="B394" s="717"/>
      <c r="C394" s="718"/>
      <c r="D394" s="719"/>
      <c r="E394" s="719"/>
      <c r="F394" s="720"/>
      <c r="G394" s="721">
        <v>50</v>
      </c>
      <c r="H394" s="726"/>
      <c r="I394" s="726"/>
      <c r="J394" s="727"/>
      <c r="K394" s="719"/>
      <c r="L394" s="719"/>
      <c r="M394" s="719"/>
      <c r="N394" s="726"/>
      <c r="O394" s="726"/>
      <c r="P394" s="738"/>
      <c r="Q394" s="719"/>
      <c r="R394" s="719"/>
      <c r="S394" s="719">
        <f t="shared" si="54"/>
        <v>48.010000000002037</v>
      </c>
      <c r="T394" s="719"/>
      <c r="U394" s="719"/>
      <c r="V394" s="719"/>
      <c r="W394" s="719"/>
      <c r="X394" s="719"/>
      <c r="Y394" s="719"/>
      <c r="Z394" s="719"/>
      <c r="AA394" s="719"/>
      <c r="AB394" s="719"/>
      <c r="AC394" s="719"/>
      <c r="AD394" s="719"/>
      <c r="AE394" s="719"/>
      <c r="AF394" s="719"/>
      <c r="AG394" s="1341"/>
      <c r="AH394" s="719"/>
      <c r="AI394" s="719"/>
      <c r="AJ394" s="719"/>
      <c r="AK394" s="719"/>
      <c r="AL394" s="719"/>
      <c r="AM394" s="719"/>
      <c r="AN394" s="719"/>
      <c r="AO394" s="719"/>
      <c r="AP394" s="719"/>
      <c r="AQ394" s="724">
        <f>+FL_2($T$395,$T$393,$G$394,1200,9.28,-1*$F$395)</f>
        <v>-0.33477011200000001</v>
      </c>
      <c r="AR394" s="724"/>
      <c r="AS394" s="724"/>
      <c r="AT394" s="724"/>
      <c r="AU394" s="724"/>
      <c r="AV394" s="724"/>
      <c r="AW394" s="719"/>
      <c r="AX394" s="719"/>
      <c r="AY394" s="719"/>
    </row>
    <row r="395" spans="1:51" ht="15.75" hidden="1" customHeight="1">
      <c r="A395" s="716" t="s">
        <v>677</v>
      </c>
      <c r="B395" s="725" t="s">
        <v>1494</v>
      </c>
      <c r="C395" s="718">
        <f>+$C$393+$G$394</f>
        <v>40193</v>
      </c>
      <c r="D395" s="719"/>
      <c r="E395" s="719"/>
      <c r="F395" s="720">
        <v>0</v>
      </c>
      <c r="G395" s="721"/>
      <c r="H395" s="726"/>
      <c r="I395" s="726"/>
      <c r="J395" s="727"/>
      <c r="K395" s="719"/>
      <c r="L395" s="719" t="s">
        <v>241</v>
      </c>
      <c r="M395" s="719"/>
      <c r="N395" s="726" t="s">
        <v>695</v>
      </c>
      <c r="O395" s="726"/>
      <c r="P395" s="726"/>
      <c r="Q395" s="719">
        <v>0</v>
      </c>
      <c r="R395" s="719">
        <v>0</v>
      </c>
      <c r="S395" s="719"/>
      <c r="T395" s="719">
        <v>-30</v>
      </c>
      <c r="U395" s="719"/>
      <c r="V395" s="719"/>
      <c r="W395" s="719">
        <v>1.1000000000000001</v>
      </c>
      <c r="X395" s="719"/>
      <c r="Y395" s="719"/>
      <c r="Z395" s="719"/>
      <c r="AA395" s="719"/>
      <c r="AB395" s="719"/>
      <c r="AC395" s="719" t="s">
        <v>2977</v>
      </c>
      <c r="AD395" s="719"/>
      <c r="AE395" s="719"/>
      <c r="AF395" s="719">
        <v>200</v>
      </c>
      <c r="AG395" s="1341">
        <v>40192.39</v>
      </c>
      <c r="AH395" s="719">
        <v>1484</v>
      </c>
      <c r="AI395" s="719">
        <v>-5072</v>
      </c>
      <c r="AJ395" s="719"/>
      <c r="AK395" s="719"/>
      <c r="AL395" s="719"/>
      <c r="AM395" s="719" t="s">
        <v>2609</v>
      </c>
      <c r="AN395" s="719">
        <v>5.25</v>
      </c>
      <c r="AO395" s="719"/>
      <c r="AP395" s="719"/>
      <c r="AQ395" s="724"/>
      <c r="AR395" s="724"/>
      <c r="AS395" s="724"/>
      <c r="AT395" s="724">
        <f>+ab($T$395,$T$393,$T$397,$G$394,$G$396,-1*$F$395,1200)</f>
        <v>-7.7841209935497506</v>
      </c>
      <c r="AU395" s="724"/>
      <c r="AV395" s="724"/>
      <c r="AW395" s="719"/>
      <c r="AX395" s="719"/>
      <c r="AY395" s="719"/>
    </row>
    <row r="396" spans="1:51" ht="15.75" hidden="1" customHeight="1">
      <c r="A396" s="716"/>
      <c r="B396" s="717"/>
      <c r="C396" s="718"/>
      <c r="D396" s="719"/>
      <c r="E396" s="719"/>
      <c r="F396" s="720"/>
      <c r="G396" s="721">
        <v>48</v>
      </c>
      <c r="H396" s="726"/>
      <c r="I396" s="726"/>
      <c r="J396" s="727"/>
      <c r="K396" s="719"/>
      <c r="L396" s="719"/>
      <c r="M396" s="719"/>
      <c r="N396" s="726"/>
      <c r="O396" s="726"/>
      <c r="P396" s="726"/>
      <c r="Q396" s="719"/>
      <c r="R396" s="719"/>
      <c r="S396" s="719">
        <f t="shared" si="54"/>
        <v>47.989999999997963</v>
      </c>
      <c r="T396" s="719"/>
      <c r="U396" s="719"/>
      <c r="V396" s="719"/>
      <c r="W396" s="719"/>
      <c r="X396" s="719"/>
      <c r="Y396" s="719"/>
      <c r="Z396" s="719"/>
      <c r="AA396" s="719"/>
      <c r="AB396" s="719"/>
      <c r="AC396" s="719"/>
      <c r="AD396" s="719"/>
      <c r="AE396" s="719"/>
      <c r="AF396" s="719"/>
      <c r="AG396" s="1341"/>
      <c r="AH396" s="719"/>
      <c r="AI396" s="719"/>
      <c r="AJ396" s="719"/>
      <c r="AK396" s="719"/>
      <c r="AL396" s="719"/>
      <c r="AM396" s="719"/>
      <c r="AN396" s="719"/>
      <c r="AO396" s="719"/>
      <c r="AP396" s="719"/>
      <c r="AQ396" s="724">
        <f>+FL_1($T$397,$T$395,$G$396,1200,9.28,-1*$F$397)</f>
        <v>0.3237437013333333</v>
      </c>
      <c r="AR396" s="724"/>
      <c r="AS396" s="724"/>
      <c r="AT396" s="724"/>
      <c r="AU396" s="724"/>
      <c r="AV396" s="724"/>
      <c r="AW396" s="719"/>
      <c r="AX396" s="719"/>
      <c r="AY396" s="719"/>
    </row>
    <row r="397" spans="1:51" ht="15.75" hidden="1" customHeight="1">
      <c r="A397" s="716" t="s">
        <v>677</v>
      </c>
      <c r="B397" s="725" t="s">
        <v>1495</v>
      </c>
      <c r="C397" s="718">
        <f>+$C$395+$G$396</f>
        <v>40241</v>
      </c>
      <c r="D397" s="719"/>
      <c r="E397" s="719"/>
      <c r="F397" s="720">
        <v>0</v>
      </c>
      <c r="G397" s="721"/>
      <c r="H397" s="726"/>
      <c r="I397" s="726"/>
      <c r="J397" s="727"/>
      <c r="K397" s="719"/>
      <c r="L397" s="719" t="s">
        <v>241</v>
      </c>
      <c r="M397" s="719"/>
      <c r="N397" s="726" t="s">
        <v>696</v>
      </c>
      <c r="O397" s="726"/>
      <c r="P397" s="726"/>
      <c r="Q397" s="719">
        <v>0</v>
      </c>
      <c r="R397" s="719">
        <v>0</v>
      </c>
      <c r="S397" s="719"/>
      <c r="T397" s="719">
        <v>30</v>
      </c>
      <c r="U397" s="719"/>
      <c r="V397" s="719"/>
      <c r="W397" s="719">
        <v>1.1000000000000001</v>
      </c>
      <c r="X397" s="719"/>
      <c r="Y397" s="719"/>
      <c r="Z397" s="719"/>
      <c r="AA397" s="719"/>
      <c r="AB397" s="719"/>
      <c r="AC397" s="719" t="s">
        <v>2977</v>
      </c>
      <c r="AD397" s="719"/>
      <c r="AE397" s="719"/>
      <c r="AF397" s="719">
        <v>200</v>
      </c>
      <c r="AG397" s="1341">
        <v>40240.379999999997</v>
      </c>
      <c r="AH397" s="719">
        <v>1501</v>
      </c>
      <c r="AI397" s="719">
        <v>-5070</v>
      </c>
      <c r="AJ397" s="719"/>
      <c r="AK397" s="719"/>
      <c r="AL397" s="719"/>
      <c r="AM397" s="719" t="s">
        <v>2609</v>
      </c>
      <c r="AN397" s="719">
        <v>5.25</v>
      </c>
      <c r="AO397" s="719"/>
      <c r="AP397" s="719"/>
      <c r="AQ397" s="724"/>
      <c r="AR397" s="724"/>
      <c r="AS397" s="724"/>
      <c r="AT397" s="724">
        <f>+ab($T$397,$T$395,$T$399,$G$396,$G$398,-1*$F$397,1200)</f>
        <v>7.7840902388502782</v>
      </c>
      <c r="AU397" s="724"/>
      <c r="AV397" s="724"/>
      <c r="AW397" s="719"/>
      <c r="AX397" s="719"/>
      <c r="AY397" s="719"/>
    </row>
    <row r="398" spans="1:51" ht="15.75" hidden="1" customHeight="1">
      <c r="A398" s="716"/>
      <c r="B398" s="717"/>
      <c r="C398" s="718"/>
      <c r="D398" s="719"/>
      <c r="E398" s="719"/>
      <c r="F398" s="720"/>
      <c r="G398" s="721">
        <v>50</v>
      </c>
      <c r="H398" s="726"/>
      <c r="I398" s="726"/>
      <c r="J398" s="727"/>
      <c r="K398" s="719"/>
      <c r="L398" s="719"/>
      <c r="M398" s="719"/>
      <c r="N398" s="726"/>
      <c r="O398" s="726"/>
      <c r="P398" s="726"/>
      <c r="Q398" s="719"/>
      <c r="R398" s="719"/>
      <c r="S398" s="719">
        <f t="shared" si="54"/>
        <v>51.330000000001746</v>
      </c>
      <c r="T398" s="719"/>
      <c r="U398" s="719"/>
      <c r="V398" s="719"/>
      <c r="W398" s="719"/>
      <c r="X398" s="719"/>
      <c r="Y398" s="719"/>
      <c r="Z398" s="719"/>
      <c r="AA398" s="719"/>
      <c r="AB398" s="719"/>
      <c r="AC398" s="719"/>
      <c r="AD398" s="719"/>
      <c r="AE398" s="719"/>
      <c r="AF398" s="719"/>
      <c r="AG398" s="1341"/>
      <c r="AH398" s="719"/>
      <c r="AI398" s="719"/>
      <c r="AJ398" s="719"/>
      <c r="AK398" s="719"/>
      <c r="AL398" s="719"/>
      <c r="AM398" s="719"/>
      <c r="AN398" s="719"/>
      <c r="AO398" s="719"/>
      <c r="AP398" s="719"/>
      <c r="AQ398" s="724">
        <f>+FL_2($T$399,$T$397,$G$398,1200,9.28,-1*$F$399)</f>
        <v>-0.33477011200000001</v>
      </c>
      <c r="AR398" s="724"/>
      <c r="AS398" s="724"/>
      <c r="AT398" s="724"/>
      <c r="AU398" s="724"/>
      <c r="AV398" s="724"/>
      <c r="AW398" s="719"/>
      <c r="AX398" s="719"/>
      <c r="AY398" s="719"/>
    </row>
    <row r="399" spans="1:51" ht="15.75" hidden="1" customHeight="1">
      <c r="A399" s="716" t="s">
        <v>677</v>
      </c>
      <c r="B399" s="725" t="s">
        <v>1496</v>
      </c>
      <c r="C399" s="718">
        <f>+$C$397+$G$398</f>
        <v>40291</v>
      </c>
      <c r="D399" s="719"/>
      <c r="E399" s="719"/>
      <c r="F399" s="720">
        <v>0</v>
      </c>
      <c r="G399" s="721"/>
      <c r="H399" s="726"/>
      <c r="I399" s="726"/>
      <c r="J399" s="727"/>
      <c r="K399" s="719"/>
      <c r="L399" s="719" t="s">
        <v>241</v>
      </c>
      <c r="M399" s="719"/>
      <c r="N399" s="726" t="s">
        <v>695</v>
      </c>
      <c r="O399" s="726"/>
      <c r="P399" s="726"/>
      <c r="Q399" s="719">
        <v>0</v>
      </c>
      <c r="R399" s="719">
        <v>0</v>
      </c>
      <c r="S399" s="719"/>
      <c r="T399" s="719">
        <v>-30</v>
      </c>
      <c r="U399" s="719"/>
      <c r="V399" s="719"/>
      <c r="W399" s="719">
        <v>1.1000000000000001</v>
      </c>
      <c r="X399" s="719"/>
      <c r="Y399" s="719"/>
      <c r="Z399" s="719"/>
      <c r="AA399" s="719"/>
      <c r="AB399" s="719"/>
      <c r="AC399" s="719" t="s">
        <v>2977</v>
      </c>
      <c r="AD399" s="719"/>
      <c r="AE399" s="719"/>
      <c r="AF399" s="719">
        <v>200</v>
      </c>
      <c r="AG399" s="1341">
        <v>40291.71</v>
      </c>
      <c r="AH399" s="719">
        <v>1483</v>
      </c>
      <c r="AI399" s="719">
        <v>-5092</v>
      </c>
      <c r="AJ399" s="719"/>
      <c r="AK399" s="719"/>
      <c r="AL399" s="719"/>
      <c r="AM399" s="719" t="s">
        <v>2609</v>
      </c>
      <c r="AN399" s="719">
        <v>5.25</v>
      </c>
      <c r="AO399" s="719"/>
      <c r="AP399" s="719"/>
      <c r="AQ399" s="724"/>
      <c r="AR399" s="724"/>
      <c r="AS399" s="724"/>
      <c r="AT399" s="724">
        <f>+ab($T$399,$T$397,$T$401,$G$398,$G$400,-1*$F$399,1200)</f>
        <v>-7.9442410717051439</v>
      </c>
      <c r="AU399" s="724"/>
      <c r="AV399" s="724"/>
      <c r="AW399" s="719"/>
      <c r="AX399" s="719"/>
      <c r="AY399" s="719"/>
    </row>
    <row r="400" spans="1:51" ht="15.75" hidden="1" customHeight="1">
      <c r="A400" s="716"/>
      <c r="B400" s="717"/>
      <c r="C400" s="718"/>
      <c r="D400" s="719"/>
      <c r="E400" s="719"/>
      <c r="F400" s="720"/>
      <c r="G400" s="721">
        <v>50</v>
      </c>
      <c r="H400" s="726"/>
      <c r="I400" s="726"/>
      <c r="J400" s="727"/>
      <c r="K400" s="719"/>
      <c r="L400" s="719"/>
      <c r="M400" s="719"/>
      <c r="N400" s="726"/>
      <c r="O400" s="726"/>
      <c r="P400" s="726"/>
      <c r="Q400" s="719"/>
      <c r="R400" s="719"/>
      <c r="S400" s="719">
        <f t="shared" si="54"/>
        <v>48.010000000002037</v>
      </c>
      <c r="T400" s="719"/>
      <c r="U400" s="719"/>
      <c r="V400" s="719"/>
      <c r="W400" s="719"/>
      <c r="X400" s="719"/>
      <c r="Y400" s="719"/>
      <c r="Z400" s="719"/>
      <c r="AA400" s="719"/>
      <c r="AB400" s="719"/>
      <c r="AC400" s="719"/>
      <c r="AD400" s="719"/>
      <c r="AE400" s="719"/>
      <c r="AF400" s="719"/>
      <c r="AG400" s="1341"/>
      <c r="AH400" s="719"/>
      <c r="AI400" s="719"/>
      <c r="AJ400" s="719"/>
      <c r="AK400" s="719"/>
      <c r="AL400" s="719"/>
      <c r="AM400" s="719"/>
      <c r="AN400" s="719"/>
      <c r="AO400" s="719"/>
      <c r="AP400" s="719"/>
      <c r="AQ400" s="724">
        <f>+FL_1($T$401,$T$399,$G$400,1200,9.28,-1*$F$401)</f>
        <v>0.33477011200000001</v>
      </c>
      <c r="AR400" s="724"/>
      <c r="AS400" s="724"/>
      <c r="AT400" s="724"/>
      <c r="AU400" s="724"/>
      <c r="AV400" s="724"/>
      <c r="AW400" s="719"/>
      <c r="AX400" s="719"/>
      <c r="AY400" s="719"/>
    </row>
    <row r="401" spans="1:51" ht="15.75" customHeight="1">
      <c r="A401" s="716" t="s">
        <v>677</v>
      </c>
      <c r="B401" s="725" t="s">
        <v>1497</v>
      </c>
      <c r="C401" s="718">
        <f>+$C$399+$G$400</f>
        <v>40341</v>
      </c>
      <c r="D401" s="719"/>
      <c r="E401" s="719"/>
      <c r="F401" s="720">
        <v>0</v>
      </c>
      <c r="G401" s="721"/>
      <c r="H401" s="726" t="s">
        <v>1101</v>
      </c>
      <c r="I401" s="726"/>
      <c r="J401" s="727"/>
      <c r="K401" s="719"/>
      <c r="L401" s="719" t="s">
        <v>241</v>
      </c>
      <c r="M401" s="719"/>
      <c r="N401" s="726" t="s">
        <v>696</v>
      </c>
      <c r="O401" s="726"/>
      <c r="P401" s="726"/>
      <c r="Q401" s="719">
        <v>0</v>
      </c>
      <c r="R401" s="719">
        <v>0</v>
      </c>
      <c r="S401" s="719"/>
      <c r="T401" s="719">
        <v>30</v>
      </c>
      <c r="U401" s="719"/>
      <c r="V401" s="719"/>
      <c r="W401" s="719">
        <v>1.1000000000000001</v>
      </c>
      <c r="X401" s="719"/>
      <c r="Y401" s="719"/>
      <c r="Z401" s="719"/>
      <c r="AA401" s="719"/>
      <c r="AB401" s="719"/>
      <c r="AC401" s="719" t="s">
        <v>2977</v>
      </c>
      <c r="AD401" s="719"/>
      <c r="AE401" s="719"/>
      <c r="AF401" s="719">
        <v>200</v>
      </c>
      <c r="AG401" s="1341">
        <v>40339.72</v>
      </c>
      <c r="AH401" s="719">
        <v>1492</v>
      </c>
      <c r="AI401" s="719">
        <v>-5089</v>
      </c>
      <c r="AJ401" s="719"/>
      <c r="AK401" s="719"/>
      <c r="AL401" s="719"/>
      <c r="AM401" s="719" t="s">
        <v>2609</v>
      </c>
      <c r="AN401" s="719">
        <v>5.25</v>
      </c>
      <c r="AO401" s="719"/>
      <c r="AP401" s="719"/>
      <c r="AQ401" s="724"/>
      <c r="AR401" s="724"/>
      <c r="AS401" s="724"/>
      <c r="AT401" s="724">
        <f>+ab($T$401,$T$399,$T$403,$G$400,$G$402,-1*$F$401,1200)</f>
        <v>7.9442083933778509</v>
      </c>
      <c r="AU401" s="724"/>
      <c r="AV401" s="724"/>
      <c r="AW401" s="719"/>
      <c r="AX401" s="719"/>
      <c r="AY401" s="719"/>
    </row>
    <row r="402" spans="1:51" ht="15.75" hidden="1" customHeight="1">
      <c r="A402" s="716"/>
      <c r="B402" s="717"/>
      <c r="C402" s="718"/>
      <c r="D402" s="719"/>
      <c r="E402" s="719"/>
      <c r="F402" s="720"/>
      <c r="G402" s="721">
        <v>50</v>
      </c>
      <c r="H402" s="726"/>
      <c r="I402" s="726">
        <f>+SUM(G384:G402)</f>
        <v>498</v>
      </c>
      <c r="J402" s="727">
        <f>C401+2.2</f>
        <v>40343.199999999997</v>
      </c>
      <c r="K402" s="719" t="s">
        <v>1102</v>
      </c>
      <c r="L402" s="719"/>
      <c r="M402" s="719"/>
      <c r="N402" s="726"/>
      <c r="O402" s="726"/>
      <c r="P402" s="726"/>
      <c r="Q402" s="719"/>
      <c r="R402" s="719"/>
      <c r="S402" s="719">
        <f t="shared" si="54"/>
        <v>51.269999999996799</v>
      </c>
      <c r="T402" s="719"/>
      <c r="U402" s="719"/>
      <c r="V402" s="719"/>
      <c r="W402" s="719"/>
      <c r="X402" s="719"/>
      <c r="Y402" s="719"/>
      <c r="Z402" s="719"/>
      <c r="AA402" s="719"/>
      <c r="AB402" s="719"/>
      <c r="AC402" s="719"/>
      <c r="AD402" s="719"/>
      <c r="AE402" s="719"/>
      <c r="AF402" s="719"/>
      <c r="AG402" s="1341"/>
      <c r="AH402" s="719"/>
      <c r="AI402" s="719"/>
      <c r="AJ402" s="719"/>
      <c r="AK402" s="719"/>
      <c r="AL402" s="719"/>
      <c r="AM402" s="719"/>
      <c r="AN402" s="719"/>
      <c r="AO402" s="719"/>
      <c r="AP402" s="719"/>
      <c r="AQ402" s="724">
        <f>+FL_2($T$403,$T$401,$G$402,1200,9.28,-1*$F$403)</f>
        <v>-0.33477011200000001</v>
      </c>
      <c r="AR402" s="724"/>
      <c r="AS402" s="724"/>
      <c r="AT402" s="724"/>
      <c r="AU402" s="724"/>
      <c r="AV402" s="724"/>
      <c r="AW402" s="719"/>
      <c r="AX402" s="719"/>
      <c r="AY402" s="719"/>
    </row>
    <row r="403" spans="1:51" ht="15.75" customHeight="1">
      <c r="A403" s="716" t="s">
        <v>677</v>
      </c>
      <c r="B403" s="725" t="s">
        <v>1498</v>
      </c>
      <c r="C403" s="718">
        <f>+$C$401+$G$402</f>
        <v>40391</v>
      </c>
      <c r="D403" s="719"/>
      <c r="E403" s="719"/>
      <c r="F403" s="720">
        <v>0</v>
      </c>
      <c r="G403" s="721"/>
      <c r="H403" s="726" t="s">
        <v>997</v>
      </c>
      <c r="I403" s="726"/>
      <c r="J403" s="727"/>
      <c r="K403" s="719"/>
      <c r="L403" s="719" t="s">
        <v>241</v>
      </c>
      <c r="M403" s="719"/>
      <c r="N403" s="726" t="s">
        <v>695</v>
      </c>
      <c r="O403" s="726"/>
      <c r="P403" s="726"/>
      <c r="Q403" s="719">
        <v>0</v>
      </c>
      <c r="R403" s="719">
        <v>0</v>
      </c>
      <c r="S403" s="719"/>
      <c r="T403" s="719">
        <v>-30</v>
      </c>
      <c r="U403" s="719"/>
      <c r="V403" s="719"/>
      <c r="W403" s="719">
        <v>1.1000000000000001</v>
      </c>
      <c r="X403" s="719"/>
      <c r="Y403" s="719"/>
      <c r="Z403" s="719"/>
      <c r="AA403" s="719"/>
      <c r="AB403" s="719"/>
      <c r="AC403" s="719" t="s">
        <v>2977</v>
      </c>
      <c r="AD403" s="719"/>
      <c r="AE403" s="719"/>
      <c r="AF403" s="719">
        <v>200</v>
      </c>
      <c r="AG403" s="1341">
        <v>40390.99</v>
      </c>
      <c r="AH403" s="719">
        <v>1501</v>
      </c>
      <c r="AI403" s="719">
        <v>-5104</v>
      </c>
      <c r="AJ403" s="719"/>
      <c r="AK403" s="719"/>
      <c r="AL403" s="719"/>
      <c r="AM403" s="719" t="s">
        <v>2609</v>
      </c>
      <c r="AN403" s="719">
        <v>5.25</v>
      </c>
      <c r="AO403" s="719"/>
      <c r="AP403" s="719"/>
      <c r="AQ403" s="724"/>
      <c r="AR403" s="724"/>
      <c r="AS403" s="724"/>
      <c r="AT403" s="724">
        <f>+ab($T$403,$T$401,$T$405,$G$402,$G$404,-1*$F$403,1200)</f>
        <v>-7.9442410717051439</v>
      </c>
      <c r="AU403" s="724"/>
      <c r="AV403" s="724"/>
      <c r="AW403" s="719"/>
      <c r="AX403" s="719"/>
      <c r="AY403" s="719"/>
    </row>
    <row r="404" spans="1:51" ht="15.75" hidden="1" customHeight="1">
      <c r="A404" s="716"/>
      <c r="B404" s="717"/>
      <c r="C404" s="718"/>
      <c r="D404" s="719"/>
      <c r="E404" s="719"/>
      <c r="F404" s="720"/>
      <c r="G404" s="721">
        <v>50</v>
      </c>
      <c r="H404" s="726"/>
      <c r="I404" s="726">
        <f>SUM(G404:G422)</f>
        <v>500</v>
      </c>
      <c r="J404" s="727">
        <f>C405-2.6</f>
        <v>40438.400000000001</v>
      </c>
      <c r="K404" s="719" t="s">
        <v>1102</v>
      </c>
      <c r="L404" s="719"/>
      <c r="M404" s="719"/>
      <c r="N404" s="726"/>
      <c r="O404" s="726"/>
      <c r="P404" s="726"/>
      <c r="Q404" s="719"/>
      <c r="R404" s="719"/>
      <c r="S404" s="719">
        <f t="shared" si="54"/>
        <v>49.650000000001455</v>
      </c>
      <c r="T404" s="719"/>
      <c r="U404" s="719"/>
      <c r="V404" s="719"/>
      <c r="W404" s="719"/>
      <c r="X404" s="719"/>
      <c r="Y404" s="719"/>
      <c r="Z404" s="719"/>
      <c r="AA404" s="719"/>
      <c r="AB404" s="719"/>
      <c r="AC404" s="719"/>
      <c r="AD404" s="719"/>
      <c r="AE404" s="719"/>
      <c r="AF404" s="719"/>
      <c r="AG404" s="1341"/>
      <c r="AH404" s="719"/>
      <c r="AI404" s="719"/>
      <c r="AJ404" s="719"/>
      <c r="AK404" s="719"/>
      <c r="AL404" s="719"/>
      <c r="AM404" s="719"/>
      <c r="AN404" s="719"/>
      <c r="AO404" s="719"/>
      <c r="AP404" s="719"/>
      <c r="AQ404" s="724">
        <f>+FL_1($T$405,$T$403,$G$404,1200,9.28,-1*$F$405)</f>
        <v>0.33477011200000001</v>
      </c>
      <c r="AR404" s="724"/>
      <c r="AS404" s="724"/>
      <c r="AT404" s="724"/>
      <c r="AU404" s="724"/>
      <c r="AV404" s="724"/>
      <c r="AW404" s="719"/>
      <c r="AX404" s="719"/>
      <c r="AY404" s="719"/>
    </row>
    <row r="405" spans="1:51" ht="15.75" customHeight="1">
      <c r="A405" s="716" t="s">
        <v>677</v>
      </c>
      <c r="B405" s="725" t="s">
        <v>1499</v>
      </c>
      <c r="C405" s="718">
        <f>+$C$403+$G$404</f>
        <v>40441</v>
      </c>
      <c r="D405" s="719"/>
      <c r="E405" s="719"/>
      <c r="F405" s="720">
        <v>0</v>
      </c>
      <c r="G405" s="721"/>
      <c r="H405" s="726" t="s">
        <v>1101</v>
      </c>
      <c r="I405" s="726"/>
      <c r="J405" s="727"/>
      <c r="K405" s="719"/>
      <c r="L405" s="719" t="s">
        <v>241</v>
      </c>
      <c r="M405" s="719"/>
      <c r="N405" s="726" t="s">
        <v>696</v>
      </c>
      <c r="O405" s="726"/>
      <c r="P405" s="726"/>
      <c r="Q405" s="719">
        <v>0</v>
      </c>
      <c r="R405" s="719">
        <v>0</v>
      </c>
      <c r="S405" s="719"/>
      <c r="T405" s="719">
        <v>30</v>
      </c>
      <c r="U405" s="719"/>
      <c r="V405" s="719"/>
      <c r="W405" s="719">
        <v>1.1000000000000001</v>
      </c>
      <c r="X405" s="719"/>
      <c r="Y405" s="719"/>
      <c r="Z405" s="719"/>
      <c r="AA405" s="719"/>
      <c r="AB405" s="719"/>
      <c r="AC405" s="719" t="s">
        <v>2977</v>
      </c>
      <c r="AD405" s="719"/>
      <c r="AE405" s="719"/>
      <c r="AF405" s="719">
        <v>200</v>
      </c>
      <c r="AG405" s="1341">
        <v>40440.639999999999</v>
      </c>
      <c r="AH405" s="719">
        <v>1493</v>
      </c>
      <c r="AI405" s="719">
        <v>-5116</v>
      </c>
      <c r="AJ405" s="719"/>
      <c r="AK405" s="719"/>
      <c r="AL405" s="719"/>
      <c r="AM405" s="719" t="s">
        <v>2609</v>
      </c>
      <c r="AN405" s="719">
        <v>5.25</v>
      </c>
      <c r="AO405" s="719"/>
      <c r="AP405" s="719"/>
      <c r="AQ405" s="724"/>
      <c r="AR405" s="724"/>
      <c r="AS405" s="724"/>
      <c r="AT405" s="724">
        <f>+ab($T$405,$T$403,$T$407,$G$404,$G$406,-1*$F$405,1200)</f>
        <v>7.9442083933778509</v>
      </c>
      <c r="AU405" s="724"/>
      <c r="AV405" s="724"/>
      <c r="AW405" s="719"/>
      <c r="AX405" s="719"/>
      <c r="AY405" s="719"/>
    </row>
    <row r="406" spans="1:51" ht="15.75" hidden="1" customHeight="1">
      <c r="A406" s="716"/>
      <c r="B406" s="717"/>
      <c r="C406" s="718"/>
      <c r="D406" s="719"/>
      <c r="E406" s="719"/>
      <c r="F406" s="720"/>
      <c r="G406" s="721">
        <v>50</v>
      </c>
      <c r="H406" s="726"/>
      <c r="I406" s="726"/>
      <c r="J406" s="727"/>
      <c r="K406" s="719"/>
      <c r="L406" s="719"/>
      <c r="M406" s="719"/>
      <c r="N406" s="726"/>
      <c r="O406" s="726"/>
      <c r="P406" s="726"/>
      <c r="Q406" s="719"/>
      <c r="R406" s="719"/>
      <c r="S406" s="719">
        <f t="shared" si="54"/>
        <v>51.190000000002328</v>
      </c>
      <c r="T406" s="719"/>
      <c r="U406" s="719"/>
      <c r="V406" s="719"/>
      <c r="W406" s="719"/>
      <c r="X406" s="719"/>
      <c r="Y406" s="719"/>
      <c r="Z406" s="719"/>
      <c r="AA406" s="719"/>
      <c r="AB406" s="719"/>
      <c r="AC406" s="719"/>
      <c r="AD406" s="719"/>
      <c r="AE406" s="719"/>
      <c r="AF406" s="719"/>
      <c r="AG406" s="1341"/>
      <c r="AH406" s="719"/>
      <c r="AI406" s="719"/>
      <c r="AJ406" s="719"/>
      <c r="AK406" s="719"/>
      <c r="AL406" s="719"/>
      <c r="AM406" s="719"/>
      <c r="AN406" s="719"/>
      <c r="AO406" s="719"/>
      <c r="AP406" s="719"/>
      <c r="AQ406" s="724">
        <f>+FL_2($T$407,$T$405,$G$406,1200,9.28,-1*$F$407)</f>
        <v>-0.33477011200000001</v>
      </c>
      <c r="AR406" s="724"/>
      <c r="AS406" s="724"/>
      <c r="AT406" s="724"/>
      <c r="AU406" s="724"/>
      <c r="AV406" s="724"/>
      <c r="AW406" s="719"/>
      <c r="AX406" s="719"/>
      <c r="AY406" s="719"/>
    </row>
    <row r="407" spans="1:51" ht="15.75" hidden="1" customHeight="1">
      <c r="A407" s="716" t="s">
        <v>677</v>
      </c>
      <c r="B407" s="725" t="s">
        <v>1500</v>
      </c>
      <c r="C407" s="718">
        <f>+$C$405+$G$406</f>
        <v>40491</v>
      </c>
      <c r="D407" s="719"/>
      <c r="E407" s="719"/>
      <c r="F407" s="720">
        <v>0</v>
      </c>
      <c r="G407" s="721"/>
      <c r="H407" s="726"/>
      <c r="I407" s="726"/>
      <c r="J407" s="727"/>
      <c r="K407" s="719"/>
      <c r="L407" s="719" t="s">
        <v>241</v>
      </c>
      <c r="M407" s="719"/>
      <c r="N407" s="726" t="s">
        <v>695</v>
      </c>
      <c r="O407" s="726"/>
      <c r="P407" s="726"/>
      <c r="Q407" s="719">
        <v>0</v>
      </c>
      <c r="R407" s="719">
        <v>0</v>
      </c>
      <c r="S407" s="719"/>
      <c r="T407" s="719">
        <v>-30</v>
      </c>
      <c r="U407" s="719"/>
      <c r="V407" s="719"/>
      <c r="W407" s="719">
        <v>1.1000000000000001</v>
      </c>
      <c r="X407" s="719"/>
      <c r="Y407" s="719"/>
      <c r="Z407" s="719"/>
      <c r="AA407" s="719"/>
      <c r="AB407" s="719"/>
      <c r="AC407" s="719" t="s">
        <v>2977</v>
      </c>
      <c r="AD407" s="719"/>
      <c r="AE407" s="719"/>
      <c r="AF407" s="719">
        <v>200</v>
      </c>
      <c r="AG407" s="1341">
        <v>40491.83</v>
      </c>
      <c r="AH407" s="719">
        <v>1515</v>
      </c>
      <c r="AI407" s="719">
        <v>-5066</v>
      </c>
      <c r="AJ407" s="719"/>
      <c r="AK407" s="719"/>
      <c r="AL407" s="719"/>
      <c r="AM407" s="719" t="s">
        <v>2609</v>
      </c>
      <c r="AN407" s="719">
        <v>5.25</v>
      </c>
      <c r="AO407" s="719"/>
      <c r="AP407" s="719"/>
      <c r="AQ407" s="724"/>
      <c r="AR407" s="724"/>
      <c r="AS407" s="724"/>
      <c r="AT407" s="724">
        <f>+ab($T$407,$T$405,$T$409,$G$406,$G$408,-1*$F$407,1200)</f>
        <v>-7.9442410717051439</v>
      </c>
      <c r="AU407" s="724"/>
      <c r="AV407" s="724"/>
      <c r="AW407" s="719"/>
      <c r="AX407" s="719"/>
      <c r="AY407" s="719"/>
    </row>
    <row r="408" spans="1:51" ht="15.75" hidden="1" customHeight="1">
      <c r="A408" s="716"/>
      <c r="B408" s="717"/>
      <c r="C408" s="718"/>
      <c r="D408" s="719"/>
      <c r="E408" s="719"/>
      <c r="F408" s="720"/>
      <c r="G408" s="721">
        <v>50</v>
      </c>
      <c r="H408" s="726"/>
      <c r="I408" s="722"/>
      <c r="J408" s="727"/>
      <c r="K408" s="719"/>
      <c r="L408" s="719"/>
      <c r="M408" s="719"/>
      <c r="N408" s="726"/>
      <c r="O408" s="726"/>
      <c r="P408" s="726"/>
      <c r="Q408" s="719"/>
      <c r="R408" s="719"/>
      <c r="S408" s="719">
        <f t="shared" si="54"/>
        <v>48.009999999994761</v>
      </c>
      <c r="T408" s="719"/>
      <c r="U408" s="719"/>
      <c r="V408" s="719"/>
      <c r="W408" s="719"/>
      <c r="X408" s="719"/>
      <c r="Y408" s="719"/>
      <c r="Z408" s="719"/>
      <c r="AA408" s="719"/>
      <c r="AB408" s="719"/>
      <c r="AC408" s="719"/>
      <c r="AD408" s="719"/>
      <c r="AE408" s="719"/>
      <c r="AF408" s="719"/>
      <c r="AG408" s="1341"/>
      <c r="AH408" s="719"/>
      <c r="AI408" s="719"/>
      <c r="AJ408" s="719"/>
      <c r="AK408" s="719"/>
      <c r="AL408" s="719"/>
      <c r="AM408" s="719"/>
      <c r="AN408" s="719"/>
      <c r="AO408" s="719"/>
      <c r="AP408" s="719"/>
      <c r="AQ408" s="724">
        <f>+FL_1($T$409,$T$407,$G$408,1200,9.28,-1*$F$409)</f>
        <v>0.33477011200000001</v>
      </c>
      <c r="AR408" s="724"/>
      <c r="AS408" s="724"/>
      <c r="AT408" s="724"/>
      <c r="AU408" s="724"/>
      <c r="AV408" s="724"/>
      <c r="AW408" s="719"/>
      <c r="AX408" s="719"/>
      <c r="AY408" s="719"/>
    </row>
    <row r="409" spans="1:51" ht="15.75" hidden="1" customHeight="1">
      <c r="A409" s="716" t="s">
        <v>677</v>
      </c>
      <c r="B409" s="725" t="s">
        <v>1501</v>
      </c>
      <c r="C409" s="718">
        <f>+$C$407+$G$408</f>
        <v>40541</v>
      </c>
      <c r="D409" s="719"/>
      <c r="E409" s="719"/>
      <c r="F409" s="720">
        <v>0</v>
      </c>
      <c r="G409" s="721"/>
      <c r="H409" s="726"/>
      <c r="I409" s="726"/>
      <c r="J409" s="727"/>
      <c r="K409" s="719"/>
      <c r="L409" s="719" t="s">
        <v>241</v>
      </c>
      <c r="M409" s="719"/>
      <c r="N409" s="726" t="s">
        <v>696</v>
      </c>
      <c r="O409" s="726"/>
      <c r="P409" s="726"/>
      <c r="Q409" s="719">
        <v>0</v>
      </c>
      <c r="R409" s="719">
        <v>0</v>
      </c>
      <c r="S409" s="719"/>
      <c r="T409" s="719">
        <v>30</v>
      </c>
      <c r="U409" s="719"/>
      <c r="V409" s="719"/>
      <c r="W409" s="719">
        <v>1.1000000000000001</v>
      </c>
      <c r="X409" s="719"/>
      <c r="Y409" s="719"/>
      <c r="Z409" s="719"/>
      <c r="AA409" s="719"/>
      <c r="AB409" s="719"/>
      <c r="AC409" s="719" t="s">
        <v>2977</v>
      </c>
      <c r="AD409" s="719"/>
      <c r="AE409" s="719"/>
      <c r="AF409" s="719">
        <v>200</v>
      </c>
      <c r="AG409" s="1341">
        <v>40539.839999999997</v>
      </c>
      <c r="AH409" s="719">
        <v>1516</v>
      </c>
      <c r="AI409" s="719">
        <v>-5117</v>
      </c>
      <c r="AJ409" s="719"/>
      <c r="AK409" s="719"/>
      <c r="AL409" s="719"/>
      <c r="AM409" s="719" t="s">
        <v>2609</v>
      </c>
      <c r="AN409" s="719">
        <v>5.25</v>
      </c>
      <c r="AO409" s="719"/>
      <c r="AP409" s="719"/>
      <c r="AQ409" s="724"/>
      <c r="AR409" s="724"/>
      <c r="AS409" s="724"/>
      <c r="AT409" s="724">
        <f>+ab($T$409,$T$407,$T$411,$G$408,$G$410,-1*$F$409,1200)</f>
        <v>7.9442083933778509</v>
      </c>
      <c r="AU409" s="724"/>
      <c r="AV409" s="724"/>
      <c r="AW409" s="719"/>
      <c r="AX409" s="719"/>
      <c r="AY409" s="719"/>
    </row>
    <row r="410" spans="1:51" ht="15.75" hidden="1" customHeight="1">
      <c r="A410" s="716"/>
      <c r="B410" s="717"/>
      <c r="C410" s="718"/>
      <c r="D410" s="719"/>
      <c r="E410" s="719"/>
      <c r="F410" s="720"/>
      <c r="G410" s="721">
        <v>50</v>
      </c>
      <c r="H410" s="726"/>
      <c r="I410" s="722"/>
      <c r="J410" s="727"/>
      <c r="K410" s="719"/>
      <c r="L410" s="719"/>
      <c r="M410" s="719"/>
      <c r="N410" s="726"/>
      <c r="O410" s="726"/>
      <c r="P410" s="726"/>
      <c r="Q410" s="719"/>
      <c r="R410" s="719"/>
      <c r="S410" s="719">
        <f t="shared" si="54"/>
        <v>51.360000000000582</v>
      </c>
      <c r="T410" s="719"/>
      <c r="U410" s="719"/>
      <c r="V410" s="719"/>
      <c r="W410" s="719"/>
      <c r="X410" s="719"/>
      <c r="Y410" s="719"/>
      <c r="Z410" s="719"/>
      <c r="AA410" s="719"/>
      <c r="AB410" s="719"/>
      <c r="AC410" s="719"/>
      <c r="AD410" s="719"/>
      <c r="AE410" s="719"/>
      <c r="AF410" s="719"/>
      <c r="AG410" s="1341"/>
      <c r="AH410" s="719"/>
      <c r="AI410" s="719"/>
      <c r="AJ410" s="719"/>
      <c r="AK410" s="719"/>
      <c r="AL410" s="719"/>
      <c r="AM410" s="719"/>
      <c r="AN410" s="719"/>
      <c r="AO410" s="719"/>
      <c r="AP410" s="719"/>
      <c r="AQ410" s="724">
        <f>+FL_2($T$411,$T$409,$G$410,1200,9.28,-1*$F$411)</f>
        <v>-0.33477011200000001</v>
      </c>
      <c r="AR410" s="724"/>
      <c r="AS410" s="724"/>
      <c r="AT410" s="724"/>
      <c r="AU410" s="724"/>
      <c r="AV410" s="724"/>
      <c r="AW410" s="719"/>
      <c r="AX410" s="719"/>
      <c r="AY410" s="719"/>
    </row>
    <row r="411" spans="1:51" ht="15.75" hidden="1" customHeight="1">
      <c r="A411" s="716" t="s">
        <v>677</v>
      </c>
      <c r="B411" s="725" t="s">
        <v>1502</v>
      </c>
      <c r="C411" s="718">
        <f>+$C$409+$G$410</f>
        <v>40591</v>
      </c>
      <c r="D411" s="719"/>
      <c r="E411" s="719"/>
      <c r="F411" s="720">
        <v>0</v>
      </c>
      <c r="G411" s="721"/>
      <c r="H411" s="726"/>
      <c r="I411" s="726"/>
      <c r="J411" s="727"/>
      <c r="K411" s="719"/>
      <c r="L411" s="719" t="s">
        <v>241</v>
      </c>
      <c r="M411" s="719"/>
      <c r="N411" s="726" t="s">
        <v>695</v>
      </c>
      <c r="O411" s="726"/>
      <c r="P411" s="726"/>
      <c r="Q411" s="719">
        <v>0</v>
      </c>
      <c r="R411" s="719">
        <v>0</v>
      </c>
      <c r="S411" s="719"/>
      <c r="T411" s="719">
        <v>-30</v>
      </c>
      <c r="U411" s="719"/>
      <c r="V411" s="719"/>
      <c r="W411" s="719">
        <v>1.1000000000000001</v>
      </c>
      <c r="X411" s="719"/>
      <c r="Y411" s="719"/>
      <c r="Z411" s="719"/>
      <c r="AA411" s="719"/>
      <c r="AB411" s="719"/>
      <c r="AC411" s="719" t="s">
        <v>2977</v>
      </c>
      <c r="AD411" s="719"/>
      <c r="AE411" s="719"/>
      <c r="AF411" s="719">
        <v>200</v>
      </c>
      <c r="AG411" s="1341">
        <v>40591.199999999997</v>
      </c>
      <c r="AH411" s="719">
        <v>1514</v>
      </c>
      <c r="AI411" s="719">
        <v>-5097</v>
      </c>
      <c r="AJ411" s="719"/>
      <c r="AK411" s="719"/>
      <c r="AL411" s="719"/>
      <c r="AM411" s="719" t="s">
        <v>2609</v>
      </c>
      <c r="AN411" s="719">
        <v>5.25</v>
      </c>
      <c r="AO411" s="719"/>
      <c r="AP411" s="719"/>
      <c r="AQ411" s="724"/>
      <c r="AR411" s="724"/>
      <c r="AS411" s="724"/>
      <c r="AT411" s="724">
        <f>+ab($T$411,$T$409,$T$413,$G$410,$G$412,-1*$F$411,1200)</f>
        <v>-7.9442410717051439</v>
      </c>
      <c r="AU411" s="724"/>
      <c r="AV411" s="724"/>
      <c r="AW411" s="719"/>
      <c r="AX411" s="719"/>
      <c r="AY411" s="719"/>
    </row>
    <row r="412" spans="1:51" ht="15.75" hidden="1" customHeight="1">
      <c r="A412" s="716"/>
      <c r="B412" s="717"/>
      <c r="C412" s="718"/>
      <c r="D412" s="719"/>
      <c r="E412" s="719"/>
      <c r="F412" s="720"/>
      <c r="G412" s="721">
        <v>50</v>
      </c>
      <c r="H412" s="726"/>
      <c r="I412" s="722"/>
      <c r="J412" s="727"/>
      <c r="K412" s="719"/>
      <c r="L412" s="719"/>
      <c r="M412" s="719"/>
      <c r="N412" s="726"/>
      <c r="O412" s="726"/>
      <c r="P412" s="726"/>
      <c r="Q412" s="719"/>
      <c r="R412" s="719"/>
      <c r="S412" s="719">
        <f t="shared" si="54"/>
        <v>51.25</v>
      </c>
      <c r="T412" s="719"/>
      <c r="U412" s="719"/>
      <c r="V412" s="719"/>
      <c r="W412" s="719"/>
      <c r="X412" s="719"/>
      <c r="Y412" s="719"/>
      <c r="Z412" s="719"/>
      <c r="AA412" s="719"/>
      <c r="AB412" s="719"/>
      <c r="AC412" s="719"/>
      <c r="AD412" s="719"/>
      <c r="AE412" s="719"/>
      <c r="AF412" s="719"/>
      <c r="AG412" s="1341"/>
      <c r="AH412" s="719"/>
      <c r="AI412" s="719"/>
      <c r="AJ412" s="719"/>
      <c r="AK412" s="719"/>
      <c r="AL412" s="719"/>
      <c r="AM412" s="719"/>
      <c r="AN412" s="719"/>
      <c r="AO412" s="719"/>
      <c r="AP412" s="719"/>
      <c r="AQ412" s="724">
        <f>+FL_1($T$413,$T$411,$G$412,1200,9.28,-1*$F$413)</f>
        <v>0.33477011200000001</v>
      </c>
      <c r="AR412" s="724"/>
      <c r="AS412" s="724"/>
      <c r="AT412" s="724"/>
      <c r="AU412" s="724"/>
      <c r="AV412" s="724"/>
      <c r="AW412" s="719"/>
      <c r="AX412" s="719"/>
      <c r="AY412" s="719"/>
    </row>
    <row r="413" spans="1:51" ht="15.75" hidden="1" customHeight="1">
      <c r="A413" s="716" t="s">
        <v>677</v>
      </c>
      <c r="B413" s="725" t="s">
        <v>1503</v>
      </c>
      <c r="C413" s="718">
        <f>+$C$411+$G$412</f>
        <v>40641</v>
      </c>
      <c r="D413" s="719"/>
      <c r="E413" s="719"/>
      <c r="F413" s="720">
        <v>0</v>
      </c>
      <c r="G413" s="721"/>
      <c r="H413" s="726"/>
      <c r="I413" s="726"/>
      <c r="J413" s="727"/>
      <c r="K413" s="719"/>
      <c r="L413" s="719" t="s">
        <v>241</v>
      </c>
      <c r="M413" s="719"/>
      <c r="N413" s="726" t="s">
        <v>696</v>
      </c>
      <c r="O413" s="726"/>
      <c r="P413" s="726"/>
      <c r="Q413" s="726">
        <v>0</v>
      </c>
      <c r="R413" s="726">
        <v>0</v>
      </c>
      <c r="S413" s="726"/>
      <c r="T413" s="726">
        <v>30</v>
      </c>
      <c r="U413" s="726"/>
      <c r="V413" s="726"/>
      <c r="W413" s="719">
        <v>1.1000000000000001</v>
      </c>
      <c r="X413" s="726"/>
      <c r="Y413" s="726"/>
      <c r="Z413" s="726"/>
      <c r="AA413" s="726"/>
      <c r="AB413" s="726"/>
      <c r="AC413" s="726" t="s">
        <v>2977</v>
      </c>
      <c r="AD413" s="726"/>
      <c r="AE413" s="726"/>
      <c r="AF413" s="726">
        <v>200</v>
      </c>
      <c r="AG413" s="1341">
        <v>40642.449999999997</v>
      </c>
      <c r="AH413" s="719">
        <v>1495</v>
      </c>
      <c r="AI413" s="726">
        <v>-5130</v>
      </c>
      <c r="AJ413" s="726"/>
      <c r="AK413" s="726"/>
      <c r="AL413" s="726"/>
      <c r="AM413" s="726" t="s">
        <v>2609</v>
      </c>
      <c r="AN413" s="719">
        <v>5.25</v>
      </c>
      <c r="AO413" s="726"/>
      <c r="AP413" s="726"/>
      <c r="AQ413" s="739"/>
      <c r="AR413" s="739"/>
      <c r="AS413" s="739"/>
      <c r="AT413" s="739">
        <f>+ab($T$413,$T$411,$T$415,$G$412,$G$414,-1*$F$413,1200)</f>
        <v>7.9442083933778509</v>
      </c>
      <c r="AU413" s="739"/>
      <c r="AV413" s="739"/>
      <c r="AW413" s="726"/>
      <c r="AX413" s="726"/>
      <c r="AY413" s="726"/>
    </row>
    <row r="414" spans="1:51" ht="15.75" hidden="1" customHeight="1">
      <c r="A414" s="716"/>
      <c r="B414" s="717"/>
      <c r="C414" s="718"/>
      <c r="D414" s="719"/>
      <c r="E414" s="719"/>
      <c r="F414" s="720"/>
      <c r="G414" s="721">
        <v>50</v>
      </c>
      <c r="H414" s="726"/>
      <c r="I414" s="726"/>
      <c r="J414" s="727"/>
      <c r="K414" s="719"/>
      <c r="L414" s="719"/>
      <c r="M414" s="719"/>
      <c r="N414" s="726"/>
      <c r="O414" s="726"/>
      <c r="P414" s="726"/>
      <c r="Q414" s="726"/>
      <c r="R414" s="726"/>
      <c r="S414" s="726">
        <f t="shared" si="54"/>
        <v>48.220000000001164</v>
      </c>
      <c r="T414" s="726"/>
      <c r="U414" s="726"/>
      <c r="V414" s="726"/>
      <c r="W414" s="719"/>
      <c r="X414" s="726"/>
      <c r="Y414" s="726"/>
      <c r="Z414" s="726"/>
      <c r="AA414" s="726"/>
      <c r="AB414" s="726"/>
      <c r="AC414" s="726"/>
      <c r="AD414" s="726"/>
      <c r="AE414" s="726"/>
      <c r="AF414" s="726"/>
      <c r="AG414" s="1341"/>
      <c r="AH414" s="719"/>
      <c r="AI414" s="726"/>
      <c r="AJ414" s="726"/>
      <c r="AK414" s="726"/>
      <c r="AL414" s="726"/>
      <c r="AM414" s="726"/>
      <c r="AN414" s="719"/>
      <c r="AO414" s="726"/>
      <c r="AP414" s="726"/>
      <c r="AQ414" s="739">
        <f>+FL_2($T$415,$T$413,$G$414,1200,9.28,-1*$F$415)</f>
        <v>-0.33477011200000001</v>
      </c>
      <c r="AR414" s="739"/>
      <c r="AS414" s="739"/>
      <c r="AT414" s="739"/>
      <c r="AU414" s="739"/>
      <c r="AV414" s="739"/>
      <c r="AW414" s="726"/>
      <c r="AX414" s="726"/>
      <c r="AY414" s="726"/>
    </row>
    <row r="415" spans="1:51" ht="15.75" hidden="1" customHeight="1">
      <c r="A415" s="716" t="s">
        <v>677</v>
      </c>
      <c r="B415" s="728" t="s">
        <v>1504</v>
      </c>
      <c r="C415" s="718">
        <f>+$C$413+$G$414</f>
        <v>40691</v>
      </c>
      <c r="D415" s="719"/>
      <c r="E415" s="719"/>
      <c r="F415" s="720">
        <v>0</v>
      </c>
      <c r="G415" s="721"/>
      <c r="H415" s="726"/>
      <c r="I415" s="722"/>
      <c r="J415" s="727"/>
      <c r="K415" s="719"/>
      <c r="L415" s="719" t="s">
        <v>241</v>
      </c>
      <c r="M415" s="719"/>
      <c r="N415" s="726" t="s">
        <v>695</v>
      </c>
      <c r="O415" s="726"/>
      <c r="P415" s="726"/>
      <c r="Q415" s="726">
        <v>0</v>
      </c>
      <c r="R415" s="726">
        <v>0</v>
      </c>
      <c r="S415" s="726"/>
      <c r="T415" s="726">
        <v>-30</v>
      </c>
      <c r="U415" s="726"/>
      <c r="V415" s="726"/>
      <c r="W415" s="719">
        <v>1.1000000000000001</v>
      </c>
      <c r="X415" s="726"/>
      <c r="Y415" s="726"/>
      <c r="Z415" s="726"/>
      <c r="AA415" s="726"/>
      <c r="AB415" s="726"/>
      <c r="AC415" s="726" t="s">
        <v>2977</v>
      </c>
      <c r="AD415" s="726"/>
      <c r="AE415" s="726"/>
      <c r="AF415" s="726">
        <v>200</v>
      </c>
      <c r="AG415" s="1341">
        <v>40690.67</v>
      </c>
      <c r="AH415" s="719">
        <v>1499</v>
      </c>
      <c r="AI415" s="726">
        <v>-5106</v>
      </c>
      <c r="AJ415" s="726"/>
      <c r="AK415" s="726"/>
      <c r="AL415" s="726"/>
      <c r="AM415" s="726" t="s">
        <v>2609</v>
      </c>
      <c r="AN415" s="719">
        <v>5.25</v>
      </c>
      <c r="AO415" s="726"/>
      <c r="AP415" s="726"/>
      <c r="AQ415" s="739"/>
      <c r="AR415" s="739"/>
      <c r="AS415" s="739"/>
      <c r="AT415" s="739">
        <f>+ab($T$415,$T$413,$T$417,$G$414,$G$416,-1*$F$415,1200)</f>
        <v>-7.9442410717051439</v>
      </c>
      <c r="AU415" s="739"/>
      <c r="AV415" s="739"/>
      <c r="AW415" s="726"/>
      <c r="AX415" s="726"/>
      <c r="AY415" s="726"/>
    </row>
    <row r="416" spans="1:51" ht="15.75" hidden="1" customHeight="1">
      <c r="A416" s="716"/>
      <c r="B416" s="718"/>
      <c r="C416" s="718"/>
      <c r="D416" s="719"/>
      <c r="E416" s="719"/>
      <c r="F416" s="720"/>
      <c r="G416" s="721">
        <v>50</v>
      </c>
      <c r="H416" s="726"/>
      <c r="I416" s="726"/>
      <c r="J416" s="727"/>
      <c r="K416" s="719"/>
      <c r="L416" s="719"/>
      <c r="M416" s="719"/>
      <c r="N416" s="726"/>
      <c r="O416" s="726"/>
      <c r="P416" s="726"/>
      <c r="Q416" s="726"/>
      <c r="R416" s="726"/>
      <c r="S416" s="726">
        <f t="shared" si="54"/>
        <v>51.05000000000291</v>
      </c>
      <c r="T416" s="726"/>
      <c r="U416" s="726"/>
      <c r="V416" s="726"/>
      <c r="W416" s="719"/>
      <c r="X416" s="726"/>
      <c r="Y416" s="726"/>
      <c r="Z416" s="726"/>
      <c r="AA416" s="726"/>
      <c r="AB416" s="726"/>
      <c r="AC416" s="726"/>
      <c r="AD416" s="726"/>
      <c r="AE416" s="726"/>
      <c r="AF416" s="726"/>
      <c r="AG416" s="1341"/>
      <c r="AH416" s="719"/>
      <c r="AI416" s="726"/>
      <c r="AJ416" s="726"/>
      <c r="AK416" s="726"/>
      <c r="AL416" s="726"/>
      <c r="AM416" s="726"/>
      <c r="AN416" s="719"/>
      <c r="AO416" s="726"/>
      <c r="AP416" s="726"/>
      <c r="AQ416" s="739">
        <f>+FL_1($T$417,$T$415,$G$416,1200,9.28,-1*$F$417)</f>
        <v>0.33477011200000001</v>
      </c>
      <c r="AR416" s="739"/>
      <c r="AS416" s="739"/>
      <c r="AT416" s="739"/>
      <c r="AU416" s="739"/>
      <c r="AV416" s="739"/>
      <c r="AW416" s="726"/>
      <c r="AX416" s="726"/>
      <c r="AY416" s="726"/>
    </row>
    <row r="417" spans="1:51" ht="15.75" hidden="1" customHeight="1">
      <c r="A417" s="716" t="s">
        <v>677</v>
      </c>
      <c r="B417" s="728" t="s">
        <v>1505</v>
      </c>
      <c r="C417" s="718">
        <f>+$C$415+$G$416</f>
        <v>40741</v>
      </c>
      <c r="D417" s="719"/>
      <c r="E417" s="719"/>
      <c r="F417" s="720">
        <v>0</v>
      </c>
      <c r="G417" s="721"/>
      <c r="H417" s="726" t="s">
        <v>138</v>
      </c>
      <c r="I417" s="722" t="s">
        <v>948</v>
      </c>
      <c r="J417" s="727"/>
      <c r="K417" s="719"/>
      <c r="L417" s="719" t="s">
        <v>241</v>
      </c>
      <c r="M417" s="719"/>
      <c r="N417" s="726" t="s">
        <v>696</v>
      </c>
      <c r="O417" s="726"/>
      <c r="P417" s="726"/>
      <c r="Q417" s="726">
        <v>0</v>
      </c>
      <c r="R417" s="726">
        <v>0</v>
      </c>
      <c r="S417" s="726"/>
      <c r="T417" s="726">
        <v>30</v>
      </c>
      <c r="U417" s="726"/>
      <c r="V417" s="726"/>
      <c r="W417" s="719">
        <v>1.1000000000000001</v>
      </c>
      <c r="X417" s="726"/>
      <c r="Y417" s="726"/>
      <c r="Z417" s="726"/>
      <c r="AA417" s="726"/>
      <c r="AB417" s="726"/>
      <c r="AC417" s="726" t="s">
        <v>2612</v>
      </c>
      <c r="AD417" s="726"/>
      <c r="AE417" s="726"/>
      <c r="AF417" s="726">
        <v>200</v>
      </c>
      <c r="AG417" s="1341">
        <v>40741.72</v>
      </c>
      <c r="AH417" s="719">
        <v>1499</v>
      </c>
      <c r="AI417" s="726">
        <v>-5102</v>
      </c>
      <c r="AJ417" s="726"/>
      <c r="AK417" s="726"/>
      <c r="AL417" s="726"/>
      <c r="AM417" s="726" t="s">
        <v>2609</v>
      </c>
      <c r="AN417" s="719">
        <v>5.25</v>
      </c>
      <c r="AO417" s="726"/>
      <c r="AP417" s="726"/>
      <c r="AQ417" s="739"/>
      <c r="AR417" s="739"/>
      <c r="AS417" s="739"/>
      <c r="AT417" s="739">
        <f>+ab($T$417,$T$415,$T$419,$G$416,$G$418,-1*$F$417,1200)</f>
        <v>13.453726812531203</v>
      </c>
      <c r="AU417" s="739"/>
      <c r="AV417" s="739"/>
      <c r="AW417" s="726"/>
      <c r="AX417" s="726"/>
      <c r="AY417" s="726"/>
    </row>
    <row r="418" spans="1:51" ht="15.75" hidden="1" customHeight="1">
      <c r="A418" s="716"/>
      <c r="B418" s="718"/>
      <c r="C418" s="718"/>
      <c r="D418" s="719"/>
      <c r="E418" s="719"/>
      <c r="F418" s="720"/>
      <c r="G418" s="721">
        <v>50</v>
      </c>
      <c r="H418" s="726"/>
      <c r="I418" s="726"/>
      <c r="J418" s="727">
        <f>C417+10</f>
        <v>40751</v>
      </c>
      <c r="K418" s="719" t="s">
        <v>1097</v>
      </c>
      <c r="L418" s="719"/>
      <c r="M418" s="719"/>
      <c r="N418" s="726"/>
      <c r="O418" s="726"/>
      <c r="P418" s="726"/>
      <c r="Q418" s="719"/>
      <c r="R418" s="719"/>
      <c r="S418" s="719">
        <f>AG419-AG417</f>
        <v>47.970000000001164</v>
      </c>
      <c r="T418" s="719"/>
      <c r="U418" s="719"/>
      <c r="V418" s="719"/>
      <c r="W418" s="719"/>
      <c r="X418" s="719"/>
      <c r="Y418" s="719"/>
      <c r="Z418" s="719"/>
      <c r="AA418" s="719"/>
      <c r="AB418" s="719"/>
      <c r="AC418" s="719"/>
      <c r="AD418" s="719"/>
      <c r="AE418" s="719"/>
      <c r="AF418" s="719"/>
      <c r="AG418" s="1341"/>
      <c r="AH418" s="719"/>
      <c r="AI418" s="719"/>
      <c r="AJ418" s="719"/>
      <c r="AK418" s="719"/>
      <c r="AL418" s="719"/>
      <c r="AM418" s="719"/>
      <c r="AN418" s="719"/>
      <c r="AO418" s="719"/>
      <c r="AP418" s="719"/>
      <c r="AQ418" s="724">
        <f>+FL_2($U$419,$T$417,$G$418,1200,9.28,-1*$F$419)</f>
        <v>-0.29489941866666664</v>
      </c>
      <c r="AR418" s="724"/>
      <c r="AS418" s="724"/>
      <c r="AT418" s="724"/>
      <c r="AU418" s="724"/>
      <c r="AV418" s="724"/>
      <c r="AW418" s="719"/>
      <c r="AX418" s="719"/>
      <c r="AY418" s="719"/>
    </row>
    <row r="419" spans="1:51" ht="15.75" hidden="1" customHeight="1">
      <c r="A419" s="716" t="s">
        <v>677</v>
      </c>
      <c r="B419" s="728" t="s">
        <v>1506</v>
      </c>
      <c r="C419" s="718">
        <f>+$C$417+$G$418</f>
        <v>40791</v>
      </c>
      <c r="D419" s="719"/>
      <c r="E419" s="719"/>
      <c r="F419" s="720">
        <v>0</v>
      </c>
      <c r="G419" s="721"/>
      <c r="H419" s="726" t="s">
        <v>668</v>
      </c>
      <c r="I419" s="722"/>
      <c r="J419" s="727"/>
      <c r="K419" s="719"/>
      <c r="L419" s="719" t="s">
        <v>465</v>
      </c>
      <c r="M419" s="719"/>
      <c r="N419" s="726" t="s">
        <v>697</v>
      </c>
      <c r="O419" s="726" t="s">
        <v>695</v>
      </c>
      <c r="P419" s="726"/>
      <c r="Q419" s="719">
        <v>0</v>
      </c>
      <c r="R419" s="719">
        <v>0</v>
      </c>
      <c r="S419" s="719">
        <f>AG420-AG419</f>
        <v>3.1499999999941792</v>
      </c>
      <c r="T419" s="719">
        <v>20</v>
      </c>
      <c r="U419" s="719">
        <v>-25</v>
      </c>
      <c r="V419" s="719"/>
      <c r="W419" s="719">
        <v>1.1000000000000001</v>
      </c>
      <c r="X419" s="719">
        <v>1.2</v>
      </c>
      <c r="Y419" s="719"/>
      <c r="Z419" s="719">
        <v>0.45</v>
      </c>
      <c r="AA419" s="719"/>
      <c r="AB419" s="719"/>
      <c r="AC419" s="719"/>
      <c r="AD419" s="719" t="s">
        <v>2612</v>
      </c>
      <c r="AE419" s="719"/>
      <c r="AF419" s="719">
        <v>200</v>
      </c>
      <c r="AG419" s="1341">
        <v>40789.69</v>
      </c>
      <c r="AH419" s="719">
        <v>1515</v>
      </c>
      <c r="AI419" s="719">
        <v>-5062</v>
      </c>
      <c r="AJ419" s="719"/>
      <c r="AK419" s="719"/>
      <c r="AL419" s="719"/>
      <c r="AM419" s="719" t="s">
        <v>2609</v>
      </c>
      <c r="AN419" s="719">
        <v>5.25</v>
      </c>
      <c r="AO419" s="719"/>
      <c r="AP419" s="719"/>
      <c r="AQ419" s="724"/>
      <c r="AR419" s="724"/>
      <c r="AS419" s="724"/>
      <c r="AT419" s="724">
        <f>+ab($U$419,$T$417,$U$421,$G$418,$G$420,-1*$F$419,1200)</f>
        <v>-15.594295663526159</v>
      </c>
      <c r="AU419" s="724"/>
      <c r="AV419" s="724"/>
      <c r="AW419" s="719"/>
      <c r="AX419" s="719"/>
      <c r="AY419" s="719"/>
    </row>
    <row r="420" spans="1:51" ht="15.75" hidden="1" customHeight="1">
      <c r="A420" s="716"/>
      <c r="B420" s="718"/>
      <c r="C420" s="718"/>
      <c r="D420" s="719"/>
      <c r="E420" s="719"/>
      <c r="F420" s="720"/>
      <c r="G420" s="721">
        <v>50</v>
      </c>
      <c r="H420" s="726"/>
      <c r="I420" s="726"/>
      <c r="J420" s="727"/>
      <c r="K420" s="719"/>
      <c r="L420" s="719"/>
      <c r="M420" s="719"/>
      <c r="N420" s="726"/>
      <c r="O420" s="726"/>
      <c r="P420" s="726"/>
      <c r="Q420" s="719">
        <v>0</v>
      </c>
      <c r="R420" s="719">
        <v>0</v>
      </c>
      <c r="S420" s="719">
        <f t="shared" ref="S420" si="56">AG421-AG420</f>
        <v>48.020000000004075</v>
      </c>
      <c r="T420" s="719"/>
      <c r="U420" s="719"/>
      <c r="V420" s="719"/>
      <c r="W420" s="719"/>
      <c r="X420" s="719"/>
      <c r="Y420" s="719"/>
      <c r="Z420" s="719"/>
      <c r="AA420" s="719"/>
      <c r="AB420" s="719"/>
      <c r="AC420" s="719"/>
      <c r="AD420" s="719"/>
      <c r="AE420" s="719"/>
      <c r="AF420" s="719">
        <v>200</v>
      </c>
      <c r="AG420" s="1341">
        <v>40792.839999999997</v>
      </c>
      <c r="AH420" s="719">
        <v>1519</v>
      </c>
      <c r="AI420" s="719">
        <v>-5051</v>
      </c>
      <c r="AJ420" s="719"/>
      <c r="AK420" s="719"/>
      <c r="AL420" s="719"/>
      <c r="AM420" s="719"/>
      <c r="AN420" s="719"/>
      <c r="AO420" s="719"/>
      <c r="AP420" s="719"/>
      <c r="AQ420" s="724">
        <f>+FL_1($T$421,$U$419,$G$420,1200,9.28,-1*$F$421)</f>
        <v>0.30632183866666668</v>
      </c>
      <c r="AR420" s="724"/>
      <c r="AS420" s="724"/>
      <c r="AT420" s="724"/>
      <c r="AU420" s="724"/>
      <c r="AV420" s="724"/>
      <c r="AW420" s="719"/>
      <c r="AX420" s="719"/>
      <c r="AY420" s="719"/>
    </row>
    <row r="421" spans="1:51" ht="15.75" hidden="1" customHeight="1">
      <c r="A421" s="716" t="s">
        <v>2950</v>
      </c>
      <c r="B421" s="728" t="s">
        <v>1507</v>
      </c>
      <c r="C421" s="718">
        <f>+$C$419+$G$420</f>
        <v>40841</v>
      </c>
      <c r="D421" s="719"/>
      <c r="E421" s="719"/>
      <c r="F421" s="720">
        <v>0</v>
      </c>
      <c r="G421" s="721"/>
      <c r="H421" s="726" t="s">
        <v>668</v>
      </c>
      <c r="I421" s="722" t="s">
        <v>2645</v>
      </c>
      <c r="J421" s="727"/>
      <c r="K421" s="719"/>
      <c r="L421" s="719" t="s">
        <v>465</v>
      </c>
      <c r="M421" s="719"/>
      <c r="N421" s="726" t="s">
        <v>696</v>
      </c>
      <c r="O421" s="726" t="s">
        <v>697</v>
      </c>
      <c r="P421" s="726"/>
      <c r="Q421" s="719">
        <v>0</v>
      </c>
      <c r="R421" s="719">
        <v>0</v>
      </c>
      <c r="S421" s="719">
        <f>AG422-AG421</f>
        <v>3.25</v>
      </c>
      <c r="T421" s="719">
        <v>25</v>
      </c>
      <c r="U421" s="719">
        <v>-20</v>
      </c>
      <c r="V421" s="719"/>
      <c r="W421" s="719">
        <v>1.1000000000000001</v>
      </c>
      <c r="X421" s="719">
        <v>1.2</v>
      </c>
      <c r="Y421" s="719"/>
      <c r="Z421" s="719"/>
      <c r="AA421" s="719">
        <v>0.45</v>
      </c>
      <c r="AB421" s="719"/>
      <c r="AC421" s="719" t="s">
        <v>2616</v>
      </c>
      <c r="AD421" s="719"/>
      <c r="AE421" s="719"/>
      <c r="AF421" s="719">
        <v>200</v>
      </c>
      <c r="AG421" s="1341">
        <v>40840.86</v>
      </c>
      <c r="AH421" s="719">
        <v>1501</v>
      </c>
      <c r="AI421" s="719">
        <v>-5152</v>
      </c>
      <c r="AJ421" s="719" t="s">
        <v>2943</v>
      </c>
      <c r="AK421" s="719"/>
      <c r="AL421" s="719"/>
      <c r="AM421" s="719" t="s">
        <v>2609</v>
      </c>
      <c r="AN421" s="719">
        <v>5.25</v>
      </c>
      <c r="AO421" s="719"/>
      <c r="AP421" s="719"/>
      <c r="AQ421" s="724"/>
      <c r="AR421" s="724"/>
      <c r="AS421" s="724"/>
      <c r="AT421" s="724">
        <f>+ab($T$421,$T$419,$T$423,$G$420,$G$422,-1*$F$421,1200)</f>
        <v>15.594172034820335</v>
      </c>
      <c r="AU421" s="724"/>
      <c r="AV421" s="724"/>
      <c r="AW421" s="719"/>
      <c r="AX421" s="719"/>
      <c r="AY421" s="719"/>
    </row>
    <row r="422" spans="1:51" ht="15.75" hidden="1" customHeight="1">
      <c r="A422" s="716"/>
      <c r="B422" s="718"/>
      <c r="C422" s="718"/>
      <c r="D422" s="719"/>
      <c r="E422" s="719"/>
      <c r="F422" s="720"/>
      <c r="G422" s="721">
        <v>50</v>
      </c>
      <c r="H422" s="726"/>
      <c r="I422" s="726"/>
      <c r="J422" s="727">
        <f>C423-9.5</f>
        <v>40881.5</v>
      </c>
      <c r="K422" s="719" t="s">
        <v>1097</v>
      </c>
      <c r="L422" s="719"/>
      <c r="M422" s="719"/>
      <c r="N422" s="726"/>
      <c r="O422" s="726"/>
      <c r="P422" s="726"/>
      <c r="Q422" s="719">
        <v>0</v>
      </c>
      <c r="R422" s="719">
        <v>0</v>
      </c>
      <c r="S422" s="719">
        <f>AG423-AG422</f>
        <v>48.080000000001746</v>
      </c>
      <c r="T422" s="719"/>
      <c r="U422" s="719"/>
      <c r="V422" s="719"/>
      <c r="W422" s="719"/>
      <c r="X422" s="719"/>
      <c r="Y422" s="719"/>
      <c r="Z422" s="719"/>
      <c r="AA422" s="719"/>
      <c r="AB422" s="719"/>
      <c r="AC422" s="719"/>
      <c r="AD422" s="719"/>
      <c r="AE422" s="719"/>
      <c r="AF422" s="719">
        <v>200</v>
      </c>
      <c r="AG422" s="1341">
        <v>40844.11</v>
      </c>
      <c r="AH422" s="719">
        <v>1510</v>
      </c>
      <c r="AI422" s="719">
        <v>-5148</v>
      </c>
      <c r="AJ422" s="719"/>
      <c r="AK422" s="719"/>
      <c r="AL422" s="719"/>
      <c r="AM422" s="719"/>
      <c r="AN422" s="719"/>
      <c r="AO422" s="719"/>
      <c r="AP422" s="719"/>
      <c r="AQ422" s="724">
        <f>+FL_1($T$423,$T$421,$G$422,1200,9.28,-1*$F$423)</f>
        <v>0.29489941866666669</v>
      </c>
      <c r="AR422" s="724"/>
      <c r="AS422" s="724"/>
      <c r="AT422" s="724"/>
      <c r="AU422" s="724"/>
      <c r="AV422" s="724"/>
      <c r="AW422" s="719"/>
      <c r="AX422" s="719"/>
      <c r="AY422" s="719"/>
    </row>
    <row r="423" spans="1:51" ht="15.75" hidden="1" customHeight="1">
      <c r="A423" s="716" t="s">
        <v>677</v>
      </c>
      <c r="B423" s="728" t="s">
        <v>1508</v>
      </c>
      <c r="C423" s="718">
        <f>+$C$421+$G$422</f>
        <v>40891</v>
      </c>
      <c r="D423" s="719"/>
      <c r="E423" s="719"/>
      <c r="F423" s="720">
        <v>0</v>
      </c>
      <c r="G423" s="721"/>
      <c r="H423" s="726" t="s">
        <v>138</v>
      </c>
      <c r="I423" s="722" t="s">
        <v>948</v>
      </c>
      <c r="J423" s="727"/>
      <c r="K423" s="719"/>
      <c r="L423" s="719" t="s">
        <v>241</v>
      </c>
      <c r="M423" s="719"/>
      <c r="N423" s="726" t="s">
        <v>695</v>
      </c>
      <c r="O423" s="726"/>
      <c r="P423" s="726"/>
      <c r="Q423" s="719">
        <v>0</v>
      </c>
      <c r="R423" s="719">
        <v>0</v>
      </c>
      <c r="S423" s="719"/>
      <c r="T423" s="719">
        <v>-30</v>
      </c>
      <c r="U423" s="719"/>
      <c r="V423" s="719"/>
      <c r="W423" s="719">
        <v>1.1000000000000001</v>
      </c>
      <c r="X423" s="719"/>
      <c r="Y423" s="719"/>
      <c r="Z423" s="719"/>
      <c r="AA423" s="719"/>
      <c r="AB423" s="719"/>
      <c r="AC423" s="719" t="s">
        <v>2977</v>
      </c>
      <c r="AD423" s="719"/>
      <c r="AE423" s="719"/>
      <c r="AF423" s="719">
        <v>200</v>
      </c>
      <c r="AG423" s="1341">
        <v>40892.19</v>
      </c>
      <c r="AH423" s="719">
        <v>1480</v>
      </c>
      <c r="AI423" s="719">
        <v>-5146</v>
      </c>
      <c r="AJ423" s="719"/>
      <c r="AK423" s="719"/>
      <c r="AL423" s="719"/>
      <c r="AM423" s="719" t="s">
        <v>2609</v>
      </c>
      <c r="AN423" s="719">
        <v>5.25</v>
      </c>
      <c r="AO423" s="719"/>
      <c r="AP423" s="719"/>
      <c r="AQ423" s="724"/>
      <c r="AR423" s="724"/>
      <c r="AS423" s="724"/>
      <c r="AT423" s="724">
        <f>+ab($T$423,$T$421,$T$425,$G$422,$G$424,-1*$F$423,1200)</f>
        <v>-8.2849467556123688</v>
      </c>
      <c r="AU423" s="724"/>
      <c r="AV423" s="724"/>
      <c r="AW423" s="719"/>
      <c r="AX423" s="719"/>
      <c r="AY423" s="719"/>
    </row>
    <row r="424" spans="1:51" ht="15.75" hidden="1" customHeight="1">
      <c r="A424" s="716"/>
      <c r="B424" s="718"/>
      <c r="C424" s="718"/>
      <c r="D424" s="719"/>
      <c r="E424" s="719"/>
      <c r="F424" s="720"/>
      <c r="G424" s="721">
        <v>50</v>
      </c>
      <c r="H424" s="726"/>
      <c r="I424" s="726"/>
      <c r="J424" s="727"/>
      <c r="K424" s="719"/>
      <c r="L424" s="719"/>
      <c r="M424" s="719"/>
      <c r="N424" s="726"/>
      <c r="O424" s="726"/>
      <c r="P424" s="726"/>
      <c r="Q424" s="719"/>
      <c r="R424" s="719"/>
      <c r="S424" s="719">
        <f t="shared" si="54"/>
        <v>47.989999999997963</v>
      </c>
      <c r="T424" s="719"/>
      <c r="U424" s="719"/>
      <c r="V424" s="719"/>
      <c r="W424" s="719"/>
      <c r="X424" s="719"/>
      <c r="Y424" s="719"/>
      <c r="Z424" s="719"/>
      <c r="AA424" s="719"/>
      <c r="AB424" s="719"/>
      <c r="AC424" s="719"/>
      <c r="AD424" s="719"/>
      <c r="AE424" s="719"/>
      <c r="AF424" s="719"/>
      <c r="AG424" s="1341"/>
      <c r="AH424" s="719"/>
      <c r="AI424" s="719"/>
      <c r="AJ424" s="719"/>
      <c r="AK424" s="719"/>
      <c r="AL424" s="719"/>
      <c r="AM424" s="719"/>
      <c r="AN424" s="719"/>
      <c r="AO424" s="719"/>
      <c r="AP424" s="719"/>
      <c r="AQ424" s="724">
        <f>+FL_1($T$425,$T$423,$G$424,1200,9.28,-1*$F$425)</f>
        <v>0.33477011200000001</v>
      </c>
      <c r="AR424" s="724"/>
      <c r="AS424" s="724"/>
      <c r="AT424" s="724"/>
      <c r="AU424" s="724"/>
      <c r="AV424" s="724"/>
      <c r="AW424" s="719"/>
      <c r="AX424" s="719"/>
      <c r="AY424" s="719"/>
    </row>
    <row r="425" spans="1:51" ht="15.75" hidden="1" customHeight="1">
      <c r="A425" s="716" t="s">
        <v>677</v>
      </c>
      <c r="B425" s="728" t="s">
        <v>1509</v>
      </c>
      <c r="C425" s="718">
        <f>+$C$423+$G$424</f>
        <v>40941</v>
      </c>
      <c r="D425" s="719"/>
      <c r="E425" s="719"/>
      <c r="F425" s="720">
        <v>0</v>
      </c>
      <c r="G425" s="721"/>
      <c r="H425" s="726"/>
      <c r="I425" s="726"/>
      <c r="J425" s="727"/>
      <c r="K425" s="719"/>
      <c r="L425" s="719" t="s">
        <v>241</v>
      </c>
      <c r="M425" s="719"/>
      <c r="N425" s="726" t="s">
        <v>696</v>
      </c>
      <c r="O425" s="726"/>
      <c r="P425" s="726"/>
      <c r="Q425" s="719">
        <v>0</v>
      </c>
      <c r="R425" s="719">
        <v>0</v>
      </c>
      <c r="S425" s="719"/>
      <c r="T425" s="719">
        <v>30</v>
      </c>
      <c r="U425" s="719"/>
      <c r="V425" s="719"/>
      <c r="W425" s="719">
        <v>1.1000000000000001</v>
      </c>
      <c r="X425" s="719"/>
      <c r="Y425" s="719"/>
      <c r="Z425" s="719"/>
      <c r="AA425" s="719"/>
      <c r="AB425" s="719"/>
      <c r="AC425" s="719" t="s">
        <v>2977</v>
      </c>
      <c r="AD425" s="719"/>
      <c r="AE425" s="719"/>
      <c r="AF425" s="719">
        <v>200</v>
      </c>
      <c r="AG425" s="1341">
        <v>40940.18</v>
      </c>
      <c r="AH425" s="719">
        <v>1512</v>
      </c>
      <c r="AI425" s="719">
        <v>-5111</v>
      </c>
      <c r="AJ425" s="719"/>
      <c r="AK425" s="719"/>
      <c r="AL425" s="719"/>
      <c r="AM425" s="719" t="s">
        <v>2609</v>
      </c>
      <c r="AN425" s="719">
        <v>5.25</v>
      </c>
      <c r="AO425" s="719"/>
      <c r="AP425" s="719"/>
      <c r="AQ425" s="724"/>
      <c r="AR425" s="724"/>
      <c r="AS425" s="724"/>
      <c r="AT425" s="724">
        <f>+ab($T$425,$T$423,$T$427,$G$424,$G$426,-1*$F$425,1200)</f>
        <v>7.9442083933778509</v>
      </c>
      <c r="AU425" s="724"/>
      <c r="AV425" s="724"/>
      <c r="AW425" s="719"/>
      <c r="AX425" s="719"/>
      <c r="AY425" s="719"/>
    </row>
    <row r="426" spans="1:51" ht="15.75" hidden="1" customHeight="1">
      <c r="A426" s="716"/>
      <c r="B426" s="718"/>
      <c r="C426" s="718"/>
      <c r="D426" s="719"/>
      <c r="E426" s="719"/>
      <c r="F426" s="720"/>
      <c r="G426" s="721">
        <v>50</v>
      </c>
      <c r="H426" s="726"/>
      <c r="I426" s="726"/>
      <c r="J426" s="727"/>
      <c r="K426" s="719"/>
      <c r="L426" s="719"/>
      <c r="M426" s="719"/>
      <c r="N426" s="726"/>
      <c r="O426" s="726"/>
      <c r="P426" s="726"/>
      <c r="Q426" s="719"/>
      <c r="R426" s="719"/>
      <c r="S426" s="719">
        <f t="shared" si="54"/>
        <v>51.19999999999709</v>
      </c>
      <c r="T426" s="719"/>
      <c r="U426" s="719"/>
      <c r="V426" s="719"/>
      <c r="W426" s="719"/>
      <c r="X426" s="719"/>
      <c r="Y426" s="719"/>
      <c r="Z426" s="719"/>
      <c r="AA426" s="719"/>
      <c r="AB426" s="719"/>
      <c r="AC426" s="719"/>
      <c r="AD426" s="719"/>
      <c r="AE426" s="719"/>
      <c r="AF426" s="719"/>
      <c r="AG426" s="1341"/>
      <c r="AH426" s="719"/>
      <c r="AI426" s="719"/>
      <c r="AJ426" s="719"/>
      <c r="AK426" s="719"/>
      <c r="AL426" s="719"/>
      <c r="AM426" s="719"/>
      <c r="AN426" s="719"/>
      <c r="AO426" s="719"/>
      <c r="AP426" s="719"/>
      <c r="AQ426" s="724">
        <f>+FL_2($T$427,$T$425,$G$426,1200,9.28,-1*$F$427)</f>
        <v>-0.33477011200000001</v>
      </c>
      <c r="AR426" s="724"/>
      <c r="AS426" s="724"/>
      <c r="AT426" s="724"/>
      <c r="AU426" s="724"/>
      <c r="AV426" s="724"/>
      <c r="AW426" s="719"/>
      <c r="AX426" s="719"/>
      <c r="AY426" s="719"/>
    </row>
    <row r="427" spans="1:51" ht="15.75" hidden="1" customHeight="1">
      <c r="A427" s="716" t="s">
        <v>677</v>
      </c>
      <c r="B427" s="728" t="s">
        <v>1510</v>
      </c>
      <c r="C427" s="718">
        <f>+$C$425+$G$426</f>
        <v>40991</v>
      </c>
      <c r="D427" s="719"/>
      <c r="E427" s="719"/>
      <c r="F427" s="720">
        <v>0</v>
      </c>
      <c r="G427" s="721"/>
      <c r="H427" s="726"/>
      <c r="I427" s="726"/>
      <c r="J427" s="727"/>
      <c r="K427" s="719"/>
      <c r="L427" s="719" t="s">
        <v>241</v>
      </c>
      <c r="M427" s="719"/>
      <c r="N427" s="726" t="s">
        <v>695</v>
      </c>
      <c r="O427" s="726"/>
      <c r="P427" s="726"/>
      <c r="Q427" s="719">
        <v>0</v>
      </c>
      <c r="R427" s="719">
        <v>0</v>
      </c>
      <c r="S427" s="719"/>
      <c r="T427" s="719">
        <v>-30</v>
      </c>
      <c r="U427" s="719"/>
      <c r="V427" s="719"/>
      <c r="W427" s="719">
        <v>1.1000000000000001</v>
      </c>
      <c r="X427" s="719"/>
      <c r="Y427" s="719"/>
      <c r="Z427" s="719"/>
      <c r="AA427" s="719"/>
      <c r="AB427" s="719"/>
      <c r="AC427" s="719" t="s">
        <v>2977</v>
      </c>
      <c r="AD427" s="719"/>
      <c r="AE427" s="719"/>
      <c r="AF427" s="719">
        <v>200</v>
      </c>
      <c r="AG427" s="1341">
        <v>40991.379999999997</v>
      </c>
      <c r="AH427" s="719">
        <v>1520</v>
      </c>
      <c r="AI427" s="719">
        <v>-5163</v>
      </c>
      <c r="AJ427" s="719"/>
      <c r="AK427" s="719"/>
      <c r="AL427" s="719"/>
      <c r="AM427" s="719" t="s">
        <v>2609</v>
      </c>
      <c r="AN427" s="719">
        <v>5.25</v>
      </c>
      <c r="AO427" s="719"/>
      <c r="AP427" s="719"/>
      <c r="AQ427" s="724"/>
      <c r="AR427" s="724"/>
      <c r="AS427" s="724"/>
      <c r="AT427" s="724">
        <f>+ab($T$427,$T$425,$T$429,$G$426,$G$428,-1*$F$427,1200)</f>
        <v>-7.9442410717051439</v>
      </c>
      <c r="AU427" s="724"/>
      <c r="AV427" s="724"/>
      <c r="AW427" s="719"/>
      <c r="AX427" s="719"/>
      <c r="AY427" s="719"/>
    </row>
    <row r="428" spans="1:51" ht="15.75" hidden="1" customHeight="1">
      <c r="A428" s="716"/>
      <c r="B428" s="718"/>
      <c r="C428" s="718"/>
      <c r="D428" s="719"/>
      <c r="E428" s="719"/>
      <c r="F428" s="720"/>
      <c r="G428" s="721">
        <v>50</v>
      </c>
      <c r="H428" s="726"/>
      <c r="I428" s="726"/>
      <c r="J428" s="727"/>
      <c r="K428" s="719"/>
      <c r="L428" s="719"/>
      <c r="M428" s="719"/>
      <c r="N428" s="726"/>
      <c r="O428" s="726"/>
      <c r="P428" s="726"/>
      <c r="Q428" s="719"/>
      <c r="R428" s="719"/>
      <c r="S428" s="719">
        <f t="shared" si="54"/>
        <v>49.75</v>
      </c>
      <c r="T428" s="719"/>
      <c r="U428" s="719"/>
      <c r="V428" s="719"/>
      <c r="W428" s="719"/>
      <c r="X428" s="719"/>
      <c r="Y428" s="719"/>
      <c r="Z428" s="719"/>
      <c r="AA428" s="719"/>
      <c r="AB428" s="719"/>
      <c r="AC428" s="719"/>
      <c r="AD428" s="719"/>
      <c r="AE428" s="719"/>
      <c r="AF428" s="719"/>
      <c r="AG428" s="1341"/>
      <c r="AH428" s="719"/>
      <c r="AI428" s="719"/>
      <c r="AJ428" s="719"/>
      <c r="AK428" s="719"/>
      <c r="AL428" s="719"/>
      <c r="AM428" s="719"/>
      <c r="AN428" s="719"/>
      <c r="AO428" s="719"/>
      <c r="AP428" s="719"/>
      <c r="AQ428" s="724">
        <f>+FL_1($T$429,$T$427,$G$428,1200,9.28,-1*$F$429)</f>
        <v>0.33477011200000001</v>
      </c>
      <c r="AR428" s="724"/>
      <c r="AS428" s="724"/>
      <c r="AT428" s="724"/>
      <c r="AU428" s="724"/>
      <c r="AV428" s="724"/>
      <c r="AW428" s="719"/>
      <c r="AX428" s="719"/>
      <c r="AY428" s="719"/>
    </row>
    <row r="429" spans="1:51" ht="15.75" hidden="1" customHeight="1">
      <c r="A429" s="716" t="s">
        <v>677</v>
      </c>
      <c r="B429" s="728" t="s">
        <v>1511</v>
      </c>
      <c r="C429" s="718">
        <f>+$C$427+$G$428</f>
        <v>41041</v>
      </c>
      <c r="D429" s="719"/>
      <c r="E429" s="719"/>
      <c r="F429" s="720">
        <v>0</v>
      </c>
      <c r="G429" s="721"/>
      <c r="H429" s="726"/>
      <c r="I429" s="726"/>
      <c r="J429" s="727"/>
      <c r="K429" s="719"/>
      <c r="L429" s="719" t="s">
        <v>241</v>
      </c>
      <c r="M429" s="719"/>
      <c r="N429" s="726" t="s">
        <v>696</v>
      </c>
      <c r="O429" s="726"/>
      <c r="P429" s="726"/>
      <c r="Q429" s="719">
        <v>0</v>
      </c>
      <c r="R429" s="719">
        <v>0</v>
      </c>
      <c r="S429" s="719"/>
      <c r="T429" s="719">
        <v>30</v>
      </c>
      <c r="U429" s="719"/>
      <c r="V429" s="719"/>
      <c r="W429" s="719">
        <v>1.1000000000000001</v>
      </c>
      <c r="X429" s="719"/>
      <c r="Y429" s="719"/>
      <c r="Z429" s="719"/>
      <c r="AA429" s="719"/>
      <c r="AB429" s="719"/>
      <c r="AC429" s="719" t="s">
        <v>2977</v>
      </c>
      <c r="AD429" s="719"/>
      <c r="AE429" s="719"/>
      <c r="AF429" s="719">
        <v>200</v>
      </c>
      <c r="AG429" s="1341">
        <v>41041.129999999997</v>
      </c>
      <c r="AH429" s="719">
        <v>1513</v>
      </c>
      <c r="AI429" s="719">
        <v>-5137</v>
      </c>
      <c r="AJ429" s="719"/>
      <c r="AK429" s="719"/>
      <c r="AL429" s="719"/>
      <c r="AM429" s="719" t="s">
        <v>2609</v>
      </c>
      <c r="AN429" s="719">
        <v>5.25</v>
      </c>
      <c r="AO429" s="719"/>
      <c r="AP429" s="719"/>
      <c r="AQ429" s="724"/>
      <c r="AR429" s="724"/>
      <c r="AS429" s="724"/>
      <c r="AT429" s="724">
        <f>+ab($T$429,$T$427,$T$431,$G$428,$G$430,-1*$F$429,1200)</f>
        <v>7.9442083933778509</v>
      </c>
      <c r="AU429" s="724"/>
      <c r="AV429" s="724"/>
      <c r="AW429" s="719"/>
      <c r="AX429" s="719"/>
      <c r="AY429" s="719"/>
    </row>
    <row r="430" spans="1:51" ht="15.75" hidden="1" customHeight="1">
      <c r="A430" s="716"/>
      <c r="B430" s="718"/>
      <c r="C430" s="718"/>
      <c r="D430" s="719"/>
      <c r="E430" s="719"/>
      <c r="F430" s="720"/>
      <c r="G430" s="721">
        <v>50</v>
      </c>
      <c r="H430" s="726"/>
      <c r="I430" s="726"/>
      <c r="J430" s="727"/>
      <c r="K430" s="719"/>
      <c r="L430" s="719"/>
      <c r="M430" s="719"/>
      <c r="N430" s="726"/>
      <c r="O430" s="726"/>
      <c r="P430" s="726"/>
      <c r="Q430" s="719"/>
      <c r="R430" s="719"/>
      <c r="S430" s="719">
        <f t="shared" si="54"/>
        <v>49.610000000000582</v>
      </c>
      <c r="T430" s="719"/>
      <c r="U430" s="719"/>
      <c r="V430" s="719"/>
      <c r="W430" s="719"/>
      <c r="X430" s="719"/>
      <c r="Y430" s="719"/>
      <c r="Z430" s="719"/>
      <c r="AA430" s="719"/>
      <c r="AB430" s="719"/>
      <c r="AC430" s="719"/>
      <c r="AD430" s="719"/>
      <c r="AE430" s="719"/>
      <c r="AF430" s="719"/>
      <c r="AG430" s="1341"/>
      <c r="AH430" s="719"/>
      <c r="AI430" s="719"/>
      <c r="AJ430" s="719"/>
      <c r="AK430" s="719"/>
      <c r="AL430" s="719"/>
      <c r="AM430" s="719"/>
      <c r="AN430" s="719"/>
      <c r="AO430" s="719"/>
      <c r="AP430" s="719"/>
      <c r="AQ430" s="724">
        <f>+FL_2($T$431,$T$429,$G$430,1200,9.28,-1*$F$431)</f>
        <v>-0.33477011200000001</v>
      </c>
      <c r="AR430" s="724"/>
      <c r="AS430" s="724"/>
      <c r="AT430" s="724"/>
      <c r="AU430" s="724"/>
      <c r="AV430" s="724"/>
      <c r="AW430" s="719"/>
      <c r="AX430" s="719"/>
      <c r="AY430" s="719"/>
    </row>
    <row r="431" spans="1:51" ht="15.75" hidden="1" customHeight="1">
      <c r="A431" s="716" t="s">
        <v>677</v>
      </c>
      <c r="B431" s="728" t="s">
        <v>1512</v>
      </c>
      <c r="C431" s="718">
        <f>+$C$429+$G$430</f>
        <v>41091</v>
      </c>
      <c r="D431" s="719"/>
      <c r="E431" s="719"/>
      <c r="F431" s="720">
        <v>0</v>
      </c>
      <c r="G431" s="721"/>
      <c r="H431" s="726"/>
      <c r="I431" s="726"/>
      <c r="J431" s="727"/>
      <c r="K431" s="719"/>
      <c r="L431" s="719" t="s">
        <v>241</v>
      </c>
      <c r="M431" s="719"/>
      <c r="N431" s="726" t="s">
        <v>695</v>
      </c>
      <c r="O431" s="726"/>
      <c r="P431" s="726"/>
      <c r="Q431" s="719">
        <v>0</v>
      </c>
      <c r="R431" s="719">
        <v>0</v>
      </c>
      <c r="S431" s="719"/>
      <c r="T431" s="719">
        <v>-30</v>
      </c>
      <c r="U431" s="719"/>
      <c r="V431" s="719"/>
      <c r="W431" s="719">
        <v>1.1000000000000001</v>
      </c>
      <c r="X431" s="719"/>
      <c r="Y431" s="719"/>
      <c r="Z431" s="719"/>
      <c r="AA431" s="719"/>
      <c r="AB431" s="719"/>
      <c r="AC431" s="719" t="s">
        <v>2977</v>
      </c>
      <c r="AD431" s="719"/>
      <c r="AE431" s="719"/>
      <c r="AF431" s="719">
        <v>200</v>
      </c>
      <c r="AG431" s="1341">
        <v>41090.74</v>
      </c>
      <c r="AH431" s="719">
        <v>1514</v>
      </c>
      <c r="AI431" s="719">
        <v>-5099</v>
      </c>
      <c r="AJ431" s="719"/>
      <c r="AK431" s="719"/>
      <c r="AL431" s="719"/>
      <c r="AM431" s="719" t="s">
        <v>2609</v>
      </c>
      <c r="AN431" s="719">
        <v>5.25</v>
      </c>
      <c r="AO431" s="719"/>
      <c r="AP431" s="719"/>
      <c r="AQ431" s="724"/>
      <c r="AR431" s="724"/>
      <c r="AS431" s="724"/>
      <c r="AT431" s="724">
        <f>+ab($T$431,$T$429,$T$433,$G$430,$G$432,-1*$F$431,1200)</f>
        <v>-7.8650051641010146</v>
      </c>
      <c r="AU431" s="724"/>
      <c r="AV431" s="724"/>
      <c r="AW431" s="719"/>
      <c r="AX431" s="719"/>
      <c r="AY431" s="719"/>
    </row>
    <row r="432" spans="1:51" ht="15.75" hidden="1" customHeight="1">
      <c r="A432" s="716"/>
      <c r="B432" s="718"/>
      <c r="C432" s="718"/>
      <c r="D432" s="719"/>
      <c r="E432" s="719"/>
      <c r="F432" s="720"/>
      <c r="G432" s="721">
        <v>49</v>
      </c>
      <c r="H432" s="726"/>
      <c r="I432" s="726"/>
      <c r="J432" s="727"/>
      <c r="K432" s="719"/>
      <c r="L432" s="719"/>
      <c r="M432" s="719"/>
      <c r="N432" s="726"/>
      <c r="O432" s="726"/>
      <c r="P432" s="726"/>
      <c r="Q432" s="719"/>
      <c r="R432" s="719"/>
      <c r="S432" s="719">
        <f t="shared" si="54"/>
        <v>48.020000000004075</v>
      </c>
      <c r="T432" s="719"/>
      <c r="U432" s="719"/>
      <c r="V432" s="719"/>
      <c r="W432" s="719"/>
      <c r="X432" s="719"/>
      <c r="Y432" s="719"/>
      <c r="Z432" s="719"/>
      <c r="AA432" s="719"/>
      <c r="AB432" s="719"/>
      <c r="AC432" s="719"/>
      <c r="AD432" s="719"/>
      <c r="AE432" s="719"/>
      <c r="AF432" s="719"/>
      <c r="AG432" s="1341"/>
      <c r="AH432" s="719"/>
      <c r="AI432" s="719"/>
      <c r="AJ432" s="719"/>
      <c r="AK432" s="719"/>
      <c r="AL432" s="719"/>
      <c r="AM432" s="719"/>
      <c r="AN432" s="719"/>
      <c r="AO432" s="719"/>
      <c r="AP432" s="719"/>
      <c r="AQ432" s="724">
        <f>+FL_1($T$433,$T$431,$G$432,1200,9.28,-1*$F$433)</f>
        <v>0.32903902669387752</v>
      </c>
      <c r="AR432" s="724"/>
      <c r="AS432" s="724"/>
      <c r="AT432" s="724"/>
      <c r="AU432" s="724"/>
      <c r="AV432" s="724"/>
      <c r="AW432" s="719"/>
      <c r="AX432" s="719"/>
      <c r="AY432" s="719"/>
    </row>
    <row r="433" spans="1:51" ht="15.75" hidden="1" customHeight="1">
      <c r="A433" s="716" t="s">
        <v>677</v>
      </c>
      <c r="B433" s="728" t="s">
        <v>1513</v>
      </c>
      <c r="C433" s="718">
        <f>+$C$431+$G$432</f>
        <v>41140</v>
      </c>
      <c r="D433" s="719"/>
      <c r="E433" s="719"/>
      <c r="F433" s="720">
        <v>0</v>
      </c>
      <c r="G433" s="721"/>
      <c r="H433" s="726"/>
      <c r="I433" s="726"/>
      <c r="J433" s="727"/>
      <c r="K433" s="719"/>
      <c r="L433" s="719" t="s">
        <v>241</v>
      </c>
      <c r="M433" s="719"/>
      <c r="N433" s="726" t="s">
        <v>696</v>
      </c>
      <c r="O433" s="726"/>
      <c r="P433" s="726"/>
      <c r="Q433" s="719">
        <v>0</v>
      </c>
      <c r="R433" s="719">
        <v>0</v>
      </c>
      <c r="S433" s="719"/>
      <c r="T433" s="719">
        <v>30</v>
      </c>
      <c r="U433" s="719"/>
      <c r="V433" s="719"/>
      <c r="W433" s="719">
        <v>1.1000000000000001</v>
      </c>
      <c r="X433" s="719"/>
      <c r="Y433" s="719"/>
      <c r="Z433" s="719"/>
      <c r="AA433" s="719"/>
      <c r="AB433" s="719"/>
      <c r="AC433" s="719" t="s">
        <v>2977</v>
      </c>
      <c r="AD433" s="719"/>
      <c r="AE433" s="719"/>
      <c r="AF433" s="719">
        <v>200</v>
      </c>
      <c r="AG433" s="1341">
        <v>41138.76</v>
      </c>
      <c r="AH433" s="719">
        <v>1498</v>
      </c>
      <c r="AI433" s="719">
        <v>-5121</v>
      </c>
      <c r="AJ433" s="719"/>
      <c r="AK433" s="719"/>
      <c r="AL433" s="719"/>
      <c r="AM433" s="719" t="s">
        <v>2609</v>
      </c>
      <c r="AN433" s="719">
        <v>5.25</v>
      </c>
      <c r="AO433" s="719"/>
      <c r="AP433" s="719"/>
      <c r="AQ433" s="724"/>
      <c r="AR433" s="724"/>
      <c r="AS433" s="724"/>
      <c r="AT433" s="724">
        <f>+ab($T$433,$T$431,$T$435,$G$432,$G$434,-1*$F$433,1200)</f>
        <v>7.4597343398482128</v>
      </c>
      <c r="AU433" s="724"/>
      <c r="AV433" s="724"/>
      <c r="AW433" s="719"/>
      <c r="AX433" s="719"/>
      <c r="AY433" s="719"/>
    </row>
    <row r="434" spans="1:51" ht="15.75" hidden="1" customHeight="1">
      <c r="A434" s="716"/>
      <c r="B434" s="718"/>
      <c r="C434" s="718"/>
      <c r="D434" s="719"/>
      <c r="E434" s="719"/>
      <c r="F434" s="720"/>
      <c r="G434" s="721">
        <v>45</v>
      </c>
      <c r="H434" s="726"/>
      <c r="I434" s="726" t="s">
        <v>2053</v>
      </c>
      <c r="J434" s="727">
        <f>C435-5</f>
        <v>41180</v>
      </c>
      <c r="K434" s="719" t="s">
        <v>1102</v>
      </c>
      <c r="L434" s="719"/>
      <c r="M434" s="719"/>
      <c r="N434" s="726"/>
      <c r="O434" s="726"/>
      <c r="P434" s="726"/>
      <c r="Q434" s="719"/>
      <c r="R434" s="719"/>
      <c r="S434" s="719">
        <f t="shared" ref="S434:S496" si="57">AG435-AG433</f>
        <v>44.909999999996217</v>
      </c>
      <c r="T434" s="719"/>
      <c r="U434" s="719"/>
      <c r="V434" s="719"/>
      <c r="W434" s="719"/>
      <c r="X434" s="719"/>
      <c r="Y434" s="719"/>
      <c r="Z434" s="719"/>
      <c r="AA434" s="719"/>
      <c r="AB434" s="719"/>
      <c r="AC434" s="719"/>
      <c r="AD434" s="719"/>
      <c r="AE434" s="719"/>
      <c r="AF434" s="719"/>
      <c r="AG434" s="1341"/>
      <c r="AH434" s="719"/>
      <c r="AI434" s="719"/>
      <c r="AJ434" s="719"/>
      <c r="AK434" s="719"/>
      <c r="AL434" s="719"/>
      <c r="AM434" s="719"/>
      <c r="AN434" s="719"/>
      <c r="AO434" s="719"/>
      <c r="AP434" s="719"/>
      <c r="AQ434" s="724">
        <f>+FL_2($T$435,$T$433,$G$434,1200,9.28,-1*$F$435)</f>
        <v>-0.31069252800000002</v>
      </c>
      <c r="AR434" s="724"/>
      <c r="AS434" s="724"/>
      <c r="AT434" s="724"/>
      <c r="AU434" s="724"/>
      <c r="AV434" s="724"/>
      <c r="AW434" s="719"/>
      <c r="AX434" s="719"/>
      <c r="AY434" s="719"/>
    </row>
    <row r="435" spans="1:51" ht="15.75" customHeight="1">
      <c r="A435" s="716" t="s">
        <v>677</v>
      </c>
      <c r="B435" s="728" t="s">
        <v>1514</v>
      </c>
      <c r="C435" s="718">
        <f>+$C$433+$G$434</f>
        <v>41185</v>
      </c>
      <c r="D435" s="719"/>
      <c r="E435" s="719"/>
      <c r="F435" s="720">
        <v>0</v>
      </c>
      <c r="G435" s="721"/>
      <c r="H435" s="726" t="s">
        <v>1101</v>
      </c>
      <c r="I435" s="726"/>
      <c r="J435" s="727"/>
      <c r="K435" s="719"/>
      <c r="L435" s="719" t="s">
        <v>241</v>
      </c>
      <c r="M435" s="719"/>
      <c r="N435" s="726" t="s">
        <v>695</v>
      </c>
      <c r="O435" s="726"/>
      <c r="P435" s="726"/>
      <c r="Q435" s="719">
        <v>0</v>
      </c>
      <c r="R435" s="719">
        <v>0</v>
      </c>
      <c r="S435" s="719"/>
      <c r="T435" s="719">
        <v>-30</v>
      </c>
      <c r="U435" s="719"/>
      <c r="V435" s="719"/>
      <c r="W435" s="719">
        <v>1.1000000000000001</v>
      </c>
      <c r="X435" s="719"/>
      <c r="Y435" s="719"/>
      <c r="Z435" s="719"/>
      <c r="AA435" s="719"/>
      <c r="AB435" s="719"/>
      <c r="AC435" s="719" t="s">
        <v>2977</v>
      </c>
      <c r="AD435" s="719"/>
      <c r="AE435" s="719"/>
      <c r="AF435" s="719">
        <v>200</v>
      </c>
      <c r="AG435" s="1341">
        <v>41183.67</v>
      </c>
      <c r="AH435" s="719">
        <v>1503</v>
      </c>
      <c r="AI435" s="719">
        <v>-5109</v>
      </c>
      <c r="AJ435" s="719"/>
      <c r="AK435" s="719"/>
      <c r="AL435" s="719"/>
      <c r="AM435" s="719" t="s">
        <v>2609</v>
      </c>
      <c r="AN435" s="719">
        <v>5.25</v>
      </c>
      <c r="AO435" s="719"/>
      <c r="AP435" s="719"/>
      <c r="AQ435" s="724"/>
      <c r="AR435" s="724"/>
      <c r="AS435" s="724"/>
      <c r="AT435" s="724">
        <f>+ab($T$435,$T$433,$T$437,$G$434,$G$436,-1*$F$435,1200)</f>
        <v>-7.7360610886135976</v>
      </c>
      <c r="AU435" s="724"/>
      <c r="AV435" s="724"/>
      <c r="AW435" s="719"/>
      <c r="AX435" s="719"/>
      <c r="AY435" s="719"/>
    </row>
    <row r="436" spans="1:51" ht="15.75" hidden="1" customHeight="1">
      <c r="A436" s="716"/>
      <c r="B436" s="718"/>
      <c r="C436" s="718"/>
      <c r="D436" s="719"/>
      <c r="E436" s="719"/>
      <c r="F436" s="720"/>
      <c r="G436" s="721">
        <v>53</v>
      </c>
      <c r="H436" s="726"/>
      <c r="I436" s="726">
        <f>+SUM(G418:G436)</f>
        <v>497</v>
      </c>
      <c r="J436" s="727">
        <f>C435+2.2</f>
        <v>41187.199999999997</v>
      </c>
      <c r="K436" s="719" t="s">
        <v>1102</v>
      </c>
      <c r="L436" s="719"/>
      <c r="M436" s="719"/>
      <c r="N436" s="726"/>
      <c r="O436" s="726"/>
      <c r="P436" s="726"/>
      <c r="Q436" s="719"/>
      <c r="R436" s="719"/>
      <c r="S436" s="719">
        <f t="shared" si="57"/>
        <v>54.349999999998545</v>
      </c>
      <c r="T436" s="719"/>
      <c r="U436" s="719"/>
      <c r="V436" s="719"/>
      <c r="W436" s="719"/>
      <c r="X436" s="719"/>
      <c r="Y436" s="719"/>
      <c r="Z436" s="719"/>
      <c r="AA436" s="719"/>
      <c r="AB436" s="719"/>
      <c r="AC436" s="719"/>
      <c r="AD436" s="719"/>
      <c r="AE436" s="719"/>
      <c r="AF436" s="719"/>
      <c r="AG436" s="1341"/>
      <c r="AH436" s="719"/>
      <c r="AI436" s="719"/>
      <c r="AJ436" s="719"/>
      <c r="AK436" s="719"/>
      <c r="AL436" s="719"/>
      <c r="AM436" s="719"/>
      <c r="AN436" s="719"/>
      <c r="AO436" s="719"/>
      <c r="AP436" s="719"/>
      <c r="AQ436" s="724">
        <f>+FL_2($T$437,$T$435,$G$436,1200,9.28,-1*$F$437)</f>
        <v>-0.35439840372327047</v>
      </c>
      <c r="AR436" s="724"/>
      <c r="AS436" s="724"/>
      <c r="AT436" s="724"/>
      <c r="AU436" s="724"/>
      <c r="AV436" s="724"/>
      <c r="AW436" s="719"/>
      <c r="AX436" s="719"/>
      <c r="AY436" s="719"/>
    </row>
    <row r="437" spans="1:51" ht="15.75" customHeight="1">
      <c r="A437" s="716" t="s">
        <v>677</v>
      </c>
      <c r="B437" s="728" t="s">
        <v>1515</v>
      </c>
      <c r="C437" s="718">
        <f>+$C$435+$G$436</f>
        <v>41238</v>
      </c>
      <c r="D437" s="719"/>
      <c r="E437" s="719"/>
      <c r="F437" s="720">
        <v>0</v>
      </c>
      <c r="G437" s="721"/>
      <c r="H437" s="726" t="s">
        <v>997</v>
      </c>
      <c r="I437" s="726"/>
      <c r="J437" s="727"/>
      <c r="K437" s="719"/>
      <c r="L437" s="719" t="s">
        <v>241</v>
      </c>
      <c r="M437" s="719"/>
      <c r="N437" s="726" t="s">
        <v>696</v>
      </c>
      <c r="O437" s="726"/>
      <c r="P437" s="726"/>
      <c r="Q437" s="719">
        <v>0</v>
      </c>
      <c r="R437" s="719">
        <v>0</v>
      </c>
      <c r="S437" s="719"/>
      <c r="T437" s="719">
        <v>30</v>
      </c>
      <c r="U437" s="719"/>
      <c r="V437" s="719"/>
      <c r="W437" s="719">
        <v>1.1000000000000001</v>
      </c>
      <c r="X437" s="719"/>
      <c r="Y437" s="719"/>
      <c r="Z437" s="719"/>
      <c r="AA437" s="719"/>
      <c r="AB437" s="719"/>
      <c r="AC437" s="719" t="s">
        <v>2612</v>
      </c>
      <c r="AD437" s="719"/>
      <c r="AE437" s="719"/>
      <c r="AF437" s="719">
        <v>200</v>
      </c>
      <c r="AG437" s="1341">
        <v>41238.019999999997</v>
      </c>
      <c r="AH437" s="719">
        <v>1495</v>
      </c>
      <c r="AI437" s="719">
        <v>-5136</v>
      </c>
      <c r="AJ437" s="719"/>
      <c r="AK437" s="719"/>
      <c r="AL437" s="719"/>
      <c r="AM437" s="719" t="s">
        <v>2609</v>
      </c>
      <c r="AN437" s="719">
        <v>5.25</v>
      </c>
      <c r="AO437" s="719"/>
      <c r="AP437" s="719"/>
      <c r="AQ437" s="724"/>
      <c r="AR437" s="724"/>
      <c r="AS437" s="724"/>
      <c r="AT437" s="724">
        <f>+ab($T$437,$T$435,$T$439,$G$436,$G$438,-1*$F$437,1200)</f>
        <v>8.4142239824089167</v>
      </c>
      <c r="AU437" s="724"/>
      <c r="AV437" s="724"/>
      <c r="AW437" s="719"/>
      <c r="AX437" s="719"/>
      <c r="AY437" s="719"/>
    </row>
    <row r="438" spans="1:51" ht="15.75" hidden="1" customHeight="1">
      <c r="A438" s="716"/>
      <c r="B438" s="718"/>
      <c r="C438" s="718"/>
      <c r="D438" s="719"/>
      <c r="E438" s="719"/>
      <c r="F438" s="720"/>
      <c r="G438" s="721">
        <v>53</v>
      </c>
      <c r="H438" s="726"/>
      <c r="I438" s="726">
        <f>SUM(G438:G456)</f>
        <v>503</v>
      </c>
      <c r="J438" s="727">
        <f>C439-2.6</f>
        <v>41288.400000000001</v>
      </c>
      <c r="K438" s="719" t="s">
        <v>1102</v>
      </c>
      <c r="L438" s="719"/>
      <c r="M438" s="719"/>
      <c r="N438" s="726"/>
      <c r="O438" s="726"/>
      <c r="P438" s="726"/>
      <c r="Q438" s="719"/>
      <c r="R438" s="719"/>
      <c r="S438" s="719">
        <f t="shared" si="57"/>
        <v>54.42000000000553</v>
      </c>
      <c r="T438" s="719"/>
      <c r="U438" s="719"/>
      <c r="V438" s="719"/>
      <c r="W438" s="719"/>
      <c r="X438" s="719"/>
      <c r="Y438" s="719"/>
      <c r="Z438" s="719"/>
      <c r="AA438" s="719"/>
      <c r="AB438" s="719"/>
      <c r="AC438" s="719"/>
      <c r="AD438" s="719"/>
      <c r="AE438" s="719"/>
      <c r="AF438" s="719"/>
      <c r="AG438" s="1341"/>
      <c r="AH438" s="719"/>
      <c r="AI438" s="719"/>
      <c r="AJ438" s="719"/>
      <c r="AK438" s="719"/>
      <c r="AL438" s="719"/>
      <c r="AM438" s="719"/>
      <c r="AN438" s="719"/>
      <c r="AO438" s="719"/>
      <c r="AP438" s="719"/>
      <c r="AQ438" s="724">
        <f>+FL_1($T$439,$T$437,$G$438,1200,9.28,-1*$F$439)</f>
        <v>0.35439840372327047</v>
      </c>
      <c r="AR438" s="724"/>
      <c r="AS438" s="724"/>
      <c r="AT438" s="724"/>
      <c r="AU438" s="724"/>
      <c r="AV438" s="724"/>
      <c r="AW438" s="719"/>
      <c r="AX438" s="719"/>
      <c r="AY438" s="719"/>
    </row>
    <row r="439" spans="1:51" ht="15.75" customHeight="1">
      <c r="A439" s="716" t="s">
        <v>677</v>
      </c>
      <c r="B439" s="728" t="s">
        <v>1516</v>
      </c>
      <c r="C439" s="718">
        <f>+$C$437+$G$438</f>
        <v>41291</v>
      </c>
      <c r="D439" s="719"/>
      <c r="E439" s="719"/>
      <c r="F439" s="720">
        <v>0</v>
      </c>
      <c r="G439" s="721"/>
      <c r="H439" s="726" t="s">
        <v>1101</v>
      </c>
      <c r="I439" s="726"/>
      <c r="J439" s="727"/>
      <c r="K439" s="719"/>
      <c r="L439" s="719" t="s">
        <v>241</v>
      </c>
      <c r="M439" s="719"/>
      <c r="N439" s="726" t="s">
        <v>695</v>
      </c>
      <c r="O439" s="726"/>
      <c r="P439" s="726"/>
      <c r="Q439" s="719">
        <v>0</v>
      </c>
      <c r="R439" s="719">
        <v>0</v>
      </c>
      <c r="S439" s="719"/>
      <c r="T439" s="719">
        <v>-30</v>
      </c>
      <c r="U439" s="719"/>
      <c r="V439" s="719"/>
      <c r="W439" s="719">
        <v>1.1000000000000001</v>
      </c>
      <c r="X439" s="719"/>
      <c r="Y439" s="719"/>
      <c r="Z439" s="719"/>
      <c r="AA439" s="719"/>
      <c r="AB439" s="719"/>
      <c r="AC439" s="719" t="s">
        <v>2977</v>
      </c>
      <c r="AD439" s="719"/>
      <c r="AE439" s="719"/>
      <c r="AF439" s="719">
        <v>200</v>
      </c>
      <c r="AG439" s="1341">
        <v>41292.44</v>
      </c>
      <c r="AH439" s="719">
        <v>1539</v>
      </c>
      <c r="AI439" s="719">
        <v>-5098</v>
      </c>
      <c r="AJ439" s="719"/>
      <c r="AK439" s="719"/>
      <c r="AL439" s="719"/>
      <c r="AM439" s="719" t="s">
        <v>2609</v>
      </c>
      <c r="AN439" s="719">
        <v>5.25</v>
      </c>
      <c r="AO439" s="719"/>
      <c r="AP439" s="719"/>
      <c r="AQ439" s="724"/>
      <c r="AR439" s="724"/>
      <c r="AS439" s="724"/>
      <c r="AT439" s="724">
        <f>+ab($T$439,$T$437,$T$441,$G$438,$G$440,-1*$F$439,1200)</f>
        <v>-8.1725453337155489</v>
      </c>
      <c r="AU439" s="724"/>
      <c r="AV439" s="724"/>
      <c r="AW439" s="719"/>
      <c r="AX439" s="719"/>
      <c r="AY439" s="719"/>
    </row>
    <row r="440" spans="1:51" ht="15.75" hidden="1" customHeight="1">
      <c r="A440" s="716"/>
      <c r="B440" s="718"/>
      <c r="C440" s="718"/>
      <c r="D440" s="719"/>
      <c r="E440" s="719"/>
      <c r="F440" s="720"/>
      <c r="G440" s="721">
        <v>50</v>
      </c>
      <c r="H440" s="726"/>
      <c r="I440" s="726"/>
      <c r="J440" s="727"/>
      <c r="K440" s="719"/>
      <c r="L440" s="719"/>
      <c r="M440" s="719"/>
      <c r="N440" s="726"/>
      <c r="O440" s="726"/>
      <c r="P440" s="726"/>
      <c r="Q440" s="719"/>
      <c r="R440" s="719"/>
      <c r="S440" s="719">
        <f t="shared" si="57"/>
        <v>48.119999999995343</v>
      </c>
      <c r="T440" s="719"/>
      <c r="U440" s="719"/>
      <c r="V440" s="719"/>
      <c r="W440" s="719"/>
      <c r="X440" s="719"/>
      <c r="Y440" s="719"/>
      <c r="Z440" s="719"/>
      <c r="AA440" s="719"/>
      <c r="AB440" s="719"/>
      <c r="AC440" s="719"/>
      <c r="AD440" s="719"/>
      <c r="AE440" s="719"/>
      <c r="AF440" s="719"/>
      <c r="AG440" s="1341"/>
      <c r="AH440" s="719"/>
      <c r="AI440" s="719"/>
      <c r="AJ440" s="719"/>
      <c r="AK440" s="719"/>
      <c r="AL440" s="719"/>
      <c r="AM440" s="719"/>
      <c r="AN440" s="719"/>
      <c r="AO440" s="719"/>
      <c r="AP440" s="719"/>
      <c r="AQ440" s="724">
        <f>+FL_1($T$441,$T$439,$G$440,1200,9.28,-1*$F$441)</f>
        <v>0.33477011200000001</v>
      </c>
      <c r="AR440" s="724"/>
      <c r="AS440" s="724"/>
      <c r="AT440" s="724"/>
      <c r="AU440" s="724"/>
      <c r="AV440" s="724"/>
      <c r="AW440" s="719"/>
      <c r="AX440" s="719"/>
      <c r="AY440" s="719"/>
    </row>
    <row r="441" spans="1:51" ht="15.75" hidden="1" customHeight="1">
      <c r="A441" s="716" t="s">
        <v>677</v>
      </c>
      <c r="B441" s="728" t="s">
        <v>1517</v>
      </c>
      <c r="C441" s="718">
        <f>+$C$439+$G$440</f>
        <v>41341</v>
      </c>
      <c r="D441" s="719"/>
      <c r="E441" s="719"/>
      <c r="F441" s="720">
        <v>0</v>
      </c>
      <c r="G441" s="721"/>
      <c r="H441" s="726"/>
      <c r="I441" s="726"/>
      <c r="J441" s="727"/>
      <c r="K441" s="719"/>
      <c r="L441" s="719" t="s">
        <v>241</v>
      </c>
      <c r="M441" s="719"/>
      <c r="N441" s="726" t="s">
        <v>696</v>
      </c>
      <c r="O441" s="726"/>
      <c r="P441" s="726"/>
      <c r="Q441" s="719">
        <v>0</v>
      </c>
      <c r="R441" s="719">
        <v>0</v>
      </c>
      <c r="S441" s="719"/>
      <c r="T441" s="719">
        <v>30</v>
      </c>
      <c r="U441" s="719"/>
      <c r="V441" s="719"/>
      <c r="W441" s="719">
        <v>1.1000000000000001</v>
      </c>
      <c r="X441" s="719"/>
      <c r="Y441" s="719"/>
      <c r="Z441" s="719"/>
      <c r="AA441" s="719"/>
      <c r="AB441" s="719"/>
      <c r="AC441" s="719" t="s">
        <v>2977</v>
      </c>
      <c r="AD441" s="719"/>
      <c r="AE441" s="719"/>
      <c r="AF441" s="719">
        <v>200</v>
      </c>
      <c r="AG441" s="1341">
        <v>41340.559999999998</v>
      </c>
      <c r="AH441" s="719">
        <v>1513</v>
      </c>
      <c r="AI441" s="719">
        <v>-5142</v>
      </c>
      <c r="AJ441" s="719"/>
      <c r="AK441" s="719"/>
      <c r="AL441" s="719"/>
      <c r="AM441" s="719" t="s">
        <v>2609</v>
      </c>
      <c r="AN441" s="719">
        <v>5.25</v>
      </c>
      <c r="AO441" s="719"/>
      <c r="AP441" s="719"/>
      <c r="AQ441" s="724"/>
      <c r="AR441" s="724"/>
      <c r="AS441" s="724"/>
      <c r="AT441" s="724">
        <f>+ab($T$441,$T$439,$T$443,$G$440,$G$442,-1*$F$441,1200)</f>
        <v>7.9442083933778509</v>
      </c>
      <c r="AU441" s="724"/>
      <c r="AV441" s="724"/>
      <c r="AW441" s="719"/>
      <c r="AX441" s="719"/>
      <c r="AY441" s="719"/>
    </row>
    <row r="442" spans="1:51" ht="15.75" hidden="1" customHeight="1">
      <c r="A442" s="716"/>
      <c r="B442" s="718"/>
      <c r="C442" s="718"/>
      <c r="D442" s="719"/>
      <c r="E442" s="719"/>
      <c r="F442" s="720"/>
      <c r="G442" s="721">
        <v>50</v>
      </c>
      <c r="H442" s="726"/>
      <c r="I442" s="722"/>
      <c r="J442" s="727"/>
      <c r="K442" s="719"/>
      <c r="L442" s="719"/>
      <c r="M442" s="719"/>
      <c r="N442" s="726"/>
      <c r="O442" s="726"/>
      <c r="P442" s="726"/>
      <c r="Q442" s="719"/>
      <c r="R442" s="719"/>
      <c r="S442" s="719">
        <f t="shared" si="57"/>
        <v>51.230000000003201</v>
      </c>
      <c r="T442" s="719"/>
      <c r="U442" s="719"/>
      <c r="V442" s="719"/>
      <c r="W442" s="719"/>
      <c r="X442" s="719"/>
      <c r="Y442" s="719"/>
      <c r="Z442" s="719"/>
      <c r="AA442" s="719"/>
      <c r="AB442" s="719"/>
      <c r="AC442" s="719"/>
      <c r="AD442" s="719"/>
      <c r="AE442" s="719"/>
      <c r="AF442" s="719"/>
      <c r="AG442" s="1341"/>
      <c r="AH442" s="719"/>
      <c r="AI442" s="719"/>
      <c r="AJ442" s="719"/>
      <c r="AK442" s="719"/>
      <c r="AL442" s="719"/>
      <c r="AM442" s="719"/>
      <c r="AN442" s="719"/>
      <c r="AO442" s="719"/>
      <c r="AP442" s="719"/>
      <c r="AQ442" s="724">
        <f>+FL_2($T$443,$T$441,$G$442,1200,9.28,-1*$F$443)</f>
        <v>-0.33477011200000001</v>
      </c>
      <c r="AR442" s="724"/>
      <c r="AS442" s="724"/>
      <c r="AT442" s="724"/>
      <c r="AU442" s="724"/>
      <c r="AV442" s="724"/>
      <c r="AW442" s="719"/>
      <c r="AX442" s="719"/>
      <c r="AY442" s="719"/>
    </row>
    <row r="443" spans="1:51" ht="15.75" hidden="1" customHeight="1">
      <c r="A443" s="716" t="s">
        <v>677</v>
      </c>
      <c r="B443" s="728" t="s">
        <v>1518</v>
      </c>
      <c r="C443" s="718">
        <f>+$C$441+$G$442</f>
        <v>41391</v>
      </c>
      <c r="D443" s="719"/>
      <c r="E443" s="719"/>
      <c r="F443" s="720">
        <v>0</v>
      </c>
      <c r="G443" s="721"/>
      <c r="H443" s="726"/>
      <c r="I443" s="726"/>
      <c r="J443" s="727"/>
      <c r="K443" s="719"/>
      <c r="L443" s="719" t="s">
        <v>241</v>
      </c>
      <c r="M443" s="719"/>
      <c r="N443" s="726" t="s">
        <v>695</v>
      </c>
      <c r="O443" s="726"/>
      <c r="P443" s="726"/>
      <c r="Q443" s="719">
        <v>0</v>
      </c>
      <c r="R443" s="719">
        <v>0</v>
      </c>
      <c r="S443" s="719"/>
      <c r="T443" s="719">
        <v>-30</v>
      </c>
      <c r="U443" s="719"/>
      <c r="V443" s="719"/>
      <c r="W443" s="719">
        <v>1.1000000000000001</v>
      </c>
      <c r="X443" s="719"/>
      <c r="Y443" s="719"/>
      <c r="Z443" s="719"/>
      <c r="AA443" s="719"/>
      <c r="AB443" s="719"/>
      <c r="AC443" s="719" t="s">
        <v>2977</v>
      </c>
      <c r="AD443" s="719"/>
      <c r="AE443" s="719"/>
      <c r="AF443" s="719">
        <v>200</v>
      </c>
      <c r="AG443" s="1341">
        <v>41391.79</v>
      </c>
      <c r="AH443" s="719">
        <v>1516</v>
      </c>
      <c r="AI443" s="719">
        <v>-5146</v>
      </c>
      <c r="AJ443" s="719"/>
      <c r="AK443" s="719"/>
      <c r="AL443" s="719"/>
      <c r="AM443" s="719" t="s">
        <v>2609</v>
      </c>
      <c r="AN443" s="719">
        <v>5.25</v>
      </c>
      <c r="AO443" s="719"/>
      <c r="AP443" s="719"/>
      <c r="AQ443" s="724"/>
      <c r="AR443" s="724"/>
      <c r="AS443" s="724"/>
      <c r="AT443" s="724">
        <f>+ab($T$443,$T$441,$T$445,$G$442,$G$444,-1*$F$443,1200)</f>
        <v>-7.9442410717051439</v>
      </c>
      <c r="AU443" s="724"/>
      <c r="AV443" s="724"/>
      <c r="AW443" s="719"/>
      <c r="AX443" s="719"/>
      <c r="AY443" s="719"/>
    </row>
    <row r="444" spans="1:51" ht="15.75" hidden="1" customHeight="1">
      <c r="A444" s="716"/>
      <c r="B444" s="718"/>
      <c r="C444" s="718"/>
      <c r="D444" s="719"/>
      <c r="E444" s="719"/>
      <c r="F444" s="720"/>
      <c r="G444" s="721">
        <v>50</v>
      </c>
      <c r="H444" s="726"/>
      <c r="I444" s="722"/>
      <c r="J444" s="727"/>
      <c r="K444" s="719"/>
      <c r="L444" s="719"/>
      <c r="M444" s="719"/>
      <c r="N444" s="726"/>
      <c r="O444" s="726"/>
      <c r="P444" s="726"/>
      <c r="Q444" s="719"/>
      <c r="R444" s="719"/>
      <c r="S444" s="719">
        <f t="shared" si="57"/>
        <v>48.010000000002037</v>
      </c>
      <c r="T444" s="719"/>
      <c r="U444" s="719"/>
      <c r="V444" s="719"/>
      <c r="W444" s="719"/>
      <c r="X444" s="719"/>
      <c r="Y444" s="719"/>
      <c r="Z444" s="719"/>
      <c r="AA444" s="719"/>
      <c r="AB444" s="719"/>
      <c r="AC444" s="719"/>
      <c r="AD444" s="719"/>
      <c r="AE444" s="719"/>
      <c r="AF444" s="719"/>
      <c r="AG444" s="1341"/>
      <c r="AH444" s="719"/>
      <c r="AI444" s="719"/>
      <c r="AJ444" s="719"/>
      <c r="AK444" s="719"/>
      <c r="AL444" s="719"/>
      <c r="AM444" s="719"/>
      <c r="AN444" s="719"/>
      <c r="AO444" s="719"/>
      <c r="AP444" s="719"/>
      <c r="AQ444" s="724">
        <f>+FL_1($T$445,$T$443,$G$444,1200,9.28,-1*$F$445)</f>
        <v>0.33477011200000001</v>
      </c>
      <c r="AR444" s="724"/>
      <c r="AS444" s="724"/>
      <c r="AT444" s="724"/>
      <c r="AU444" s="724"/>
      <c r="AV444" s="724"/>
      <c r="AW444" s="719"/>
      <c r="AX444" s="719"/>
      <c r="AY444" s="719"/>
    </row>
    <row r="445" spans="1:51" ht="15.75" hidden="1" customHeight="1">
      <c r="A445" s="716" t="s">
        <v>677</v>
      </c>
      <c r="B445" s="728" t="s">
        <v>1519</v>
      </c>
      <c r="C445" s="718">
        <f>+$C$443+$G$444</f>
        <v>41441</v>
      </c>
      <c r="D445" s="719"/>
      <c r="E445" s="719"/>
      <c r="F445" s="720">
        <v>0</v>
      </c>
      <c r="G445" s="721"/>
      <c r="H445" s="726"/>
      <c r="I445" s="726"/>
      <c r="J445" s="727"/>
      <c r="K445" s="719"/>
      <c r="L445" s="719" t="s">
        <v>241</v>
      </c>
      <c r="M445" s="719"/>
      <c r="N445" s="726" t="s">
        <v>696</v>
      </c>
      <c r="O445" s="726"/>
      <c r="P445" s="726"/>
      <c r="Q445" s="719">
        <v>0</v>
      </c>
      <c r="R445" s="719">
        <v>0</v>
      </c>
      <c r="S445" s="719"/>
      <c r="T445" s="719">
        <v>30</v>
      </c>
      <c r="U445" s="719"/>
      <c r="V445" s="719"/>
      <c r="W445" s="719">
        <v>1.1000000000000001</v>
      </c>
      <c r="X445" s="719"/>
      <c r="Y445" s="719"/>
      <c r="Z445" s="719"/>
      <c r="AA445" s="719"/>
      <c r="AB445" s="719"/>
      <c r="AC445" s="719" t="s">
        <v>2977</v>
      </c>
      <c r="AD445" s="719"/>
      <c r="AE445" s="719"/>
      <c r="AF445" s="719">
        <v>200</v>
      </c>
      <c r="AG445" s="1341">
        <v>41439.800000000003</v>
      </c>
      <c r="AH445" s="719">
        <v>1500</v>
      </c>
      <c r="AI445" s="719">
        <v>-5146</v>
      </c>
      <c r="AJ445" s="719"/>
      <c r="AK445" s="719"/>
      <c r="AL445" s="719"/>
      <c r="AM445" s="719" t="s">
        <v>2609</v>
      </c>
      <c r="AN445" s="719">
        <v>5.25</v>
      </c>
      <c r="AO445" s="719"/>
      <c r="AP445" s="719"/>
      <c r="AQ445" s="724"/>
      <c r="AR445" s="724"/>
      <c r="AS445" s="724"/>
      <c r="AT445" s="724">
        <f>+ab($T$445,$T$443,$T$447,$G$444,$G$446,-1*$F$445,1200)</f>
        <v>7.9442083933778509</v>
      </c>
      <c r="AU445" s="724"/>
      <c r="AV445" s="724"/>
      <c r="AW445" s="719"/>
      <c r="AX445" s="719"/>
      <c r="AY445" s="719"/>
    </row>
    <row r="446" spans="1:51" ht="15.75" hidden="1" customHeight="1">
      <c r="A446" s="716"/>
      <c r="B446" s="718"/>
      <c r="C446" s="718"/>
      <c r="D446" s="719"/>
      <c r="E446" s="719"/>
      <c r="F446" s="720"/>
      <c r="G446" s="721">
        <v>50</v>
      </c>
      <c r="H446" s="726"/>
      <c r="I446" s="726"/>
      <c r="J446" s="727"/>
      <c r="K446" s="719"/>
      <c r="L446" s="719"/>
      <c r="M446" s="719"/>
      <c r="N446" s="726"/>
      <c r="O446" s="726"/>
      <c r="P446" s="726"/>
      <c r="Q446" s="719"/>
      <c r="R446" s="719"/>
      <c r="S446" s="719">
        <f t="shared" si="57"/>
        <v>51.319999999999709</v>
      </c>
      <c r="T446" s="719"/>
      <c r="U446" s="719"/>
      <c r="V446" s="719"/>
      <c r="W446" s="719"/>
      <c r="X446" s="719"/>
      <c r="Y446" s="719"/>
      <c r="Z446" s="719"/>
      <c r="AA446" s="719"/>
      <c r="AB446" s="719"/>
      <c r="AC446" s="719"/>
      <c r="AD446" s="719"/>
      <c r="AE446" s="719"/>
      <c r="AF446" s="719"/>
      <c r="AG446" s="1341"/>
      <c r="AH446" s="719"/>
      <c r="AI446" s="719"/>
      <c r="AJ446" s="719"/>
      <c r="AK446" s="719"/>
      <c r="AL446" s="719"/>
      <c r="AM446" s="719"/>
      <c r="AN446" s="719"/>
      <c r="AO446" s="719"/>
      <c r="AP446" s="719"/>
      <c r="AQ446" s="724">
        <f>+FL_2($T$447,$T$445,$G$446,1200,9.28,-1*$F$447)</f>
        <v>-0.33477011200000001</v>
      </c>
      <c r="AR446" s="724"/>
      <c r="AS446" s="724"/>
      <c r="AT446" s="724"/>
      <c r="AU446" s="724"/>
      <c r="AV446" s="724"/>
      <c r="AW446" s="719"/>
      <c r="AX446" s="719"/>
      <c r="AY446" s="719"/>
    </row>
    <row r="447" spans="1:51" ht="15.75" hidden="1" customHeight="1">
      <c r="A447" s="716" t="s">
        <v>677</v>
      </c>
      <c r="B447" s="728" t="s">
        <v>1520</v>
      </c>
      <c r="C447" s="718">
        <f>+$C$445+$G$446</f>
        <v>41491</v>
      </c>
      <c r="D447" s="719"/>
      <c r="E447" s="719"/>
      <c r="F447" s="720">
        <v>0</v>
      </c>
      <c r="G447" s="721"/>
      <c r="H447" s="726"/>
      <c r="I447" s="726"/>
      <c r="J447" s="727"/>
      <c r="K447" s="719"/>
      <c r="L447" s="719" t="s">
        <v>241</v>
      </c>
      <c r="M447" s="719"/>
      <c r="N447" s="726" t="s">
        <v>695</v>
      </c>
      <c r="O447" s="726"/>
      <c r="P447" s="726"/>
      <c r="Q447" s="719">
        <v>0</v>
      </c>
      <c r="R447" s="719">
        <v>0</v>
      </c>
      <c r="S447" s="719"/>
      <c r="T447" s="719">
        <v>-30</v>
      </c>
      <c r="U447" s="719"/>
      <c r="V447" s="719"/>
      <c r="W447" s="719">
        <v>1.1000000000000001</v>
      </c>
      <c r="X447" s="719"/>
      <c r="Y447" s="719"/>
      <c r="Z447" s="719"/>
      <c r="AA447" s="719"/>
      <c r="AB447" s="719"/>
      <c r="AC447" s="719" t="s">
        <v>2977</v>
      </c>
      <c r="AD447" s="719"/>
      <c r="AE447" s="719"/>
      <c r="AF447" s="719">
        <v>200</v>
      </c>
      <c r="AG447" s="1341">
        <v>41491.120000000003</v>
      </c>
      <c r="AH447" s="719">
        <v>1522</v>
      </c>
      <c r="AI447" s="719">
        <v>-5141</v>
      </c>
      <c r="AJ447" s="719"/>
      <c r="AK447" s="719"/>
      <c r="AL447" s="719"/>
      <c r="AM447" s="719" t="s">
        <v>2609</v>
      </c>
      <c r="AN447" s="719">
        <v>5.25</v>
      </c>
      <c r="AO447" s="719"/>
      <c r="AP447" s="719"/>
      <c r="AQ447" s="724"/>
      <c r="AR447" s="724"/>
      <c r="AS447" s="724"/>
      <c r="AT447" s="724">
        <f>+ab($T$447,$T$445,$T$449,$G$446,$G$448,-1*$F$447,1200)</f>
        <v>-7.9442410717051439</v>
      </c>
      <c r="AU447" s="724"/>
      <c r="AV447" s="724"/>
      <c r="AW447" s="719"/>
      <c r="AX447" s="719"/>
      <c r="AY447" s="719"/>
    </row>
    <row r="448" spans="1:51" ht="15.75" hidden="1" customHeight="1">
      <c r="A448" s="716"/>
      <c r="B448" s="718"/>
      <c r="C448" s="718"/>
      <c r="D448" s="719"/>
      <c r="E448" s="719"/>
      <c r="F448" s="720"/>
      <c r="G448" s="721">
        <v>50</v>
      </c>
      <c r="H448" s="726"/>
      <c r="I448" s="726"/>
      <c r="J448" s="727"/>
      <c r="K448" s="719"/>
      <c r="L448" s="719"/>
      <c r="M448" s="719"/>
      <c r="N448" s="726"/>
      <c r="O448" s="726"/>
      <c r="P448" s="726"/>
      <c r="Q448" s="719"/>
      <c r="R448" s="719"/>
      <c r="S448" s="719">
        <f t="shared" si="57"/>
        <v>51.229999999995925</v>
      </c>
      <c r="T448" s="719"/>
      <c r="U448" s="719"/>
      <c r="V448" s="719"/>
      <c r="W448" s="719"/>
      <c r="X448" s="719"/>
      <c r="Y448" s="719"/>
      <c r="Z448" s="719"/>
      <c r="AA448" s="719"/>
      <c r="AB448" s="719"/>
      <c r="AC448" s="719"/>
      <c r="AD448" s="719"/>
      <c r="AE448" s="719"/>
      <c r="AF448" s="719"/>
      <c r="AG448" s="1341"/>
      <c r="AH448" s="719"/>
      <c r="AI448" s="719"/>
      <c r="AJ448" s="719"/>
      <c r="AK448" s="719"/>
      <c r="AL448" s="719"/>
      <c r="AM448" s="719"/>
      <c r="AN448" s="719"/>
      <c r="AO448" s="719"/>
      <c r="AP448" s="719"/>
      <c r="AQ448" s="724">
        <f>+FL_1($T$449,$T$447,$G$448,1200,9.28,-1*$F$449)</f>
        <v>0.33477011200000001</v>
      </c>
      <c r="AR448" s="724"/>
      <c r="AS448" s="724"/>
      <c r="AT448" s="724"/>
      <c r="AU448" s="724"/>
      <c r="AV448" s="724"/>
      <c r="AW448" s="719"/>
      <c r="AX448" s="719"/>
      <c r="AY448" s="719"/>
    </row>
    <row r="449" spans="1:51" ht="15.75" hidden="1" customHeight="1">
      <c r="A449" s="716" t="s">
        <v>677</v>
      </c>
      <c r="B449" s="728" t="s">
        <v>1521</v>
      </c>
      <c r="C449" s="718">
        <f>+$C$447+$G$448</f>
        <v>41541</v>
      </c>
      <c r="D449" s="719"/>
      <c r="E449" s="719"/>
      <c r="F449" s="720">
        <v>0</v>
      </c>
      <c r="G449" s="721"/>
      <c r="H449" s="726"/>
      <c r="I449" s="722"/>
      <c r="J449" s="727"/>
      <c r="K449" s="719"/>
      <c r="L449" s="719" t="s">
        <v>241</v>
      </c>
      <c r="M449" s="719"/>
      <c r="N449" s="726" t="s">
        <v>696</v>
      </c>
      <c r="O449" s="726"/>
      <c r="P449" s="726"/>
      <c r="Q449" s="719">
        <v>0</v>
      </c>
      <c r="R449" s="719">
        <v>0</v>
      </c>
      <c r="S449" s="719"/>
      <c r="T449" s="719">
        <v>30</v>
      </c>
      <c r="U449" s="719"/>
      <c r="V449" s="719"/>
      <c r="W449" s="719">
        <v>1.1000000000000001</v>
      </c>
      <c r="X449" s="719"/>
      <c r="Y449" s="719"/>
      <c r="Z449" s="719"/>
      <c r="AA449" s="719"/>
      <c r="AB449" s="719"/>
      <c r="AC449" s="719" t="s">
        <v>2977</v>
      </c>
      <c r="AD449" s="719"/>
      <c r="AE449" s="719"/>
      <c r="AF449" s="719">
        <v>200</v>
      </c>
      <c r="AG449" s="1341">
        <v>41542.35</v>
      </c>
      <c r="AH449" s="719">
        <v>1486</v>
      </c>
      <c r="AI449" s="719">
        <v>-5119</v>
      </c>
      <c r="AJ449" s="719"/>
      <c r="AK449" s="719"/>
      <c r="AL449" s="719"/>
      <c r="AM449" s="719" t="s">
        <v>2609</v>
      </c>
      <c r="AN449" s="719">
        <v>5.25</v>
      </c>
      <c r="AO449" s="719"/>
      <c r="AP449" s="719"/>
      <c r="AQ449" s="724"/>
      <c r="AR449" s="724"/>
      <c r="AS449" s="724"/>
      <c r="AT449" s="724">
        <f>+ab($T$449,$T$447,$T$451,$G$448,$G$450,-1*$F$449,1200)</f>
        <v>7.9442083933778509</v>
      </c>
      <c r="AU449" s="724"/>
      <c r="AV449" s="724"/>
      <c r="AW449" s="719"/>
      <c r="AX449" s="719"/>
      <c r="AY449" s="719"/>
    </row>
    <row r="450" spans="1:51" ht="15.75" hidden="1" customHeight="1">
      <c r="A450" s="716"/>
      <c r="B450" s="718"/>
      <c r="C450" s="718"/>
      <c r="D450" s="719"/>
      <c r="E450" s="719"/>
      <c r="F450" s="720"/>
      <c r="G450" s="721">
        <v>50</v>
      </c>
      <c r="H450" s="726"/>
      <c r="I450" s="726"/>
      <c r="J450" s="727"/>
      <c r="K450" s="719"/>
      <c r="L450" s="719"/>
      <c r="M450" s="719"/>
      <c r="N450" s="726"/>
      <c r="O450" s="726"/>
      <c r="P450" s="726"/>
      <c r="Q450" s="719"/>
      <c r="R450" s="719"/>
      <c r="S450" s="719">
        <f t="shared" si="57"/>
        <v>49.599999999998545</v>
      </c>
      <c r="T450" s="719"/>
      <c r="U450" s="719"/>
      <c r="V450" s="719"/>
      <c r="W450" s="719"/>
      <c r="X450" s="719"/>
      <c r="Y450" s="719"/>
      <c r="Z450" s="719"/>
      <c r="AA450" s="719"/>
      <c r="AB450" s="719"/>
      <c r="AC450" s="719"/>
      <c r="AD450" s="719"/>
      <c r="AE450" s="719"/>
      <c r="AF450" s="719"/>
      <c r="AG450" s="1341"/>
      <c r="AH450" s="719"/>
      <c r="AI450" s="719"/>
      <c r="AJ450" s="719"/>
      <c r="AK450" s="719"/>
      <c r="AL450" s="719"/>
      <c r="AM450" s="719"/>
      <c r="AN450" s="719"/>
      <c r="AO450" s="719"/>
      <c r="AP450" s="719"/>
      <c r="AQ450" s="724">
        <f>+FL_1($T$451,$T$449,$G$450,1200,9.28,-1*$F$451)</f>
        <v>0.33477011200000012</v>
      </c>
      <c r="AR450" s="724"/>
      <c r="AS450" s="724"/>
      <c r="AT450" s="724"/>
      <c r="AU450" s="724"/>
      <c r="AV450" s="724"/>
      <c r="AW450" s="719"/>
      <c r="AX450" s="719"/>
      <c r="AY450" s="719"/>
    </row>
    <row r="451" spans="1:51" ht="15.75" hidden="1" customHeight="1">
      <c r="A451" s="716" t="s">
        <v>677</v>
      </c>
      <c r="B451" s="728" t="s">
        <v>1522</v>
      </c>
      <c r="C451" s="718">
        <f>+$C$449+$G$450</f>
        <v>41591</v>
      </c>
      <c r="D451" s="719"/>
      <c r="E451" s="719"/>
      <c r="F451" s="720">
        <v>0</v>
      </c>
      <c r="G451" s="721"/>
      <c r="H451" s="726" t="s">
        <v>138</v>
      </c>
      <c r="I451" s="722" t="s">
        <v>948</v>
      </c>
      <c r="J451" s="727"/>
      <c r="K451" s="719"/>
      <c r="L451" s="719" t="s">
        <v>241</v>
      </c>
      <c r="M451" s="719"/>
      <c r="N451" s="726" t="s">
        <v>695</v>
      </c>
      <c r="O451" s="726"/>
      <c r="P451" s="726"/>
      <c r="Q451" s="719">
        <v>0</v>
      </c>
      <c r="R451" s="719">
        <v>0</v>
      </c>
      <c r="S451" s="719"/>
      <c r="T451" s="719">
        <v>-30</v>
      </c>
      <c r="U451" s="719"/>
      <c r="V451" s="719"/>
      <c r="W451" s="719">
        <v>1.1000000000000001</v>
      </c>
      <c r="X451" s="719"/>
      <c r="Y451" s="719"/>
      <c r="Z451" s="719"/>
      <c r="AA451" s="719"/>
      <c r="AB451" s="719"/>
      <c r="AC451" s="719" t="s">
        <v>2612</v>
      </c>
      <c r="AD451" s="719"/>
      <c r="AE451" s="719"/>
      <c r="AF451" s="719">
        <v>200</v>
      </c>
      <c r="AG451" s="1341">
        <v>41591.949999999997</v>
      </c>
      <c r="AH451" s="719">
        <v>1505</v>
      </c>
      <c r="AI451" s="719">
        <v>-5097</v>
      </c>
      <c r="AJ451" s="719"/>
      <c r="AK451" s="719"/>
      <c r="AL451" s="719"/>
      <c r="AM451" s="719" t="s">
        <v>2609</v>
      </c>
      <c r="AN451" s="719">
        <v>5.25</v>
      </c>
      <c r="AO451" s="719"/>
      <c r="AP451" s="719"/>
      <c r="AQ451" s="724"/>
      <c r="AR451" s="724"/>
      <c r="AS451" s="724"/>
      <c r="AT451" s="724">
        <f>+ab($T$451,$T$449,$T$453,$G$450,$G$452,-1*$F$451,1200)</f>
        <v>-8.2849467556123688</v>
      </c>
      <c r="AU451" s="724"/>
      <c r="AV451" s="724"/>
      <c r="AW451" s="719"/>
      <c r="AX451" s="719"/>
      <c r="AY451" s="719"/>
    </row>
    <row r="452" spans="1:51" ht="15.75" hidden="1" customHeight="1">
      <c r="A452" s="716"/>
      <c r="B452" s="718"/>
      <c r="C452" s="718"/>
      <c r="D452" s="719"/>
      <c r="E452" s="719"/>
      <c r="F452" s="720"/>
      <c r="G452" s="721">
        <v>50</v>
      </c>
      <c r="H452" s="726"/>
      <c r="I452" s="726"/>
      <c r="J452" s="727">
        <f>C451+10</f>
        <v>41601</v>
      </c>
      <c r="K452" s="719" t="s">
        <v>1097</v>
      </c>
      <c r="L452" s="719"/>
      <c r="M452" s="719"/>
      <c r="N452" s="726"/>
      <c r="O452" s="726"/>
      <c r="P452" s="726"/>
      <c r="Q452" s="719"/>
      <c r="R452" s="719"/>
      <c r="S452" s="719">
        <f>AG453-AG451</f>
        <v>46.510000000002037</v>
      </c>
      <c r="T452" s="719"/>
      <c r="U452" s="719"/>
      <c r="V452" s="719"/>
      <c r="W452" s="719"/>
      <c r="X452" s="719"/>
      <c r="Y452" s="719"/>
      <c r="Z452" s="719"/>
      <c r="AA452" s="719"/>
      <c r="AB452" s="719"/>
      <c r="AC452" s="719"/>
      <c r="AD452" s="719"/>
      <c r="AE452" s="719"/>
      <c r="AF452" s="719"/>
      <c r="AG452" s="1341"/>
      <c r="AH452" s="719"/>
      <c r="AI452" s="719"/>
      <c r="AJ452" s="719"/>
      <c r="AK452" s="719"/>
      <c r="AL452" s="719"/>
      <c r="AM452" s="719"/>
      <c r="AN452" s="719"/>
      <c r="AO452" s="719"/>
      <c r="AP452" s="719"/>
      <c r="AQ452" s="724">
        <f>+FL_2($U$453,$T$451,$G$452,1200,9.28,-1*$F$453)</f>
        <v>-0.39834769999999992</v>
      </c>
      <c r="AR452" s="724"/>
      <c r="AS452" s="724"/>
      <c r="AT452" s="724"/>
      <c r="AU452" s="724"/>
      <c r="AV452" s="724"/>
      <c r="AW452" s="719"/>
      <c r="AX452" s="719"/>
      <c r="AY452" s="719"/>
    </row>
    <row r="453" spans="1:51" ht="15.75" hidden="1" customHeight="1">
      <c r="A453" s="716" t="s">
        <v>677</v>
      </c>
      <c r="B453" s="728" t="s">
        <v>1523</v>
      </c>
      <c r="C453" s="718">
        <f>+$C$451+$G$452</f>
        <v>41641</v>
      </c>
      <c r="D453" s="719"/>
      <c r="E453" s="719"/>
      <c r="F453" s="720">
        <v>0</v>
      </c>
      <c r="G453" s="721"/>
      <c r="H453" s="726" t="s">
        <v>668</v>
      </c>
      <c r="I453" s="722"/>
      <c r="J453" s="727"/>
      <c r="K453" s="719"/>
      <c r="L453" s="719" t="s">
        <v>465</v>
      </c>
      <c r="M453" s="719"/>
      <c r="N453" s="726" t="s">
        <v>697</v>
      </c>
      <c r="O453" s="726" t="s">
        <v>696</v>
      </c>
      <c r="P453" s="726"/>
      <c r="Q453" s="719">
        <v>0</v>
      </c>
      <c r="R453" s="719">
        <v>0</v>
      </c>
      <c r="S453" s="719">
        <f>AG454-AG453</f>
        <v>3.2000000000043656</v>
      </c>
      <c r="T453" s="719">
        <v>25</v>
      </c>
      <c r="U453" s="719">
        <v>5</v>
      </c>
      <c r="V453" s="719"/>
      <c r="W453" s="719">
        <v>1.1000000000000001</v>
      </c>
      <c r="X453" s="719">
        <v>1.2</v>
      </c>
      <c r="Y453" s="719"/>
      <c r="Z453" s="719">
        <v>0.45</v>
      </c>
      <c r="AA453" s="719"/>
      <c r="AB453" s="719"/>
      <c r="AC453" s="719"/>
      <c r="AD453" s="719" t="s">
        <v>2616</v>
      </c>
      <c r="AE453" s="719"/>
      <c r="AF453" s="719">
        <v>200</v>
      </c>
      <c r="AG453" s="1341">
        <v>41638.46</v>
      </c>
      <c r="AH453" s="719">
        <v>1511</v>
      </c>
      <c r="AI453" s="719">
        <v>-5112</v>
      </c>
      <c r="AJ453" s="719"/>
      <c r="AK453" s="719"/>
      <c r="AL453" s="719"/>
      <c r="AM453" s="719" t="s">
        <v>2609</v>
      </c>
      <c r="AN453" s="719">
        <v>5.25</v>
      </c>
      <c r="AO453" s="719"/>
      <c r="AP453" s="719"/>
      <c r="AQ453" s="724"/>
      <c r="AR453" s="724"/>
      <c r="AS453" s="724"/>
      <c r="AT453" s="724">
        <f>+ab($U$453,$T$451,$U$455,$G$452,$G$454,-1*$F$453,1200)</f>
        <v>14.446766725215634</v>
      </c>
      <c r="AU453" s="724"/>
      <c r="AV453" s="724"/>
      <c r="AW453" s="719"/>
      <c r="AX453" s="719"/>
      <c r="AY453" s="719"/>
    </row>
    <row r="454" spans="1:51" ht="15.75" hidden="1" customHeight="1">
      <c r="A454" s="716"/>
      <c r="B454" s="718"/>
      <c r="C454" s="718"/>
      <c r="D454" s="719"/>
      <c r="E454" s="719"/>
      <c r="F454" s="720"/>
      <c r="G454" s="721">
        <v>50</v>
      </c>
      <c r="H454" s="719"/>
      <c r="I454" s="720"/>
      <c r="J454" s="727"/>
      <c r="K454" s="719"/>
      <c r="L454" s="719"/>
      <c r="M454" s="719"/>
      <c r="N454" s="726"/>
      <c r="O454" s="726"/>
      <c r="P454" s="726"/>
      <c r="Q454" s="719">
        <v>0</v>
      </c>
      <c r="R454" s="719">
        <v>0</v>
      </c>
      <c r="S454" s="719">
        <f t="shared" ref="S454" si="58">AG455-AG454</f>
        <v>46.439999999995052</v>
      </c>
      <c r="T454" s="719"/>
      <c r="U454" s="719"/>
      <c r="V454" s="719"/>
      <c r="W454" s="719"/>
      <c r="X454" s="719"/>
      <c r="Y454" s="719"/>
      <c r="Z454" s="719"/>
      <c r="AA454" s="719"/>
      <c r="AB454" s="719"/>
      <c r="AC454" s="719"/>
      <c r="AD454" s="719"/>
      <c r="AE454" s="719"/>
      <c r="AF454" s="719">
        <v>200</v>
      </c>
      <c r="AG454" s="1341">
        <v>41641.660000000003</v>
      </c>
      <c r="AH454" s="719">
        <v>1522</v>
      </c>
      <c r="AI454" s="719">
        <v>-5099</v>
      </c>
      <c r="AJ454" s="719"/>
      <c r="AK454" s="719"/>
      <c r="AL454" s="719"/>
      <c r="AM454" s="719"/>
      <c r="AN454" s="719"/>
      <c r="AO454" s="719"/>
      <c r="AP454" s="719"/>
      <c r="AQ454" s="724">
        <f>+FL_2($T$455,$U$453,$G$454,1200,9.28,-1*$F$455)</f>
        <v>-0.24425286799999996</v>
      </c>
      <c r="AR454" s="724"/>
      <c r="AS454" s="724"/>
      <c r="AT454" s="724"/>
      <c r="AU454" s="724"/>
      <c r="AV454" s="724"/>
      <c r="AW454" s="719"/>
      <c r="AX454" s="719"/>
      <c r="AY454" s="719"/>
    </row>
    <row r="455" spans="1:51" ht="15.75" hidden="1" customHeight="1">
      <c r="A455" s="716" t="s">
        <v>677</v>
      </c>
      <c r="B455" s="728" t="s">
        <v>1524</v>
      </c>
      <c r="C455" s="718">
        <f>+$C$453+$G$454</f>
        <v>41691</v>
      </c>
      <c r="D455" s="719"/>
      <c r="E455" s="719"/>
      <c r="F455" s="720">
        <v>0</v>
      </c>
      <c r="G455" s="721"/>
      <c r="H455" s="719" t="s">
        <v>668</v>
      </c>
      <c r="I455" s="720"/>
      <c r="J455" s="727"/>
      <c r="K455" s="719"/>
      <c r="L455" s="719" t="s">
        <v>465</v>
      </c>
      <c r="M455" s="719"/>
      <c r="N455" s="726" t="s">
        <v>695</v>
      </c>
      <c r="O455" s="726" t="s">
        <v>697</v>
      </c>
      <c r="P455" s="726"/>
      <c r="Q455" s="719">
        <v>0</v>
      </c>
      <c r="R455" s="719">
        <v>0</v>
      </c>
      <c r="S455" s="719">
        <f>AG456-AG455</f>
        <v>3.2099999999991269</v>
      </c>
      <c r="T455" s="719">
        <v>-5</v>
      </c>
      <c r="U455" s="719">
        <v>-25</v>
      </c>
      <c r="V455" s="719"/>
      <c r="W455" s="719">
        <v>1.1000000000000001</v>
      </c>
      <c r="X455" s="719">
        <v>1.2</v>
      </c>
      <c r="Y455" s="719"/>
      <c r="Z455" s="719"/>
      <c r="AA455" s="719">
        <v>0.45</v>
      </c>
      <c r="AB455" s="719"/>
      <c r="AC455" s="719" t="s">
        <v>2612</v>
      </c>
      <c r="AD455" s="719"/>
      <c r="AE455" s="719"/>
      <c r="AF455" s="719">
        <v>200</v>
      </c>
      <c r="AG455" s="1341">
        <v>41688.1</v>
      </c>
      <c r="AH455" s="719">
        <v>1519</v>
      </c>
      <c r="AI455" s="719">
        <v>-5120</v>
      </c>
      <c r="AJ455" s="719"/>
      <c r="AK455" s="719"/>
      <c r="AL455" s="719"/>
      <c r="AM455" s="719" t="s">
        <v>2609</v>
      </c>
      <c r="AN455" s="719">
        <v>5.25</v>
      </c>
      <c r="AO455" s="719"/>
      <c r="AP455" s="719"/>
      <c r="AQ455" s="724"/>
      <c r="AR455" s="724"/>
      <c r="AS455" s="724"/>
      <c r="AT455" s="724">
        <f>+ab($T$455,$T$453,$T$457,$G$454,$G$456,-1*$F$455,1200)</f>
        <v>-14.446873203935258</v>
      </c>
      <c r="AU455" s="724"/>
      <c r="AV455" s="724"/>
      <c r="AW455" s="719"/>
      <c r="AX455" s="719"/>
      <c r="AY455" s="719"/>
    </row>
    <row r="456" spans="1:51" ht="15.75" hidden="1" customHeight="1">
      <c r="A456" s="716"/>
      <c r="B456" s="718"/>
      <c r="C456" s="718"/>
      <c r="D456" s="719"/>
      <c r="E456" s="719"/>
      <c r="F456" s="720"/>
      <c r="G456" s="721">
        <v>50</v>
      </c>
      <c r="H456" s="726"/>
      <c r="I456" s="726"/>
      <c r="J456" s="727">
        <f>C457-9.2</f>
        <v>41731.800000000003</v>
      </c>
      <c r="K456" s="719" t="s">
        <v>1097</v>
      </c>
      <c r="L456" s="719"/>
      <c r="M456" s="719"/>
      <c r="N456" s="726"/>
      <c r="O456" s="726"/>
      <c r="P456" s="726"/>
      <c r="Q456" s="719">
        <v>0</v>
      </c>
      <c r="R456" s="719">
        <v>0</v>
      </c>
      <c r="S456" s="719">
        <f>AG457-AG456</f>
        <v>48.05000000000291</v>
      </c>
      <c r="T456" s="719"/>
      <c r="U456" s="719"/>
      <c r="V456" s="719"/>
      <c r="W456" s="719"/>
      <c r="X456" s="719"/>
      <c r="Y456" s="719"/>
      <c r="Z456" s="719"/>
      <c r="AA456" s="719"/>
      <c r="AB456" s="719"/>
      <c r="AC456" s="719"/>
      <c r="AD456" s="719"/>
      <c r="AE456" s="719"/>
      <c r="AF456" s="719">
        <v>200</v>
      </c>
      <c r="AG456" s="1341">
        <v>41691.31</v>
      </c>
      <c r="AH456" s="719">
        <v>1523</v>
      </c>
      <c r="AI456" s="719">
        <v>-5119</v>
      </c>
      <c r="AJ456" s="719"/>
      <c r="AK456" s="719"/>
      <c r="AL456" s="719"/>
      <c r="AM456" s="719"/>
      <c r="AN456" s="719"/>
      <c r="AO456" s="719"/>
      <c r="AP456" s="719"/>
      <c r="AQ456" s="724">
        <f>+FL_1($T$457,$T$455,$G$456,1200,9.28,-1*$F$457)</f>
        <v>0.39834769999999997</v>
      </c>
      <c r="AR456" s="724"/>
      <c r="AS456" s="724"/>
      <c r="AT456" s="724"/>
      <c r="AU456" s="724"/>
      <c r="AV456" s="724"/>
      <c r="AW456" s="719"/>
      <c r="AX456" s="719"/>
      <c r="AY456" s="719"/>
    </row>
    <row r="457" spans="1:51" ht="15.75" hidden="1" customHeight="1">
      <c r="A457" s="716" t="s">
        <v>677</v>
      </c>
      <c r="B457" s="728" t="s">
        <v>1525</v>
      </c>
      <c r="C457" s="718">
        <f>+$C$455+$G$456</f>
        <v>41741</v>
      </c>
      <c r="D457" s="719"/>
      <c r="E457" s="719"/>
      <c r="F457" s="720">
        <v>0</v>
      </c>
      <c r="G457" s="721"/>
      <c r="H457" s="726" t="s">
        <v>138</v>
      </c>
      <c r="I457" s="722" t="s">
        <v>948</v>
      </c>
      <c r="J457" s="727"/>
      <c r="K457" s="719"/>
      <c r="L457" s="719" t="s">
        <v>241</v>
      </c>
      <c r="M457" s="719"/>
      <c r="N457" s="726" t="s">
        <v>696</v>
      </c>
      <c r="O457" s="726"/>
      <c r="P457" s="726"/>
      <c r="Q457" s="719">
        <v>0</v>
      </c>
      <c r="R457" s="719">
        <v>0</v>
      </c>
      <c r="S457" s="719"/>
      <c r="T457" s="719">
        <v>30</v>
      </c>
      <c r="U457" s="719"/>
      <c r="V457" s="719"/>
      <c r="W457" s="719">
        <v>1.1000000000000001</v>
      </c>
      <c r="X457" s="719"/>
      <c r="Y457" s="719"/>
      <c r="Z457" s="719"/>
      <c r="AA457" s="719"/>
      <c r="AB457" s="719"/>
      <c r="AC457" s="719" t="s">
        <v>2612</v>
      </c>
      <c r="AD457" s="719"/>
      <c r="AE457" s="719"/>
      <c r="AF457" s="719">
        <v>200</v>
      </c>
      <c r="AG457" s="1341">
        <v>41739.360000000001</v>
      </c>
      <c r="AH457" s="719">
        <v>1501</v>
      </c>
      <c r="AI457" s="719">
        <v>-5140</v>
      </c>
      <c r="AJ457" s="719"/>
      <c r="AK457" s="719"/>
      <c r="AL457" s="719"/>
      <c r="AM457" s="719" t="s">
        <v>2609</v>
      </c>
      <c r="AN457" s="719">
        <v>5.25</v>
      </c>
      <c r="AO457" s="719"/>
      <c r="AP457" s="719"/>
      <c r="AQ457" s="724"/>
      <c r="AR457" s="724"/>
      <c r="AS457" s="724"/>
      <c r="AT457" s="724">
        <f>+ab($T$457,$T$455,$T$459,$G$456,$G$458,-1*$F$457,1200)</f>
        <v>9.9968917440918084</v>
      </c>
      <c r="AU457" s="724"/>
      <c r="AV457" s="724"/>
      <c r="AW457" s="719"/>
      <c r="AX457" s="719"/>
      <c r="AY457" s="719"/>
    </row>
    <row r="458" spans="1:51" ht="15.75" hidden="1" customHeight="1">
      <c r="A458" s="716"/>
      <c r="B458" s="718"/>
      <c r="C458" s="718"/>
      <c r="D458" s="719"/>
      <c r="E458" s="719"/>
      <c r="F458" s="720"/>
      <c r="G458" s="721">
        <v>50</v>
      </c>
      <c r="H458" s="726"/>
      <c r="I458" s="726"/>
      <c r="J458" s="727"/>
      <c r="K458" s="719"/>
      <c r="L458" s="719"/>
      <c r="M458" s="719"/>
      <c r="N458" s="726"/>
      <c r="O458" s="726"/>
      <c r="P458" s="726"/>
      <c r="Q458" s="719"/>
      <c r="R458" s="719"/>
      <c r="S458" s="719">
        <f t="shared" si="57"/>
        <v>49.690000000002328</v>
      </c>
      <c r="T458" s="719"/>
      <c r="U458" s="719"/>
      <c r="V458" s="719"/>
      <c r="W458" s="719"/>
      <c r="X458" s="719"/>
      <c r="Y458" s="719"/>
      <c r="Z458" s="719"/>
      <c r="AA458" s="719"/>
      <c r="AB458" s="719"/>
      <c r="AC458" s="719"/>
      <c r="AD458" s="719"/>
      <c r="AE458" s="719"/>
      <c r="AF458" s="719"/>
      <c r="AG458" s="1341"/>
      <c r="AH458" s="719"/>
      <c r="AI458" s="719"/>
      <c r="AJ458" s="719"/>
      <c r="AK458" s="719"/>
      <c r="AL458" s="719"/>
      <c r="AM458" s="719"/>
      <c r="AN458" s="719"/>
      <c r="AO458" s="719"/>
      <c r="AP458" s="719"/>
      <c r="AQ458" s="724">
        <f>+FL_2($T$459,$T$457,$G$458,1200,9.28,-1*$F$459)</f>
        <v>-0.33477011200000001</v>
      </c>
      <c r="AR458" s="724"/>
      <c r="AS458" s="724"/>
      <c r="AT458" s="724"/>
      <c r="AU458" s="724"/>
      <c r="AV458" s="724"/>
      <c r="AW458" s="719"/>
      <c r="AX458" s="719"/>
      <c r="AY458" s="719"/>
    </row>
    <row r="459" spans="1:51" ht="15.75" hidden="1" customHeight="1">
      <c r="A459" s="716" t="s">
        <v>677</v>
      </c>
      <c r="B459" s="728" t="s">
        <v>1526</v>
      </c>
      <c r="C459" s="718">
        <f>+$C$457+$G$458</f>
        <v>41791</v>
      </c>
      <c r="D459" s="719"/>
      <c r="E459" s="719"/>
      <c r="F459" s="720">
        <v>0</v>
      </c>
      <c r="G459" s="721"/>
      <c r="H459" s="726"/>
      <c r="I459" s="726"/>
      <c r="J459" s="727"/>
      <c r="K459" s="719"/>
      <c r="L459" s="719" t="s">
        <v>241</v>
      </c>
      <c r="M459" s="719"/>
      <c r="N459" s="726" t="s">
        <v>695</v>
      </c>
      <c r="O459" s="726"/>
      <c r="P459" s="726"/>
      <c r="Q459" s="719">
        <v>0</v>
      </c>
      <c r="R459" s="719">
        <v>0</v>
      </c>
      <c r="S459" s="719"/>
      <c r="T459" s="719">
        <v>-30</v>
      </c>
      <c r="U459" s="719"/>
      <c r="V459" s="719"/>
      <c r="W459" s="719">
        <v>1.1000000000000001</v>
      </c>
      <c r="X459" s="719"/>
      <c r="Y459" s="719"/>
      <c r="Z459" s="719"/>
      <c r="AA459" s="719"/>
      <c r="AB459" s="719"/>
      <c r="AC459" s="719" t="s">
        <v>2977</v>
      </c>
      <c r="AD459" s="719"/>
      <c r="AE459" s="719"/>
      <c r="AF459" s="719">
        <v>200</v>
      </c>
      <c r="AG459" s="1341">
        <v>41789.050000000003</v>
      </c>
      <c r="AH459" s="719">
        <v>1479</v>
      </c>
      <c r="AI459" s="719">
        <v>-5094</v>
      </c>
      <c r="AJ459" s="719"/>
      <c r="AK459" s="719"/>
      <c r="AL459" s="719"/>
      <c r="AM459" s="719" t="s">
        <v>2609</v>
      </c>
      <c r="AN459" s="719">
        <v>5.25</v>
      </c>
      <c r="AO459" s="719"/>
      <c r="AP459" s="719"/>
      <c r="AQ459" s="724"/>
      <c r="AR459" s="724"/>
      <c r="AS459" s="724"/>
      <c r="AT459" s="724">
        <f>+ab($T$459,$T$457,$T$461,$G$458,$G$460,-1*$F$459,1200)</f>
        <v>-7.9442410717051439</v>
      </c>
      <c r="AU459" s="724"/>
      <c r="AV459" s="724"/>
      <c r="AW459" s="719"/>
      <c r="AX459" s="719"/>
      <c r="AY459" s="719"/>
    </row>
    <row r="460" spans="1:51" ht="15.75" hidden="1" customHeight="1">
      <c r="A460" s="716"/>
      <c r="B460" s="718"/>
      <c r="C460" s="718"/>
      <c r="D460" s="719"/>
      <c r="E460" s="719"/>
      <c r="F460" s="720"/>
      <c r="G460" s="721">
        <v>50</v>
      </c>
      <c r="H460" s="726"/>
      <c r="I460" s="726"/>
      <c r="J460" s="727"/>
      <c r="K460" s="719"/>
      <c r="L460" s="719"/>
      <c r="M460" s="719"/>
      <c r="N460" s="726"/>
      <c r="O460" s="726"/>
      <c r="P460" s="726"/>
      <c r="Q460" s="719"/>
      <c r="R460" s="719"/>
      <c r="S460" s="719">
        <f t="shared" si="57"/>
        <v>51.229999999995925</v>
      </c>
      <c r="T460" s="719"/>
      <c r="U460" s="719"/>
      <c r="V460" s="719"/>
      <c r="W460" s="719"/>
      <c r="X460" s="719"/>
      <c r="Y460" s="719"/>
      <c r="Z460" s="719"/>
      <c r="AA460" s="719"/>
      <c r="AB460" s="719"/>
      <c r="AC460" s="719"/>
      <c r="AD460" s="719"/>
      <c r="AE460" s="719"/>
      <c r="AF460" s="719"/>
      <c r="AG460" s="1341"/>
      <c r="AH460" s="719"/>
      <c r="AI460" s="719"/>
      <c r="AJ460" s="719"/>
      <c r="AK460" s="719"/>
      <c r="AL460" s="719"/>
      <c r="AM460" s="719"/>
      <c r="AN460" s="719"/>
      <c r="AO460" s="719"/>
      <c r="AP460" s="719"/>
      <c r="AQ460" s="724">
        <f>+FL_1($T$461,$T$459,$G$460,1200,9.28,-1*$F$461)</f>
        <v>0.33477011200000001</v>
      </c>
      <c r="AR460" s="724"/>
      <c r="AS460" s="724"/>
      <c r="AT460" s="724"/>
      <c r="AU460" s="724"/>
      <c r="AV460" s="724"/>
      <c r="AW460" s="719"/>
      <c r="AX460" s="719"/>
      <c r="AY460" s="719"/>
    </row>
    <row r="461" spans="1:51" ht="15.75" hidden="1" customHeight="1">
      <c r="A461" s="716" t="s">
        <v>677</v>
      </c>
      <c r="B461" s="728" t="s">
        <v>1527</v>
      </c>
      <c r="C461" s="718">
        <f>+$C$459+$G$460</f>
        <v>41841</v>
      </c>
      <c r="D461" s="719"/>
      <c r="E461" s="719"/>
      <c r="F461" s="720">
        <v>0</v>
      </c>
      <c r="G461" s="721"/>
      <c r="H461" s="726"/>
      <c r="I461" s="726"/>
      <c r="J461" s="727"/>
      <c r="K461" s="719"/>
      <c r="L461" s="719" t="s">
        <v>241</v>
      </c>
      <c r="M461" s="719"/>
      <c r="N461" s="726" t="s">
        <v>696</v>
      </c>
      <c r="O461" s="726"/>
      <c r="P461" s="726"/>
      <c r="Q461" s="719">
        <v>0</v>
      </c>
      <c r="R461" s="719">
        <v>0</v>
      </c>
      <c r="S461" s="719"/>
      <c r="T461" s="719">
        <v>30</v>
      </c>
      <c r="U461" s="719"/>
      <c r="V461" s="719"/>
      <c r="W461" s="719">
        <v>1.1000000000000001</v>
      </c>
      <c r="X461" s="719"/>
      <c r="Y461" s="719"/>
      <c r="Z461" s="719"/>
      <c r="AA461" s="719"/>
      <c r="AB461" s="719"/>
      <c r="AC461" s="719" t="s">
        <v>2977</v>
      </c>
      <c r="AD461" s="719"/>
      <c r="AE461" s="719"/>
      <c r="AF461" s="719">
        <v>200</v>
      </c>
      <c r="AG461" s="1341">
        <v>41840.28</v>
      </c>
      <c r="AH461" s="719">
        <v>1493</v>
      </c>
      <c r="AI461" s="719">
        <v>-5068</v>
      </c>
      <c r="AJ461" s="719"/>
      <c r="AK461" s="719"/>
      <c r="AL461" s="719"/>
      <c r="AM461" s="719" t="s">
        <v>2609</v>
      </c>
      <c r="AN461" s="719">
        <v>5.25</v>
      </c>
      <c r="AO461" s="719"/>
      <c r="AP461" s="719"/>
      <c r="AQ461" s="724"/>
      <c r="AR461" s="724"/>
      <c r="AS461" s="724"/>
      <c r="AT461" s="724">
        <f>+ab($T$461,$T$459,$T$463,$G$460,$G$462,-1*$F$461,1200)</f>
        <v>7.9442083933778509</v>
      </c>
      <c r="AU461" s="724"/>
      <c r="AV461" s="724"/>
      <c r="AW461" s="719"/>
      <c r="AX461" s="719"/>
      <c r="AY461" s="719"/>
    </row>
    <row r="462" spans="1:51" ht="15.75" hidden="1" customHeight="1">
      <c r="A462" s="716"/>
      <c r="B462" s="718"/>
      <c r="C462" s="718"/>
      <c r="D462" s="719"/>
      <c r="E462" s="719"/>
      <c r="F462" s="720"/>
      <c r="G462" s="721">
        <v>50</v>
      </c>
      <c r="H462" s="726"/>
      <c r="I462" s="726"/>
      <c r="J462" s="727"/>
      <c r="K462" s="719"/>
      <c r="L462" s="719"/>
      <c r="M462" s="719"/>
      <c r="N462" s="726"/>
      <c r="O462" s="726"/>
      <c r="P462" s="726"/>
      <c r="Q462" s="719"/>
      <c r="R462" s="719"/>
      <c r="S462" s="719">
        <f t="shared" si="57"/>
        <v>51.260000000002037</v>
      </c>
      <c r="T462" s="719"/>
      <c r="U462" s="719"/>
      <c r="V462" s="719"/>
      <c r="W462" s="719"/>
      <c r="X462" s="719"/>
      <c r="Y462" s="719"/>
      <c r="Z462" s="719"/>
      <c r="AA462" s="719"/>
      <c r="AB462" s="719"/>
      <c r="AC462" s="719"/>
      <c r="AD462" s="719"/>
      <c r="AE462" s="719"/>
      <c r="AF462" s="719"/>
      <c r="AG462" s="1341"/>
      <c r="AH462" s="719"/>
      <c r="AI462" s="719"/>
      <c r="AJ462" s="719"/>
      <c r="AK462" s="719"/>
      <c r="AL462" s="719"/>
      <c r="AM462" s="719"/>
      <c r="AN462" s="719"/>
      <c r="AO462" s="719"/>
      <c r="AP462" s="719"/>
      <c r="AQ462" s="724">
        <f>+FL_2($T$463,$T$461,$G$462,1200,9.28,-1*$F$463)</f>
        <v>-0.33477011200000001</v>
      </c>
      <c r="AR462" s="724"/>
      <c r="AS462" s="724"/>
      <c r="AT462" s="724"/>
      <c r="AU462" s="724"/>
      <c r="AV462" s="724"/>
      <c r="AW462" s="719"/>
      <c r="AX462" s="719"/>
      <c r="AY462" s="719"/>
    </row>
    <row r="463" spans="1:51" ht="15.75" hidden="1" customHeight="1">
      <c r="A463" s="716" t="s">
        <v>677</v>
      </c>
      <c r="B463" s="728" t="s">
        <v>1528</v>
      </c>
      <c r="C463" s="718">
        <f>+$C$461+$G$462</f>
        <v>41891</v>
      </c>
      <c r="D463" s="719"/>
      <c r="E463" s="719"/>
      <c r="F463" s="720">
        <v>0</v>
      </c>
      <c r="G463" s="721"/>
      <c r="H463" s="726"/>
      <c r="I463" s="726"/>
      <c r="J463" s="727"/>
      <c r="K463" s="719"/>
      <c r="L463" s="719" t="s">
        <v>241</v>
      </c>
      <c r="M463" s="719"/>
      <c r="N463" s="726" t="s">
        <v>695</v>
      </c>
      <c r="O463" s="726"/>
      <c r="P463" s="726"/>
      <c r="Q463" s="719">
        <v>0</v>
      </c>
      <c r="R463" s="719">
        <v>0</v>
      </c>
      <c r="S463" s="719"/>
      <c r="T463" s="719">
        <v>-30</v>
      </c>
      <c r="U463" s="719"/>
      <c r="V463" s="719"/>
      <c r="W463" s="719">
        <v>1.1000000000000001</v>
      </c>
      <c r="X463" s="719"/>
      <c r="Y463" s="719"/>
      <c r="Z463" s="719"/>
      <c r="AA463" s="719"/>
      <c r="AB463" s="719"/>
      <c r="AC463" s="719" t="s">
        <v>2977</v>
      </c>
      <c r="AD463" s="719"/>
      <c r="AE463" s="719"/>
      <c r="AF463" s="719">
        <v>200</v>
      </c>
      <c r="AG463" s="1341">
        <v>41891.54</v>
      </c>
      <c r="AH463" s="719">
        <v>1510</v>
      </c>
      <c r="AI463" s="719">
        <v>-5103</v>
      </c>
      <c r="AJ463" s="719"/>
      <c r="AK463" s="719"/>
      <c r="AL463" s="719"/>
      <c r="AM463" s="719" t="s">
        <v>2609</v>
      </c>
      <c r="AN463" s="719">
        <v>5.25</v>
      </c>
      <c r="AO463" s="719"/>
      <c r="AP463" s="719"/>
      <c r="AQ463" s="724"/>
      <c r="AR463" s="724"/>
      <c r="AS463" s="724"/>
      <c r="AT463" s="724">
        <f>+ab($T$463,$T$461,$T$465,$G$462,$G$464,-1*$F$463,1200)</f>
        <v>-7.9442410717051439</v>
      </c>
      <c r="AU463" s="724"/>
      <c r="AV463" s="724"/>
      <c r="AW463" s="719"/>
      <c r="AX463" s="719"/>
      <c r="AY463" s="719"/>
    </row>
    <row r="464" spans="1:51" ht="15.75" hidden="1" customHeight="1">
      <c r="A464" s="716"/>
      <c r="B464" s="718"/>
      <c r="C464" s="718"/>
      <c r="D464" s="719"/>
      <c r="E464" s="719"/>
      <c r="F464" s="720"/>
      <c r="G464" s="721">
        <v>50</v>
      </c>
      <c r="H464" s="726"/>
      <c r="I464" s="726"/>
      <c r="J464" s="727"/>
      <c r="K464" s="719"/>
      <c r="L464" s="719"/>
      <c r="M464" s="719"/>
      <c r="N464" s="726"/>
      <c r="O464" s="726"/>
      <c r="P464" s="726"/>
      <c r="Q464" s="719"/>
      <c r="R464" s="719"/>
      <c r="S464" s="719">
        <f t="shared" si="57"/>
        <v>48.099999999998545</v>
      </c>
      <c r="T464" s="719"/>
      <c r="U464" s="719"/>
      <c r="V464" s="719"/>
      <c r="W464" s="719"/>
      <c r="X464" s="719"/>
      <c r="Y464" s="719"/>
      <c r="Z464" s="719"/>
      <c r="AA464" s="719"/>
      <c r="AB464" s="719"/>
      <c r="AC464" s="719"/>
      <c r="AD464" s="719"/>
      <c r="AE464" s="719"/>
      <c r="AF464" s="719"/>
      <c r="AG464" s="1341"/>
      <c r="AH464" s="719"/>
      <c r="AI464" s="719"/>
      <c r="AJ464" s="719"/>
      <c r="AK464" s="719"/>
      <c r="AL464" s="719"/>
      <c r="AM464" s="719"/>
      <c r="AN464" s="719"/>
      <c r="AO464" s="719"/>
      <c r="AP464" s="719"/>
      <c r="AQ464" s="724">
        <f>+FL_1($T$465,$T$463,$G$464,1200,9.28,-1*$F$465)</f>
        <v>0.33477011200000001</v>
      </c>
      <c r="AR464" s="724"/>
      <c r="AS464" s="724"/>
      <c r="AT464" s="724"/>
      <c r="AU464" s="724"/>
      <c r="AV464" s="724"/>
      <c r="AW464" s="719"/>
      <c r="AX464" s="719"/>
      <c r="AY464" s="719"/>
    </row>
    <row r="465" spans="1:51" ht="15.75" hidden="1" customHeight="1">
      <c r="A465" s="716" t="s">
        <v>677</v>
      </c>
      <c r="B465" s="728" t="s">
        <v>1529</v>
      </c>
      <c r="C465" s="718">
        <f>+$C$463+$G$464</f>
        <v>41941</v>
      </c>
      <c r="D465" s="719"/>
      <c r="E465" s="719"/>
      <c r="F465" s="720">
        <v>0</v>
      </c>
      <c r="G465" s="721"/>
      <c r="H465" s="726"/>
      <c r="I465" s="726"/>
      <c r="J465" s="727"/>
      <c r="K465" s="719"/>
      <c r="L465" s="719" t="s">
        <v>241</v>
      </c>
      <c r="M465" s="719"/>
      <c r="N465" s="726" t="s">
        <v>696</v>
      </c>
      <c r="O465" s="726"/>
      <c r="P465" s="726"/>
      <c r="Q465" s="719">
        <v>0</v>
      </c>
      <c r="R465" s="719">
        <v>0</v>
      </c>
      <c r="S465" s="719"/>
      <c r="T465" s="719">
        <v>30</v>
      </c>
      <c r="U465" s="719"/>
      <c r="V465" s="719"/>
      <c r="W465" s="719">
        <v>1.1000000000000001</v>
      </c>
      <c r="X465" s="719"/>
      <c r="Y465" s="719"/>
      <c r="Z465" s="719"/>
      <c r="AA465" s="719"/>
      <c r="AB465" s="719"/>
      <c r="AC465" s="719" t="s">
        <v>2977</v>
      </c>
      <c r="AD465" s="719"/>
      <c r="AE465" s="719"/>
      <c r="AF465" s="719">
        <v>200</v>
      </c>
      <c r="AG465" s="1341">
        <v>41939.64</v>
      </c>
      <c r="AH465" s="719">
        <v>1485</v>
      </c>
      <c r="AI465" s="719">
        <v>-5105</v>
      </c>
      <c r="AJ465" s="719"/>
      <c r="AK465" s="719"/>
      <c r="AL465" s="719"/>
      <c r="AM465" s="719" t="s">
        <v>2609</v>
      </c>
      <c r="AN465" s="719">
        <v>5.25</v>
      </c>
      <c r="AO465" s="719"/>
      <c r="AP465" s="719"/>
      <c r="AQ465" s="724"/>
      <c r="AR465" s="724"/>
      <c r="AS465" s="724"/>
      <c r="AT465" s="724">
        <f>+ab($T$465,$T$463,$T$467,$G$464,$G$466,-1*$F$465,1200)</f>
        <v>7.9442083933778509</v>
      </c>
      <c r="AU465" s="724"/>
      <c r="AV465" s="724"/>
      <c r="AW465" s="719"/>
      <c r="AX465" s="719"/>
      <c r="AY465" s="719"/>
    </row>
    <row r="466" spans="1:51" ht="15.75" hidden="1" customHeight="1">
      <c r="A466" s="716"/>
      <c r="B466" s="718"/>
      <c r="C466" s="718"/>
      <c r="D466" s="719"/>
      <c r="E466" s="719"/>
      <c r="F466" s="720"/>
      <c r="G466" s="721">
        <v>50</v>
      </c>
      <c r="H466" s="726"/>
      <c r="I466" s="726"/>
      <c r="J466" s="727"/>
      <c r="K466" s="719"/>
      <c r="L466" s="719"/>
      <c r="M466" s="719"/>
      <c r="N466" s="726"/>
      <c r="O466" s="726"/>
      <c r="P466" s="726"/>
      <c r="Q466" s="719"/>
      <c r="R466" s="719"/>
      <c r="S466" s="719">
        <f t="shared" si="57"/>
        <v>51.25</v>
      </c>
      <c r="T466" s="719"/>
      <c r="U466" s="719"/>
      <c r="V466" s="719"/>
      <c r="W466" s="719"/>
      <c r="X466" s="719"/>
      <c r="Y466" s="719"/>
      <c r="Z466" s="719"/>
      <c r="AA466" s="719"/>
      <c r="AB466" s="719"/>
      <c r="AC466" s="719"/>
      <c r="AD466" s="719"/>
      <c r="AE466" s="719"/>
      <c r="AF466" s="719"/>
      <c r="AG466" s="1341"/>
      <c r="AH466" s="719"/>
      <c r="AI466" s="719"/>
      <c r="AJ466" s="719"/>
      <c r="AK466" s="719"/>
      <c r="AL466" s="719"/>
      <c r="AM466" s="719"/>
      <c r="AN466" s="719"/>
      <c r="AO466" s="719"/>
      <c r="AP466" s="719"/>
      <c r="AQ466" s="724">
        <f>+FL_2($T$467,$T$465,$G$466,1200,9.28,-1*$F$467)</f>
        <v>-0.33477011200000001</v>
      </c>
      <c r="AR466" s="724"/>
      <c r="AS466" s="724"/>
      <c r="AT466" s="724"/>
      <c r="AU466" s="724"/>
      <c r="AV466" s="724"/>
      <c r="AW466" s="719"/>
      <c r="AX466" s="719"/>
      <c r="AY466" s="719"/>
    </row>
    <row r="467" spans="1:51" ht="15.75" hidden="1" customHeight="1">
      <c r="A467" s="716" t="s">
        <v>677</v>
      </c>
      <c r="B467" s="728" t="s">
        <v>1530</v>
      </c>
      <c r="C467" s="718">
        <f>+$C$465+$G$466</f>
        <v>41991</v>
      </c>
      <c r="D467" s="719"/>
      <c r="E467" s="719"/>
      <c r="F467" s="720">
        <v>0</v>
      </c>
      <c r="G467" s="721"/>
      <c r="H467" s="726"/>
      <c r="I467" s="726"/>
      <c r="J467" s="727"/>
      <c r="K467" s="719"/>
      <c r="L467" s="719" t="s">
        <v>241</v>
      </c>
      <c r="M467" s="719"/>
      <c r="N467" s="726" t="s">
        <v>695</v>
      </c>
      <c r="O467" s="726"/>
      <c r="P467" s="726"/>
      <c r="Q467" s="719">
        <v>0</v>
      </c>
      <c r="R467" s="719">
        <v>0</v>
      </c>
      <c r="S467" s="719"/>
      <c r="T467" s="719">
        <v>-30</v>
      </c>
      <c r="U467" s="719"/>
      <c r="V467" s="719"/>
      <c r="W467" s="719">
        <v>1.1000000000000001</v>
      </c>
      <c r="X467" s="719"/>
      <c r="Y467" s="719"/>
      <c r="Z467" s="719"/>
      <c r="AA467" s="719"/>
      <c r="AB467" s="719"/>
      <c r="AC467" s="719" t="s">
        <v>2977</v>
      </c>
      <c r="AD467" s="719"/>
      <c r="AE467" s="719"/>
      <c r="AF467" s="719">
        <v>200</v>
      </c>
      <c r="AG467" s="1341">
        <v>41990.89</v>
      </c>
      <c r="AH467" s="719">
        <v>1525</v>
      </c>
      <c r="AI467" s="719">
        <v>-5093</v>
      </c>
      <c r="AJ467" s="719"/>
      <c r="AK467" s="719"/>
      <c r="AL467" s="719"/>
      <c r="AM467" s="719" t="s">
        <v>2609</v>
      </c>
      <c r="AN467" s="719">
        <v>5.25</v>
      </c>
      <c r="AO467" s="719"/>
      <c r="AP467" s="719"/>
      <c r="AQ467" s="724"/>
      <c r="AR467" s="724"/>
      <c r="AS467" s="724"/>
      <c r="AT467" s="724">
        <f>+ab($T$467,$T$465,$T$469,$G$466,$G$468,-1*$F$467,1200)</f>
        <v>-7.9442410717051439</v>
      </c>
      <c r="AU467" s="724"/>
      <c r="AV467" s="724"/>
      <c r="AW467" s="719"/>
      <c r="AX467" s="719"/>
      <c r="AY467" s="719"/>
    </row>
    <row r="468" spans="1:51" ht="15.75" hidden="1" customHeight="1">
      <c r="A468" s="716"/>
      <c r="B468" s="718"/>
      <c r="C468" s="718"/>
      <c r="D468" s="719"/>
      <c r="E468" s="719"/>
      <c r="F468" s="720"/>
      <c r="G468" s="721">
        <v>50</v>
      </c>
      <c r="H468" s="726"/>
      <c r="I468" s="726"/>
      <c r="J468" s="727"/>
      <c r="K468" s="719"/>
      <c r="L468" s="719"/>
      <c r="M468" s="719"/>
      <c r="N468" s="726"/>
      <c r="O468" s="726"/>
      <c r="P468" s="726"/>
      <c r="Q468" s="719"/>
      <c r="R468" s="719"/>
      <c r="S468" s="719">
        <f t="shared" si="57"/>
        <v>51.239999999997963</v>
      </c>
      <c r="T468" s="719"/>
      <c r="U468" s="719"/>
      <c r="V468" s="719"/>
      <c r="W468" s="719"/>
      <c r="X468" s="719"/>
      <c r="Y468" s="719"/>
      <c r="Z468" s="719"/>
      <c r="AA468" s="719"/>
      <c r="AB468" s="719"/>
      <c r="AC468" s="719"/>
      <c r="AD468" s="719"/>
      <c r="AE468" s="719"/>
      <c r="AF468" s="719"/>
      <c r="AG468" s="1341"/>
      <c r="AH468" s="719"/>
      <c r="AI468" s="719"/>
      <c r="AJ468" s="719"/>
      <c r="AK468" s="719"/>
      <c r="AL468" s="719"/>
      <c r="AM468" s="719"/>
      <c r="AN468" s="719"/>
      <c r="AO468" s="719"/>
      <c r="AP468" s="719"/>
      <c r="AQ468" s="724">
        <f>+FL_1($T$469,$T$467,$G$468,1200,9.28,-1*$F$469)</f>
        <v>0.33477011200000001</v>
      </c>
      <c r="AR468" s="724"/>
      <c r="AS468" s="724"/>
      <c r="AT468" s="724"/>
      <c r="AU468" s="724"/>
      <c r="AV468" s="724"/>
      <c r="AW468" s="719"/>
      <c r="AX468" s="719"/>
      <c r="AY468" s="719"/>
    </row>
    <row r="469" spans="1:51" ht="15.75" customHeight="1">
      <c r="A469" s="716" t="s">
        <v>677</v>
      </c>
      <c r="B469" s="728" t="s">
        <v>1531</v>
      </c>
      <c r="C469" s="718">
        <f>+$C$467+$G$468</f>
        <v>42041</v>
      </c>
      <c r="D469" s="719"/>
      <c r="E469" s="719"/>
      <c r="F469" s="720">
        <v>0</v>
      </c>
      <c r="G469" s="721"/>
      <c r="H469" s="726" t="s">
        <v>1101</v>
      </c>
      <c r="I469" s="726"/>
      <c r="J469" s="727"/>
      <c r="K469" s="719"/>
      <c r="L469" s="719" t="s">
        <v>241</v>
      </c>
      <c r="M469" s="719"/>
      <c r="N469" s="726" t="s">
        <v>696</v>
      </c>
      <c r="O469" s="726"/>
      <c r="P469" s="726"/>
      <c r="Q469" s="719">
        <v>0</v>
      </c>
      <c r="R469" s="719">
        <v>0</v>
      </c>
      <c r="S469" s="719"/>
      <c r="T469" s="719">
        <v>30</v>
      </c>
      <c r="U469" s="719"/>
      <c r="V469" s="719"/>
      <c r="W469" s="719">
        <v>1.1000000000000001</v>
      </c>
      <c r="X469" s="719"/>
      <c r="Y469" s="719"/>
      <c r="Z469" s="719"/>
      <c r="AA469" s="719"/>
      <c r="AB469" s="719"/>
      <c r="AC469" s="719" t="s">
        <v>2977</v>
      </c>
      <c r="AD469" s="719"/>
      <c r="AE469" s="719"/>
      <c r="AF469" s="719">
        <v>200</v>
      </c>
      <c r="AG469" s="1341">
        <v>42042.13</v>
      </c>
      <c r="AH469" s="719">
        <v>1515</v>
      </c>
      <c r="AI469" s="719">
        <v>-5154</v>
      </c>
      <c r="AJ469" s="719"/>
      <c r="AK469" s="719"/>
      <c r="AL469" s="719"/>
      <c r="AM469" s="719" t="s">
        <v>2609</v>
      </c>
      <c r="AN469" s="719">
        <v>5.25</v>
      </c>
      <c r="AO469" s="719"/>
      <c r="AP469" s="719"/>
      <c r="AQ469" s="724"/>
      <c r="AR469" s="724"/>
      <c r="AS469" s="724"/>
      <c r="AT469" s="724">
        <f>+ab($T$469,$T$467,$T$471,$G$468,$G$470,-1*$F$469,1200)</f>
        <v>7.9442083933778509</v>
      </c>
      <c r="AU469" s="724"/>
      <c r="AV469" s="724"/>
      <c r="AW469" s="719"/>
      <c r="AX469" s="719"/>
      <c r="AY469" s="719"/>
    </row>
    <row r="470" spans="1:51" ht="15.75" hidden="1" customHeight="1">
      <c r="A470" s="716"/>
      <c r="B470" s="718"/>
      <c r="C470" s="718"/>
      <c r="D470" s="719"/>
      <c r="E470" s="719"/>
      <c r="F470" s="720"/>
      <c r="G470" s="721">
        <v>50</v>
      </c>
      <c r="H470" s="726"/>
      <c r="I470" s="726">
        <f>+SUM(G452:G470)</f>
        <v>500</v>
      </c>
      <c r="J470" s="727">
        <f>C469+2.2</f>
        <v>42043.199999999997</v>
      </c>
      <c r="K470" s="719" t="s">
        <v>1102</v>
      </c>
      <c r="L470" s="719"/>
      <c r="M470" s="719"/>
      <c r="N470" s="726"/>
      <c r="O470" s="726"/>
      <c r="P470" s="726"/>
      <c r="Q470" s="719"/>
      <c r="R470" s="719"/>
      <c r="S470" s="719">
        <f t="shared" si="57"/>
        <v>48.100000000005821</v>
      </c>
      <c r="T470" s="719"/>
      <c r="U470" s="719"/>
      <c r="V470" s="719"/>
      <c r="W470" s="719"/>
      <c r="X470" s="719"/>
      <c r="Y470" s="719"/>
      <c r="Z470" s="719"/>
      <c r="AA470" s="719"/>
      <c r="AB470" s="719"/>
      <c r="AC470" s="719"/>
      <c r="AD470" s="719"/>
      <c r="AE470" s="719"/>
      <c r="AF470" s="719"/>
      <c r="AG470" s="1341"/>
      <c r="AH470" s="719"/>
      <c r="AI470" s="719"/>
      <c r="AJ470" s="719"/>
      <c r="AK470" s="719"/>
      <c r="AL470" s="719"/>
      <c r="AM470" s="719"/>
      <c r="AN470" s="719"/>
      <c r="AO470" s="719"/>
      <c r="AP470" s="719"/>
      <c r="AQ470" s="724">
        <f>+FL_2($T$471,$T$469,$G$470,1200,9.28,-1*$F$471)</f>
        <v>-0.33477011200000001</v>
      </c>
      <c r="AR470" s="724"/>
      <c r="AS470" s="724"/>
      <c r="AT470" s="724"/>
      <c r="AU470" s="724"/>
      <c r="AV470" s="724"/>
      <c r="AW470" s="719"/>
      <c r="AX470" s="719"/>
      <c r="AY470" s="719"/>
    </row>
    <row r="471" spans="1:51" ht="15.75" customHeight="1">
      <c r="A471" s="716" t="s">
        <v>677</v>
      </c>
      <c r="B471" s="728" t="s">
        <v>1532</v>
      </c>
      <c r="C471" s="718">
        <f>+$C$469+$G$470</f>
        <v>42091</v>
      </c>
      <c r="D471" s="719"/>
      <c r="E471" s="719"/>
      <c r="F471" s="720">
        <v>0</v>
      </c>
      <c r="G471" s="721"/>
      <c r="H471" s="726" t="s">
        <v>997</v>
      </c>
      <c r="I471" s="726"/>
      <c r="J471" s="727"/>
      <c r="K471" s="719"/>
      <c r="L471" s="719" t="s">
        <v>241</v>
      </c>
      <c r="M471" s="719"/>
      <c r="N471" s="726" t="s">
        <v>695</v>
      </c>
      <c r="O471" s="726"/>
      <c r="P471" s="726"/>
      <c r="Q471" s="719">
        <v>0</v>
      </c>
      <c r="R471" s="719">
        <v>0</v>
      </c>
      <c r="S471" s="719"/>
      <c r="T471" s="719">
        <v>-30</v>
      </c>
      <c r="U471" s="719"/>
      <c r="V471" s="719"/>
      <c r="W471" s="719">
        <v>1.1000000000000001</v>
      </c>
      <c r="X471" s="719"/>
      <c r="Y471" s="719"/>
      <c r="Z471" s="719"/>
      <c r="AA471" s="719"/>
      <c r="AB471" s="719"/>
      <c r="AC471" s="719" t="s">
        <v>2977</v>
      </c>
      <c r="AD471" s="719"/>
      <c r="AE471" s="719"/>
      <c r="AF471" s="719">
        <v>200</v>
      </c>
      <c r="AG471" s="1341">
        <v>42090.23</v>
      </c>
      <c r="AH471" s="719">
        <v>1542</v>
      </c>
      <c r="AI471" s="719">
        <v>-5172</v>
      </c>
      <c r="AJ471" s="719"/>
      <c r="AK471" s="719"/>
      <c r="AL471" s="719"/>
      <c r="AM471" s="719" t="s">
        <v>2609</v>
      </c>
      <c r="AN471" s="719">
        <v>5.25</v>
      </c>
      <c r="AO471" s="719"/>
      <c r="AP471" s="719"/>
      <c r="AQ471" s="724"/>
      <c r="AR471" s="724"/>
      <c r="AS471" s="724"/>
      <c r="AT471" s="724">
        <f>+ab($T$471,$T$469,$T$473,$G$470,$G$472,-1*$F$471,1200)</f>
        <v>-7.9442410717051439</v>
      </c>
      <c r="AU471" s="724"/>
      <c r="AV471" s="724"/>
      <c r="AW471" s="719"/>
      <c r="AX471" s="719"/>
      <c r="AY471" s="719"/>
    </row>
    <row r="472" spans="1:51" ht="15.75" hidden="1" customHeight="1">
      <c r="A472" s="716"/>
      <c r="B472" s="718"/>
      <c r="C472" s="718"/>
      <c r="D472" s="719"/>
      <c r="E472" s="719"/>
      <c r="F472" s="720"/>
      <c r="G472" s="721">
        <v>50</v>
      </c>
      <c r="H472" s="726"/>
      <c r="I472" s="726">
        <f>SUM(G472:G490)</f>
        <v>492</v>
      </c>
      <c r="J472" s="727">
        <f>C473-2.7</f>
        <v>42138.3</v>
      </c>
      <c r="K472" s="719" t="s">
        <v>1102</v>
      </c>
      <c r="L472" s="719"/>
      <c r="M472" s="719"/>
      <c r="N472" s="726"/>
      <c r="O472" s="726"/>
      <c r="P472" s="726"/>
      <c r="Q472" s="719"/>
      <c r="R472" s="719"/>
      <c r="S472" s="719">
        <f t="shared" si="57"/>
        <v>52.879999999997381</v>
      </c>
      <c r="T472" s="719"/>
      <c r="U472" s="719"/>
      <c r="V472" s="719"/>
      <c r="W472" s="719"/>
      <c r="X472" s="719"/>
      <c r="Y472" s="719"/>
      <c r="Z472" s="719"/>
      <c r="AA472" s="719"/>
      <c r="AB472" s="719"/>
      <c r="AC472" s="719"/>
      <c r="AD472" s="719"/>
      <c r="AE472" s="719"/>
      <c r="AF472" s="719"/>
      <c r="AG472" s="1341"/>
      <c r="AH472" s="719"/>
      <c r="AI472" s="719"/>
      <c r="AJ472" s="719"/>
      <c r="AK472" s="719"/>
      <c r="AL472" s="719"/>
      <c r="AM472" s="719"/>
      <c r="AN472" s="719"/>
      <c r="AO472" s="719"/>
      <c r="AP472" s="719"/>
      <c r="AQ472" s="724">
        <f>+FL_1($T$473,$T$471,$G$472,1200,9.28,-1*$F$473)</f>
        <v>0.33477011200000001</v>
      </c>
      <c r="AR472" s="724"/>
      <c r="AS472" s="724"/>
      <c r="AT472" s="724"/>
      <c r="AU472" s="724"/>
      <c r="AV472" s="724"/>
      <c r="AW472" s="719"/>
      <c r="AX472" s="719"/>
      <c r="AY472" s="719"/>
    </row>
    <row r="473" spans="1:51" ht="15.75" customHeight="1">
      <c r="A473" s="716" t="s">
        <v>677</v>
      </c>
      <c r="B473" s="728" t="s">
        <v>1533</v>
      </c>
      <c r="C473" s="718">
        <f>+$C$471+$G$472</f>
        <v>42141</v>
      </c>
      <c r="D473" s="719"/>
      <c r="E473" s="719"/>
      <c r="F473" s="720">
        <v>0</v>
      </c>
      <c r="G473" s="721"/>
      <c r="H473" s="719" t="s">
        <v>1101</v>
      </c>
      <c r="I473" s="720"/>
      <c r="J473" s="727"/>
      <c r="K473" s="719"/>
      <c r="L473" s="719" t="s">
        <v>241</v>
      </c>
      <c r="M473" s="719"/>
      <c r="N473" s="726" t="s">
        <v>696</v>
      </c>
      <c r="O473" s="726"/>
      <c r="P473" s="738"/>
      <c r="Q473" s="719">
        <v>0</v>
      </c>
      <c r="R473" s="719">
        <v>0</v>
      </c>
      <c r="S473" s="719"/>
      <c r="T473" s="719">
        <v>30</v>
      </c>
      <c r="U473" s="719"/>
      <c r="V473" s="719"/>
      <c r="W473" s="719">
        <v>1.1000000000000001</v>
      </c>
      <c r="X473" s="719"/>
      <c r="Y473" s="719"/>
      <c r="Z473" s="719"/>
      <c r="AA473" s="719"/>
      <c r="AB473" s="719"/>
      <c r="AC473" s="719" t="s">
        <v>2977</v>
      </c>
      <c r="AD473" s="719"/>
      <c r="AE473" s="719"/>
      <c r="AF473" s="719">
        <v>200</v>
      </c>
      <c r="AG473" s="1341">
        <v>42143.11</v>
      </c>
      <c r="AH473" s="719">
        <v>1499</v>
      </c>
      <c r="AI473" s="719">
        <v>-5198</v>
      </c>
      <c r="AJ473" s="719"/>
      <c r="AK473" s="719"/>
      <c r="AL473" s="719"/>
      <c r="AM473" s="719" t="s">
        <v>2609</v>
      </c>
      <c r="AN473" s="719">
        <v>5.25</v>
      </c>
      <c r="AO473" s="719"/>
      <c r="AP473" s="719"/>
      <c r="AQ473" s="724"/>
      <c r="AR473" s="724"/>
      <c r="AS473" s="724"/>
      <c r="AT473" s="724">
        <f>+ab($T$473,$T$471,$T$475,$G$472,$G$474,-1*$F$473,1200)</f>
        <v>7.9442083933778509</v>
      </c>
      <c r="AU473" s="724"/>
      <c r="AV473" s="724"/>
      <c r="AW473" s="719"/>
      <c r="AX473" s="719"/>
      <c r="AY473" s="719"/>
    </row>
    <row r="474" spans="1:51" ht="15.75" hidden="1" customHeight="1">
      <c r="A474" s="716"/>
      <c r="B474" s="718"/>
      <c r="C474" s="718"/>
      <c r="D474" s="719"/>
      <c r="E474" s="719"/>
      <c r="F474" s="720"/>
      <c r="G474" s="721">
        <v>50</v>
      </c>
      <c r="H474" s="726"/>
      <c r="I474" s="726"/>
      <c r="J474" s="727"/>
      <c r="K474" s="719"/>
      <c r="L474" s="719"/>
      <c r="M474" s="719"/>
      <c r="N474" s="726"/>
      <c r="O474" s="726"/>
      <c r="P474" s="738"/>
      <c r="Q474" s="719"/>
      <c r="R474" s="719"/>
      <c r="S474" s="719">
        <f t="shared" si="57"/>
        <v>47.989999999997963</v>
      </c>
      <c r="T474" s="719"/>
      <c r="U474" s="719"/>
      <c r="V474" s="719"/>
      <c r="W474" s="719"/>
      <c r="X474" s="719"/>
      <c r="Y474" s="719"/>
      <c r="Z474" s="719"/>
      <c r="AA474" s="719"/>
      <c r="AB474" s="719"/>
      <c r="AC474" s="719"/>
      <c r="AD474" s="719"/>
      <c r="AE474" s="719"/>
      <c r="AF474" s="719"/>
      <c r="AG474" s="1341"/>
      <c r="AH474" s="719"/>
      <c r="AI474" s="719"/>
      <c r="AJ474" s="719"/>
      <c r="AK474" s="719"/>
      <c r="AL474" s="719"/>
      <c r="AM474" s="719"/>
      <c r="AN474" s="719"/>
      <c r="AO474" s="719"/>
      <c r="AP474" s="719"/>
      <c r="AQ474" s="724">
        <f>+FL_2($T$475,$T$473,$G$474,1200,9.28,-1*$F$475)</f>
        <v>-0.33477011200000001</v>
      </c>
      <c r="AR474" s="724"/>
      <c r="AS474" s="724"/>
      <c r="AT474" s="724"/>
      <c r="AU474" s="724"/>
      <c r="AV474" s="724"/>
      <c r="AW474" s="719"/>
      <c r="AX474" s="719"/>
      <c r="AY474" s="719"/>
    </row>
    <row r="475" spans="1:51" ht="15.75" hidden="1" customHeight="1">
      <c r="A475" s="716" t="s">
        <v>677</v>
      </c>
      <c r="B475" s="728" t="s">
        <v>1534</v>
      </c>
      <c r="C475" s="718">
        <f>+$C$473+$G$474</f>
        <v>42191</v>
      </c>
      <c r="D475" s="719"/>
      <c r="E475" s="719"/>
      <c r="F475" s="720">
        <v>0</v>
      </c>
      <c r="G475" s="721"/>
      <c r="H475" s="726"/>
      <c r="I475" s="722"/>
      <c r="J475" s="727"/>
      <c r="K475" s="719"/>
      <c r="L475" s="719" t="s">
        <v>241</v>
      </c>
      <c r="M475" s="719"/>
      <c r="N475" s="726" t="s">
        <v>695</v>
      </c>
      <c r="O475" s="726"/>
      <c r="P475" s="726"/>
      <c r="Q475" s="719">
        <v>0</v>
      </c>
      <c r="R475" s="719">
        <v>0</v>
      </c>
      <c r="S475" s="719"/>
      <c r="T475" s="719">
        <v>-30</v>
      </c>
      <c r="U475" s="719"/>
      <c r="V475" s="719"/>
      <c r="W475" s="719">
        <v>1.1000000000000001</v>
      </c>
      <c r="X475" s="719"/>
      <c r="Y475" s="719"/>
      <c r="Z475" s="719"/>
      <c r="AA475" s="719"/>
      <c r="AB475" s="719"/>
      <c r="AC475" s="719" t="s">
        <v>2977</v>
      </c>
      <c r="AD475" s="719"/>
      <c r="AE475" s="719"/>
      <c r="AF475" s="719">
        <v>200</v>
      </c>
      <c r="AG475" s="1341">
        <v>42191.1</v>
      </c>
      <c r="AH475" s="719">
        <v>1514</v>
      </c>
      <c r="AI475" s="719">
        <v>-5205</v>
      </c>
      <c r="AJ475" s="719"/>
      <c r="AK475" s="719"/>
      <c r="AL475" s="719"/>
      <c r="AM475" s="719" t="s">
        <v>2609</v>
      </c>
      <c r="AN475" s="719">
        <v>5.25</v>
      </c>
      <c r="AO475" s="719"/>
      <c r="AP475" s="719"/>
      <c r="AQ475" s="724"/>
      <c r="AR475" s="724"/>
      <c r="AS475" s="724"/>
      <c r="AT475" s="724">
        <f>+ab($T$475,$T$473,$T$477,$G$474,$G$476,-1*$F$475,1200)</f>
        <v>-7.9442410717051439</v>
      </c>
      <c r="AU475" s="724"/>
      <c r="AV475" s="724"/>
      <c r="AW475" s="719"/>
      <c r="AX475" s="719"/>
      <c r="AY475" s="719"/>
    </row>
    <row r="476" spans="1:51" ht="15.75" hidden="1" customHeight="1">
      <c r="A476" s="716"/>
      <c r="B476" s="718"/>
      <c r="C476" s="718"/>
      <c r="D476" s="719"/>
      <c r="E476" s="719"/>
      <c r="F476" s="720"/>
      <c r="G476" s="721">
        <v>50</v>
      </c>
      <c r="H476" s="726"/>
      <c r="I476" s="726"/>
      <c r="J476" s="727"/>
      <c r="K476" s="719"/>
      <c r="L476" s="719"/>
      <c r="M476" s="719"/>
      <c r="N476" s="726"/>
      <c r="O476" s="726"/>
      <c r="P476" s="738"/>
      <c r="Q476" s="719"/>
      <c r="R476" s="719"/>
      <c r="S476" s="719">
        <f t="shared" si="57"/>
        <v>51.419999999998254</v>
      </c>
      <c r="T476" s="719"/>
      <c r="U476" s="719"/>
      <c r="V476" s="719"/>
      <c r="W476" s="719"/>
      <c r="X476" s="719"/>
      <c r="Y476" s="719"/>
      <c r="Z476" s="719"/>
      <c r="AA476" s="719"/>
      <c r="AB476" s="719"/>
      <c r="AC476" s="719"/>
      <c r="AD476" s="719"/>
      <c r="AE476" s="719"/>
      <c r="AF476" s="719"/>
      <c r="AG476" s="1341"/>
      <c r="AH476" s="719"/>
      <c r="AI476" s="719"/>
      <c r="AJ476" s="719"/>
      <c r="AK476" s="719"/>
      <c r="AL476" s="719"/>
      <c r="AM476" s="719"/>
      <c r="AN476" s="719"/>
      <c r="AO476" s="719"/>
      <c r="AP476" s="719"/>
      <c r="AQ476" s="724">
        <f>+FL_1($T$477,$T$475,$G$476,1200,9.28,-1*$F$477)</f>
        <v>0.33477011200000001</v>
      </c>
      <c r="AR476" s="724"/>
      <c r="AS476" s="724"/>
      <c r="AT476" s="724"/>
      <c r="AU476" s="724"/>
      <c r="AV476" s="724"/>
      <c r="AW476" s="719"/>
      <c r="AX476" s="719"/>
      <c r="AY476" s="719"/>
    </row>
    <row r="477" spans="1:51" ht="15.75" hidden="1" customHeight="1">
      <c r="A477" s="716" t="s">
        <v>677</v>
      </c>
      <c r="B477" s="728" t="s">
        <v>1535</v>
      </c>
      <c r="C477" s="718">
        <f>+$C$475+$G$476</f>
        <v>42241</v>
      </c>
      <c r="D477" s="719"/>
      <c r="E477" s="719"/>
      <c r="F477" s="720">
        <v>0</v>
      </c>
      <c r="G477" s="721"/>
      <c r="H477" s="726"/>
      <c r="I477" s="722"/>
      <c r="J477" s="727"/>
      <c r="K477" s="719"/>
      <c r="L477" s="719" t="s">
        <v>241</v>
      </c>
      <c r="M477" s="719"/>
      <c r="N477" s="726" t="s">
        <v>696</v>
      </c>
      <c r="O477" s="726"/>
      <c r="P477" s="726"/>
      <c r="Q477" s="719">
        <v>0</v>
      </c>
      <c r="R477" s="719">
        <v>0</v>
      </c>
      <c r="S477" s="719"/>
      <c r="T477" s="719">
        <v>30</v>
      </c>
      <c r="U477" s="719"/>
      <c r="V477" s="719"/>
      <c r="W477" s="719">
        <v>1.1000000000000001</v>
      </c>
      <c r="X477" s="719"/>
      <c r="Y477" s="719"/>
      <c r="Z477" s="719"/>
      <c r="AA477" s="719"/>
      <c r="AB477" s="719"/>
      <c r="AC477" s="719" t="s">
        <v>2977</v>
      </c>
      <c r="AD477" s="719"/>
      <c r="AE477" s="719"/>
      <c r="AF477" s="719">
        <v>200</v>
      </c>
      <c r="AG477" s="1341">
        <v>42242.52</v>
      </c>
      <c r="AH477" s="719">
        <v>1501</v>
      </c>
      <c r="AI477" s="719">
        <v>-5184</v>
      </c>
      <c r="AJ477" s="719"/>
      <c r="AK477" s="719"/>
      <c r="AL477" s="719"/>
      <c r="AM477" s="719" t="s">
        <v>2609</v>
      </c>
      <c r="AN477" s="719">
        <v>5.25</v>
      </c>
      <c r="AO477" s="719"/>
      <c r="AP477" s="719"/>
      <c r="AQ477" s="724"/>
      <c r="AR477" s="724"/>
      <c r="AS477" s="724"/>
      <c r="AT477" s="724">
        <f>+ab($T$477,$T$475,$T$479,$G$476,$G$478,-1*$F$477,1200)</f>
        <v>7.9442083933778509</v>
      </c>
      <c r="AU477" s="724"/>
      <c r="AV477" s="724"/>
      <c r="AW477" s="719"/>
      <c r="AX477" s="719"/>
      <c r="AY477" s="719"/>
    </row>
    <row r="478" spans="1:51" ht="15.75" hidden="1" customHeight="1">
      <c r="A478" s="716"/>
      <c r="B478" s="718"/>
      <c r="C478" s="718"/>
      <c r="D478" s="719"/>
      <c r="E478" s="719"/>
      <c r="F478" s="720"/>
      <c r="G478" s="721">
        <v>50</v>
      </c>
      <c r="H478" s="726"/>
      <c r="I478" s="726"/>
      <c r="J478" s="727"/>
      <c r="K478" s="719"/>
      <c r="L478" s="719"/>
      <c r="M478" s="719"/>
      <c r="N478" s="726"/>
      <c r="O478" s="726"/>
      <c r="P478" s="726"/>
      <c r="Q478" s="719"/>
      <c r="R478" s="719"/>
      <c r="S478" s="719">
        <f t="shared" si="57"/>
        <v>47.990000000005239</v>
      </c>
      <c r="T478" s="719"/>
      <c r="U478" s="719"/>
      <c r="V478" s="719"/>
      <c r="W478" s="719"/>
      <c r="X478" s="719"/>
      <c r="Y478" s="719"/>
      <c r="Z478" s="719"/>
      <c r="AA478" s="719"/>
      <c r="AB478" s="719"/>
      <c r="AC478" s="719"/>
      <c r="AD478" s="719"/>
      <c r="AE478" s="719"/>
      <c r="AF478" s="719"/>
      <c r="AG478" s="1341"/>
      <c r="AH478" s="719"/>
      <c r="AI478" s="719"/>
      <c r="AJ478" s="719"/>
      <c r="AK478" s="719"/>
      <c r="AL478" s="719"/>
      <c r="AM478" s="719"/>
      <c r="AN478" s="719"/>
      <c r="AO478" s="719"/>
      <c r="AP478" s="719"/>
      <c r="AQ478" s="724">
        <f>+FL_2($T$479,$T$477,$G$478,1200,9.28,-1*$F$479)</f>
        <v>-0.33477011200000001</v>
      </c>
      <c r="AR478" s="724"/>
      <c r="AS478" s="724"/>
      <c r="AT478" s="724"/>
      <c r="AU478" s="724"/>
      <c r="AV478" s="724"/>
      <c r="AW478" s="719"/>
      <c r="AX478" s="719"/>
      <c r="AY478" s="719"/>
    </row>
    <row r="479" spans="1:51" ht="15.75" hidden="1" customHeight="1">
      <c r="A479" s="716" t="s">
        <v>677</v>
      </c>
      <c r="B479" s="728" t="s">
        <v>1536</v>
      </c>
      <c r="C479" s="718">
        <f>+$C$477+$G$478</f>
        <v>42291</v>
      </c>
      <c r="D479" s="719"/>
      <c r="E479" s="719"/>
      <c r="F479" s="720">
        <v>0</v>
      </c>
      <c r="G479" s="721"/>
      <c r="H479" s="726"/>
      <c r="I479" s="722"/>
      <c r="J479" s="727"/>
      <c r="K479" s="719"/>
      <c r="L479" s="719" t="s">
        <v>241</v>
      </c>
      <c r="M479" s="719"/>
      <c r="N479" s="726" t="s">
        <v>695</v>
      </c>
      <c r="O479" s="726"/>
      <c r="P479" s="726"/>
      <c r="Q479" s="719">
        <v>0</v>
      </c>
      <c r="R479" s="719">
        <v>0</v>
      </c>
      <c r="S479" s="719"/>
      <c r="T479" s="719">
        <v>-30</v>
      </c>
      <c r="U479" s="719"/>
      <c r="V479" s="719"/>
      <c r="W479" s="719">
        <v>1.1000000000000001</v>
      </c>
      <c r="X479" s="719"/>
      <c r="Y479" s="719"/>
      <c r="Z479" s="719"/>
      <c r="AA479" s="719"/>
      <c r="AB479" s="719"/>
      <c r="AC479" s="719" t="s">
        <v>2978</v>
      </c>
      <c r="AD479" s="719"/>
      <c r="AE479" s="719"/>
      <c r="AF479" s="719">
        <v>200</v>
      </c>
      <c r="AG479" s="1341">
        <v>42290.51</v>
      </c>
      <c r="AH479" s="719">
        <v>1525</v>
      </c>
      <c r="AI479" s="719">
        <v>-5164</v>
      </c>
      <c r="AJ479" s="719"/>
      <c r="AK479" s="719"/>
      <c r="AL479" s="719"/>
      <c r="AM479" s="719" t="s">
        <v>2609</v>
      </c>
      <c r="AN479" s="719">
        <v>5.25</v>
      </c>
      <c r="AO479" s="719"/>
      <c r="AP479" s="719"/>
      <c r="AQ479" s="724"/>
      <c r="AR479" s="724"/>
      <c r="AS479" s="724"/>
      <c r="AT479" s="724">
        <f>+ab($T$479,$T$477,$T$481,$G$478,$G$480,-1*$F$479,1200)</f>
        <v>-7.6171991424791186</v>
      </c>
      <c r="AU479" s="724"/>
      <c r="AV479" s="724"/>
      <c r="AW479" s="719"/>
      <c r="AX479" s="719"/>
      <c r="AY479" s="719"/>
    </row>
    <row r="480" spans="1:51" ht="15.75" hidden="1" customHeight="1">
      <c r="A480" s="716"/>
      <c r="B480" s="718"/>
      <c r="C480" s="718"/>
      <c r="D480" s="719"/>
      <c r="E480" s="719"/>
      <c r="F480" s="720"/>
      <c r="G480" s="721">
        <v>46</v>
      </c>
      <c r="H480" s="726"/>
      <c r="I480" s="722"/>
      <c r="J480" s="727"/>
      <c r="K480" s="719"/>
      <c r="L480" s="719"/>
      <c r="M480" s="719"/>
      <c r="N480" s="726"/>
      <c r="O480" s="726"/>
      <c r="P480" s="726"/>
      <c r="Q480" s="719"/>
      <c r="R480" s="719"/>
      <c r="S480" s="719">
        <f t="shared" si="57"/>
        <v>44.849999999998545</v>
      </c>
      <c r="T480" s="719"/>
      <c r="U480" s="719"/>
      <c r="V480" s="719"/>
      <c r="W480" s="719"/>
      <c r="X480" s="719"/>
      <c r="Y480" s="719"/>
      <c r="Z480" s="719"/>
      <c r="AA480" s="719"/>
      <c r="AB480" s="719"/>
      <c r="AC480" s="719"/>
      <c r="AD480" s="719"/>
      <c r="AE480" s="719"/>
      <c r="AF480" s="719"/>
      <c r="AG480" s="1341"/>
      <c r="AH480" s="719"/>
      <c r="AI480" s="719"/>
      <c r="AJ480" s="719"/>
      <c r="AK480" s="719"/>
      <c r="AL480" s="719"/>
      <c r="AM480" s="719"/>
      <c r="AN480" s="719"/>
      <c r="AO480" s="719"/>
      <c r="AP480" s="719"/>
      <c r="AQ480" s="724">
        <f>+FL_1($T$481,$T$479,$G$480,1200,9.28,-1*$F$481)</f>
        <v>0.31454601026086954</v>
      </c>
      <c r="AR480" s="724"/>
      <c r="AS480" s="724"/>
      <c r="AT480" s="724"/>
      <c r="AU480" s="724"/>
      <c r="AV480" s="724"/>
      <c r="AW480" s="719"/>
      <c r="AX480" s="719"/>
      <c r="AY480" s="719"/>
    </row>
    <row r="481" spans="1:51" ht="15.75" hidden="1" customHeight="1">
      <c r="A481" s="716" t="s">
        <v>677</v>
      </c>
      <c r="B481" s="728" t="s">
        <v>1537</v>
      </c>
      <c r="C481" s="718">
        <f>+$C$479+$G$480</f>
        <v>42337</v>
      </c>
      <c r="D481" s="719"/>
      <c r="E481" s="719"/>
      <c r="F481" s="720">
        <v>0</v>
      </c>
      <c r="G481" s="721"/>
      <c r="H481" s="726"/>
      <c r="I481" s="726"/>
      <c r="J481" s="727"/>
      <c r="K481" s="719"/>
      <c r="L481" s="719" t="s">
        <v>241</v>
      </c>
      <c r="M481" s="719"/>
      <c r="N481" s="726" t="s">
        <v>696</v>
      </c>
      <c r="O481" s="726"/>
      <c r="P481" s="726"/>
      <c r="Q481" s="719">
        <v>0</v>
      </c>
      <c r="R481" s="719">
        <v>0</v>
      </c>
      <c r="S481" s="719"/>
      <c r="T481" s="719">
        <v>30</v>
      </c>
      <c r="U481" s="719"/>
      <c r="V481" s="719"/>
      <c r="W481" s="719">
        <v>1.1000000000000001</v>
      </c>
      <c r="X481" s="719"/>
      <c r="Y481" s="719"/>
      <c r="Z481" s="719"/>
      <c r="AA481" s="719"/>
      <c r="AB481" s="719"/>
      <c r="AC481" s="719" t="s">
        <v>2977</v>
      </c>
      <c r="AD481" s="719"/>
      <c r="AE481" s="719"/>
      <c r="AF481" s="719">
        <v>200</v>
      </c>
      <c r="AG481" s="1341">
        <v>42335.360000000001</v>
      </c>
      <c r="AH481" s="719">
        <v>1514</v>
      </c>
      <c r="AI481" s="719">
        <v>-5223</v>
      </c>
      <c r="AJ481" s="719"/>
      <c r="AK481" s="719"/>
      <c r="AL481" s="719"/>
      <c r="AM481" s="719" t="s">
        <v>2609</v>
      </c>
      <c r="AN481" s="719">
        <v>5.25</v>
      </c>
      <c r="AO481" s="719"/>
      <c r="AP481" s="719"/>
      <c r="AQ481" s="724"/>
      <c r="AR481" s="724"/>
      <c r="AS481" s="724"/>
      <c r="AT481" s="724">
        <f>+ab($T$481,$T$479,$T$483,$G$480,$G$482,-1*$F$481,1200)</f>
        <v>7.3158530180683163</v>
      </c>
      <c r="AU481" s="724"/>
      <c r="AV481" s="724"/>
      <c r="AW481" s="719"/>
      <c r="AX481" s="719"/>
      <c r="AY481" s="719"/>
    </row>
    <row r="482" spans="1:51" ht="15.75" hidden="1" customHeight="1">
      <c r="A482" s="716"/>
      <c r="B482" s="718"/>
      <c r="C482" s="718"/>
      <c r="D482" s="719"/>
      <c r="E482" s="719"/>
      <c r="F482" s="720"/>
      <c r="G482" s="721">
        <v>46</v>
      </c>
      <c r="H482" s="726"/>
      <c r="I482" s="726"/>
      <c r="J482" s="727"/>
      <c r="K482" s="719"/>
      <c r="L482" s="719"/>
      <c r="M482" s="719"/>
      <c r="N482" s="726"/>
      <c r="O482" s="726"/>
      <c r="P482" s="726"/>
      <c r="Q482" s="719"/>
      <c r="R482" s="719"/>
      <c r="S482" s="719">
        <f t="shared" si="57"/>
        <v>48.040000000000873</v>
      </c>
      <c r="T482" s="719"/>
      <c r="U482" s="719"/>
      <c r="V482" s="719"/>
      <c r="W482" s="719"/>
      <c r="X482" s="719"/>
      <c r="Y482" s="719"/>
      <c r="Z482" s="719"/>
      <c r="AA482" s="719"/>
      <c r="AB482" s="719"/>
      <c r="AC482" s="719"/>
      <c r="AD482" s="719"/>
      <c r="AE482" s="719"/>
      <c r="AF482" s="719"/>
      <c r="AG482" s="1341"/>
      <c r="AH482" s="719"/>
      <c r="AI482" s="719"/>
      <c r="AJ482" s="719"/>
      <c r="AK482" s="719"/>
      <c r="AL482" s="719"/>
      <c r="AM482" s="719"/>
      <c r="AN482" s="719"/>
      <c r="AO482" s="719"/>
      <c r="AP482" s="719"/>
      <c r="AQ482" s="724">
        <f>+FL_2($T$483,$T$481,$G$482,1200,9.28,-1*$F$483)</f>
        <v>-0.31454601026086954</v>
      </c>
      <c r="AR482" s="724"/>
      <c r="AS482" s="724"/>
      <c r="AT482" s="724"/>
      <c r="AU482" s="724"/>
      <c r="AV482" s="724"/>
      <c r="AW482" s="719"/>
      <c r="AX482" s="719"/>
      <c r="AY482" s="719"/>
    </row>
    <row r="483" spans="1:51" ht="15.75" hidden="1" customHeight="1">
      <c r="A483" s="716" t="s">
        <v>677</v>
      </c>
      <c r="B483" s="728" t="s">
        <v>1538</v>
      </c>
      <c r="C483" s="718">
        <f>+$C$481+$G$482</f>
        <v>42383</v>
      </c>
      <c r="D483" s="719"/>
      <c r="E483" s="719"/>
      <c r="F483" s="720">
        <v>0</v>
      </c>
      <c r="G483" s="721"/>
      <c r="H483" s="726"/>
      <c r="I483" s="726"/>
      <c r="J483" s="727"/>
      <c r="K483" s="719"/>
      <c r="L483" s="719" t="s">
        <v>241</v>
      </c>
      <c r="M483" s="719"/>
      <c r="N483" s="726" t="s">
        <v>695</v>
      </c>
      <c r="O483" s="726"/>
      <c r="P483" s="726"/>
      <c r="Q483" s="719">
        <v>0</v>
      </c>
      <c r="R483" s="719">
        <v>0</v>
      </c>
      <c r="S483" s="719"/>
      <c r="T483" s="719">
        <v>-30</v>
      </c>
      <c r="U483" s="719"/>
      <c r="V483" s="719"/>
      <c r="W483" s="719">
        <v>1.1000000000000001</v>
      </c>
      <c r="X483" s="719"/>
      <c r="Y483" s="719"/>
      <c r="Z483" s="719"/>
      <c r="AA483" s="719"/>
      <c r="AB483" s="719"/>
      <c r="AC483" s="719" t="s">
        <v>2977</v>
      </c>
      <c r="AD483" s="719"/>
      <c r="AE483" s="719"/>
      <c r="AF483" s="719">
        <v>200</v>
      </c>
      <c r="AG483" s="1341">
        <v>42383.4</v>
      </c>
      <c r="AH483" s="719">
        <v>1522</v>
      </c>
      <c r="AI483" s="719">
        <v>-5182</v>
      </c>
      <c r="AJ483" s="719"/>
      <c r="AK483" s="719"/>
      <c r="AL483" s="719"/>
      <c r="AM483" s="719" t="s">
        <v>2609</v>
      </c>
      <c r="AN483" s="719">
        <v>5.25</v>
      </c>
      <c r="AO483" s="719"/>
      <c r="AP483" s="719"/>
      <c r="AQ483" s="724"/>
      <c r="AR483" s="724"/>
      <c r="AS483" s="724"/>
      <c r="AT483" s="724">
        <f>+ab($T$483,$T$481,$T$485,$G$482,$G$484,-1*$F$483,1200)</f>
        <v>-7.6171991424791186</v>
      </c>
      <c r="AU483" s="724"/>
      <c r="AV483" s="724"/>
      <c r="AW483" s="719"/>
      <c r="AX483" s="719"/>
      <c r="AY483" s="719"/>
    </row>
    <row r="484" spans="1:51" ht="15.75" hidden="1" customHeight="1">
      <c r="A484" s="716"/>
      <c r="B484" s="718"/>
      <c r="C484" s="718"/>
      <c r="D484" s="719"/>
      <c r="E484" s="719"/>
      <c r="F484" s="720"/>
      <c r="G484" s="721">
        <v>50</v>
      </c>
      <c r="H484" s="726"/>
      <c r="I484" s="722"/>
      <c r="J484" s="727"/>
      <c r="K484" s="719"/>
      <c r="L484" s="719"/>
      <c r="M484" s="719"/>
      <c r="N484" s="726"/>
      <c r="O484" s="726"/>
      <c r="P484" s="726"/>
      <c r="Q484" s="719"/>
      <c r="R484" s="719"/>
      <c r="S484" s="719">
        <f t="shared" si="57"/>
        <v>51.309999999997672</v>
      </c>
      <c r="T484" s="719"/>
      <c r="U484" s="719"/>
      <c r="V484" s="719"/>
      <c r="W484" s="719"/>
      <c r="X484" s="719"/>
      <c r="Y484" s="719"/>
      <c r="Z484" s="719"/>
      <c r="AA484" s="719"/>
      <c r="AB484" s="719"/>
      <c r="AC484" s="719"/>
      <c r="AD484" s="719"/>
      <c r="AE484" s="719"/>
      <c r="AF484" s="719"/>
      <c r="AG484" s="1341"/>
      <c r="AH484" s="719"/>
      <c r="AI484" s="719"/>
      <c r="AJ484" s="740"/>
      <c r="AK484" s="719"/>
      <c r="AL484" s="719"/>
      <c r="AM484" s="719"/>
      <c r="AN484" s="719"/>
      <c r="AO484" s="719"/>
      <c r="AP484" s="719"/>
      <c r="AQ484" s="724">
        <f>+FL_1($T$485,$T$483,$G$484,1200,9.28,-1*$F$485)</f>
        <v>0.33477011200000001</v>
      </c>
      <c r="AR484" s="724"/>
      <c r="AS484" s="724"/>
      <c r="AT484" s="724"/>
      <c r="AU484" s="724"/>
      <c r="AV484" s="724"/>
      <c r="AW484" s="719"/>
      <c r="AX484" s="719"/>
      <c r="AY484" s="719"/>
    </row>
    <row r="485" spans="1:51" ht="15.75" hidden="1" customHeight="1">
      <c r="A485" s="716" t="s">
        <v>677</v>
      </c>
      <c r="B485" s="741" t="s">
        <v>1539</v>
      </c>
      <c r="C485" s="718">
        <f>+$C$483+$G$484</f>
        <v>42433</v>
      </c>
      <c r="D485" s="719"/>
      <c r="E485" s="719"/>
      <c r="F485" s="720">
        <v>0</v>
      </c>
      <c r="G485" s="721"/>
      <c r="H485" s="726" t="s">
        <v>138</v>
      </c>
      <c r="I485" s="722" t="s">
        <v>948</v>
      </c>
      <c r="J485" s="727"/>
      <c r="K485" s="719"/>
      <c r="L485" s="719" t="s">
        <v>241</v>
      </c>
      <c r="M485" s="719"/>
      <c r="N485" s="726" t="s">
        <v>696</v>
      </c>
      <c r="O485" s="726"/>
      <c r="P485" s="726"/>
      <c r="Q485" s="719">
        <v>0</v>
      </c>
      <c r="R485" s="719">
        <v>0</v>
      </c>
      <c r="S485" s="719"/>
      <c r="T485" s="719">
        <v>30</v>
      </c>
      <c r="U485" s="719"/>
      <c r="V485" s="719"/>
      <c r="W485" s="719">
        <v>1.1000000000000001</v>
      </c>
      <c r="X485" s="719"/>
      <c r="Y485" s="719"/>
      <c r="Z485" s="719"/>
      <c r="AA485" s="719"/>
      <c r="AB485" s="719"/>
      <c r="AC485" s="719" t="s">
        <v>2612</v>
      </c>
      <c r="AD485" s="719"/>
      <c r="AE485" s="719"/>
      <c r="AF485" s="719">
        <v>200</v>
      </c>
      <c r="AG485" s="1341">
        <v>42434.71</v>
      </c>
      <c r="AH485" s="719">
        <v>1505</v>
      </c>
      <c r="AI485" s="719">
        <v>-5210</v>
      </c>
      <c r="AJ485" s="740"/>
      <c r="AK485" s="719"/>
      <c r="AL485" s="719"/>
      <c r="AM485" s="719" t="s">
        <v>2609</v>
      </c>
      <c r="AN485" s="719">
        <v>5.25</v>
      </c>
      <c r="AO485" s="719"/>
      <c r="AP485" s="719"/>
      <c r="AQ485" s="724"/>
      <c r="AR485" s="724"/>
      <c r="AS485" s="724"/>
      <c r="AT485" s="724">
        <f>+ab($T$485,$T$483,$T$487,$G$484,$G$486,-1*$F$485,1200)</f>
        <v>9.9968917440918084</v>
      </c>
      <c r="AU485" s="724"/>
      <c r="AV485" s="724"/>
      <c r="AW485" s="719"/>
      <c r="AX485" s="719"/>
      <c r="AY485" s="719"/>
    </row>
    <row r="486" spans="1:51" ht="15.75" hidden="1" customHeight="1">
      <c r="A486" s="716"/>
      <c r="B486" s="735"/>
      <c r="C486" s="718"/>
      <c r="D486" s="719"/>
      <c r="E486" s="719"/>
      <c r="F486" s="720"/>
      <c r="G486" s="721">
        <v>50</v>
      </c>
      <c r="H486" s="726"/>
      <c r="I486" s="722"/>
      <c r="J486" s="727">
        <f>C485+10</f>
        <v>42443</v>
      </c>
      <c r="K486" s="719" t="s">
        <v>1097</v>
      </c>
      <c r="L486" s="719"/>
      <c r="M486" s="719"/>
      <c r="N486" s="726"/>
      <c r="O486" s="726"/>
      <c r="P486" s="726"/>
      <c r="Q486" s="719"/>
      <c r="R486" s="719"/>
      <c r="S486" s="719">
        <f>AG487-AG485</f>
        <v>48.040000000000873</v>
      </c>
      <c r="T486" s="719"/>
      <c r="U486" s="719"/>
      <c r="V486" s="719"/>
      <c r="W486" s="719"/>
      <c r="X486" s="719"/>
      <c r="Y486" s="719"/>
      <c r="Z486" s="719"/>
      <c r="AA486" s="719"/>
      <c r="AB486" s="719"/>
      <c r="AC486" s="719"/>
      <c r="AD486" s="719"/>
      <c r="AE486" s="719"/>
      <c r="AF486" s="719"/>
      <c r="AG486" s="1341"/>
      <c r="AH486" s="719"/>
      <c r="AI486" s="719"/>
      <c r="AJ486" s="740"/>
      <c r="AK486" s="719"/>
      <c r="AL486" s="719"/>
      <c r="AM486" s="719"/>
      <c r="AN486" s="719"/>
      <c r="AO486" s="719"/>
      <c r="AP486" s="719"/>
      <c r="AQ486" s="724">
        <f>+FL_2($U$487,$T$485,$G$486,1200,9.28,-1*$F$487)</f>
        <v>-0.29489941866666664</v>
      </c>
      <c r="AR486" s="724"/>
      <c r="AS486" s="724"/>
      <c r="AT486" s="724"/>
      <c r="AU486" s="724"/>
      <c r="AV486" s="724"/>
      <c r="AW486" s="719"/>
      <c r="AX486" s="719"/>
      <c r="AY486" s="719"/>
    </row>
    <row r="487" spans="1:51" ht="15.75" hidden="1" customHeight="1">
      <c r="A487" s="716" t="s">
        <v>677</v>
      </c>
      <c r="B487" s="741" t="s">
        <v>1540</v>
      </c>
      <c r="C487" s="718">
        <f>+$C$485+$G$486</f>
        <v>42483</v>
      </c>
      <c r="D487" s="719"/>
      <c r="E487" s="719"/>
      <c r="F487" s="720">
        <v>0</v>
      </c>
      <c r="G487" s="721"/>
      <c r="H487" s="726" t="s">
        <v>668</v>
      </c>
      <c r="I487" s="722"/>
      <c r="J487" s="727"/>
      <c r="K487" s="719"/>
      <c r="L487" s="719" t="s">
        <v>465</v>
      </c>
      <c r="M487" s="719"/>
      <c r="N487" s="726" t="s">
        <v>697</v>
      </c>
      <c r="O487" s="726" t="s">
        <v>695</v>
      </c>
      <c r="P487" s="726"/>
      <c r="Q487" s="719">
        <v>0</v>
      </c>
      <c r="R487" s="719">
        <v>0</v>
      </c>
      <c r="S487" s="719">
        <f>AG488-AG487</f>
        <v>3.2200000000011642</v>
      </c>
      <c r="T487" s="719">
        <v>-5</v>
      </c>
      <c r="U487" s="719">
        <v>-25</v>
      </c>
      <c r="V487" s="719"/>
      <c r="W487" s="719">
        <v>1.1000000000000001</v>
      </c>
      <c r="X487" s="719">
        <v>1.2</v>
      </c>
      <c r="Y487" s="719"/>
      <c r="Z487" s="719">
        <v>0.45</v>
      </c>
      <c r="AA487" s="719"/>
      <c r="AB487" s="719"/>
      <c r="AC487" s="719"/>
      <c r="AD487" s="719" t="s">
        <v>2616</v>
      </c>
      <c r="AE487" s="719"/>
      <c r="AF487" s="719">
        <v>200</v>
      </c>
      <c r="AG487" s="1341">
        <v>42482.75</v>
      </c>
      <c r="AH487" s="719">
        <v>1497</v>
      </c>
      <c r="AI487" s="719">
        <v>-5250</v>
      </c>
      <c r="AJ487" s="740"/>
      <c r="AK487" s="719"/>
      <c r="AL487" s="719"/>
      <c r="AM487" s="719" t="s">
        <v>2609</v>
      </c>
      <c r="AN487" s="719">
        <v>5.25</v>
      </c>
      <c r="AO487" s="719"/>
      <c r="AP487" s="719"/>
      <c r="AQ487" s="724"/>
      <c r="AR487" s="724"/>
      <c r="AS487" s="724"/>
      <c r="AT487" s="724">
        <f>+ab($U$487,$T$485,$U$489,$G$486,$G$488,-1*$F$487,1200)</f>
        <v>-11.145107873316856</v>
      </c>
      <c r="AU487" s="724"/>
      <c r="AV487" s="724"/>
      <c r="AW487" s="719"/>
      <c r="AX487" s="719"/>
      <c r="AY487" s="719"/>
    </row>
    <row r="488" spans="1:51" ht="15.75" hidden="1" customHeight="1">
      <c r="A488" s="716"/>
      <c r="B488" s="735"/>
      <c r="C488" s="718"/>
      <c r="D488" s="719"/>
      <c r="E488" s="719"/>
      <c r="F488" s="720"/>
      <c r="G488" s="721">
        <v>50</v>
      </c>
      <c r="H488" s="726"/>
      <c r="I488" s="722"/>
      <c r="J488" s="727"/>
      <c r="K488" s="719"/>
      <c r="L488" s="719"/>
      <c r="M488" s="719"/>
      <c r="N488" s="726"/>
      <c r="O488" s="726"/>
      <c r="P488" s="726"/>
      <c r="Q488" s="719">
        <v>0</v>
      </c>
      <c r="R488" s="719">
        <v>0</v>
      </c>
      <c r="S488" s="719">
        <f t="shared" ref="S488" si="59">AG489-AG488</f>
        <v>44.830000000001746</v>
      </c>
      <c r="T488" s="719"/>
      <c r="U488" s="719"/>
      <c r="V488" s="719"/>
      <c r="W488" s="719"/>
      <c r="X488" s="719"/>
      <c r="Y488" s="719"/>
      <c r="Z488" s="719"/>
      <c r="AA488" s="719"/>
      <c r="AB488" s="719"/>
      <c r="AC488" s="719"/>
      <c r="AD488" s="719"/>
      <c r="AE488" s="719"/>
      <c r="AF488" s="719">
        <v>200</v>
      </c>
      <c r="AG488" s="1341">
        <v>42485.97</v>
      </c>
      <c r="AH488" s="719">
        <v>1519</v>
      </c>
      <c r="AI488" s="719">
        <v>-5249</v>
      </c>
      <c r="AJ488" s="740"/>
      <c r="AK488" s="719"/>
      <c r="AL488" s="719"/>
      <c r="AM488" s="719"/>
      <c r="AN488" s="719"/>
      <c r="AO488" s="719"/>
      <c r="AP488" s="719"/>
      <c r="AQ488" s="724">
        <f>+FL_1($T$489,$U$487,$G$488,1200,9.28,-1*$F$489)</f>
        <v>0.30632183866666668</v>
      </c>
      <c r="AR488" s="724"/>
      <c r="AS488" s="724"/>
      <c r="AT488" s="724"/>
      <c r="AU488" s="724"/>
      <c r="AV488" s="724"/>
      <c r="AW488" s="719"/>
      <c r="AX488" s="719"/>
      <c r="AY488" s="719"/>
    </row>
    <row r="489" spans="1:51" ht="15.75" hidden="1" customHeight="1">
      <c r="A489" s="716" t="s">
        <v>677</v>
      </c>
      <c r="B489" s="741" t="s">
        <v>1541</v>
      </c>
      <c r="C489" s="718">
        <f>+$C$487+$G$488</f>
        <v>42533</v>
      </c>
      <c r="D489" s="719"/>
      <c r="E489" s="719"/>
      <c r="F489" s="720">
        <v>0</v>
      </c>
      <c r="G489" s="721"/>
      <c r="H489" s="726" t="s">
        <v>668</v>
      </c>
      <c r="I489" s="722"/>
      <c r="J489" s="727"/>
      <c r="K489" s="719"/>
      <c r="L489" s="719" t="s">
        <v>465</v>
      </c>
      <c r="M489" s="719"/>
      <c r="N489" s="726" t="s">
        <v>696</v>
      </c>
      <c r="O489" s="726" t="s">
        <v>697</v>
      </c>
      <c r="P489" s="726"/>
      <c r="Q489" s="719">
        <v>0</v>
      </c>
      <c r="R489" s="719">
        <v>0</v>
      </c>
      <c r="S489" s="719">
        <f>AG490-AG489</f>
        <v>3.1699999999982538</v>
      </c>
      <c r="T489" s="719">
        <v>25</v>
      </c>
      <c r="U489" s="719">
        <v>5</v>
      </c>
      <c r="V489" s="719"/>
      <c r="W489" s="719">
        <v>1.1000000000000001</v>
      </c>
      <c r="X489" s="719">
        <v>1.2</v>
      </c>
      <c r="Y489" s="719"/>
      <c r="Z489" s="719"/>
      <c r="AA489" s="719">
        <v>0.45</v>
      </c>
      <c r="AB489" s="719"/>
      <c r="AC489" s="719" t="s">
        <v>2616</v>
      </c>
      <c r="AD489" s="719"/>
      <c r="AE489" s="719"/>
      <c r="AF489" s="719">
        <v>200</v>
      </c>
      <c r="AG489" s="1341">
        <v>42530.8</v>
      </c>
      <c r="AH489" s="719">
        <v>1469</v>
      </c>
      <c r="AI489" s="719">
        <v>-5194</v>
      </c>
      <c r="AJ489" s="740"/>
      <c r="AK489" s="719"/>
      <c r="AL489" s="719"/>
      <c r="AM489" s="719" t="s">
        <v>2609</v>
      </c>
      <c r="AN489" s="719">
        <v>5.25</v>
      </c>
      <c r="AO489" s="719"/>
      <c r="AP489" s="719"/>
      <c r="AQ489" s="724"/>
      <c r="AR489" s="724"/>
      <c r="AS489" s="724"/>
      <c r="AT489" s="724">
        <f>+ab($T$489,$T$487,$T$491,$G$488,$G$490,-1*$F$489,1200)</f>
        <v>11.14504395531122</v>
      </c>
      <c r="AU489" s="724"/>
      <c r="AV489" s="724"/>
      <c r="AW489" s="719"/>
      <c r="AX489" s="719"/>
      <c r="AY489" s="719"/>
    </row>
    <row r="490" spans="1:51" ht="15.75" hidden="1" customHeight="1">
      <c r="A490" s="716"/>
      <c r="B490" s="735"/>
      <c r="C490" s="718"/>
      <c r="D490" s="719"/>
      <c r="E490" s="719"/>
      <c r="F490" s="720"/>
      <c r="G490" s="721">
        <v>50</v>
      </c>
      <c r="H490" s="726"/>
      <c r="I490" s="722"/>
      <c r="J490" s="727">
        <f>C491-9.3</f>
        <v>42573.7</v>
      </c>
      <c r="K490" s="719" t="s">
        <v>1097</v>
      </c>
      <c r="L490" s="719"/>
      <c r="M490" s="719"/>
      <c r="N490" s="726"/>
      <c r="O490" s="726"/>
      <c r="P490" s="726"/>
      <c r="Q490" s="719">
        <v>0</v>
      </c>
      <c r="R490" s="719">
        <v>0</v>
      </c>
      <c r="S490" s="719">
        <f>AG491-AG490</f>
        <v>48.049999999995634</v>
      </c>
      <c r="T490" s="719"/>
      <c r="U490" s="719"/>
      <c r="V490" s="719"/>
      <c r="W490" s="719"/>
      <c r="X490" s="719"/>
      <c r="Y490" s="719"/>
      <c r="Z490" s="719"/>
      <c r="AA490" s="719"/>
      <c r="AB490" s="719"/>
      <c r="AC490" s="719"/>
      <c r="AD490" s="719"/>
      <c r="AE490" s="719"/>
      <c r="AF490" s="719">
        <v>200</v>
      </c>
      <c r="AG490" s="1341">
        <v>42533.97</v>
      </c>
      <c r="AH490" s="719">
        <v>1507</v>
      </c>
      <c r="AI490" s="719">
        <v>-5205</v>
      </c>
      <c r="AJ490" s="740"/>
      <c r="AK490" s="719"/>
      <c r="AL490" s="719"/>
      <c r="AM490" s="719"/>
      <c r="AN490" s="719"/>
      <c r="AO490" s="719"/>
      <c r="AP490" s="719"/>
      <c r="AQ490" s="724">
        <f>+FL_1($T$491,$T$489,$G$490,1200,9.28,-1*$F$491)</f>
        <v>0.29489941866666669</v>
      </c>
      <c r="AR490" s="724"/>
      <c r="AS490" s="724"/>
      <c r="AT490" s="724"/>
      <c r="AU490" s="724"/>
      <c r="AV490" s="724"/>
      <c r="AW490" s="719"/>
      <c r="AX490" s="719"/>
      <c r="AY490" s="719"/>
    </row>
    <row r="491" spans="1:51" ht="15.75" hidden="1" customHeight="1">
      <c r="A491" s="716" t="s">
        <v>677</v>
      </c>
      <c r="B491" s="741" t="s">
        <v>1542</v>
      </c>
      <c r="C491" s="718">
        <f>+$C$489+$G$490</f>
        <v>42583</v>
      </c>
      <c r="D491" s="719"/>
      <c r="E491" s="719"/>
      <c r="F491" s="720">
        <v>0</v>
      </c>
      <c r="G491" s="721"/>
      <c r="H491" s="726" t="s">
        <v>138</v>
      </c>
      <c r="I491" s="722" t="s">
        <v>948</v>
      </c>
      <c r="J491" s="727"/>
      <c r="K491" s="719"/>
      <c r="L491" s="719" t="s">
        <v>241</v>
      </c>
      <c r="M491" s="719"/>
      <c r="N491" s="726" t="s">
        <v>695</v>
      </c>
      <c r="O491" s="726"/>
      <c r="P491" s="726"/>
      <c r="Q491" s="719">
        <v>0</v>
      </c>
      <c r="R491" s="719">
        <v>0</v>
      </c>
      <c r="S491" s="719"/>
      <c r="T491" s="719">
        <v>-30</v>
      </c>
      <c r="U491" s="719"/>
      <c r="V491" s="719"/>
      <c r="W491" s="719">
        <v>1.1000000000000001</v>
      </c>
      <c r="X491" s="719"/>
      <c r="Y491" s="719"/>
      <c r="Z491" s="719"/>
      <c r="AA491" s="719"/>
      <c r="AB491" s="719"/>
      <c r="AC491" s="719" t="s">
        <v>2978</v>
      </c>
      <c r="AD491" s="719"/>
      <c r="AE491" s="719"/>
      <c r="AF491" s="719">
        <v>200</v>
      </c>
      <c r="AG491" s="1341">
        <v>42582.02</v>
      </c>
      <c r="AH491" s="719">
        <v>1525</v>
      </c>
      <c r="AI491" s="719">
        <v>-5217</v>
      </c>
      <c r="AJ491" s="740"/>
      <c r="AK491" s="719"/>
      <c r="AL491" s="719"/>
      <c r="AM491" s="719" t="s">
        <v>2609</v>
      </c>
      <c r="AN491" s="719">
        <v>5.25</v>
      </c>
      <c r="AO491" s="719"/>
      <c r="AP491" s="719"/>
      <c r="AQ491" s="724"/>
      <c r="AR491" s="724"/>
      <c r="AS491" s="724"/>
      <c r="AT491" s="724">
        <f>+ab($T$491,$T$489,$T$493,$G$490,$G$492,-1*$F$491,1200)</f>
        <v>-8.2849467556123688</v>
      </c>
      <c r="AU491" s="724"/>
      <c r="AV491" s="724"/>
      <c r="AW491" s="719"/>
      <c r="AX491" s="719"/>
      <c r="AY491" s="719"/>
    </row>
    <row r="492" spans="1:51" ht="15.75" hidden="1" customHeight="1">
      <c r="A492" s="716"/>
      <c r="B492" s="735"/>
      <c r="C492" s="718"/>
      <c r="D492" s="719"/>
      <c r="E492" s="719"/>
      <c r="F492" s="720"/>
      <c r="G492" s="721">
        <v>50</v>
      </c>
      <c r="H492" s="726"/>
      <c r="I492" s="722"/>
      <c r="J492" s="727"/>
      <c r="K492" s="719"/>
      <c r="L492" s="719"/>
      <c r="M492" s="719"/>
      <c r="N492" s="726"/>
      <c r="O492" s="726"/>
      <c r="P492" s="726"/>
      <c r="Q492" s="719"/>
      <c r="R492" s="719"/>
      <c r="S492" s="719">
        <f t="shared" si="57"/>
        <v>51.350000000005821</v>
      </c>
      <c r="T492" s="719"/>
      <c r="U492" s="719"/>
      <c r="V492" s="719"/>
      <c r="W492" s="719"/>
      <c r="X492" s="719"/>
      <c r="Y492" s="719"/>
      <c r="Z492" s="719"/>
      <c r="AA492" s="719"/>
      <c r="AB492" s="719"/>
      <c r="AC492" s="719"/>
      <c r="AD492" s="719"/>
      <c r="AE492" s="719"/>
      <c r="AF492" s="719"/>
      <c r="AG492" s="1341"/>
      <c r="AH492" s="719"/>
      <c r="AI492" s="719"/>
      <c r="AJ492" s="740"/>
      <c r="AK492" s="719"/>
      <c r="AL492" s="719"/>
      <c r="AM492" s="719"/>
      <c r="AN492" s="719"/>
      <c r="AO492" s="719"/>
      <c r="AP492" s="719"/>
      <c r="AQ492" s="724">
        <f>+FL_1($T$493,$T$491,$G$492,1200,9.28,-1*$F$493)</f>
        <v>0.33477011200000001</v>
      </c>
      <c r="AR492" s="724"/>
      <c r="AS492" s="724"/>
      <c r="AT492" s="724"/>
      <c r="AU492" s="724"/>
      <c r="AV492" s="724"/>
      <c r="AW492" s="719"/>
      <c r="AX492" s="719"/>
      <c r="AY492" s="719"/>
    </row>
    <row r="493" spans="1:51" ht="15.75" hidden="1" customHeight="1">
      <c r="A493" s="716" t="s">
        <v>677</v>
      </c>
      <c r="B493" s="741" t="s">
        <v>1543</v>
      </c>
      <c r="C493" s="718">
        <f>+$C$491+$G$492</f>
        <v>42633</v>
      </c>
      <c r="D493" s="719"/>
      <c r="E493" s="719"/>
      <c r="F493" s="720">
        <v>0</v>
      </c>
      <c r="G493" s="721"/>
      <c r="H493" s="726"/>
      <c r="I493" s="722"/>
      <c r="J493" s="727"/>
      <c r="K493" s="719"/>
      <c r="L493" s="719" t="s">
        <v>241</v>
      </c>
      <c r="M493" s="719"/>
      <c r="N493" s="726" t="s">
        <v>696</v>
      </c>
      <c r="O493" s="726"/>
      <c r="P493" s="726"/>
      <c r="Q493" s="719">
        <v>0</v>
      </c>
      <c r="R493" s="719">
        <v>0</v>
      </c>
      <c r="S493" s="719"/>
      <c r="T493" s="719">
        <v>30</v>
      </c>
      <c r="U493" s="719"/>
      <c r="V493" s="719"/>
      <c r="W493" s="719">
        <v>1.1000000000000001</v>
      </c>
      <c r="X493" s="719"/>
      <c r="Y493" s="719"/>
      <c r="Z493" s="719"/>
      <c r="AA493" s="719"/>
      <c r="AB493" s="719"/>
      <c r="AC493" s="719" t="s">
        <v>2977</v>
      </c>
      <c r="AD493" s="719"/>
      <c r="AE493" s="719"/>
      <c r="AF493" s="719">
        <v>200</v>
      </c>
      <c r="AG493" s="1341">
        <v>42633.37</v>
      </c>
      <c r="AH493" s="719">
        <v>1517</v>
      </c>
      <c r="AI493" s="719">
        <v>-5191</v>
      </c>
      <c r="AJ493" s="719"/>
      <c r="AK493" s="719"/>
      <c r="AL493" s="719"/>
      <c r="AM493" s="719" t="s">
        <v>2609</v>
      </c>
      <c r="AN493" s="719">
        <v>5.25</v>
      </c>
      <c r="AO493" s="719"/>
      <c r="AP493" s="719"/>
      <c r="AQ493" s="724"/>
      <c r="AR493" s="724"/>
      <c r="AS493" s="724"/>
      <c r="AT493" s="724">
        <f>+ab($T$493,$T$491,$T$495,$G$492,$G$494,-1*$F$493,1200)</f>
        <v>7.9442083933778509</v>
      </c>
      <c r="AU493" s="724"/>
      <c r="AV493" s="724"/>
      <c r="AW493" s="719"/>
      <c r="AX493" s="719"/>
      <c r="AY493" s="719"/>
    </row>
    <row r="494" spans="1:51" ht="15.75" hidden="1" customHeight="1">
      <c r="A494" s="716"/>
      <c r="B494" s="735"/>
      <c r="C494" s="718"/>
      <c r="D494" s="719"/>
      <c r="E494" s="719"/>
      <c r="F494" s="720"/>
      <c r="G494" s="721">
        <v>50</v>
      </c>
      <c r="H494" s="726"/>
      <c r="I494" s="722"/>
      <c r="J494" s="727"/>
      <c r="K494" s="719"/>
      <c r="L494" s="719"/>
      <c r="M494" s="719"/>
      <c r="N494" s="726"/>
      <c r="O494" s="726"/>
      <c r="P494" s="726"/>
      <c r="Q494" s="719"/>
      <c r="R494" s="719"/>
      <c r="S494" s="719">
        <f t="shared" si="57"/>
        <v>48.019999999996799</v>
      </c>
      <c r="T494" s="719"/>
      <c r="U494" s="719"/>
      <c r="V494" s="719"/>
      <c r="W494" s="719"/>
      <c r="X494" s="719"/>
      <c r="Y494" s="719"/>
      <c r="Z494" s="719"/>
      <c r="AA494" s="719"/>
      <c r="AB494" s="719"/>
      <c r="AC494" s="719"/>
      <c r="AD494" s="719"/>
      <c r="AE494" s="719"/>
      <c r="AF494" s="719"/>
      <c r="AG494" s="1341"/>
      <c r="AH494" s="719"/>
      <c r="AI494" s="719"/>
      <c r="AJ494" s="740"/>
      <c r="AK494" s="719"/>
      <c r="AL494" s="719"/>
      <c r="AM494" s="719"/>
      <c r="AN494" s="719"/>
      <c r="AO494" s="719"/>
      <c r="AP494" s="719"/>
      <c r="AQ494" s="724">
        <f>+FL_2($T$495,$T$493,$G$494,1200,9.28,-1*$F$495)</f>
        <v>-0.33477011200000001</v>
      </c>
      <c r="AR494" s="724"/>
      <c r="AS494" s="724"/>
      <c r="AT494" s="724"/>
      <c r="AU494" s="724"/>
      <c r="AV494" s="724"/>
      <c r="AW494" s="719"/>
      <c r="AX494" s="719"/>
      <c r="AY494" s="719"/>
    </row>
    <row r="495" spans="1:51" ht="15.75" hidden="1" customHeight="1">
      <c r="A495" s="716" t="s">
        <v>677</v>
      </c>
      <c r="B495" s="741" t="s">
        <v>1544</v>
      </c>
      <c r="C495" s="718">
        <f>+$C$493+$G$494</f>
        <v>42683</v>
      </c>
      <c r="D495" s="719"/>
      <c r="E495" s="719"/>
      <c r="F495" s="720">
        <v>0</v>
      </c>
      <c r="G495" s="721"/>
      <c r="H495" s="726"/>
      <c r="I495" s="720"/>
      <c r="J495" s="723"/>
      <c r="K495" s="719"/>
      <c r="L495" s="719" t="s">
        <v>241</v>
      </c>
      <c r="M495" s="719"/>
      <c r="N495" s="726" t="s">
        <v>695</v>
      </c>
      <c r="O495" s="726"/>
      <c r="P495" s="726"/>
      <c r="Q495" s="719">
        <v>0</v>
      </c>
      <c r="R495" s="719">
        <v>0</v>
      </c>
      <c r="S495" s="719"/>
      <c r="T495" s="719">
        <v>-30</v>
      </c>
      <c r="U495" s="719"/>
      <c r="V495" s="719"/>
      <c r="W495" s="719">
        <v>1.1000000000000001</v>
      </c>
      <c r="X495" s="719"/>
      <c r="Y495" s="719"/>
      <c r="Z495" s="719"/>
      <c r="AA495" s="719"/>
      <c r="AB495" s="719"/>
      <c r="AC495" s="719" t="s">
        <v>2978</v>
      </c>
      <c r="AD495" s="719"/>
      <c r="AE495" s="719"/>
      <c r="AF495" s="719">
        <v>200</v>
      </c>
      <c r="AG495" s="1341">
        <v>42681.39</v>
      </c>
      <c r="AH495" s="719">
        <v>1497</v>
      </c>
      <c r="AI495" s="719">
        <v>-5187</v>
      </c>
      <c r="AJ495" s="719"/>
      <c r="AK495" s="719"/>
      <c r="AL495" s="719"/>
      <c r="AM495" s="719" t="s">
        <v>2609</v>
      </c>
      <c r="AN495" s="719">
        <v>5.25</v>
      </c>
      <c r="AO495" s="719"/>
      <c r="AP495" s="719"/>
      <c r="AQ495" s="724"/>
      <c r="AR495" s="724"/>
      <c r="AS495" s="724"/>
      <c r="AT495" s="724">
        <f>+ab($T$495,$T$493,$T$497,$G$494,$G$496,-1*$F$495,1200)</f>
        <v>-7.9442410717051439</v>
      </c>
      <c r="AU495" s="724"/>
      <c r="AV495" s="724"/>
      <c r="AW495" s="719"/>
      <c r="AX495" s="719"/>
      <c r="AY495" s="719"/>
    </row>
    <row r="496" spans="1:51" ht="15.75" hidden="1" customHeight="1">
      <c r="A496" s="716"/>
      <c r="B496" s="735"/>
      <c r="C496" s="718"/>
      <c r="D496" s="719"/>
      <c r="E496" s="719"/>
      <c r="F496" s="720"/>
      <c r="G496" s="721">
        <v>50</v>
      </c>
      <c r="H496" s="726"/>
      <c r="I496" s="722"/>
      <c r="J496" s="727"/>
      <c r="K496" s="719"/>
      <c r="L496" s="719"/>
      <c r="M496" s="719"/>
      <c r="N496" s="726"/>
      <c r="O496" s="726"/>
      <c r="P496" s="726"/>
      <c r="Q496" s="719"/>
      <c r="R496" s="719"/>
      <c r="S496" s="719">
        <f t="shared" si="57"/>
        <v>51.230000000003201</v>
      </c>
      <c r="T496" s="719"/>
      <c r="U496" s="719"/>
      <c r="V496" s="719"/>
      <c r="W496" s="719"/>
      <c r="X496" s="719"/>
      <c r="Y496" s="719"/>
      <c r="Z496" s="719"/>
      <c r="AA496" s="719"/>
      <c r="AB496" s="719"/>
      <c r="AC496" s="719"/>
      <c r="AD496" s="719"/>
      <c r="AE496" s="719"/>
      <c r="AF496" s="719"/>
      <c r="AG496" s="1341"/>
      <c r="AH496" s="719"/>
      <c r="AI496" s="719"/>
      <c r="AJ496" s="740"/>
      <c r="AK496" s="719"/>
      <c r="AL496" s="719"/>
      <c r="AM496" s="719"/>
      <c r="AN496" s="719"/>
      <c r="AO496" s="719"/>
      <c r="AP496" s="719"/>
      <c r="AQ496" s="724">
        <f>+FL_1($T$497,$T$495,$G$496,1200,9.28,-1*$F$497)</f>
        <v>0.33477011200000001</v>
      </c>
      <c r="AR496" s="724"/>
      <c r="AS496" s="724"/>
      <c r="AT496" s="724"/>
      <c r="AU496" s="724"/>
      <c r="AV496" s="724"/>
      <c r="AW496" s="719"/>
      <c r="AX496" s="719"/>
      <c r="AY496" s="719"/>
    </row>
    <row r="497" spans="1:52" ht="15.75" hidden="1" customHeight="1">
      <c r="A497" s="716" t="s">
        <v>677</v>
      </c>
      <c r="B497" s="741" t="s">
        <v>1545</v>
      </c>
      <c r="C497" s="718">
        <f>+$C$495+$G$496</f>
        <v>42733</v>
      </c>
      <c r="D497" s="719"/>
      <c r="E497" s="719"/>
      <c r="F497" s="720">
        <v>0</v>
      </c>
      <c r="G497" s="721"/>
      <c r="H497" s="726"/>
      <c r="I497" s="726"/>
      <c r="J497" s="727"/>
      <c r="K497" s="719"/>
      <c r="L497" s="719" t="s">
        <v>241</v>
      </c>
      <c r="M497" s="719"/>
      <c r="N497" s="726" t="s">
        <v>696</v>
      </c>
      <c r="O497" s="726"/>
      <c r="P497" s="726"/>
      <c r="Q497" s="719">
        <v>0</v>
      </c>
      <c r="R497" s="719">
        <v>0</v>
      </c>
      <c r="S497" s="719"/>
      <c r="T497" s="719">
        <v>30</v>
      </c>
      <c r="U497" s="719"/>
      <c r="V497" s="719"/>
      <c r="W497" s="719">
        <v>1.1000000000000001</v>
      </c>
      <c r="X497" s="719"/>
      <c r="Y497" s="719"/>
      <c r="Z497" s="719"/>
      <c r="AA497" s="719"/>
      <c r="AB497" s="719"/>
      <c r="AC497" s="719" t="s">
        <v>2977</v>
      </c>
      <c r="AD497" s="719"/>
      <c r="AE497" s="719"/>
      <c r="AF497" s="719">
        <v>200</v>
      </c>
      <c r="AG497" s="1341">
        <v>42732.62</v>
      </c>
      <c r="AH497" s="719">
        <v>1536</v>
      </c>
      <c r="AI497" s="719">
        <v>-5242</v>
      </c>
      <c r="AJ497" s="719"/>
      <c r="AK497" s="719"/>
      <c r="AL497" s="719"/>
      <c r="AM497" s="719" t="s">
        <v>2609</v>
      </c>
      <c r="AN497" s="719">
        <v>5.25</v>
      </c>
      <c r="AO497" s="719"/>
      <c r="AP497" s="719"/>
      <c r="AQ497" s="724"/>
      <c r="AR497" s="724"/>
      <c r="AS497" s="724"/>
      <c r="AT497" s="724">
        <f>+ab($T$497,$T$495,$T$499,$G$496,$G$498,-1*$F$497,1200)</f>
        <v>7.9442083933778509</v>
      </c>
      <c r="AU497" s="724"/>
      <c r="AV497" s="724"/>
      <c r="AW497" s="719"/>
      <c r="AX497" s="719"/>
      <c r="AY497" s="719"/>
    </row>
    <row r="498" spans="1:52" ht="15.75" hidden="1" customHeight="1">
      <c r="A498" s="716"/>
      <c r="B498" s="735"/>
      <c r="C498" s="718"/>
      <c r="D498" s="719"/>
      <c r="E498" s="719"/>
      <c r="F498" s="720"/>
      <c r="G498" s="721">
        <v>50</v>
      </c>
      <c r="H498" s="726"/>
      <c r="I498" s="726"/>
      <c r="J498" s="727"/>
      <c r="K498" s="719"/>
      <c r="L498" s="719"/>
      <c r="M498" s="719"/>
      <c r="N498" s="726"/>
      <c r="O498" s="726"/>
      <c r="P498" s="726"/>
      <c r="Q498" s="719"/>
      <c r="R498" s="719"/>
      <c r="S498" s="719">
        <f t="shared" ref="S498:S538" si="60">AG499-AG497</f>
        <v>51.32999999999447</v>
      </c>
      <c r="T498" s="719"/>
      <c r="U498" s="719"/>
      <c r="V498" s="719"/>
      <c r="W498" s="719"/>
      <c r="X498" s="719"/>
      <c r="Y498" s="719"/>
      <c r="Z498" s="719"/>
      <c r="AA498" s="719"/>
      <c r="AB498" s="719"/>
      <c r="AC498" s="719"/>
      <c r="AD498" s="719"/>
      <c r="AE498" s="719"/>
      <c r="AF498" s="719"/>
      <c r="AG498" s="1341"/>
      <c r="AH498" s="719"/>
      <c r="AI498" s="719"/>
      <c r="AJ498" s="719"/>
      <c r="AK498" s="719"/>
      <c r="AL498" s="719"/>
      <c r="AM498" s="719"/>
      <c r="AN498" s="719"/>
      <c r="AO498" s="719"/>
      <c r="AP498" s="719"/>
      <c r="AQ498" s="724">
        <f>+FL_2($T$499,$T$497,$G$498,1200,9.28,-1*$F$499)</f>
        <v>-0.33477011200000001</v>
      </c>
      <c r="AR498" s="724"/>
      <c r="AS498" s="724"/>
      <c r="AT498" s="724"/>
      <c r="AU498" s="724"/>
      <c r="AV498" s="724"/>
      <c r="AW498" s="719"/>
      <c r="AX498" s="719"/>
      <c r="AY498" s="719"/>
    </row>
    <row r="499" spans="1:52" ht="15.75" hidden="1" customHeight="1">
      <c r="A499" s="716" t="s">
        <v>677</v>
      </c>
      <c r="B499" s="741" t="s">
        <v>1546</v>
      </c>
      <c r="C499" s="718">
        <f>+$C$497+$G$498</f>
        <v>42783</v>
      </c>
      <c r="D499" s="719"/>
      <c r="E499" s="719"/>
      <c r="F499" s="720">
        <v>0</v>
      </c>
      <c r="G499" s="721"/>
      <c r="H499" s="726"/>
      <c r="I499" s="726"/>
      <c r="J499" s="723"/>
      <c r="K499" s="719"/>
      <c r="L499" s="719" t="s">
        <v>241</v>
      </c>
      <c r="M499" s="719"/>
      <c r="N499" s="719" t="s">
        <v>695</v>
      </c>
      <c r="O499" s="719"/>
      <c r="P499" s="719"/>
      <c r="Q499" s="719">
        <v>0</v>
      </c>
      <c r="R499" s="719">
        <v>0</v>
      </c>
      <c r="S499" s="719"/>
      <c r="T499" s="719">
        <v>-30</v>
      </c>
      <c r="U499" s="719"/>
      <c r="V499" s="719"/>
      <c r="W499" s="719">
        <v>1.1000000000000001</v>
      </c>
      <c r="X499" s="719"/>
      <c r="Y499" s="719"/>
      <c r="Z499" s="719"/>
      <c r="AA499" s="719"/>
      <c r="AB499" s="719"/>
      <c r="AC499" s="719" t="s">
        <v>2978</v>
      </c>
      <c r="AD499" s="719"/>
      <c r="AE499" s="719"/>
      <c r="AF499" s="719">
        <v>200</v>
      </c>
      <c r="AG499" s="1341">
        <v>42783.95</v>
      </c>
      <c r="AH499" s="719">
        <v>1501</v>
      </c>
      <c r="AI499" s="719">
        <v>-5267</v>
      </c>
      <c r="AJ499" s="719"/>
      <c r="AK499" s="719"/>
      <c r="AL499" s="719"/>
      <c r="AM499" s="719" t="s">
        <v>2609</v>
      </c>
      <c r="AN499" s="719">
        <v>5.25</v>
      </c>
      <c r="AO499" s="719"/>
      <c r="AP499" s="719"/>
      <c r="AQ499" s="724"/>
      <c r="AR499" s="724"/>
      <c r="AS499" s="724"/>
      <c r="AT499" s="724">
        <f>+ab($T$499,$T$497,$T$501,$G$498,$G$500,-1*$F$499,1200)</f>
        <v>-7.9442410717051439</v>
      </c>
      <c r="AU499" s="724"/>
      <c r="AV499" s="724"/>
      <c r="AW499" s="719"/>
      <c r="AX499" s="719"/>
      <c r="AY499" s="719"/>
    </row>
    <row r="500" spans="1:52" ht="15.75" hidden="1" customHeight="1">
      <c r="A500" s="716"/>
      <c r="B500" s="735"/>
      <c r="C500" s="718"/>
      <c r="D500" s="719"/>
      <c r="E500" s="719"/>
      <c r="F500" s="720"/>
      <c r="G500" s="721">
        <v>50</v>
      </c>
      <c r="H500" s="726"/>
      <c r="I500" s="722"/>
      <c r="J500" s="727"/>
      <c r="K500" s="719"/>
      <c r="L500" s="719"/>
      <c r="M500" s="719"/>
      <c r="N500" s="726"/>
      <c r="O500" s="726"/>
      <c r="P500" s="738"/>
      <c r="Q500" s="719"/>
      <c r="R500" s="719"/>
      <c r="S500" s="719">
        <f t="shared" si="60"/>
        <v>48</v>
      </c>
      <c r="T500" s="719"/>
      <c r="U500" s="719"/>
      <c r="V500" s="719"/>
      <c r="W500" s="719"/>
      <c r="X500" s="719"/>
      <c r="Y500" s="719"/>
      <c r="Z500" s="719"/>
      <c r="AA500" s="719"/>
      <c r="AB500" s="719"/>
      <c r="AC500" s="719"/>
      <c r="AD500" s="719"/>
      <c r="AE500" s="719"/>
      <c r="AF500" s="719"/>
      <c r="AG500" s="1341"/>
      <c r="AH500" s="719"/>
      <c r="AI500" s="719"/>
      <c r="AJ500" s="719"/>
      <c r="AK500" s="719"/>
      <c r="AL500" s="719"/>
      <c r="AM500" s="719"/>
      <c r="AN500" s="719"/>
      <c r="AO500" s="719"/>
      <c r="AP500" s="719"/>
      <c r="AQ500" s="724">
        <f>+FL_1($T$501,$T$499,$G$500,1200,9.28,-1*$F$501)</f>
        <v>0.33477011200000001</v>
      </c>
      <c r="AR500" s="724"/>
      <c r="AS500" s="724"/>
      <c r="AT500" s="724"/>
      <c r="AU500" s="724"/>
      <c r="AV500" s="724"/>
      <c r="AW500" s="719"/>
      <c r="AX500" s="719"/>
      <c r="AY500" s="719"/>
    </row>
    <row r="501" spans="1:52" ht="15.75" customHeight="1">
      <c r="A501" s="716" t="s">
        <v>677</v>
      </c>
      <c r="B501" s="741" t="s">
        <v>1547</v>
      </c>
      <c r="C501" s="718">
        <f>+$C$499+$G$500</f>
        <v>42833</v>
      </c>
      <c r="D501" s="719"/>
      <c r="E501" s="719"/>
      <c r="F501" s="720">
        <v>0</v>
      </c>
      <c r="G501" s="721"/>
      <c r="H501" s="726" t="s">
        <v>1101</v>
      </c>
      <c r="I501" s="722"/>
      <c r="J501" s="727"/>
      <c r="K501" s="719"/>
      <c r="L501" s="719" t="s">
        <v>241</v>
      </c>
      <c r="M501" s="719"/>
      <c r="N501" s="726" t="s">
        <v>696</v>
      </c>
      <c r="O501" s="726"/>
      <c r="P501" s="738"/>
      <c r="Q501" s="719">
        <v>0</v>
      </c>
      <c r="R501" s="719">
        <v>0</v>
      </c>
      <c r="S501" s="719"/>
      <c r="T501" s="719">
        <v>30</v>
      </c>
      <c r="U501" s="719"/>
      <c r="V501" s="719"/>
      <c r="W501" s="719">
        <v>1.1000000000000001</v>
      </c>
      <c r="X501" s="719"/>
      <c r="Y501" s="719"/>
      <c r="Z501" s="719"/>
      <c r="AA501" s="719"/>
      <c r="AB501" s="719"/>
      <c r="AC501" s="719" t="s">
        <v>2977</v>
      </c>
      <c r="AD501" s="719"/>
      <c r="AE501" s="719"/>
      <c r="AF501" s="719">
        <v>200</v>
      </c>
      <c r="AG501" s="1341">
        <v>42831.95</v>
      </c>
      <c r="AH501" s="719">
        <v>1495</v>
      </c>
      <c r="AI501" s="719">
        <v>-5266</v>
      </c>
      <c r="AJ501" s="740"/>
      <c r="AK501" s="719"/>
      <c r="AL501" s="719"/>
      <c r="AM501" s="719" t="s">
        <v>2609</v>
      </c>
      <c r="AN501" s="719">
        <v>5.25</v>
      </c>
      <c r="AO501" s="719"/>
      <c r="AP501" s="719"/>
      <c r="AQ501" s="724"/>
      <c r="AR501" s="724"/>
      <c r="AS501" s="724"/>
      <c r="AT501" s="724">
        <f>+ab($T$501,$T$499,$T$503,$G$500,$G$502,-1*$F$501,1200)</f>
        <v>7.9442083933778509</v>
      </c>
      <c r="AU501" s="724"/>
      <c r="AV501" s="724"/>
      <c r="AW501" s="719"/>
      <c r="AX501" s="719"/>
      <c r="AY501" s="719"/>
    </row>
    <row r="502" spans="1:52" ht="15.75" hidden="1" customHeight="1">
      <c r="A502" s="716"/>
      <c r="B502" s="735"/>
      <c r="C502" s="718"/>
      <c r="D502" s="719"/>
      <c r="E502" s="719"/>
      <c r="F502" s="720"/>
      <c r="G502" s="721">
        <v>50</v>
      </c>
      <c r="H502" s="726"/>
      <c r="I502" s="726">
        <f>+SUM(G486:G502)</f>
        <v>450</v>
      </c>
      <c r="J502" s="727">
        <f>C501+2.2</f>
        <v>42835.199999999997</v>
      </c>
      <c r="K502" s="719" t="s">
        <v>1102</v>
      </c>
      <c r="L502" s="719"/>
      <c r="M502" s="719"/>
      <c r="N502" s="726"/>
      <c r="O502" s="726"/>
      <c r="P502" s="726"/>
      <c r="Q502" s="719"/>
      <c r="R502" s="719"/>
      <c r="S502" s="719">
        <f t="shared" si="60"/>
        <v>51.220000000001164</v>
      </c>
      <c r="T502" s="719"/>
      <c r="U502" s="719"/>
      <c r="V502" s="719"/>
      <c r="W502" s="719"/>
      <c r="X502" s="719"/>
      <c r="Y502" s="719"/>
      <c r="Z502" s="719"/>
      <c r="AA502" s="719"/>
      <c r="AB502" s="719"/>
      <c r="AC502" s="719"/>
      <c r="AD502" s="719"/>
      <c r="AE502" s="719"/>
      <c r="AF502" s="719"/>
      <c r="AG502" s="1341"/>
      <c r="AH502" s="719"/>
      <c r="AI502" s="719"/>
      <c r="AJ502" s="719"/>
      <c r="AK502" s="719"/>
      <c r="AL502" s="719"/>
      <c r="AM502" s="719"/>
      <c r="AN502" s="719"/>
      <c r="AO502" s="719"/>
      <c r="AP502" s="719"/>
      <c r="AQ502" s="724">
        <f>+FL_2($T$503,$T$501,$G$502,1200,9.28,-1*$F$503)</f>
        <v>-0.33477011200000001</v>
      </c>
      <c r="AR502" s="724"/>
      <c r="AS502" s="724"/>
      <c r="AT502" s="724"/>
      <c r="AU502" s="724"/>
      <c r="AV502" s="724"/>
      <c r="AW502" s="719"/>
      <c r="AX502" s="719"/>
      <c r="AY502" s="719"/>
    </row>
    <row r="503" spans="1:52" ht="15.75" customHeight="1">
      <c r="A503" s="716" t="s">
        <v>677</v>
      </c>
      <c r="B503" s="741" t="s">
        <v>1548</v>
      </c>
      <c r="C503" s="718">
        <f>+$C$501+$G$502</f>
        <v>42883</v>
      </c>
      <c r="D503" s="719"/>
      <c r="E503" s="719"/>
      <c r="F503" s="720">
        <v>0</v>
      </c>
      <c r="G503" s="721"/>
      <c r="H503" s="726" t="s">
        <v>997</v>
      </c>
      <c r="I503" s="726"/>
      <c r="J503" s="727"/>
      <c r="K503" s="719"/>
      <c r="L503" s="719" t="s">
        <v>241</v>
      </c>
      <c r="M503" s="719"/>
      <c r="N503" s="719" t="s">
        <v>695</v>
      </c>
      <c r="O503" s="726"/>
      <c r="P503" s="726"/>
      <c r="Q503" s="719">
        <v>0</v>
      </c>
      <c r="R503" s="719">
        <v>0</v>
      </c>
      <c r="S503" s="719"/>
      <c r="T503" s="719">
        <v>-30</v>
      </c>
      <c r="U503" s="719"/>
      <c r="V503" s="719"/>
      <c r="W503" s="719">
        <v>1.1000000000000001</v>
      </c>
      <c r="X503" s="719"/>
      <c r="Y503" s="719"/>
      <c r="Z503" s="719"/>
      <c r="AA503" s="719"/>
      <c r="AB503" s="719"/>
      <c r="AC503" s="719" t="s">
        <v>2978</v>
      </c>
      <c r="AD503" s="719"/>
      <c r="AE503" s="719"/>
      <c r="AF503" s="719">
        <v>200</v>
      </c>
      <c r="AG503" s="1341">
        <v>42883.17</v>
      </c>
      <c r="AH503" s="719">
        <v>1530</v>
      </c>
      <c r="AI503" s="719">
        <v>-5236</v>
      </c>
      <c r="AJ503" s="719"/>
      <c r="AK503" s="719"/>
      <c r="AL503" s="719"/>
      <c r="AM503" s="719" t="s">
        <v>2609</v>
      </c>
      <c r="AN503" s="719">
        <v>5.25</v>
      </c>
      <c r="AO503" s="719"/>
      <c r="AP503" s="719"/>
      <c r="AQ503" s="724"/>
      <c r="AR503" s="724"/>
      <c r="AS503" s="724"/>
      <c r="AT503" s="724">
        <f>+ab($T$503,$T$501,$T$505,$G$502,$G$504,-1*$F$503,1200)</f>
        <v>-7.9442410717051439</v>
      </c>
      <c r="AU503" s="724"/>
      <c r="AV503" s="724"/>
      <c r="AW503" s="719"/>
      <c r="AX503" s="719"/>
      <c r="AY503" s="719"/>
    </row>
    <row r="504" spans="1:52" ht="15.75" hidden="1" customHeight="1">
      <c r="A504" s="716"/>
      <c r="B504" s="735"/>
      <c r="C504" s="718"/>
      <c r="D504" s="719"/>
      <c r="E504" s="719"/>
      <c r="F504" s="720"/>
      <c r="G504" s="721">
        <v>50</v>
      </c>
      <c r="H504" s="726"/>
      <c r="I504" s="722">
        <f>SUM(G504:G520)</f>
        <v>450</v>
      </c>
      <c r="J504" s="727">
        <f>C505-2.6</f>
        <v>42930.400000000001</v>
      </c>
      <c r="K504" s="719" t="s">
        <v>1102</v>
      </c>
      <c r="L504" s="719"/>
      <c r="M504" s="719"/>
      <c r="N504" s="726"/>
      <c r="O504" s="726"/>
      <c r="P504" s="726"/>
      <c r="Q504" s="719"/>
      <c r="R504" s="719"/>
      <c r="S504" s="719">
        <f t="shared" si="60"/>
        <v>49.709999999999127</v>
      </c>
      <c r="T504" s="719"/>
      <c r="U504" s="719"/>
      <c r="V504" s="719"/>
      <c r="W504" s="719"/>
      <c r="X504" s="719"/>
      <c r="Y504" s="719"/>
      <c r="Z504" s="719"/>
      <c r="AA504" s="719"/>
      <c r="AB504" s="719"/>
      <c r="AC504" s="719"/>
      <c r="AD504" s="719"/>
      <c r="AE504" s="719"/>
      <c r="AF504" s="719"/>
      <c r="AG504" s="1341"/>
      <c r="AH504" s="719"/>
      <c r="AI504" s="719"/>
      <c r="AJ504" s="719"/>
      <c r="AK504" s="719"/>
      <c r="AL504" s="719"/>
      <c r="AM504" s="719"/>
      <c r="AN504" s="719"/>
      <c r="AO504" s="719"/>
      <c r="AP504" s="719"/>
      <c r="AQ504" s="724">
        <f>+FL_1($T$505,$T$503,$G$504,1200,9.28,-1*$F$505)</f>
        <v>0.33477011200000001</v>
      </c>
      <c r="AR504" s="724"/>
      <c r="AS504" s="724"/>
      <c r="AT504" s="724"/>
      <c r="AU504" s="724"/>
      <c r="AV504" s="724"/>
      <c r="AW504" s="719"/>
      <c r="AX504" s="719"/>
      <c r="AY504" s="719"/>
    </row>
    <row r="505" spans="1:52" ht="15.75" customHeight="1">
      <c r="A505" s="716" t="s">
        <v>677</v>
      </c>
      <c r="B505" s="741" t="s">
        <v>1549</v>
      </c>
      <c r="C505" s="718">
        <f>+$C$503+$G$504</f>
        <v>42933</v>
      </c>
      <c r="D505" s="719"/>
      <c r="E505" s="719"/>
      <c r="F505" s="720">
        <v>0</v>
      </c>
      <c r="G505" s="721"/>
      <c r="H505" s="726" t="s">
        <v>1101</v>
      </c>
      <c r="I505" s="722"/>
      <c r="J505" s="727"/>
      <c r="K505" s="719"/>
      <c r="L505" s="719" t="s">
        <v>241</v>
      </c>
      <c r="M505" s="719"/>
      <c r="N505" s="726" t="s">
        <v>696</v>
      </c>
      <c r="O505" s="726"/>
      <c r="P505" s="726"/>
      <c r="Q505" s="719">
        <v>0</v>
      </c>
      <c r="R505" s="719">
        <v>0</v>
      </c>
      <c r="S505" s="719"/>
      <c r="T505" s="719">
        <v>30</v>
      </c>
      <c r="U505" s="719"/>
      <c r="V505" s="719"/>
      <c r="W505" s="719">
        <v>1.1000000000000001</v>
      </c>
      <c r="X505" s="719"/>
      <c r="Y505" s="719"/>
      <c r="Z505" s="719"/>
      <c r="AA505" s="719"/>
      <c r="AB505" s="719"/>
      <c r="AC505" s="719" t="s">
        <v>2977</v>
      </c>
      <c r="AD505" s="719"/>
      <c r="AE505" s="719"/>
      <c r="AF505" s="719">
        <v>200</v>
      </c>
      <c r="AG505" s="1341">
        <v>42932.88</v>
      </c>
      <c r="AH505" s="719">
        <v>1528</v>
      </c>
      <c r="AI505" s="719">
        <v>-5272</v>
      </c>
      <c r="AJ505" s="719"/>
      <c r="AK505" s="719"/>
      <c r="AL505" s="719"/>
      <c r="AM505" s="719" t="s">
        <v>2609</v>
      </c>
      <c r="AN505" s="719">
        <v>5.25</v>
      </c>
      <c r="AO505" s="719"/>
      <c r="AP505" s="719"/>
      <c r="AQ505" s="724"/>
      <c r="AR505" s="724"/>
      <c r="AS505" s="724"/>
      <c r="AT505" s="724">
        <f>+ab($T$505,$T$503,$T$507,$G$504,$G$506,-1*$F$505,1200)</f>
        <v>7.9442083933778509</v>
      </c>
      <c r="AU505" s="724"/>
      <c r="AV505" s="724"/>
      <c r="AW505" s="719"/>
      <c r="AX505" s="719"/>
      <c r="AY505" s="719"/>
    </row>
    <row r="506" spans="1:52" ht="15.75" hidden="1" customHeight="1">
      <c r="A506" s="716"/>
      <c r="B506" s="735"/>
      <c r="C506" s="718"/>
      <c r="D506" s="719"/>
      <c r="E506" s="719"/>
      <c r="F506" s="720"/>
      <c r="G506" s="721">
        <v>50</v>
      </c>
      <c r="H506" s="726"/>
      <c r="I506" s="722"/>
      <c r="J506" s="727"/>
      <c r="K506" s="719"/>
      <c r="L506" s="719"/>
      <c r="M506" s="719"/>
      <c r="N506" s="726"/>
      <c r="O506" s="726"/>
      <c r="P506" s="726"/>
      <c r="Q506" s="719"/>
      <c r="R506" s="719"/>
      <c r="S506" s="719">
        <f t="shared" si="60"/>
        <v>49.639999999999418</v>
      </c>
      <c r="T506" s="719"/>
      <c r="U506" s="719"/>
      <c r="V506" s="719"/>
      <c r="W506" s="719"/>
      <c r="X506" s="719"/>
      <c r="Y506" s="719"/>
      <c r="Z506" s="719"/>
      <c r="AA506" s="719"/>
      <c r="AB506" s="719"/>
      <c r="AC506" s="719"/>
      <c r="AD506" s="719"/>
      <c r="AE506" s="719"/>
      <c r="AF506" s="719"/>
      <c r="AG506" s="1341"/>
      <c r="AH506" s="719"/>
      <c r="AI506" s="719"/>
      <c r="AJ506" s="719"/>
      <c r="AK506" s="719"/>
      <c r="AL506" s="719"/>
      <c r="AM506" s="719"/>
      <c r="AN506" s="719"/>
      <c r="AO506" s="719"/>
      <c r="AP506" s="719"/>
      <c r="AQ506" s="724">
        <f>+FL_2($T$507,$T$505,$G$506,1200,9.28,-1*$F$507)</f>
        <v>-0.33477011200000001</v>
      </c>
      <c r="AR506" s="724"/>
      <c r="AS506" s="724"/>
      <c r="AT506" s="724"/>
      <c r="AU506" s="724"/>
      <c r="AV506" s="724"/>
      <c r="AW506" s="719"/>
      <c r="AX506" s="719"/>
      <c r="AY506" s="719"/>
      <c r="AZ506" s="533"/>
    </row>
    <row r="507" spans="1:52" ht="15.75" hidden="1" customHeight="1">
      <c r="A507" s="716" t="s">
        <v>677</v>
      </c>
      <c r="B507" s="741" t="s">
        <v>1550</v>
      </c>
      <c r="C507" s="718">
        <f>+$C$505+$G$506</f>
        <v>42983</v>
      </c>
      <c r="D507" s="719"/>
      <c r="E507" s="719"/>
      <c r="F507" s="720">
        <v>0</v>
      </c>
      <c r="G507" s="721"/>
      <c r="H507" s="726"/>
      <c r="I507" s="722"/>
      <c r="J507" s="727"/>
      <c r="K507" s="719"/>
      <c r="L507" s="719" t="s">
        <v>241</v>
      </c>
      <c r="M507" s="719"/>
      <c r="N507" s="719" t="s">
        <v>695</v>
      </c>
      <c r="O507" s="726"/>
      <c r="P507" s="726"/>
      <c r="Q507" s="719">
        <v>0</v>
      </c>
      <c r="R507" s="719">
        <v>0</v>
      </c>
      <c r="S507" s="719"/>
      <c r="T507" s="719">
        <v>-30</v>
      </c>
      <c r="U507" s="719"/>
      <c r="V507" s="719"/>
      <c r="W507" s="719">
        <v>1.1000000000000001</v>
      </c>
      <c r="X507" s="719"/>
      <c r="Y507" s="719"/>
      <c r="Z507" s="719"/>
      <c r="AA507" s="719"/>
      <c r="AB507" s="719"/>
      <c r="AC507" s="719" t="s">
        <v>2978</v>
      </c>
      <c r="AD507" s="719"/>
      <c r="AE507" s="719"/>
      <c r="AF507" s="719">
        <v>200</v>
      </c>
      <c r="AG507" s="1341">
        <v>42982.52</v>
      </c>
      <c r="AH507" s="719">
        <v>1505</v>
      </c>
      <c r="AI507" s="719">
        <v>-5272</v>
      </c>
      <c r="AJ507" s="719"/>
      <c r="AK507" s="719"/>
      <c r="AL507" s="719"/>
      <c r="AM507" s="719" t="s">
        <v>2609</v>
      </c>
      <c r="AN507" s="719">
        <v>5.25</v>
      </c>
      <c r="AO507" s="719"/>
      <c r="AP507" s="719"/>
      <c r="AQ507" s="724"/>
      <c r="AR507" s="724"/>
      <c r="AS507" s="724"/>
      <c r="AT507" s="724">
        <f>+ab($T$507,$T$505,$T$509,$G$506,$G$508,-1*$F$507,1200)</f>
        <v>-7.9442410717051439</v>
      </c>
      <c r="AU507" s="724"/>
      <c r="AV507" s="724"/>
      <c r="AW507" s="719"/>
      <c r="AX507" s="719"/>
      <c r="AY507" s="719"/>
      <c r="AZ507" s="533"/>
    </row>
    <row r="508" spans="1:52" ht="15.75" hidden="1" customHeight="1">
      <c r="A508" s="716"/>
      <c r="B508" s="735"/>
      <c r="C508" s="718"/>
      <c r="D508" s="719"/>
      <c r="E508" s="719"/>
      <c r="F508" s="720"/>
      <c r="G508" s="721">
        <v>50</v>
      </c>
      <c r="H508" s="726"/>
      <c r="I508" s="726"/>
      <c r="J508" s="727"/>
      <c r="K508" s="719"/>
      <c r="L508" s="719"/>
      <c r="M508" s="719"/>
      <c r="N508" s="726"/>
      <c r="O508" s="726"/>
      <c r="P508" s="726"/>
      <c r="Q508" s="719"/>
      <c r="R508" s="719"/>
      <c r="S508" s="719">
        <f t="shared" si="60"/>
        <v>51.270000000004075</v>
      </c>
      <c r="T508" s="719"/>
      <c r="U508" s="719"/>
      <c r="V508" s="719"/>
      <c r="W508" s="719"/>
      <c r="X508" s="719"/>
      <c r="Y508" s="719"/>
      <c r="Z508" s="719"/>
      <c r="AA508" s="719"/>
      <c r="AB508" s="719"/>
      <c r="AC508" s="719"/>
      <c r="AD508" s="719"/>
      <c r="AE508" s="719"/>
      <c r="AF508" s="719"/>
      <c r="AG508" s="1341"/>
      <c r="AH508" s="719"/>
      <c r="AI508" s="719"/>
      <c r="AJ508" s="719"/>
      <c r="AK508" s="719"/>
      <c r="AL508" s="719"/>
      <c r="AM508" s="719"/>
      <c r="AN508" s="719"/>
      <c r="AO508" s="719"/>
      <c r="AP508" s="719"/>
      <c r="AQ508" s="724">
        <f>+FL_1($T$509,$T$507,$G$508,1200,9.28,-1*$F$509)</f>
        <v>0.33477011200000001</v>
      </c>
      <c r="AR508" s="724"/>
      <c r="AS508" s="724"/>
      <c r="AT508" s="724"/>
      <c r="AU508" s="724"/>
      <c r="AV508" s="724"/>
      <c r="AW508" s="719"/>
      <c r="AX508" s="719"/>
      <c r="AY508" s="719"/>
      <c r="AZ508" s="533"/>
    </row>
    <row r="509" spans="1:52" ht="15.75" hidden="1" customHeight="1">
      <c r="A509" s="716" t="s">
        <v>677</v>
      </c>
      <c r="B509" s="741" t="s">
        <v>1551</v>
      </c>
      <c r="C509" s="718">
        <f>+$C$507+$G$508</f>
        <v>43033</v>
      </c>
      <c r="D509" s="719"/>
      <c r="E509" s="719"/>
      <c r="F509" s="720">
        <v>0</v>
      </c>
      <c r="G509" s="721"/>
      <c r="H509" s="726"/>
      <c r="I509" s="722"/>
      <c r="J509" s="727"/>
      <c r="K509" s="719"/>
      <c r="L509" s="719" t="s">
        <v>241</v>
      </c>
      <c r="M509" s="719"/>
      <c r="N509" s="726" t="s">
        <v>696</v>
      </c>
      <c r="O509" s="726"/>
      <c r="P509" s="726"/>
      <c r="Q509" s="719">
        <v>0</v>
      </c>
      <c r="R509" s="719">
        <v>0</v>
      </c>
      <c r="S509" s="719"/>
      <c r="T509" s="719">
        <v>30</v>
      </c>
      <c r="U509" s="719"/>
      <c r="V509" s="719"/>
      <c r="W509" s="719">
        <v>1.1000000000000001</v>
      </c>
      <c r="X509" s="719"/>
      <c r="Y509" s="719"/>
      <c r="Z509" s="719"/>
      <c r="AA509" s="719"/>
      <c r="AB509" s="719"/>
      <c r="AC509" s="719" t="s">
        <v>2977</v>
      </c>
      <c r="AD509" s="719"/>
      <c r="AE509" s="719"/>
      <c r="AF509" s="719">
        <v>200</v>
      </c>
      <c r="AG509" s="1341">
        <v>43033.79</v>
      </c>
      <c r="AH509" s="719">
        <v>1521</v>
      </c>
      <c r="AI509" s="719">
        <v>-5290</v>
      </c>
      <c r="AJ509" s="719"/>
      <c r="AK509" s="719"/>
      <c r="AL509" s="719"/>
      <c r="AM509" s="719" t="s">
        <v>2609</v>
      </c>
      <c r="AN509" s="719">
        <v>5.25</v>
      </c>
      <c r="AO509" s="719"/>
      <c r="AP509" s="719"/>
      <c r="AQ509" s="724"/>
      <c r="AR509" s="724"/>
      <c r="AS509" s="724"/>
      <c r="AT509" s="724">
        <f>+ab($T$509,$T$507,$T$511,$G$508,$G$510,-1*$F$509,1200)</f>
        <v>7.9442083933778509</v>
      </c>
      <c r="AU509" s="724"/>
      <c r="AV509" s="724"/>
      <c r="AW509" s="719"/>
      <c r="AX509" s="719"/>
      <c r="AY509" s="719"/>
      <c r="AZ509" s="533"/>
    </row>
    <row r="510" spans="1:52" ht="15.75" hidden="1" customHeight="1">
      <c r="A510" s="716"/>
      <c r="B510" s="735"/>
      <c r="C510" s="718"/>
      <c r="D510" s="719"/>
      <c r="E510" s="719"/>
      <c r="F510" s="720"/>
      <c r="G510" s="721">
        <v>50</v>
      </c>
      <c r="H510" s="726"/>
      <c r="I510" s="726"/>
      <c r="J510" s="727"/>
      <c r="K510" s="719"/>
      <c r="L510" s="719"/>
      <c r="M510" s="719"/>
      <c r="N510" s="726"/>
      <c r="O510" s="726"/>
      <c r="P510" s="726"/>
      <c r="Q510" s="719"/>
      <c r="R510" s="719"/>
      <c r="S510" s="719">
        <f t="shared" si="60"/>
        <v>48.069999999999709</v>
      </c>
      <c r="T510" s="719"/>
      <c r="U510" s="719"/>
      <c r="V510" s="719"/>
      <c r="W510" s="719"/>
      <c r="X510" s="719"/>
      <c r="Y510" s="719"/>
      <c r="Z510" s="719"/>
      <c r="AA510" s="719"/>
      <c r="AB510" s="719"/>
      <c r="AC510" s="719"/>
      <c r="AD510" s="719"/>
      <c r="AE510" s="719"/>
      <c r="AF510" s="719"/>
      <c r="AG510" s="1341"/>
      <c r="AH510" s="719"/>
      <c r="AI510" s="719"/>
      <c r="AJ510" s="719"/>
      <c r="AK510" s="719"/>
      <c r="AL510" s="719"/>
      <c r="AM510" s="719"/>
      <c r="AN510" s="719"/>
      <c r="AO510" s="719"/>
      <c r="AP510" s="719"/>
      <c r="AQ510" s="724">
        <f>+FL_2($T$511,$T$509,$G$510,1200,9.28,-1*$F$511)</f>
        <v>-0.33477011200000001</v>
      </c>
      <c r="AR510" s="724"/>
      <c r="AS510" s="724"/>
      <c r="AT510" s="724"/>
      <c r="AU510" s="724"/>
      <c r="AV510" s="724"/>
      <c r="AW510" s="719"/>
      <c r="AX510" s="719"/>
      <c r="AY510" s="719"/>
      <c r="AZ510" s="533"/>
    </row>
    <row r="511" spans="1:52" ht="15.75" hidden="1" customHeight="1">
      <c r="A511" s="716" t="s">
        <v>676</v>
      </c>
      <c r="B511" s="741" t="s">
        <v>1552</v>
      </c>
      <c r="C511" s="718">
        <f>+$C$509+$G$510</f>
        <v>43083</v>
      </c>
      <c r="D511" s="719"/>
      <c r="E511" s="719"/>
      <c r="F511" s="720">
        <v>0</v>
      </c>
      <c r="G511" s="721"/>
      <c r="H511" s="726"/>
      <c r="I511" s="722"/>
      <c r="J511" s="727"/>
      <c r="K511" s="719"/>
      <c r="L511" s="719" t="s">
        <v>241</v>
      </c>
      <c r="M511" s="719"/>
      <c r="N511" s="719" t="s">
        <v>695</v>
      </c>
      <c r="O511" s="726"/>
      <c r="P511" s="726"/>
      <c r="Q511" s="719">
        <v>0</v>
      </c>
      <c r="R511" s="719">
        <v>0</v>
      </c>
      <c r="S511" s="719"/>
      <c r="T511" s="719">
        <v>-30</v>
      </c>
      <c r="U511" s="719"/>
      <c r="V511" s="719"/>
      <c r="W511" s="719">
        <v>1.1000000000000001</v>
      </c>
      <c r="X511" s="719"/>
      <c r="Y511" s="719"/>
      <c r="Z511" s="719"/>
      <c r="AA511" s="719"/>
      <c r="AB511" s="719"/>
      <c r="AC511" s="719" t="s">
        <v>2978</v>
      </c>
      <c r="AD511" s="719"/>
      <c r="AE511" s="719"/>
      <c r="AF511" s="719">
        <v>200</v>
      </c>
      <c r="AG511" s="1341">
        <v>43081.86</v>
      </c>
      <c r="AH511" s="719">
        <v>1534</v>
      </c>
      <c r="AI511" s="719">
        <v>-5260</v>
      </c>
      <c r="AJ511" s="719"/>
      <c r="AK511" s="719"/>
      <c r="AL511" s="719"/>
      <c r="AM511" s="719" t="s">
        <v>2609</v>
      </c>
      <c r="AN511" s="719">
        <v>5.25</v>
      </c>
      <c r="AO511" s="719"/>
      <c r="AP511" s="719"/>
      <c r="AQ511" s="724"/>
      <c r="AR511" s="724"/>
      <c r="AS511" s="724"/>
      <c r="AT511" s="724">
        <f>+ab($T$511,$T$509,$T$513,$G$510,$G$512,-1*$F$511,1200)</f>
        <v>-7.9442410717051439</v>
      </c>
      <c r="AU511" s="724"/>
      <c r="AV511" s="724"/>
      <c r="AW511" s="719"/>
      <c r="AX511" s="719"/>
      <c r="AY511" s="719"/>
      <c r="AZ511" s="533"/>
    </row>
    <row r="512" spans="1:52" ht="15.75" hidden="1" customHeight="1">
      <c r="A512" s="716"/>
      <c r="B512" s="735"/>
      <c r="C512" s="718"/>
      <c r="D512" s="719"/>
      <c r="E512" s="719"/>
      <c r="F512" s="720"/>
      <c r="G512" s="721">
        <v>50</v>
      </c>
      <c r="H512" s="726"/>
      <c r="I512" s="726"/>
      <c r="J512" s="727"/>
      <c r="K512" s="719"/>
      <c r="L512" s="719"/>
      <c r="M512" s="719"/>
      <c r="N512" s="726"/>
      <c r="O512" s="726"/>
      <c r="P512" s="726"/>
      <c r="Q512" s="719"/>
      <c r="R512" s="719"/>
      <c r="S512" s="719">
        <f t="shared" si="60"/>
        <v>51.169999999998254</v>
      </c>
      <c r="T512" s="719"/>
      <c r="U512" s="719"/>
      <c r="V512" s="719"/>
      <c r="W512" s="719"/>
      <c r="X512" s="719"/>
      <c r="Y512" s="719"/>
      <c r="Z512" s="719"/>
      <c r="AA512" s="719"/>
      <c r="AB512" s="719"/>
      <c r="AC512" s="719"/>
      <c r="AD512" s="719"/>
      <c r="AE512" s="719"/>
      <c r="AF512" s="719"/>
      <c r="AG512" s="1341"/>
      <c r="AH512" s="719"/>
      <c r="AI512" s="719"/>
      <c r="AJ512" s="719"/>
      <c r="AK512" s="719"/>
      <c r="AL512" s="719"/>
      <c r="AM512" s="719"/>
      <c r="AN512" s="719"/>
      <c r="AO512" s="719"/>
      <c r="AP512" s="719"/>
      <c r="AQ512" s="724">
        <f>+FL_1($T$513,$T$511,$G$512,1200,9.28,-1*$F$513)</f>
        <v>0.33477011200000001</v>
      </c>
      <c r="AR512" s="724"/>
      <c r="AS512" s="724"/>
      <c r="AT512" s="724"/>
      <c r="AU512" s="724"/>
      <c r="AV512" s="724"/>
      <c r="AW512" s="719"/>
      <c r="AX512" s="719"/>
      <c r="AY512" s="719"/>
      <c r="AZ512" s="533"/>
    </row>
    <row r="513" spans="1:52" ht="15.75" hidden="1" customHeight="1">
      <c r="A513" s="716" t="s">
        <v>676</v>
      </c>
      <c r="B513" s="741" t="s">
        <v>1553</v>
      </c>
      <c r="C513" s="718">
        <f>+$C$511+$G$512</f>
        <v>43133</v>
      </c>
      <c r="D513" s="719"/>
      <c r="E513" s="719"/>
      <c r="F513" s="720">
        <v>0</v>
      </c>
      <c r="G513" s="721"/>
      <c r="H513" s="726"/>
      <c r="I513" s="722"/>
      <c r="J513" s="727"/>
      <c r="K513" s="719"/>
      <c r="L513" s="719" t="s">
        <v>241</v>
      </c>
      <c r="M513" s="719"/>
      <c r="N513" s="726" t="s">
        <v>696</v>
      </c>
      <c r="O513" s="726"/>
      <c r="P513" s="726"/>
      <c r="Q513" s="719">
        <v>0</v>
      </c>
      <c r="R513" s="719">
        <v>0</v>
      </c>
      <c r="S513" s="719"/>
      <c r="T513" s="719">
        <v>30</v>
      </c>
      <c r="U513" s="719"/>
      <c r="V513" s="719"/>
      <c r="W513" s="719">
        <v>1.1000000000000001</v>
      </c>
      <c r="X513" s="719"/>
      <c r="Y513" s="719"/>
      <c r="Z513" s="719"/>
      <c r="AA513" s="719"/>
      <c r="AB513" s="719"/>
      <c r="AC513" s="719" t="s">
        <v>2977</v>
      </c>
      <c r="AD513" s="719"/>
      <c r="AE513" s="719"/>
      <c r="AF513" s="719">
        <v>200</v>
      </c>
      <c r="AG513" s="1341">
        <v>43133.03</v>
      </c>
      <c r="AH513" s="719">
        <v>1493</v>
      </c>
      <c r="AI513" s="719">
        <v>-4953</v>
      </c>
      <c r="AJ513" s="719"/>
      <c r="AK513" s="719"/>
      <c r="AL513" s="719"/>
      <c r="AM513" s="719" t="s">
        <v>2609</v>
      </c>
      <c r="AN513" s="719">
        <v>5.25</v>
      </c>
      <c r="AO513" s="719"/>
      <c r="AP513" s="719"/>
      <c r="AQ513" s="724"/>
      <c r="AR513" s="724"/>
      <c r="AS513" s="724"/>
      <c r="AT513" s="724">
        <f>+ab($T$513,$T$511,$T$515,$G$512,$G$514,-1*$F$513,1200)</f>
        <v>7.9442083933778509</v>
      </c>
      <c r="AU513" s="724"/>
      <c r="AV513" s="724"/>
      <c r="AW513" s="719"/>
      <c r="AX513" s="719"/>
      <c r="AY513" s="719"/>
      <c r="AZ513" s="533"/>
    </row>
    <row r="514" spans="1:52" ht="15.75" hidden="1" customHeight="1">
      <c r="A514" s="716"/>
      <c r="B514" s="735"/>
      <c r="C514" s="718"/>
      <c r="D514" s="719"/>
      <c r="E514" s="719"/>
      <c r="F514" s="720"/>
      <c r="G514" s="721">
        <v>50</v>
      </c>
      <c r="H514" s="726"/>
      <c r="I514" s="726"/>
      <c r="J514" s="727"/>
      <c r="K514" s="719"/>
      <c r="L514" s="719"/>
      <c r="M514" s="719"/>
      <c r="N514" s="726"/>
      <c r="O514" s="726"/>
      <c r="P514" s="726"/>
      <c r="Q514" s="719"/>
      <c r="R514" s="719"/>
      <c r="S514" s="719">
        <f t="shared" si="60"/>
        <v>49.959999999999127</v>
      </c>
      <c r="T514" s="719"/>
      <c r="U514" s="719"/>
      <c r="V514" s="719"/>
      <c r="W514" s="719"/>
      <c r="X514" s="719"/>
      <c r="Y514" s="719"/>
      <c r="Z514" s="719"/>
      <c r="AA514" s="719"/>
      <c r="AB514" s="719"/>
      <c r="AC514" s="719"/>
      <c r="AD514" s="719"/>
      <c r="AE514" s="719"/>
      <c r="AF514" s="719"/>
      <c r="AG514" s="1341"/>
      <c r="AH514" s="719"/>
      <c r="AI514" s="719"/>
      <c r="AJ514" s="719"/>
      <c r="AK514" s="719"/>
      <c r="AL514" s="719"/>
      <c r="AM514" s="719"/>
      <c r="AN514" s="719"/>
      <c r="AO514" s="719"/>
      <c r="AP514" s="719"/>
      <c r="AQ514" s="724">
        <f>+FL_1($T$515,$T$513,$G$514,1200,9.28,-1*$F$515)</f>
        <v>0.33477011200000012</v>
      </c>
      <c r="AR514" s="724"/>
      <c r="AS514" s="724"/>
      <c r="AT514" s="724"/>
      <c r="AU514" s="724"/>
      <c r="AV514" s="724"/>
      <c r="AW514" s="719"/>
      <c r="AX514" s="719"/>
      <c r="AY514" s="719"/>
      <c r="AZ514" s="533"/>
    </row>
    <row r="515" spans="1:52" ht="15.75" hidden="1" customHeight="1">
      <c r="A515" s="716" t="s">
        <v>676</v>
      </c>
      <c r="B515" s="741" t="s">
        <v>1554</v>
      </c>
      <c r="C515" s="718">
        <f>+$C$513+$G$514</f>
        <v>43183</v>
      </c>
      <c r="D515" s="719"/>
      <c r="E515" s="719"/>
      <c r="F515" s="720">
        <v>0</v>
      </c>
      <c r="G515" s="721"/>
      <c r="H515" s="726" t="s">
        <v>138</v>
      </c>
      <c r="I515" s="722" t="s">
        <v>948</v>
      </c>
      <c r="J515" s="727"/>
      <c r="K515" s="719"/>
      <c r="L515" s="719" t="s">
        <v>241</v>
      </c>
      <c r="M515" s="719"/>
      <c r="N515" s="719" t="s">
        <v>695</v>
      </c>
      <c r="O515" s="726"/>
      <c r="P515" s="726"/>
      <c r="Q515" s="719">
        <v>0</v>
      </c>
      <c r="R515" s="719">
        <v>0</v>
      </c>
      <c r="S515" s="719"/>
      <c r="T515" s="719">
        <v>-30</v>
      </c>
      <c r="U515" s="719"/>
      <c r="V515" s="719"/>
      <c r="W515" s="719">
        <v>1.1000000000000001</v>
      </c>
      <c r="X515" s="719"/>
      <c r="Y515" s="719"/>
      <c r="Z515" s="719"/>
      <c r="AA515" s="719"/>
      <c r="AB515" s="719"/>
      <c r="AC515" s="719" t="s">
        <v>2612</v>
      </c>
      <c r="AD515" s="719"/>
      <c r="AE515" s="719"/>
      <c r="AF515" s="719">
        <v>200</v>
      </c>
      <c r="AG515" s="1341">
        <v>43182.99</v>
      </c>
      <c r="AH515" s="719">
        <v>1502</v>
      </c>
      <c r="AI515" s="719">
        <v>-4917</v>
      </c>
      <c r="AJ515" s="719"/>
      <c r="AK515" s="719"/>
      <c r="AL515" s="719"/>
      <c r="AM515" s="719" t="s">
        <v>2609</v>
      </c>
      <c r="AN515" s="719">
        <v>5.25</v>
      </c>
      <c r="AO515" s="719"/>
      <c r="AP515" s="719"/>
      <c r="AQ515" s="724"/>
      <c r="AR515" s="724"/>
      <c r="AS515" s="724"/>
      <c r="AT515" s="724">
        <f>+ab($T$515,$T$513,$T$517,$G$514,$G$516,-1*$F$515,1200)</f>
        <v>-8.2849467556123688</v>
      </c>
      <c r="AU515" s="724"/>
      <c r="AV515" s="724"/>
      <c r="AW515" s="719"/>
      <c r="AX515" s="719"/>
      <c r="AY515" s="719"/>
      <c r="AZ515" s="533"/>
    </row>
    <row r="516" spans="1:52" ht="15.75" hidden="1" customHeight="1">
      <c r="A516" s="716"/>
      <c r="B516" s="735"/>
      <c r="C516" s="718"/>
      <c r="D516" s="719"/>
      <c r="E516" s="719"/>
      <c r="F516" s="720"/>
      <c r="G516" s="721">
        <v>50</v>
      </c>
      <c r="H516" s="726"/>
      <c r="I516" s="726"/>
      <c r="J516" s="727">
        <f>C515+9</f>
        <v>43192</v>
      </c>
      <c r="K516" s="719" t="s">
        <v>1097</v>
      </c>
      <c r="L516" s="719"/>
      <c r="M516" s="719"/>
      <c r="N516" s="726"/>
      <c r="O516" s="726"/>
      <c r="P516" s="726"/>
      <c r="Q516" s="719"/>
      <c r="R516" s="719"/>
      <c r="S516" s="719">
        <f>AG517-AG515</f>
        <v>49.30000000000291</v>
      </c>
      <c r="T516" s="719"/>
      <c r="U516" s="719"/>
      <c r="V516" s="719"/>
      <c r="W516" s="719"/>
      <c r="X516" s="719"/>
      <c r="Y516" s="719"/>
      <c r="Z516" s="719"/>
      <c r="AA516" s="719"/>
      <c r="AB516" s="719"/>
      <c r="AC516" s="719"/>
      <c r="AD516" s="719"/>
      <c r="AE516" s="719"/>
      <c r="AF516" s="719"/>
      <c r="AG516" s="1341"/>
      <c r="AH516" s="719"/>
      <c r="AI516" s="719"/>
      <c r="AJ516" s="719"/>
      <c r="AK516" s="719"/>
      <c r="AL516" s="719"/>
      <c r="AM516" s="719"/>
      <c r="AN516" s="719"/>
      <c r="AO516" s="719"/>
      <c r="AP516" s="719"/>
      <c r="AQ516" s="724">
        <f>+FL_2($U$517,$T$515,$G$516,1200,9.28,-1*$F$517)</f>
        <v>-0.39834769999999992</v>
      </c>
      <c r="AR516" s="724"/>
      <c r="AS516" s="724"/>
      <c r="AT516" s="724"/>
      <c r="AU516" s="724"/>
      <c r="AV516" s="724"/>
      <c r="AW516" s="719"/>
      <c r="AX516" s="719"/>
      <c r="AY516" s="719"/>
      <c r="AZ516" s="533"/>
    </row>
    <row r="517" spans="1:52" ht="15.75" hidden="1" customHeight="1">
      <c r="A517" s="716" t="s">
        <v>676</v>
      </c>
      <c r="B517" s="741" t="s">
        <v>1555</v>
      </c>
      <c r="C517" s="718">
        <f>+$C$515+$G$516</f>
        <v>43233</v>
      </c>
      <c r="D517" s="719"/>
      <c r="E517" s="719"/>
      <c r="F517" s="720">
        <v>0</v>
      </c>
      <c r="G517" s="721"/>
      <c r="H517" s="726" t="s">
        <v>668</v>
      </c>
      <c r="I517" s="722"/>
      <c r="J517" s="727"/>
      <c r="K517" s="719"/>
      <c r="L517" s="719" t="s">
        <v>465</v>
      </c>
      <c r="M517" s="719"/>
      <c r="N517" s="726" t="s">
        <v>697</v>
      </c>
      <c r="O517" s="726" t="s">
        <v>696</v>
      </c>
      <c r="P517" s="726"/>
      <c r="Q517" s="719">
        <v>0</v>
      </c>
      <c r="R517" s="719">
        <v>0</v>
      </c>
      <c r="S517" s="719">
        <f>AG518-AG517</f>
        <v>1.4799999999959255</v>
      </c>
      <c r="T517" s="719">
        <v>25</v>
      </c>
      <c r="U517" s="719">
        <v>5</v>
      </c>
      <c r="V517" s="719"/>
      <c r="W517" s="719">
        <v>1.1000000000000001</v>
      </c>
      <c r="X517" s="719">
        <v>1.2</v>
      </c>
      <c r="Y517" s="719"/>
      <c r="Z517" s="719">
        <v>0.45</v>
      </c>
      <c r="AA517" s="719"/>
      <c r="AB517" s="719"/>
      <c r="AC517" s="719"/>
      <c r="AD517" s="719" t="s">
        <v>2616</v>
      </c>
      <c r="AE517" s="719"/>
      <c r="AF517" s="719">
        <v>200</v>
      </c>
      <c r="AG517" s="1341">
        <v>43232.29</v>
      </c>
      <c r="AH517" s="719">
        <v>1480</v>
      </c>
      <c r="AI517" s="719">
        <v>-4911</v>
      </c>
      <c r="AJ517" s="719"/>
      <c r="AK517" s="719"/>
      <c r="AL517" s="719"/>
      <c r="AM517" s="719" t="s">
        <v>2609</v>
      </c>
      <c r="AN517" s="719">
        <v>5.25</v>
      </c>
      <c r="AO517" s="719"/>
      <c r="AP517" s="719"/>
      <c r="AQ517" s="724"/>
      <c r="AR517" s="724"/>
      <c r="AS517" s="724"/>
      <c r="AT517" s="724">
        <f>+ab($U$517,$T$515,$U$519,$G$516,$G$518,-1*$F$517,1200)</f>
        <v>14.446766725215634</v>
      </c>
      <c r="AU517" s="724"/>
      <c r="AV517" s="724"/>
      <c r="AW517" s="719"/>
      <c r="AX517" s="719"/>
      <c r="AY517" s="719"/>
      <c r="AZ517" s="533"/>
    </row>
    <row r="518" spans="1:52" ht="15.75" hidden="1" customHeight="1">
      <c r="A518" s="716"/>
      <c r="B518" s="735"/>
      <c r="C518" s="718"/>
      <c r="D518" s="719"/>
      <c r="E518" s="719"/>
      <c r="F518" s="720"/>
      <c r="G518" s="721">
        <v>50</v>
      </c>
      <c r="H518" s="726"/>
      <c r="I518" s="726"/>
      <c r="J518" s="727"/>
      <c r="K518" s="719"/>
      <c r="L518" s="719"/>
      <c r="M518" s="719"/>
      <c r="N518" s="726"/>
      <c r="O518" s="726"/>
      <c r="P518" s="726"/>
      <c r="Q518" s="719">
        <v>0</v>
      </c>
      <c r="R518" s="719">
        <v>0</v>
      </c>
      <c r="S518" s="719">
        <f t="shared" ref="S518" si="61">AG519-AG518</f>
        <v>48.430000000000291</v>
      </c>
      <c r="T518" s="719"/>
      <c r="U518" s="719"/>
      <c r="V518" s="719"/>
      <c r="W518" s="719"/>
      <c r="X518" s="719"/>
      <c r="Y518" s="719"/>
      <c r="Z518" s="719"/>
      <c r="AA518" s="719"/>
      <c r="AB518" s="719"/>
      <c r="AC518" s="719"/>
      <c r="AD518" s="719"/>
      <c r="AE518" s="719"/>
      <c r="AF518" s="719">
        <v>200</v>
      </c>
      <c r="AG518" s="1341">
        <v>43233.77</v>
      </c>
      <c r="AH518" s="719">
        <v>1491</v>
      </c>
      <c r="AI518" s="719">
        <v>-4910</v>
      </c>
      <c r="AJ518" s="719"/>
      <c r="AK518" s="719"/>
      <c r="AL518" s="719"/>
      <c r="AM518" s="719"/>
      <c r="AN518" s="719"/>
      <c r="AO518" s="719"/>
      <c r="AP518" s="719"/>
      <c r="AQ518" s="724">
        <f>+FL_2($T$519,$U$517,$G$518,1200,9.28,-1*$F$519)</f>
        <v>-0.24425286799999996</v>
      </c>
      <c r="AR518" s="724"/>
      <c r="AS518" s="724"/>
      <c r="AT518" s="724"/>
      <c r="AU518" s="724"/>
      <c r="AV518" s="724"/>
      <c r="AW518" s="719"/>
      <c r="AX518" s="719"/>
      <c r="AY518" s="719"/>
      <c r="AZ518" s="533"/>
    </row>
    <row r="519" spans="1:52" ht="15.75" hidden="1" customHeight="1">
      <c r="A519" s="716" t="s">
        <v>676</v>
      </c>
      <c r="B519" s="741" t="s">
        <v>1556</v>
      </c>
      <c r="C519" s="718">
        <f>+$C$517+$G$518</f>
        <v>43283</v>
      </c>
      <c r="D519" s="719"/>
      <c r="E519" s="719"/>
      <c r="F519" s="720">
        <v>0</v>
      </c>
      <c r="G519" s="721"/>
      <c r="H519" s="726" t="s">
        <v>668</v>
      </c>
      <c r="I519" s="726"/>
      <c r="J519" s="727"/>
      <c r="K519" s="719"/>
      <c r="L519" s="719" t="s">
        <v>465</v>
      </c>
      <c r="M519" s="719"/>
      <c r="N519" s="719" t="s">
        <v>695</v>
      </c>
      <c r="O519" s="726" t="s">
        <v>697</v>
      </c>
      <c r="P519" s="726"/>
      <c r="Q519" s="719">
        <v>0</v>
      </c>
      <c r="R519" s="719">
        <v>0</v>
      </c>
      <c r="S519" s="719">
        <f>AG520-AG519</f>
        <v>1.5400000000008731</v>
      </c>
      <c r="T519" s="719">
        <v>-5</v>
      </c>
      <c r="U519" s="719">
        <v>-25</v>
      </c>
      <c r="V519" s="719"/>
      <c r="W519" s="719">
        <v>1.1000000000000001</v>
      </c>
      <c r="X519" s="719">
        <v>1.2</v>
      </c>
      <c r="Y519" s="719"/>
      <c r="Z519" s="719"/>
      <c r="AA519" s="719">
        <v>0.45</v>
      </c>
      <c r="AB519" s="719"/>
      <c r="AC519" s="719" t="s">
        <v>2612</v>
      </c>
      <c r="AD519" s="719"/>
      <c r="AE519" s="719"/>
      <c r="AF519" s="719">
        <v>350</v>
      </c>
      <c r="AG519" s="1341">
        <v>43282.2</v>
      </c>
      <c r="AH519" s="719">
        <v>1493</v>
      </c>
      <c r="AI519" s="719">
        <v>-4894</v>
      </c>
      <c r="AJ519" s="719"/>
      <c r="AK519" s="719"/>
      <c r="AL519" s="719"/>
      <c r="AM519" s="719" t="s">
        <v>2609</v>
      </c>
      <c r="AN519" s="719">
        <v>5.25</v>
      </c>
      <c r="AO519" s="719"/>
      <c r="AP519" s="719"/>
      <c r="AQ519" s="724"/>
      <c r="AR519" s="724"/>
      <c r="AS519" s="724"/>
      <c r="AT519" s="724">
        <f>+ab($T$519,$T$517,$T$521,$G$518,$G$520,-1*$F$519,1200)</f>
        <v>-14.446873203935258</v>
      </c>
      <c r="AU519" s="724"/>
      <c r="AV519" s="724"/>
      <c r="AW519" s="719"/>
      <c r="AX519" s="719"/>
      <c r="AY519" s="719"/>
    </row>
    <row r="520" spans="1:52" ht="15.75" hidden="1" customHeight="1">
      <c r="A520" s="716"/>
      <c r="B520" s="735"/>
      <c r="C520" s="718"/>
      <c r="D520" s="719"/>
      <c r="E520" s="719"/>
      <c r="F520" s="720"/>
      <c r="G520" s="721">
        <v>50</v>
      </c>
      <c r="H520" s="726"/>
      <c r="I520" s="726"/>
      <c r="J520" s="727">
        <f>C521-10</f>
        <v>43323</v>
      </c>
      <c r="K520" s="719" t="s">
        <v>1097</v>
      </c>
      <c r="L520" s="719"/>
      <c r="M520" s="719"/>
      <c r="N520" s="726"/>
      <c r="O520" s="726"/>
      <c r="P520" s="726"/>
      <c r="Q520" s="719">
        <v>0</v>
      </c>
      <c r="R520" s="719">
        <v>0</v>
      </c>
      <c r="S520" s="719">
        <f>AG521-AG520</f>
        <v>49.310000000004948</v>
      </c>
      <c r="T520" s="719"/>
      <c r="U520" s="719"/>
      <c r="V520" s="719"/>
      <c r="W520" s="719"/>
      <c r="X520" s="719"/>
      <c r="Y520" s="719"/>
      <c r="Z520" s="719"/>
      <c r="AA520" s="719"/>
      <c r="AB520" s="719"/>
      <c r="AC520" s="719"/>
      <c r="AD520" s="719"/>
      <c r="AE520" s="719"/>
      <c r="AF520" s="719">
        <v>200</v>
      </c>
      <c r="AG520" s="1341">
        <v>43283.74</v>
      </c>
      <c r="AH520" s="719">
        <v>1506</v>
      </c>
      <c r="AI520" s="719">
        <v>-4888</v>
      </c>
      <c r="AJ520" s="719"/>
      <c r="AK520" s="719"/>
      <c r="AL520" s="719"/>
      <c r="AM520" s="719"/>
      <c r="AN520" s="719"/>
      <c r="AO520" s="719"/>
      <c r="AP520" s="719"/>
      <c r="AQ520" s="724">
        <f>+FL_1($T$521,$T$519,$G$520,1200,9.28,-1*$F$521)</f>
        <v>0.39834769999999997</v>
      </c>
      <c r="AR520" s="724"/>
      <c r="AS520" s="724"/>
      <c r="AT520" s="724"/>
      <c r="AU520" s="724"/>
      <c r="AV520" s="724"/>
      <c r="AW520" s="719"/>
      <c r="AX520" s="719"/>
      <c r="AY520" s="719"/>
    </row>
    <row r="521" spans="1:52" ht="15.75" hidden="1" customHeight="1">
      <c r="A521" s="716" t="s">
        <v>676</v>
      </c>
      <c r="B521" s="741" t="s">
        <v>1557</v>
      </c>
      <c r="C521" s="718">
        <f>+$C$519+$G$520</f>
        <v>43333</v>
      </c>
      <c r="D521" s="719"/>
      <c r="E521" s="719"/>
      <c r="F521" s="720">
        <v>0</v>
      </c>
      <c r="G521" s="721"/>
      <c r="H521" s="726" t="s">
        <v>138</v>
      </c>
      <c r="I521" s="726" t="s">
        <v>948</v>
      </c>
      <c r="J521" s="727"/>
      <c r="K521" s="719"/>
      <c r="L521" s="719" t="s">
        <v>241</v>
      </c>
      <c r="M521" s="719"/>
      <c r="N521" s="726" t="s">
        <v>696</v>
      </c>
      <c r="O521" s="726"/>
      <c r="P521" s="726"/>
      <c r="Q521" s="719">
        <v>0</v>
      </c>
      <c r="R521" s="719">
        <v>0</v>
      </c>
      <c r="S521" s="719"/>
      <c r="T521" s="719">
        <v>30</v>
      </c>
      <c r="U521" s="719"/>
      <c r="V521" s="719"/>
      <c r="W521" s="719">
        <v>1.1000000000000001</v>
      </c>
      <c r="X521" s="719"/>
      <c r="Y521" s="719"/>
      <c r="Z521" s="719"/>
      <c r="AA521" s="719"/>
      <c r="AB521" s="719"/>
      <c r="AC521" s="719" t="s">
        <v>2612</v>
      </c>
      <c r="AD521" s="719"/>
      <c r="AE521" s="719"/>
      <c r="AF521" s="719">
        <v>200</v>
      </c>
      <c r="AG521" s="1341">
        <v>43333.05</v>
      </c>
      <c r="AH521" s="719">
        <v>1497</v>
      </c>
      <c r="AI521" s="719">
        <v>-4915</v>
      </c>
      <c r="AJ521" s="719"/>
      <c r="AK521" s="719"/>
      <c r="AL521" s="719"/>
      <c r="AM521" s="719" t="s">
        <v>2609</v>
      </c>
      <c r="AN521" s="719">
        <v>5.25</v>
      </c>
      <c r="AO521" s="719"/>
      <c r="AP521" s="719"/>
      <c r="AQ521" s="724"/>
      <c r="AR521" s="724"/>
      <c r="AS521" s="724"/>
      <c r="AT521" s="724">
        <f>+ab($T$521,$T$519,$T$523,$G$520,$G$522,-1*$F$521,1200)</f>
        <v>9.9968917440918084</v>
      </c>
      <c r="AU521" s="724"/>
      <c r="AV521" s="724"/>
      <c r="AW521" s="719"/>
      <c r="AX521" s="719"/>
      <c r="AY521" s="719"/>
    </row>
    <row r="522" spans="1:52" ht="15.75" hidden="1" customHeight="1">
      <c r="A522" s="716"/>
      <c r="B522" s="735"/>
      <c r="C522" s="718"/>
      <c r="D522" s="719"/>
      <c r="E522" s="719"/>
      <c r="F522" s="720"/>
      <c r="G522" s="721">
        <v>50</v>
      </c>
      <c r="H522" s="726"/>
      <c r="I522" s="726"/>
      <c r="J522" s="727"/>
      <c r="K522" s="719"/>
      <c r="L522" s="719"/>
      <c r="M522" s="719"/>
      <c r="N522" s="726"/>
      <c r="O522" s="726"/>
      <c r="P522" s="726"/>
      <c r="Q522" s="719"/>
      <c r="R522" s="719"/>
      <c r="S522" s="719">
        <f t="shared" si="60"/>
        <v>49.959999999999127</v>
      </c>
      <c r="T522" s="719"/>
      <c r="U522" s="719"/>
      <c r="V522" s="719"/>
      <c r="W522" s="719"/>
      <c r="X522" s="719"/>
      <c r="Y522" s="719"/>
      <c r="Z522" s="719"/>
      <c r="AA522" s="719"/>
      <c r="AB522" s="719"/>
      <c r="AC522" s="719"/>
      <c r="AD522" s="719"/>
      <c r="AE522" s="719"/>
      <c r="AF522" s="719"/>
      <c r="AG522" s="1341"/>
      <c r="AH522" s="719"/>
      <c r="AI522" s="719"/>
      <c r="AJ522" s="719"/>
      <c r="AK522" s="719"/>
      <c r="AL522" s="719"/>
      <c r="AM522" s="719"/>
      <c r="AN522" s="719"/>
      <c r="AO522" s="719"/>
      <c r="AP522" s="719"/>
      <c r="AQ522" s="724">
        <f>+FL_2($T$523,$T$521,$G$522,1200,9.28,-1*$F$523)</f>
        <v>-0.33477011200000001</v>
      </c>
      <c r="AR522" s="724"/>
      <c r="AS522" s="724"/>
      <c r="AT522" s="724"/>
      <c r="AU522" s="724"/>
      <c r="AV522" s="724"/>
      <c r="AW522" s="719"/>
      <c r="AX522" s="719"/>
      <c r="AY522" s="719"/>
    </row>
    <row r="523" spans="1:52" ht="15.75" hidden="1" customHeight="1">
      <c r="A523" s="716" t="s">
        <v>676</v>
      </c>
      <c r="B523" s="741" t="s">
        <v>1558</v>
      </c>
      <c r="C523" s="718">
        <f>+$C$521+$G$522</f>
        <v>43383</v>
      </c>
      <c r="D523" s="719"/>
      <c r="E523" s="719"/>
      <c r="F523" s="720">
        <v>0</v>
      </c>
      <c r="G523" s="721"/>
      <c r="H523" s="726"/>
      <c r="I523" s="726"/>
      <c r="J523" s="727"/>
      <c r="K523" s="719"/>
      <c r="L523" s="719" t="s">
        <v>241</v>
      </c>
      <c r="M523" s="719"/>
      <c r="N523" s="726" t="s">
        <v>695</v>
      </c>
      <c r="O523" s="726"/>
      <c r="P523" s="726"/>
      <c r="Q523" s="719">
        <v>0</v>
      </c>
      <c r="R523" s="719">
        <v>0</v>
      </c>
      <c r="S523" s="719"/>
      <c r="T523" s="719">
        <v>-30</v>
      </c>
      <c r="U523" s="719"/>
      <c r="V523" s="719"/>
      <c r="W523" s="719">
        <v>1.1000000000000001</v>
      </c>
      <c r="X523" s="719"/>
      <c r="Y523" s="719"/>
      <c r="Z523" s="719"/>
      <c r="AA523" s="719"/>
      <c r="AB523" s="719"/>
      <c r="AC523" s="719" t="s">
        <v>2977</v>
      </c>
      <c r="AD523" s="719"/>
      <c r="AE523" s="719"/>
      <c r="AF523" s="719">
        <v>300</v>
      </c>
      <c r="AG523" s="1341">
        <v>43383.01</v>
      </c>
      <c r="AH523" s="719">
        <v>1484</v>
      </c>
      <c r="AI523" s="719">
        <v>-4917</v>
      </c>
      <c r="AJ523" s="719"/>
      <c r="AK523" s="719"/>
      <c r="AL523" s="719"/>
      <c r="AM523" s="719" t="s">
        <v>2609</v>
      </c>
      <c r="AN523" s="719">
        <v>5.25</v>
      </c>
      <c r="AO523" s="719"/>
      <c r="AP523" s="719"/>
      <c r="AQ523" s="724"/>
      <c r="AR523" s="724"/>
      <c r="AS523" s="724"/>
      <c r="AT523" s="724">
        <f>+ab($T$523,$T$521,$T$525,$G$522,$G$524,-1*$F$523,1200)</f>
        <v>-7.9442410717051439</v>
      </c>
      <c r="AU523" s="724"/>
      <c r="AV523" s="724"/>
      <c r="AW523" s="719"/>
      <c r="AX523" s="719"/>
      <c r="AY523" s="719"/>
    </row>
    <row r="524" spans="1:52" ht="15.75" hidden="1" customHeight="1">
      <c r="A524" s="716"/>
      <c r="B524" s="735"/>
      <c r="C524" s="718"/>
      <c r="D524" s="719"/>
      <c r="E524" s="719"/>
      <c r="F524" s="720"/>
      <c r="G524" s="721">
        <v>50</v>
      </c>
      <c r="H524" s="726"/>
      <c r="I524" s="726"/>
      <c r="J524" s="727"/>
      <c r="K524" s="719"/>
      <c r="L524" s="719"/>
      <c r="M524" s="719"/>
      <c r="N524" s="726"/>
      <c r="O524" s="726"/>
      <c r="P524" s="726"/>
      <c r="Q524" s="719"/>
      <c r="R524" s="719"/>
      <c r="S524" s="719">
        <f t="shared" si="60"/>
        <v>49.970000000001164</v>
      </c>
      <c r="T524" s="719"/>
      <c r="U524" s="719"/>
      <c r="V524" s="719"/>
      <c r="W524" s="719"/>
      <c r="X524" s="719"/>
      <c r="Y524" s="719"/>
      <c r="Z524" s="719"/>
      <c r="AA524" s="719"/>
      <c r="AB524" s="719"/>
      <c r="AC524" s="719"/>
      <c r="AD524" s="719"/>
      <c r="AE524" s="719"/>
      <c r="AF524" s="719"/>
      <c r="AG524" s="1341"/>
      <c r="AH524" s="719"/>
      <c r="AI524" s="719"/>
      <c r="AJ524" s="719"/>
      <c r="AK524" s="719"/>
      <c r="AL524" s="719"/>
      <c r="AM524" s="719"/>
      <c r="AN524" s="719"/>
      <c r="AO524" s="719"/>
      <c r="AP524" s="719"/>
      <c r="AQ524" s="724">
        <f>+FL_1($T$525,$T$523,$G$524,1200,9.28,-1*$F$525)</f>
        <v>0.33477011200000001</v>
      </c>
      <c r="AR524" s="724"/>
      <c r="AS524" s="724"/>
      <c r="AT524" s="724"/>
      <c r="AU524" s="724"/>
      <c r="AV524" s="724"/>
      <c r="AW524" s="719"/>
      <c r="AX524" s="719"/>
      <c r="AY524" s="719"/>
      <c r="AZ524" s="533"/>
    </row>
    <row r="525" spans="1:52" ht="15.75" hidden="1" customHeight="1">
      <c r="A525" s="716" t="s">
        <v>676</v>
      </c>
      <c r="B525" s="741" t="s">
        <v>1559</v>
      </c>
      <c r="C525" s="718">
        <f>+$C$523+$G$524</f>
        <v>43433</v>
      </c>
      <c r="D525" s="719"/>
      <c r="E525" s="719"/>
      <c r="F525" s="720">
        <v>0</v>
      </c>
      <c r="G525" s="721"/>
      <c r="H525" s="726"/>
      <c r="I525" s="726"/>
      <c r="J525" s="727"/>
      <c r="K525" s="719"/>
      <c r="L525" s="719" t="s">
        <v>241</v>
      </c>
      <c r="M525" s="719"/>
      <c r="N525" s="726" t="s">
        <v>696</v>
      </c>
      <c r="O525" s="726"/>
      <c r="P525" s="726"/>
      <c r="Q525" s="719">
        <v>0</v>
      </c>
      <c r="R525" s="719">
        <v>0</v>
      </c>
      <c r="S525" s="719"/>
      <c r="T525" s="719">
        <v>30</v>
      </c>
      <c r="U525" s="719"/>
      <c r="V525" s="719"/>
      <c r="W525" s="719">
        <v>1.1000000000000001</v>
      </c>
      <c r="X525" s="719"/>
      <c r="Y525" s="719"/>
      <c r="Z525" s="719"/>
      <c r="AA525" s="719"/>
      <c r="AB525" s="719"/>
      <c r="AC525" s="719" t="s">
        <v>2977</v>
      </c>
      <c r="AD525" s="719"/>
      <c r="AE525" s="719"/>
      <c r="AF525" s="719">
        <v>200</v>
      </c>
      <c r="AG525" s="1341">
        <v>43432.98</v>
      </c>
      <c r="AH525" s="719">
        <v>1503</v>
      </c>
      <c r="AI525" s="719">
        <v>-4913</v>
      </c>
      <c r="AJ525" s="719"/>
      <c r="AK525" s="719"/>
      <c r="AL525" s="719"/>
      <c r="AM525" s="719" t="s">
        <v>2609</v>
      </c>
      <c r="AN525" s="719">
        <v>5.25</v>
      </c>
      <c r="AO525" s="719"/>
      <c r="AP525" s="719"/>
      <c r="AQ525" s="724"/>
      <c r="AR525" s="724"/>
      <c r="AS525" s="724"/>
      <c r="AT525" s="724">
        <f>+ab($T$525,$T$523,$T$527,$G$524,$G$526,-1*$F$525,1200)</f>
        <v>7.9442083933778509</v>
      </c>
      <c r="AU525" s="724"/>
      <c r="AV525" s="724"/>
      <c r="AW525" s="719"/>
      <c r="AX525" s="719"/>
      <c r="AY525" s="719"/>
      <c r="AZ525" s="533"/>
    </row>
    <row r="526" spans="1:52" ht="15.75" hidden="1" customHeight="1">
      <c r="A526" s="716"/>
      <c r="B526" s="735"/>
      <c r="C526" s="718"/>
      <c r="D526" s="719"/>
      <c r="E526" s="719"/>
      <c r="F526" s="720"/>
      <c r="G526" s="721">
        <v>50</v>
      </c>
      <c r="H526" s="726"/>
      <c r="I526" s="726"/>
      <c r="J526" s="727"/>
      <c r="K526" s="719"/>
      <c r="L526" s="719"/>
      <c r="M526" s="719"/>
      <c r="N526" s="726"/>
      <c r="O526" s="726"/>
      <c r="P526" s="726"/>
      <c r="Q526" s="719"/>
      <c r="R526" s="719"/>
      <c r="S526" s="719">
        <f t="shared" si="60"/>
        <v>49.969999999993888</v>
      </c>
      <c r="T526" s="719"/>
      <c r="U526" s="719"/>
      <c r="V526" s="719"/>
      <c r="W526" s="719"/>
      <c r="X526" s="719"/>
      <c r="Y526" s="719"/>
      <c r="Z526" s="719"/>
      <c r="AA526" s="719"/>
      <c r="AB526" s="719"/>
      <c r="AC526" s="719"/>
      <c r="AD526" s="719"/>
      <c r="AE526" s="719"/>
      <c r="AF526" s="719"/>
      <c r="AG526" s="1341"/>
      <c r="AH526" s="719"/>
      <c r="AI526" s="719"/>
      <c r="AJ526" s="719"/>
      <c r="AK526" s="719"/>
      <c r="AL526" s="719"/>
      <c r="AM526" s="719"/>
      <c r="AN526" s="719"/>
      <c r="AO526" s="719"/>
      <c r="AP526" s="719"/>
      <c r="AQ526" s="724">
        <f>+FL_2($T$527,$T$525,$G$526,1200,9.28,-1*$F$527)</f>
        <v>-0.33477011200000001</v>
      </c>
      <c r="AR526" s="724"/>
      <c r="AS526" s="724"/>
      <c r="AT526" s="724"/>
      <c r="AU526" s="724"/>
      <c r="AV526" s="724"/>
      <c r="AW526" s="719"/>
      <c r="AX526" s="719"/>
      <c r="AY526" s="719"/>
      <c r="AZ526" s="533"/>
    </row>
    <row r="527" spans="1:52" ht="15.75" customHeight="1">
      <c r="A527" s="716" t="s">
        <v>676</v>
      </c>
      <c r="B527" s="741" t="s">
        <v>1560</v>
      </c>
      <c r="C527" s="718">
        <f>+$C$525+$G$526</f>
        <v>43483</v>
      </c>
      <c r="D527" s="719"/>
      <c r="E527" s="719"/>
      <c r="F527" s="720">
        <v>0</v>
      </c>
      <c r="G527" s="721"/>
      <c r="H527" s="726" t="s">
        <v>1101</v>
      </c>
      <c r="I527" s="726"/>
      <c r="J527" s="727"/>
      <c r="K527" s="719"/>
      <c r="L527" s="719" t="s">
        <v>241</v>
      </c>
      <c r="M527" s="719"/>
      <c r="N527" s="726" t="s">
        <v>695</v>
      </c>
      <c r="O527" s="726"/>
      <c r="P527" s="726"/>
      <c r="Q527" s="719">
        <v>0</v>
      </c>
      <c r="R527" s="719">
        <v>0</v>
      </c>
      <c r="S527" s="719"/>
      <c r="T527" s="719">
        <v>-30</v>
      </c>
      <c r="U527" s="719"/>
      <c r="V527" s="719"/>
      <c r="W527" s="719">
        <v>1.1000000000000001</v>
      </c>
      <c r="X527" s="719"/>
      <c r="Y527" s="719"/>
      <c r="Z527" s="719"/>
      <c r="AA527" s="719"/>
      <c r="AB527" s="719"/>
      <c r="AC527" s="719" t="s">
        <v>2977</v>
      </c>
      <c r="AD527" s="719"/>
      <c r="AE527" s="719"/>
      <c r="AF527" s="719">
        <v>300</v>
      </c>
      <c r="AG527" s="1341">
        <v>43482.95</v>
      </c>
      <c r="AH527" s="719">
        <v>1496</v>
      </c>
      <c r="AI527" s="719">
        <v>-4875</v>
      </c>
      <c r="AJ527" s="719"/>
      <c r="AK527" s="719"/>
      <c r="AL527" s="719"/>
      <c r="AM527" s="719" t="s">
        <v>2609</v>
      </c>
      <c r="AN527" s="719">
        <v>5.25</v>
      </c>
      <c r="AO527" s="719"/>
      <c r="AP527" s="719"/>
      <c r="AQ527" s="724"/>
      <c r="AR527" s="724"/>
      <c r="AS527" s="724"/>
      <c r="AT527" s="724">
        <f>+ab($T$527,$T$525,$T$529,$G$526,$G$528,-1*$F$527,1200)</f>
        <v>-7.9442410717051439</v>
      </c>
      <c r="AU527" s="724"/>
      <c r="AV527" s="724"/>
      <c r="AW527" s="719"/>
      <c r="AX527" s="719"/>
      <c r="AY527" s="719"/>
      <c r="AZ527" s="533"/>
    </row>
    <row r="528" spans="1:52" ht="15.75" hidden="1" customHeight="1">
      <c r="A528" s="716"/>
      <c r="B528" s="735"/>
      <c r="C528" s="718"/>
      <c r="D528" s="719"/>
      <c r="E528" s="719"/>
      <c r="F528" s="720"/>
      <c r="G528" s="721">
        <v>50</v>
      </c>
      <c r="H528" s="726"/>
      <c r="I528" s="726">
        <f>+SUM(G516:G528)</f>
        <v>350</v>
      </c>
      <c r="J528" s="727">
        <f>C527+2.6</f>
        <v>43485.599999999999</v>
      </c>
      <c r="K528" s="719" t="s">
        <v>1102</v>
      </c>
      <c r="L528" s="719"/>
      <c r="M528" s="719"/>
      <c r="N528" s="726"/>
      <c r="O528" s="726"/>
      <c r="P528" s="726"/>
      <c r="Q528" s="719"/>
      <c r="R528" s="719"/>
      <c r="S528" s="719">
        <f t="shared" si="60"/>
        <v>50.090000000003783</v>
      </c>
      <c r="T528" s="719"/>
      <c r="U528" s="719"/>
      <c r="V528" s="719"/>
      <c r="W528" s="719"/>
      <c r="X528" s="719"/>
      <c r="Y528" s="719"/>
      <c r="Z528" s="719"/>
      <c r="AA528" s="719"/>
      <c r="AB528" s="719"/>
      <c r="AC528" s="719"/>
      <c r="AD528" s="719"/>
      <c r="AE528" s="719"/>
      <c r="AF528" s="719"/>
      <c r="AG528" s="1341"/>
      <c r="AH528" s="719"/>
      <c r="AI528" s="719"/>
      <c r="AJ528" s="719"/>
      <c r="AK528" s="719"/>
      <c r="AL528" s="719"/>
      <c r="AM528" s="719"/>
      <c r="AN528" s="719"/>
      <c r="AO528" s="719"/>
      <c r="AP528" s="719"/>
      <c r="AQ528" s="724">
        <f>+FL_1($T$529,$T$527,$G$528,1200,9.28,-1*$F$529)</f>
        <v>0.33477011200000001</v>
      </c>
      <c r="AR528" s="724"/>
      <c r="AS528" s="724"/>
      <c r="AT528" s="724"/>
      <c r="AU528" s="724"/>
      <c r="AV528" s="724"/>
      <c r="AW528" s="719"/>
      <c r="AX528" s="719"/>
      <c r="AY528" s="719"/>
      <c r="AZ528" s="533"/>
    </row>
    <row r="529" spans="1:54" ht="15.75" customHeight="1">
      <c r="A529" s="716" t="s">
        <v>676</v>
      </c>
      <c r="B529" s="741" t="s">
        <v>1561</v>
      </c>
      <c r="C529" s="718">
        <f>+$C$527+$G$528</f>
        <v>43533</v>
      </c>
      <c r="D529" s="719"/>
      <c r="E529" s="719"/>
      <c r="F529" s="720">
        <v>0</v>
      </c>
      <c r="G529" s="721"/>
      <c r="H529" s="726" t="s">
        <v>997</v>
      </c>
      <c r="I529" s="726"/>
      <c r="J529" s="727"/>
      <c r="K529" s="719"/>
      <c r="L529" s="719" t="s">
        <v>241</v>
      </c>
      <c r="M529" s="719"/>
      <c r="N529" s="726" t="s">
        <v>696</v>
      </c>
      <c r="O529" s="726"/>
      <c r="P529" s="726"/>
      <c r="Q529" s="719">
        <v>0</v>
      </c>
      <c r="R529" s="719">
        <v>0</v>
      </c>
      <c r="S529" s="719"/>
      <c r="T529" s="719">
        <v>30</v>
      </c>
      <c r="U529" s="719"/>
      <c r="V529" s="719"/>
      <c r="W529" s="719">
        <v>1.1000000000000001</v>
      </c>
      <c r="X529" s="719"/>
      <c r="Y529" s="719"/>
      <c r="Z529" s="719"/>
      <c r="AA529" s="719"/>
      <c r="AB529" s="719"/>
      <c r="AC529" s="719" t="s">
        <v>2977</v>
      </c>
      <c r="AD529" s="719"/>
      <c r="AE529" s="719"/>
      <c r="AF529" s="719">
        <v>200</v>
      </c>
      <c r="AG529" s="1341">
        <v>43533.04</v>
      </c>
      <c r="AH529" s="719">
        <v>1480</v>
      </c>
      <c r="AI529" s="719">
        <v>-4905</v>
      </c>
      <c r="AJ529" s="719"/>
      <c r="AK529" s="719"/>
      <c r="AL529" s="719"/>
      <c r="AM529" s="719" t="s">
        <v>2609</v>
      </c>
      <c r="AN529" s="719">
        <v>5.25</v>
      </c>
      <c r="AO529" s="719"/>
      <c r="AP529" s="719"/>
      <c r="AQ529" s="724"/>
      <c r="AR529" s="724"/>
      <c r="AS529" s="724"/>
      <c r="AT529" s="724">
        <f>+ab($T$529,$T$527,$T$531,$G$528,$G$530,-1*$F$529,1200)</f>
        <v>7.9442083933778509</v>
      </c>
      <c r="AU529" s="724"/>
      <c r="AV529" s="724"/>
      <c r="AW529" s="719"/>
      <c r="AX529" s="719"/>
      <c r="AY529" s="719"/>
    </row>
    <row r="530" spans="1:54" ht="15.75" hidden="1" customHeight="1">
      <c r="A530" s="716"/>
      <c r="B530" s="735"/>
      <c r="C530" s="718"/>
      <c r="D530" s="719"/>
      <c r="E530" s="719"/>
      <c r="F530" s="720"/>
      <c r="G530" s="721">
        <v>50</v>
      </c>
      <c r="H530" s="726"/>
      <c r="I530" s="726">
        <f>SUM(G530:G544)</f>
        <v>373</v>
      </c>
      <c r="J530" s="727">
        <f>C531-1</f>
        <v>43582</v>
      </c>
      <c r="K530" s="719" t="s">
        <v>1102</v>
      </c>
      <c r="L530" s="719"/>
      <c r="M530" s="719"/>
      <c r="N530" s="726"/>
      <c r="O530" s="726"/>
      <c r="P530" s="726"/>
      <c r="Q530" s="719"/>
      <c r="R530" s="719"/>
      <c r="S530" s="719">
        <f t="shared" si="60"/>
        <v>49.979999999995925</v>
      </c>
      <c r="T530" s="719"/>
      <c r="U530" s="719"/>
      <c r="V530" s="719"/>
      <c r="W530" s="719"/>
      <c r="X530" s="719"/>
      <c r="Y530" s="719"/>
      <c r="Z530" s="719"/>
      <c r="AA530" s="719"/>
      <c r="AB530" s="719"/>
      <c r="AC530" s="719"/>
      <c r="AD530" s="719"/>
      <c r="AE530" s="719"/>
      <c r="AF530" s="719"/>
      <c r="AG530" s="1341"/>
      <c r="AH530" s="719"/>
      <c r="AI530" s="719"/>
      <c r="AJ530" s="719"/>
      <c r="AK530" s="719"/>
      <c r="AL530" s="719"/>
      <c r="AM530" s="719"/>
      <c r="AN530" s="719"/>
      <c r="AO530" s="719"/>
      <c r="AP530" s="719"/>
      <c r="AQ530" s="724">
        <f>+FL_2($T$531,$T$529,$G$530,1200,9.28,-1*$F$531)</f>
        <v>-0.33477011200000001</v>
      </c>
      <c r="AR530" s="724"/>
      <c r="AS530" s="724"/>
      <c r="AT530" s="724"/>
      <c r="AU530" s="724"/>
      <c r="AV530" s="724"/>
      <c r="AW530" s="719"/>
      <c r="AX530" s="719"/>
      <c r="AY530" s="719"/>
    </row>
    <row r="531" spans="1:54" ht="15.75" customHeight="1">
      <c r="A531" s="716" t="s">
        <v>676</v>
      </c>
      <c r="B531" s="741" t="s">
        <v>1562</v>
      </c>
      <c r="C531" s="718">
        <f>+$C$529+$G$530</f>
        <v>43583</v>
      </c>
      <c r="D531" s="719"/>
      <c r="E531" s="719"/>
      <c r="F531" s="720">
        <v>0</v>
      </c>
      <c r="G531" s="721"/>
      <c r="H531" s="726" t="s">
        <v>1101</v>
      </c>
      <c r="I531" s="726"/>
      <c r="J531" s="727"/>
      <c r="K531" s="719"/>
      <c r="L531" s="719" t="s">
        <v>241</v>
      </c>
      <c r="M531" s="719"/>
      <c r="N531" s="726" t="s">
        <v>695</v>
      </c>
      <c r="O531" s="726"/>
      <c r="P531" s="726"/>
      <c r="Q531" s="719">
        <v>0</v>
      </c>
      <c r="R531" s="719">
        <v>0</v>
      </c>
      <c r="S531" s="719"/>
      <c r="T531" s="719">
        <v>-30</v>
      </c>
      <c r="U531" s="719"/>
      <c r="V531" s="719"/>
      <c r="W531" s="719">
        <v>1.1000000000000001</v>
      </c>
      <c r="X531" s="719"/>
      <c r="Y531" s="719"/>
      <c r="Z531" s="719"/>
      <c r="AA531" s="719"/>
      <c r="AB531" s="719"/>
      <c r="AC531" s="719" t="s">
        <v>2977</v>
      </c>
      <c r="AD531" s="719"/>
      <c r="AE531" s="719"/>
      <c r="AF531" s="719">
        <v>300</v>
      </c>
      <c r="AG531" s="1341">
        <v>43583.02</v>
      </c>
      <c r="AH531" s="719">
        <v>1493</v>
      </c>
      <c r="AI531" s="719">
        <v>-4925</v>
      </c>
      <c r="AJ531" s="719"/>
      <c r="AK531" s="719"/>
      <c r="AL531" s="719"/>
      <c r="AM531" s="719" t="s">
        <v>2609</v>
      </c>
      <c r="AN531" s="719">
        <v>5.25</v>
      </c>
      <c r="AO531" s="719"/>
      <c r="AP531" s="719"/>
      <c r="AQ531" s="724"/>
      <c r="AR531" s="724"/>
      <c r="AS531" s="724"/>
      <c r="AT531" s="724">
        <f>+ab($T$531,$T$529,$T$533,$G$530,$G$532,-1*$F$531,1200)</f>
        <v>-7.9442410717051439</v>
      </c>
      <c r="AU531" s="724"/>
      <c r="AV531" s="724"/>
      <c r="AW531" s="719"/>
      <c r="AX531" s="719"/>
      <c r="AY531" s="719"/>
    </row>
    <row r="532" spans="1:54" ht="15.75" hidden="1" customHeight="1">
      <c r="A532" s="716"/>
      <c r="B532" s="735"/>
      <c r="C532" s="718"/>
      <c r="D532" s="719"/>
      <c r="E532" s="719"/>
      <c r="F532" s="720"/>
      <c r="G532" s="721">
        <v>50</v>
      </c>
      <c r="H532" s="726"/>
      <c r="I532" s="726"/>
      <c r="J532" s="727"/>
      <c r="K532" s="719"/>
      <c r="L532" s="719"/>
      <c r="M532" s="719"/>
      <c r="N532" s="726"/>
      <c r="O532" s="726"/>
      <c r="P532" s="726"/>
      <c r="Q532" s="719"/>
      <c r="R532" s="719"/>
      <c r="S532" s="719">
        <f t="shared" si="60"/>
        <v>49.970000000001164</v>
      </c>
      <c r="T532" s="719"/>
      <c r="U532" s="719"/>
      <c r="V532" s="719"/>
      <c r="W532" s="719"/>
      <c r="X532" s="719"/>
      <c r="Y532" s="719"/>
      <c r="Z532" s="719"/>
      <c r="AA532" s="719"/>
      <c r="AB532" s="719"/>
      <c r="AC532" s="719"/>
      <c r="AD532" s="719"/>
      <c r="AE532" s="719"/>
      <c r="AF532" s="719"/>
      <c r="AG532" s="1341"/>
      <c r="AH532" s="719"/>
      <c r="AI532" s="719"/>
      <c r="AJ532" s="719"/>
      <c r="AK532" s="719"/>
      <c r="AL532" s="719"/>
      <c r="AM532" s="719"/>
      <c r="AN532" s="719"/>
      <c r="AO532" s="719"/>
      <c r="AP532" s="719"/>
      <c r="AQ532" s="724">
        <f>+FL_1($T$533,$T$531,$G$532,1200,9.28,-1*$F$533)</f>
        <v>0.33477011200000001</v>
      </c>
      <c r="AR532" s="724"/>
      <c r="AS532" s="724"/>
      <c r="AT532" s="724"/>
      <c r="AU532" s="724"/>
      <c r="AV532" s="724"/>
      <c r="AW532" s="719"/>
      <c r="AX532" s="719"/>
      <c r="AY532" s="719"/>
      <c r="AZ532" s="533"/>
    </row>
    <row r="533" spans="1:54" ht="15.75" hidden="1" customHeight="1">
      <c r="A533" s="716" t="s">
        <v>676</v>
      </c>
      <c r="B533" s="741" t="s">
        <v>1563</v>
      </c>
      <c r="C533" s="718">
        <f>+$C$531+$G$532</f>
        <v>43633</v>
      </c>
      <c r="D533" s="719"/>
      <c r="E533" s="719"/>
      <c r="F533" s="720">
        <v>0</v>
      </c>
      <c r="G533" s="721"/>
      <c r="H533" s="726"/>
      <c r="I533" s="722"/>
      <c r="J533" s="727"/>
      <c r="K533" s="719"/>
      <c r="L533" s="719" t="s">
        <v>241</v>
      </c>
      <c r="M533" s="719"/>
      <c r="N533" s="726" t="s">
        <v>696</v>
      </c>
      <c r="O533" s="726"/>
      <c r="P533" s="726"/>
      <c r="Q533" s="719">
        <v>0</v>
      </c>
      <c r="R533" s="719">
        <v>0</v>
      </c>
      <c r="S533" s="719"/>
      <c r="T533" s="719">
        <v>30</v>
      </c>
      <c r="U533" s="719"/>
      <c r="V533" s="719"/>
      <c r="W533" s="719">
        <v>1.1000000000000001</v>
      </c>
      <c r="X533" s="719"/>
      <c r="Y533" s="719"/>
      <c r="Z533" s="719"/>
      <c r="AA533" s="719"/>
      <c r="AB533" s="719"/>
      <c r="AC533" s="719" t="s">
        <v>2977</v>
      </c>
      <c r="AD533" s="719"/>
      <c r="AE533" s="719"/>
      <c r="AF533" s="719">
        <v>200</v>
      </c>
      <c r="AG533" s="1341">
        <v>43632.99</v>
      </c>
      <c r="AH533" s="719">
        <v>1500</v>
      </c>
      <c r="AI533" s="719">
        <v>-4935</v>
      </c>
      <c r="AJ533" s="719"/>
      <c r="AK533" s="719"/>
      <c r="AL533" s="719"/>
      <c r="AM533" s="719" t="s">
        <v>2609</v>
      </c>
      <c r="AN533" s="719">
        <v>5.25</v>
      </c>
      <c r="AO533" s="719"/>
      <c r="AP533" s="719"/>
      <c r="AQ533" s="724"/>
      <c r="AR533" s="724"/>
      <c r="AS533" s="724"/>
      <c r="AT533" s="724">
        <f>+ab($T$533,$T$531,$T$535,$G$532,$G$534,-1*$F$533,1200)</f>
        <v>7.9442083933778509</v>
      </c>
      <c r="AU533" s="724"/>
      <c r="AV533" s="724"/>
      <c r="AW533" s="719"/>
      <c r="AX533" s="719"/>
      <c r="AY533" s="719"/>
      <c r="AZ533" s="533"/>
    </row>
    <row r="534" spans="1:54" ht="15.75" hidden="1" customHeight="1">
      <c r="A534" s="716"/>
      <c r="B534" s="735"/>
      <c r="C534" s="718"/>
      <c r="D534" s="719"/>
      <c r="E534" s="719"/>
      <c r="F534" s="720"/>
      <c r="G534" s="721">
        <v>50</v>
      </c>
      <c r="H534" s="726"/>
      <c r="I534" s="726"/>
      <c r="J534" s="727"/>
      <c r="K534" s="719"/>
      <c r="L534" s="719"/>
      <c r="M534" s="719"/>
      <c r="N534" s="726"/>
      <c r="O534" s="726"/>
      <c r="P534" s="726"/>
      <c r="Q534" s="719"/>
      <c r="R534" s="719"/>
      <c r="S534" s="719">
        <f t="shared" si="60"/>
        <v>49.959999999999127</v>
      </c>
      <c r="T534" s="719"/>
      <c r="U534" s="719"/>
      <c r="V534" s="719"/>
      <c r="W534" s="719"/>
      <c r="X534" s="719"/>
      <c r="Y534" s="719"/>
      <c r="Z534" s="719"/>
      <c r="AA534" s="719"/>
      <c r="AB534" s="719"/>
      <c r="AC534" s="719"/>
      <c r="AD534" s="719"/>
      <c r="AE534" s="719"/>
      <c r="AF534" s="719"/>
      <c r="AG534" s="1341"/>
      <c r="AH534" s="719"/>
      <c r="AI534" s="719"/>
      <c r="AJ534" s="719"/>
      <c r="AK534" s="719"/>
      <c r="AL534" s="719"/>
      <c r="AM534" s="719"/>
      <c r="AN534" s="719"/>
      <c r="AO534" s="719"/>
      <c r="AP534" s="719"/>
      <c r="AQ534" s="724">
        <f>+FL_2($T$535,$T$533,$G$534,1200,9.28,-1*$F$535)</f>
        <v>-0.33477011200000001</v>
      </c>
      <c r="AR534" s="724"/>
      <c r="AS534" s="724"/>
      <c r="AT534" s="724"/>
      <c r="AU534" s="724"/>
      <c r="AV534" s="724"/>
      <c r="AW534" s="719"/>
      <c r="AX534" s="719"/>
      <c r="AY534" s="719"/>
      <c r="AZ534" s="533"/>
    </row>
    <row r="535" spans="1:54" ht="15.75" hidden="1" customHeight="1">
      <c r="A535" s="716" t="s">
        <v>676</v>
      </c>
      <c r="B535" s="741" t="s">
        <v>1564</v>
      </c>
      <c r="C535" s="718">
        <f>+$C$533+$G$534</f>
        <v>43683</v>
      </c>
      <c r="D535" s="719"/>
      <c r="E535" s="719"/>
      <c r="F535" s="720">
        <v>0</v>
      </c>
      <c r="G535" s="721"/>
      <c r="H535" s="726"/>
      <c r="I535" s="722"/>
      <c r="J535" s="727"/>
      <c r="K535" s="719"/>
      <c r="L535" s="719" t="s">
        <v>241</v>
      </c>
      <c r="M535" s="719"/>
      <c r="N535" s="726" t="s">
        <v>695</v>
      </c>
      <c r="O535" s="726"/>
      <c r="P535" s="726"/>
      <c r="Q535" s="719">
        <v>0</v>
      </c>
      <c r="R535" s="719">
        <v>0</v>
      </c>
      <c r="S535" s="719"/>
      <c r="T535" s="719">
        <v>-30</v>
      </c>
      <c r="U535" s="719"/>
      <c r="V535" s="719"/>
      <c r="W535" s="719">
        <v>1.1000000000000001</v>
      </c>
      <c r="X535" s="719"/>
      <c r="Y535" s="719"/>
      <c r="Z535" s="719"/>
      <c r="AA535" s="719"/>
      <c r="AB535" s="719"/>
      <c r="AC535" s="719" t="s">
        <v>2977</v>
      </c>
      <c r="AD535" s="719"/>
      <c r="AE535" s="719"/>
      <c r="AF535" s="719">
        <v>300</v>
      </c>
      <c r="AG535" s="1341">
        <v>43682.95</v>
      </c>
      <c r="AH535" s="719">
        <v>1506</v>
      </c>
      <c r="AI535" s="719">
        <v>-4902</v>
      </c>
      <c r="AJ535" s="719"/>
      <c r="AK535" s="719"/>
      <c r="AL535" s="719"/>
      <c r="AM535" s="719" t="s">
        <v>2609</v>
      </c>
      <c r="AN535" s="719">
        <v>5.25</v>
      </c>
      <c r="AO535" s="719"/>
      <c r="AP535" s="719"/>
      <c r="AQ535" s="724"/>
      <c r="AR535" s="724"/>
      <c r="AS535" s="724"/>
      <c r="AT535" s="724">
        <f>+ab($T$535,$T$533,$T$537,$G$534,$G$536,-1*$F$535,1200)</f>
        <v>-7.9442410717051439</v>
      </c>
      <c r="AU535" s="724"/>
      <c r="AV535" s="724"/>
      <c r="AW535" s="719"/>
      <c r="AX535" s="719"/>
      <c r="AY535" s="719"/>
      <c r="AZ535" s="533"/>
    </row>
    <row r="536" spans="1:54" ht="15.75" hidden="1" customHeight="1">
      <c r="A536" s="716"/>
      <c r="B536" s="735"/>
      <c r="C536" s="718"/>
      <c r="D536" s="719"/>
      <c r="E536" s="719"/>
      <c r="F536" s="720"/>
      <c r="G536" s="721">
        <v>50</v>
      </c>
      <c r="H536" s="726"/>
      <c r="I536" s="726"/>
      <c r="J536" s="727"/>
      <c r="K536" s="719"/>
      <c r="L536" s="719"/>
      <c r="M536" s="719"/>
      <c r="N536" s="726"/>
      <c r="O536" s="726"/>
      <c r="P536" s="726"/>
      <c r="Q536" s="719"/>
      <c r="R536" s="719"/>
      <c r="S536" s="719">
        <f t="shared" si="60"/>
        <v>50.069999999999709</v>
      </c>
      <c r="T536" s="719"/>
      <c r="U536" s="719"/>
      <c r="V536" s="719"/>
      <c r="W536" s="719"/>
      <c r="X536" s="719"/>
      <c r="Y536" s="719"/>
      <c r="Z536" s="719"/>
      <c r="AA536" s="719"/>
      <c r="AB536" s="719"/>
      <c r="AC536" s="719"/>
      <c r="AD536" s="719"/>
      <c r="AE536" s="719"/>
      <c r="AF536" s="719"/>
      <c r="AG536" s="1341"/>
      <c r="AH536" s="719"/>
      <c r="AI536" s="719"/>
      <c r="AJ536" s="719"/>
      <c r="AK536" s="719"/>
      <c r="AL536" s="719"/>
      <c r="AM536" s="719"/>
      <c r="AN536" s="719"/>
      <c r="AO536" s="719"/>
      <c r="AP536" s="719"/>
      <c r="AQ536" s="724">
        <f>+FL_1($T$537,$T$535,$G$536,1200,9.28,-1*$F$537)</f>
        <v>0.33477011200000001</v>
      </c>
      <c r="AR536" s="724"/>
      <c r="AS536" s="724"/>
      <c r="AT536" s="724"/>
      <c r="AU536" s="724"/>
      <c r="AV536" s="724"/>
      <c r="AW536" s="719"/>
      <c r="AX536" s="719"/>
      <c r="AY536" s="719"/>
      <c r="AZ536" s="533"/>
    </row>
    <row r="537" spans="1:54" ht="15.75" hidden="1" customHeight="1">
      <c r="A537" s="716" t="s">
        <v>676</v>
      </c>
      <c r="B537" s="741" t="s">
        <v>1565</v>
      </c>
      <c r="C537" s="718">
        <f>+$C$535+$G$536</f>
        <v>43733</v>
      </c>
      <c r="D537" s="719"/>
      <c r="E537" s="719"/>
      <c r="F537" s="720">
        <v>0</v>
      </c>
      <c r="G537" s="721"/>
      <c r="H537" s="726"/>
      <c r="I537" s="722"/>
      <c r="J537" s="727"/>
      <c r="K537" s="719"/>
      <c r="L537" s="719" t="s">
        <v>241</v>
      </c>
      <c r="M537" s="719"/>
      <c r="N537" s="726" t="s">
        <v>696</v>
      </c>
      <c r="O537" s="726"/>
      <c r="P537" s="726"/>
      <c r="Q537" s="719">
        <v>0</v>
      </c>
      <c r="R537" s="719">
        <v>0</v>
      </c>
      <c r="S537" s="719"/>
      <c r="T537" s="719">
        <v>30</v>
      </c>
      <c r="U537" s="719"/>
      <c r="V537" s="719"/>
      <c r="W537" s="719">
        <v>1.1000000000000001</v>
      </c>
      <c r="X537" s="719"/>
      <c r="Y537" s="719"/>
      <c r="Z537" s="719"/>
      <c r="AA537" s="719"/>
      <c r="AB537" s="719"/>
      <c r="AC537" s="719" t="s">
        <v>2977</v>
      </c>
      <c r="AD537" s="719"/>
      <c r="AE537" s="719"/>
      <c r="AF537" s="719">
        <v>200</v>
      </c>
      <c r="AG537" s="1341">
        <v>43733.02</v>
      </c>
      <c r="AH537" s="719">
        <v>1500</v>
      </c>
      <c r="AI537" s="719">
        <v>-4941</v>
      </c>
      <c r="AJ537" s="719"/>
      <c r="AK537" s="719"/>
      <c r="AL537" s="719"/>
      <c r="AM537" s="719" t="s">
        <v>2609</v>
      </c>
      <c r="AN537" s="719">
        <v>5.25</v>
      </c>
      <c r="AO537" s="719"/>
      <c r="AP537" s="719"/>
      <c r="AQ537" s="724"/>
      <c r="AR537" s="724"/>
      <c r="AS537" s="724"/>
      <c r="AT537" s="724">
        <f>+ab($T$537,$T$535,$T$539,$G$536,$G$538,-1*$F$537,1200)</f>
        <v>7.7015071188351039</v>
      </c>
      <c r="AU537" s="724"/>
      <c r="AV537" s="724"/>
      <c r="AW537" s="719"/>
      <c r="AX537" s="719"/>
      <c r="AY537" s="719"/>
      <c r="AZ537" s="533"/>
    </row>
    <row r="538" spans="1:54" ht="15.75" hidden="1" customHeight="1">
      <c r="A538" s="716"/>
      <c r="B538" s="735"/>
      <c r="C538" s="718"/>
      <c r="D538" s="719"/>
      <c r="E538" s="719"/>
      <c r="F538" s="720"/>
      <c r="G538" s="721">
        <v>47</v>
      </c>
      <c r="H538" s="726"/>
      <c r="I538" s="722"/>
      <c r="J538" s="727"/>
      <c r="K538" s="719"/>
      <c r="L538" s="719"/>
      <c r="M538" s="719"/>
      <c r="N538" s="726"/>
      <c r="O538" s="726"/>
      <c r="P538" s="726"/>
      <c r="Q538" s="719"/>
      <c r="R538" s="719"/>
      <c r="S538" s="719">
        <f t="shared" si="60"/>
        <v>46.990000000005239</v>
      </c>
      <c r="T538" s="719"/>
      <c r="U538" s="719"/>
      <c r="V538" s="719"/>
      <c r="W538" s="719"/>
      <c r="X538" s="719"/>
      <c r="Y538" s="719"/>
      <c r="Z538" s="719"/>
      <c r="AA538" s="719"/>
      <c r="AB538" s="719"/>
      <c r="AC538" s="719"/>
      <c r="AD538" s="719"/>
      <c r="AE538" s="719"/>
      <c r="AF538" s="719"/>
      <c r="AG538" s="1341"/>
      <c r="AH538" s="719"/>
      <c r="AI538" s="719"/>
      <c r="AJ538" s="719"/>
      <c r="AK538" s="719"/>
      <c r="AL538" s="719"/>
      <c r="AM538" s="719"/>
      <c r="AN538" s="719"/>
      <c r="AO538" s="719"/>
      <c r="AP538" s="719"/>
      <c r="AQ538" s="724">
        <f>+FL_1($T$539,$T$537,$G$538,1200,9.28,-1*$F$539)</f>
        <v>0.31890498544680856</v>
      </c>
      <c r="AR538" s="724"/>
      <c r="AS538" s="724"/>
      <c r="AT538" s="724"/>
      <c r="AU538" s="724"/>
      <c r="AV538" s="724"/>
      <c r="AW538" s="719"/>
      <c r="AX538" s="719"/>
      <c r="AY538" s="719"/>
      <c r="AZ538" s="533"/>
    </row>
    <row r="539" spans="1:54" ht="15.75" hidden="1" customHeight="1">
      <c r="A539" s="716" t="s">
        <v>676</v>
      </c>
      <c r="B539" s="741" t="s">
        <v>1566</v>
      </c>
      <c r="C539" s="718">
        <f>+$C$537+$G$538</f>
        <v>43780</v>
      </c>
      <c r="D539" s="719"/>
      <c r="E539" s="719"/>
      <c r="F539" s="720">
        <v>0</v>
      </c>
      <c r="G539" s="721"/>
      <c r="H539" s="726" t="s">
        <v>138</v>
      </c>
      <c r="I539" s="722" t="s">
        <v>948</v>
      </c>
      <c r="J539" s="727"/>
      <c r="K539" s="719"/>
      <c r="L539" s="719" t="s">
        <v>241</v>
      </c>
      <c r="M539" s="719"/>
      <c r="N539" s="726" t="s">
        <v>695</v>
      </c>
      <c r="O539" s="726"/>
      <c r="P539" s="726"/>
      <c r="Q539" s="719">
        <v>0</v>
      </c>
      <c r="R539" s="719">
        <v>0</v>
      </c>
      <c r="S539" s="719"/>
      <c r="T539" s="719">
        <v>-30</v>
      </c>
      <c r="U539" s="719"/>
      <c r="V539" s="719"/>
      <c r="W539" s="719">
        <v>1.1000000000000001</v>
      </c>
      <c r="X539" s="719"/>
      <c r="Y539" s="719"/>
      <c r="Z539" s="719"/>
      <c r="AA539" s="719"/>
      <c r="AB539" s="719"/>
      <c r="AC539" s="719" t="s">
        <v>2612</v>
      </c>
      <c r="AD539" s="719"/>
      <c r="AE539" s="719"/>
      <c r="AF539" s="719">
        <v>300</v>
      </c>
      <c r="AG539" s="1341">
        <v>43780.01</v>
      </c>
      <c r="AH539" s="719">
        <v>1505</v>
      </c>
      <c r="AI539" s="719">
        <v>-4940</v>
      </c>
      <c r="AJ539" s="719"/>
      <c r="AK539" s="719"/>
      <c r="AL539" s="719"/>
      <c r="AM539" s="719" t="s">
        <v>2609</v>
      </c>
      <c r="AN539" s="724">
        <v>5.25</v>
      </c>
      <c r="AO539" s="719"/>
      <c r="AP539" s="719"/>
      <c r="AQ539" s="724"/>
      <c r="AR539" s="724"/>
      <c r="AS539" s="724"/>
      <c r="AT539" s="724">
        <f>+ab($T$539,$T$537,$T$541,$G$538,$G$540,-1*$F$539,1200)</f>
        <v>-7.19876604099061</v>
      </c>
      <c r="AU539" s="724"/>
      <c r="AV539" s="724"/>
      <c r="AW539" s="719"/>
      <c r="AX539" s="719"/>
      <c r="AY539" s="719"/>
    </row>
    <row r="540" spans="1:54" ht="15.75" hidden="1" customHeight="1">
      <c r="A540" s="716"/>
      <c r="B540" s="735"/>
      <c r="C540" s="718"/>
      <c r="D540" s="719"/>
      <c r="E540" s="719"/>
      <c r="F540" s="720"/>
      <c r="G540" s="721">
        <v>40</v>
      </c>
      <c r="H540" s="726"/>
      <c r="I540" s="726"/>
      <c r="J540" s="727">
        <f>C539+10</f>
        <v>43790</v>
      </c>
      <c r="K540" s="719" t="s">
        <v>1097</v>
      </c>
      <c r="L540" s="719"/>
      <c r="M540" s="719"/>
      <c r="N540" s="726"/>
      <c r="O540" s="726"/>
      <c r="P540" s="726"/>
      <c r="Q540" s="719"/>
      <c r="R540" s="719"/>
      <c r="S540" s="719">
        <f>AG541-AG539</f>
        <v>39.099999999998545</v>
      </c>
      <c r="T540" s="719"/>
      <c r="U540" s="719"/>
      <c r="V540" s="719"/>
      <c r="W540" s="719"/>
      <c r="X540" s="719"/>
      <c r="Y540" s="719"/>
      <c r="Z540" s="719"/>
      <c r="AA540" s="719"/>
      <c r="AB540" s="719"/>
      <c r="AC540" s="719"/>
      <c r="AD540" s="719"/>
      <c r="AE540" s="719"/>
      <c r="AF540" s="719"/>
      <c r="AG540" s="1341"/>
      <c r="AH540" s="719"/>
      <c r="AI540" s="719"/>
      <c r="AJ540" s="719"/>
      <c r="AK540" s="719"/>
      <c r="AL540" s="719"/>
      <c r="AM540" s="719"/>
      <c r="AN540" s="724"/>
      <c r="AO540" s="719"/>
      <c r="AP540" s="719"/>
      <c r="AQ540" s="724">
        <f>+FL_2($U$541,$T$539,$G$540,1200,9.28,-1*$F$541)</f>
        <v>-0.32916827466666665</v>
      </c>
      <c r="AR540" s="724"/>
      <c r="AS540" s="724"/>
      <c r="AT540" s="724"/>
      <c r="AU540" s="724"/>
      <c r="AV540" s="724"/>
      <c r="AW540" s="719"/>
      <c r="AX540" s="719"/>
      <c r="AY540" s="719"/>
      <c r="BB540" s="561"/>
    </row>
    <row r="541" spans="1:54" ht="15.75" hidden="1" customHeight="1">
      <c r="A541" s="716" t="s">
        <v>676</v>
      </c>
      <c r="B541" s="741" t="s">
        <v>1567</v>
      </c>
      <c r="C541" s="718">
        <f>+$C$539+$G$540</f>
        <v>43820</v>
      </c>
      <c r="D541" s="719"/>
      <c r="E541" s="719"/>
      <c r="F541" s="720">
        <v>0</v>
      </c>
      <c r="G541" s="721"/>
      <c r="H541" s="726" t="s">
        <v>668</v>
      </c>
      <c r="I541" s="726"/>
      <c r="J541" s="727"/>
      <c r="K541" s="719"/>
      <c r="L541" s="719" t="s">
        <v>465</v>
      </c>
      <c r="M541" s="719"/>
      <c r="N541" s="726" t="s">
        <v>697</v>
      </c>
      <c r="O541" s="726" t="s">
        <v>696</v>
      </c>
      <c r="P541" s="726"/>
      <c r="Q541" s="719">
        <v>0</v>
      </c>
      <c r="R541" s="719">
        <v>0</v>
      </c>
      <c r="S541" s="719">
        <f>AG542-AG541</f>
        <v>1.6399999999994179</v>
      </c>
      <c r="T541" s="719">
        <v>25</v>
      </c>
      <c r="U541" s="719">
        <v>5</v>
      </c>
      <c r="V541" s="719"/>
      <c r="W541" s="719">
        <v>1.1000000000000001</v>
      </c>
      <c r="X541" s="719">
        <v>1.2</v>
      </c>
      <c r="Y541" s="719"/>
      <c r="Z541" s="719">
        <v>0.45</v>
      </c>
      <c r="AA541" s="719"/>
      <c r="AB541" s="719"/>
      <c r="AC541" s="719"/>
      <c r="AD541" s="719" t="s">
        <v>2616</v>
      </c>
      <c r="AE541" s="719"/>
      <c r="AF541" s="719">
        <v>200</v>
      </c>
      <c r="AG541" s="1341">
        <v>43819.11</v>
      </c>
      <c r="AH541" s="719">
        <v>1512</v>
      </c>
      <c r="AI541" s="719">
        <v>-4952</v>
      </c>
      <c r="AJ541" s="719"/>
      <c r="AK541" s="719"/>
      <c r="AL541" s="719"/>
      <c r="AM541" s="719" t="s">
        <v>2609</v>
      </c>
      <c r="AN541" s="724">
        <v>5.25</v>
      </c>
      <c r="AO541" s="719"/>
      <c r="AP541" s="719"/>
      <c r="AQ541" s="724"/>
      <c r="AR541" s="724"/>
      <c r="AS541" s="724"/>
      <c r="AT541" s="724">
        <f>+ab($U$541,$T$539,$U$543,$G$540,$G$542,-1*$F$541,1200)</f>
        <v>12.58636244736789</v>
      </c>
      <c r="AU541" s="724"/>
      <c r="AV541" s="724"/>
      <c r="AW541" s="719"/>
      <c r="AX541" s="719"/>
      <c r="AY541" s="719"/>
    </row>
    <row r="542" spans="1:54" ht="15.75" hidden="1" customHeight="1">
      <c r="A542" s="716"/>
      <c r="B542" s="735"/>
      <c r="C542" s="718"/>
      <c r="D542" s="719"/>
      <c r="E542" s="719"/>
      <c r="F542" s="720"/>
      <c r="G542" s="721">
        <v>48</v>
      </c>
      <c r="H542" s="726"/>
      <c r="I542" s="726"/>
      <c r="J542" s="727"/>
      <c r="K542" s="719"/>
      <c r="L542" s="719"/>
      <c r="M542" s="719"/>
      <c r="N542" s="726"/>
      <c r="O542" s="726"/>
      <c r="P542" s="726"/>
      <c r="Q542" s="719">
        <v>0</v>
      </c>
      <c r="R542" s="719">
        <v>0</v>
      </c>
      <c r="S542" s="719">
        <f>AG543-AG542</f>
        <v>46.30000000000291</v>
      </c>
      <c r="T542" s="719"/>
      <c r="U542" s="719"/>
      <c r="V542" s="719"/>
      <c r="W542" s="719"/>
      <c r="X542" s="719"/>
      <c r="Y542" s="719"/>
      <c r="Z542" s="719"/>
      <c r="AA542" s="719"/>
      <c r="AB542" s="719"/>
      <c r="AC542" s="719"/>
      <c r="AD542" s="719"/>
      <c r="AE542" s="719"/>
      <c r="AF542" s="719">
        <v>200</v>
      </c>
      <c r="AG542" s="1341">
        <v>43820.75</v>
      </c>
      <c r="AH542" s="719">
        <v>1497</v>
      </c>
      <c r="AI542" s="719">
        <v>-4953</v>
      </c>
      <c r="AJ542" s="719"/>
      <c r="AK542" s="719"/>
      <c r="AL542" s="719"/>
      <c r="AM542" s="719"/>
      <c r="AN542" s="724"/>
      <c r="AO542" s="719"/>
      <c r="AP542" s="719"/>
      <c r="AQ542" s="724">
        <f>+FL_1($T$543,$U$541,$G$542,1200,9.28,-1*$F$543)</f>
        <v>0.22552620800000001</v>
      </c>
      <c r="AR542" s="724"/>
      <c r="AS542" s="724"/>
      <c r="AT542" s="724"/>
      <c r="AU542" s="724"/>
      <c r="AV542" s="724"/>
      <c r="AW542" s="719"/>
      <c r="AX542" s="719"/>
      <c r="AY542" s="719"/>
    </row>
    <row r="543" spans="1:54" ht="15.75" hidden="1" customHeight="1">
      <c r="A543" s="716" t="s">
        <v>676</v>
      </c>
      <c r="B543" s="741" t="s">
        <v>1568</v>
      </c>
      <c r="C543" s="718">
        <f>+$C$541+$G$542</f>
        <v>43868</v>
      </c>
      <c r="D543" s="719"/>
      <c r="E543" s="719"/>
      <c r="F543" s="720">
        <v>0</v>
      </c>
      <c r="G543" s="721"/>
      <c r="H543" s="726" t="s">
        <v>668</v>
      </c>
      <c r="I543" s="726"/>
      <c r="J543" s="727"/>
      <c r="K543" s="719"/>
      <c r="L543" s="719" t="s">
        <v>465</v>
      </c>
      <c r="M543" s="719"/>
      <c r="N543" s="726" t="s">
        <v>695</v>
      </c>
      <c r="O543" s="726" t="s">
        <v>697</v>
      </c>
      <c r="P543" s="726"/>
      <c r="Q543" s="719">
        <v>0</v>
      </c>
      <c r="R543" s="719">
        <v>0</v>
      </c>
      <c r="S543" s="719">
        <f>AG544-AG543</f>
        <v>1.6499999999941792</v>
      </c>
      <c r="T543" s="719">
        <v>-5</v>
      </c>
      <c r="U543" s="719">
        <v>-25</v>
      </c>
      <c r="V543" s="719"/>
      <c r="W543" s="719">
        <v>1.1000000000000001</v>
      </c>
      <c r="X543" s="719">
        <v>1.2</v>
      </c>
      <c r="Y543" s="719"/>
      <c r="Z543" s="719"/>
      <c r="AA543" s="719">
        <v>0.45</v>
      </c>
      <c r="AB543" s="719"/>
      <c r="AC543" s="719" t="s">
        <v>2612</v>
      </c>
      <c r="AD543" s="719"/>
      <c r="AE543" s="719"/>
      <c r="AF543" s="719">
        <v>300</v>
      </c>
      <c r="AG543" s="1341">
        <v>43867.05</v>
      </c>
      <c r="AH543" s="719">
        <v>1499</v>
      </c>
      <c r="AI543" s="719">
        <v>-4907</v>
      </c>
      <c r="AJ543" s="719"/>
      <c r="AK543" s="719"/>
      <c r="AL543" s="719"/>
      <c r="AM543" s="719" t="s">
        <v>2609</v>
      </c>
      <c r="AN543" s="724">
        <v>5.27</v>
      </c>
      <c r="AO543" s="719"/>
      <c r="AP543" s="719"/>
      <c r="AQ543" s="724"/>
      <c r="AR543" s="724"/>
      <c r="AS543" s="724"/>
      <c r="AT543" s="724">
        <f>+ab($T$543,$T$541,$T$545,$G$542,$G$544,-1*$F$543,1200)</f>
        <v>-12.222953507339589</v>
      </c>
      <c r="AU543" s="724"/>
      <c r="AV543" s="724"/>
      <c r="AW543" s="719"/>
      <c r="AX543" s="719"/>
      <c r="AY543" s="719"/>
    </row>
    <row r="544" spans="1:54" ht="15.75" hidden="1" customHeight="1">
      <c r="A544" s="716"/>
      <c r="B544" s="735"/>
      <c r="C544" s="718"/>
      <c r="D544" s="719"/>
      <c r="E544" s="719"/>
      <c r="F544" s="720"/>
      <c r="G544" s="721">
        <v>38</v>
      </c>
      <c r="H544" s="726"/>
      <c r="I544" s="726"/>
      <c r="J544" s="727">
        <f>C545-10</f>
        <v>43896</v>
      </c>
      <c r="K544" s="719" t="s">
        <v>1097</v>
      </c>
      <c r="L544" s="719"/>
      <c r="M544" s="719"/>
      <c r="N544" s="726"/>
      <c r="O544" s="726"/>
      <c r="P544" s="738"/>
      <c r="Q544" s="719">
        <v>0</v>
      </c>
      <c r="R544" s="719">
        <v>0</v>
      </c>
      <c r="S544" s="719">
        <f>AG545-AG544</f>
        <v>37.840000000003783</v>
      </c>
      <c r="T544" s="719"/>
      <c r="U544" s="719"/>
      <c r="V544" s="719"/>
      <c r="W544" s="719"/>
      <c r="X544" s="719"/>
      <c r="Y544" s="719"/>
      <c r="Z544" s="719"/>
      <c r="AA544" s="719"/>
      <c r="AB544" s="719"/>
      <c r="AC544" s="719"/>
      <c r="AD544" s="719"/>
      <c r="AE544" s="719"/>
      <c r="AF544" s="719">
        <v>200</v>
      </c>
      <c r="AG544" s="1341">
        <v>43868.7</v>
      </c>
      <c r="AH544" s="719">
        <v>1501</v>
      </c>
      <c r="AI544" s="719">
        <v>-4921</v>
      </c>
      <c r="AJ544" s="719"/>
      <c r="AK544" s="719"/>
      <c r="AL544" s="719"/>
      <c r="AM544" s="719"/>
      <c r="AN544" s="724"/>
      <c r="AO544" s="719"/>
      <c r="AP544" s="719"/>
      <c r="AQ544" s="724">
        <f>+FL_1($T$545,$T$543,$G$544,1200,9.28,-1*$F$545)</f>
        <v>0.31943610308771925</v>
      </c>
      <c r="AR544" s="724"/>
      <c r="AS544" s="724"/>
      <c r="AT544" s="724"/>
      <c r="AU544" s="724"/>
      <c r="AV544" s="724"/>
      <c r="AW544" s="719"/>
      <c r="AX544" s="719"/>
      <c r="AY544" s="719"/>
      <c r="BB544" s="561"/>
    </row>
    <row r="545" spans="1:51" ht="15.75" hidden="1" customHeight="1">
      <c r="A545" s="716" t="s">
        <v>676</v>
      </c>
      <c r="B545" s="741" t="s">
        <v>1569</v>
      </c>
      <c r="C545" s="718">
        <f>+$C$543+$G$544</f>
        <v>43906</v>
      </c>
      <c r="D545" s="719"/>
      <c r="E545" s="719"/>
      <c r="F545" s="720">
        <v>0</v>
      </c>
      <c r="G545" s="721"/>
      <c r="H545" s="726" t="s">
        <v>138</v>
      </c>
      <c r="I545" s="726" t="s">
        <v>948</v>
      </c>
      <c r="J545" s="727"/>
      <c r="K545" s="719"/>
      <c r="L545" s="719" t="s">
        <v>241</v>
      </c>
      <c r="M545" s="719"/>
      <c r="N545" s="726" t="s">
        <v>696</v>
      </c>
      <c r="O545" s="726"/>
      <c r="P545" s="738"/>
      <c r="Q545" s="719">
        <v>0</v>
      </c>
      <c r="R545" s="719">
        <v>0</v>
      </c>
      <c r="S545" s="719"/>
      <c r="T545" s="719">
        <v>30</v>
      </c>
      <c r="U545" s="719"/>
      <c r="V545" s="719"/>
      <c r="W545" s="719">
        <v>1.1000000000000001</v>
      </c>
      <c r="X545" s="719"/>
      <c r="Y545" s="719"/>
      <c r="Z545" s="719"/>
      <c r="AA545" s="719"/>
      <c r="AB545" s="719"/>
      <c r="AC545" s="719" t="s">
        <v>2977</v>
      </c>
      <c r="AD545" s="719"/>
      <c r="AE545" s="719"/>
      <c r="AF545" s="719">
        <v>200</v>
      </c>
      <c r="AG545" s="1341">
        <v>43906.54</v>
      </c>
      <c r="AH545" s="719">
        <v>1491</v>
      </c>
      <c r="AI545" s="719">
        <v>-4971</v>
      </c>
      <c r="AJ545" s="719"/>
      <c r="AK545" s="719"/>
      <c r="AL545" s="719"/>
      <c r="AM545" s="719" t="s">
        <v>2609</v>
      </c>
      <c r="AN545" s="724">
        <v>5.33</v>
      </c>
      <c r="AO545" s="719"/>
      <c r="AP545" s="719"/>
      <c r="AQ545" s="724"/>
      <c r="AR545" s="724"/>
      <c r="AS545" s="724"/>
      <c r="AT545" s="724">
        <f>+ab($T$545,$T$543,-$T$547,$G$544,$G$546,-1*$F$545,1200)</f>
        <v>7.9496875113134378</v>
      </c>
      <c r="AU545" s="724"/>
      <c r="AV545" s="724"/>
      <c r="AW545" s="719"/>
      <c r="AX545" s="719"/>
      <c r="AY545" s="719"/>
    </row>
    <row r="546" spans="1:51" ht="15.75" hidden="1" customHeight="1">
      <c r="A546" s="742" t="s">
        <v>1103</v>
      </c>
      <c r="B546" s="735"/>
      <c r="C546" s="718"/>
      <c r="D546" s="719"/>
      <c r="E546" s="719"/>
      <c r="F546" s="720"/>
      <c r="G546" s="721">
        <v>44</v>
      </c>
      <c r="H546" s="726"/>
      <c r="I546" s="726" t="s">
        <v>2053</v>
      </c>
      <c r="J546" s="727"/>
      <c r="K546" s="719" t="s">
        <v>1102</v>
      </c>
      <c r="L546" s="719"/>
      <c r="M546" s="719"/>
      <c r="N546" s="726"/>
      <c r="O546" s="726"/>
      <c r="P546" s="738"/>
      <c r="Q546" s="719"/>
      <c r="R546" s="719"/>
      <c r="S546" s="719">
        <f t="shared" ref="S546" si="62">AG547-AG545</f>
        <v>47.319999999999709</v>
      </c>
      <c r="T546" s="719"/>
      <c r="U546" s="719"/>
      <c r="V546" s="719"/>
      <c r="W546" s="719"/>
      <c r="X546" s="719"/>
      <c r="Y546" s="719"/>
      <c r="Z546" s="719"/>
      <c r="AA546" s="719"/>
      <c r="AB546" s="719"/>
      <c r="AC546" s="719"/>
      <c r="AD546" s="719"/>
      <c r="AE546" s="719"/>
      <c r="AF546" s="719"/>
      <c r="AG546" s="1341"/>
      <c r="AH546" s="719"/>
      <c r="AI546" s="719"/>
      <c r="AJ546" s="719"/>
      <c r="AK546" s="719"/>
      <c r="AL546" s="719"/>
      <c r="AM546" s="719"/>
      <c r="AN546" s="724"/>
      <c r="AO546" s="719"/>
      <c r="AP546" s="719"/>
      <c r="AQ546" s="724">
        <f>+FL_2(-$T$547,$T$545,$G$546,1200,9.28,-1*$F$547)</f>
        <v>-0.35324589090909086</v>
      </c>
      <c r="AR546" s="724"/>
      <c r="AS546" s="724"/>
      <c r="AT546" s="724"/>
      <c r="AU546" s="724"/>
      <c r="AV546" s="724"/>
      <c r="AW546" s="719"/>
      <c r="AX546" s="719"/>
      <c r="AY546" s="719"/>
    </row>
    <row r="547" spans="1:51" ht="15.75" hidden="1" customHeight="1">
      <c r="A547" s="701" t="s">
        <v>2948</v>
      </c>
      <c r="B547" s="713" t="s">
        <v>1570</v>
      </c>
      <c r="C547" s="703">
        <f>+$C$545+$G$546</f>
        <v>43950</v>
      </c>
      <c r="D547" s="704"/>
      <c r="E547" s="704"/>
      <c r="F547" s="705">
        <v>0</v>
      </c>
      <c r="G547" s="706"/>
      <c r="H547" s="707"/>
      <c r="I547" s="707"/>
      <c r="J547" s="714"/>
      <c r="K547" s="704"/>
      <c r="L547" s="704" t="s">
        <v>232</v>
      </c>
      <c r="M547" s="704" t="s">
        <v>2633</v>
      </c>
      <c r="N547" s="707" t="s">
        <v>145</v>
      </c>
      <c r="O547" s="707"/>
      <c r="P547" s="707"/>
      <c r="Q547" s="704">
        <v>0</v>
      </c>
      <c r="R547" s="704">
        <v>0</v>
      </c>
      <c r="S547" s="704"/>
      <c r="T547" s="704">
        <v>35</v>
      </c>
      <c r="U547" s="704"/>
      <c r="V547" s="704"/>
      <c r="W547" s="704">
        <v>1.4</v>
      </c>
      <c r="X547" s="704"/>
      <c r="Y547" s="704"/>
      <c r="Z547" s="704"/>
      <c r="AA547" s="704"/>
      <c r="AB547" s="704"/>
      <c r="AC547" s="704" t="s">
        <v>2978</v>
      </c>
      <c r="AD547" s="704"/>
      <c r="AE547" s="704"/>
      <c r="AF547" s="704">
        <v>5800</v>
      </c>
      <c r="AG547" s="1343">
        <v>43953.86</v>
      </c>
      <c r="AH547" s="704">
        <v>2812</v>
      </c>
      <c r="AI547" s="704">
        <v>-66</v>
      </c>
      <c r="AJ547" s="704" t="s">
        <v>2466</v>
      </c>
      <c r="AK547" s="704"/>
      <c r="AL547" s="704"/>
      <c r="AM547" s="704" t="s">
        <v>2054</v>
      </c>
      <c r="AN547" s="711">
        <v>5.4</v>
      </c>
      <c r="AO547" s="704"/>
      <c r="AP547" s="704"/>
      <c r="AQ547" s="711"/>
      <c r="AR547" s="711"/>
      <c r="AS547" s="711"/>
      <c r="AT547" s="711">
        <f>+ab($T$547,-$T$545,-$T$549,$G$546,$G$548,-1*$F$547,1200)</f>
        <v>6.920471672108695</v>
      </c>
      <c r="AU547" s="711"/>
      <c r="AV547" s="711"/>
      <c r="AW547" s="704"/>
      <c r="AX547" s="704"/>
      <c r="AY547" s="704"/>
    </row>
    <row r="548" spans="1:51" ht="15.75" hidden="1" customHeight="1">
      <c r="A548" s="766" t="s">
        <v>1104</v>
      </c>
      <c r="B548" s="768"/>
      <c r="C548" s="768"/>
      <c r="D548" s="769"/>
      <c r="E548" s="769"/>
      <c r="F548" s="770"/>
      <c r="G548" s="771">
        <v>54.6</v>
      </c>
      <c r="H548" s="772"/>
      <c r="I548" s="775"/>
      <c r="J548" s="783"/>
      <c r="K548" s="769"/>
      <c r="L548" s="769"/>
      <c r="M548" s="769"/>
      <c r="N548" s="772"/>
      <c r="O548" s="772"/>
      <c r="P548" s="772"/>
      <c r="Q548" s="769"/>
      <c r="R548" s="769"/>
      <c r="S548" s="769">
        <f t="shared" ref="S548" si="63">AG549-AG547</f>
        <v>50.729999999995925</v>
      </c>
      <c r="T548" s="769"/>
      <c r="U548" s="769"/>
      <c r="V548" s="769"/>
      <c r="W548" s="769"/>
      <c r="X548" s="769"/>
      <c r="Y548" s="769"/>
      <c r="Z548" s="769"/>
      <c r="AA548" s="769"/>
      <c r="AB548" s="769"/>
      <c r="AC548" s="769"/>
      <c r="AD548" s="769"/>
      <c r="AE548" s="769"/>
      <c r="AF548" s="769"/>
      <c r="AG548" s="1342"/>
      <c r="AH548" s="769"/>
      <c r="AI548" s="769"/>
      <c r="AJ548" s="704" t="s">
        <v>2976</v>
      </c>
      <c r="AK548" s="769"/>
      <c r="AL548" s="769"/>
      <c r="AM548" s="769"/>
      <c r="AN548" s="774"/>
      <c r="AO548" s="769"/>
      <c r="AP548" s="769"/>
      <c r="AQ548" s="774">
        <f>+FL_1($T$549,-$T$547,$G$548,1200,12.44,-1*$F$549)</f>
        <v>0.46558463375641024</v>
      </c>
      <c r="AR548" s="774"/>
      <c r="AS548" s="774"/>
      <c r="AT548" s="774"/>
      <c r="AU548" s="774"/>
      <c r="AV548" s="774"/>
      <c r="AW548" s="769"/>
      <c r="AX548" s="769"/>
      <c r="AY548" s="769"/>
    </row>
    <row r="549" spans="1:51" ht="15.75" hidden="1" customHeight="1">
      <c r="A549" s="782"/>
      <c r="B549" s="784" t="s">
        <v>1571</v>
      </c>
      <c r="C549" s="768">
        <f>+$C$547+$G$548</f>
        <v>44004.6</v>
      </c>
      <c r="D549" s="769"/>
      <c r="E549" s="769"/>
      <c r="F549" s="770">
        <v>0</v>
      </c>
      <c r="G549" s="771"/>
      <c r="H549" s="772"/>
      <c r="I549" s="775"/>
      <c r="J549" s="783"/>
      <c r="K549" s="769"/>
      <c r="L549" s="769" t="s">
        <v>1118</v>
      </c>
      <c r="M549" s="769" t="s">
        <v>2668</v>
      </c>
      <c r="N549" s="772" t="s">
        <v>145</v>
      </c>
      <c r="O549" s="772"/>
      <c r="P549" s="772"/>
      <c r="Q549" s="769">
        <v>0</v>
      </c>
      <c r="R549" s="769">
        <v>0</v>
      </c>
      <c r="S549" s="769"/>
      <c r="T549" s="769">
        <v>35</v>
      </c>
      <c r="U549" s="769"/>
      <c r="V549" s="769"/>
      <c r="W549" s="769">
        <v>1.4</v>
      </c>
      <c r="X549" s="769"/>
      <c r="Y549" s="769"/>
      <c r="Z549" s="769"/>
      <c r="AA549" s="769"/>
      <c r="AB549" s="769"/>
      <c r="AC549" s="769" t="s">
        <v>2978</v>
      </c>
      <c r="AD549" s="769"/>
      <c r="AE549" s="769"/>
      <c r="AF549" s="769">
        <v>5400</v>
      </c>
      <c r="AG549" s="1342">
        <v>44004.59</v>
      </c>
      <c r="AH549" s="769">
        <v>3234</v>
      </c>
      <c r="AI549" s="769">
        <v>-113</v>
      </c>
      <c r="AJ549" s="769"/>
      <c r="AK549" s="769"/>
      <c r="AL549" s="769"/>
      <c r="AM549" s="769" t="s">
        <v>2054</v>
      </c>
      <c r="AN549" s="774">
        <v>5.45</v>
      </c>
      <c r="AO549" s="769"/>
      <c r="AP549" s="769"/>
      <c r="AQ549" s="774"/>
      <c r="AR549" s="774"/>
      <c r="AS549" s="774"/>
      <c r="AT549" s="774">
        <f>+ab($T$549,-$T$547,$T$551,$G$548,$G$550,-1*$F$549,1200)</f>
        <v>6.6492423471870437</v>
      </c>
      <c r="AU549" s="774"/>
      <c r="AV549" s="774"/>
      <c r="AW549" s="769"/>
      <c r="AX549" s="769"/>
      <c r="AY549" s="769"/>
    </row>
    <row r="550" spans="1:51" ht="15.75" hidden="1" customHeight="1">
      <c r="A550" s="766"/>
      <c r="B550" s="768"/>
      <c r="C550" s="768"/>
      <c r="D550" s="769"/>
      <c r="E550" s="769"/>
      <c r="F550" s="770"/>
      <c r="G550" s="771">
        <v>44</v>
      </c>
      <c r="H550" s="772"/>
      <c r="I550" s="775"/>
      <c r="J550" s="783"/>
      <c r="K550" s="769"/>
      <c r="L550" s="769"/>
      <c r="M550" s="769"/>
      <c r="N550" s="772"/>
      <c r="O550" s="772"/>
      <c r="P550" s="772"/>
      <c r="Q550" s="769"/>
      <c r="R550" s="769"/>
      <c r="S550" s="769">
        <f t="shared" ref="S550" si="64">AG551-AG549</f>
        <v>44.380000000004657</v>
      </c>
      <c r="T550" s="769"/>
      <c r="U550" s="769"/>
      <c r="V550" s="769"/>
      <c r="W550" s="769"/>
      <c r="X550" s="769"/>
      <c r="Y550" s="769"/>
      <c r="Z550" s="769"/>
      <c r="AA550" s="769"/>
      <c r="AB550" s="769"/>
      <c r="AC550" s="769"/>
      <c r="AD550" s="769"/>
      <c r="AE550" s="769"/>
      <c r="AF550" s="769"/>
      <c r="AG550" s="1342"/>
      <c r="AH550" s="769"/>
      <c r="AI550" s="769"/>
      <c r="AJ550" s="769"/>
      <c r="AK550" s="769"/>
      <c r="AL550" s="769"/>
      <c r="AM550" s="769"/>
      <c r="AN550" s="774"/>
      <c r="AO550" s="769"/>
      <c r="AP550" s="769"/>
      <c r="AQ550" s="774">
        <f>+FL_2($T$551,$T$549,$G$550,1200,13.97,-1*$F$551)</f>
        <v>-0.39043233385227272</v>
      </c>
      <c r="AR550" s="774"/>
      <c r="AS550" s="774"/>
      <c r="AT550" s="774"/>
      <c r="AU550" s="774"/>
      <c r="AV550" s="774"/>
      <c r="AW550" s="769"/>
      <c r="AX550" s="769"/>
      <c r="AY550" s="769"/>
    </row>
    <row r="551" spans="1:51" ht="15.75" hidden="1" customHeight="1">
      <c r="A551" s="766"/>
      <c r="B551" s="784" t="s">
        <v>1572</v>
      </c>
      <c r="C551" s="768">
        <f>+$C$549+$G$550</f>
        <v>44048.6</v>
      </c>
      <c r="D551" s="769"/>
      <c r="E551" s="769"/>
      <c r="F551" s="770">
        <v>0</v>
      </c>
      <c r="G551" s="771"/>
      <c r="H551" s="772"/>
      <c r="I551" s="775"/>
      <c r="J551" s="783"/>
      <c r="K551" s="769"/>
      <c r="L551" s="769" t="s">
        <v>1118</v>
      </c>
      <c r="M551" s="769" t="s">
        <v>2668</v>
      </c>
      <c r="N551" s="769" t="s">
        <v>144</v>
      </c>
      <c r="O551" s="772"/>
      <c r="P551" s="772"/>
      <c r="Q551" s="769">
        <v>4</v>
      </c>
      <c r="R551" s="769">
        <v>42880</v>
      </c>
      <c r="S551" s="769"/>
      <c r="T551" s="769">
        <v>-35</v>
      </c>
      <c r="U551" s="769"/>
      <c r="V551" s="769"/>
      <c r="W551" s="769">
        <v>1.4</v>
      </c>
      <c r="X551" s="769"/>
      <c r="Y551" s="769"/>
      <c r="Z551" s="769"/>
      <c r="AA551" s="769"/>
      <c r="AB551" s="769"/>
      <c r="AC551" s="769" t="s">
        <v>2978</v>
      </c>
      <c r="AD551" s="769"/>
      <c r="AE551" s="769"/>
      <c r="AF551" s="769">
        <v>5400</v>
      </c>
      <c r="AG551" s="1342">
        <v>44048.97</v>
      </c>
      <c r="AH551" s="769">
        <v>3217</v>
      </c>
      <c r="AI551" s="769">
        <v>-99</v>
      </c>
      <c r="AJ551" s="769"/>
      <c r="AK551" s="769"/>
      <c r="AL551" s="769"/>
      <c r="AM551" s="769" t="s">
        <v>2054</v>
      </c>
      <c r="AN551" s="774">
        <v>5.5</v>
      </c>
      <c r="AO551" s="769"/>
      <c r="AP551" s="769"/>
      <c r="AQ551" s="774"/>
      <c r="AR551" s="774"/>
      <c r="AS551" s="774"/>
      <c r="AT551" s="774">
        <f>+ab($T$551,$T$549,$T$553,$G$550,$G$552,-1*$F$551,1200)</f>
        <v>-6.2296235478212374</v>
      </c>
      <c r="AU551" s="774"/>
      <c r="AV551" s="774"/>
      <c r="AW551" s="769"/>
      <c r="AX551" s="769"/>
      <c r="AY551" s="769"/>
    </row>
    <row r="552" spans="1:51" ht="15.75" hidden="1" customHeight="1">
      <c r="A552" s="766"/>
      <c r="B552" s="768"/>
      <c r="C552" s="768"/>
      <c r="D552" s="769"/>
      <c r="E552" s="769"/>
      <c r="F552" s="770"/>
      <c r="G552" s="771">
        <v>44</v>
      </c>
      <c r="H552" s="772"/>
      <c r="I552" s="775"/>
      <c r="J552" s="783"/>
      <c r="K552" s="769"/>
      <c r="L552" s="769"/>
      <c r="M552" s="769"/>
      <c r="N552" s="772"/>
      <c r="O552" s="772"/>
      <c r="P552" s="772"/>
      <c r="Q552" s="769"/>
      <c r="R552" s="769"/>
      <c r="S552" s="769">
        <f t="shared" ref="S552" si="65">AG553-AG551</f>
        <v>43.760000000002037</v>
      </c>
      <c r="T552" s="769"/>
      <c r="U552" s="769"/>
      <c r="V552" s="769"/>
      <c r="W552" s="769"/>
      <c r="X552" s="769"/>
      <c r="Y552" s="769"/>
      <c r="Z552" s="769"/>
      <c r="AA552" s="769"/>
      <c r="AB552" s="769"/>
      <c r="AC552" s="769"/>
      <c r="AD552" s="769"/>
      <c r="AE552" s="769"/>
      <c r="AF552" s="769"/>
      <c r="AG552" s="1342"/>
      <c r="AH552" s="769"/>
      <c r="AI552" s="769"/>
      <c r="AJ552" s="769"/>
      <c r="AK552" s="769"/>
      <c r="AL552" s="769"/>
      <c r="AM552" s="769"/>
      <c r="AN552" s="774"/>
      <c r="AO552" s="769"/>
      <c r="AP552" s="769"/>
      <c r="AQ552" s="774">
        <f>+FL_2($T$553,$T$551,$G$552,1200,13.38,-1*$F$553)</f>
        <v>-0.36994609021335878</v>
      </c>
      <c r="AR552" s="774"/>
      <c r="AS552" s="774"/>
      <c r="AT552" s="774"/>
      <c r="AU552" s="774"/>
      <c r="AV552" s="774"/>
      <c r="AW552" s="769"/>
      <c r="AX552" s="769"/>
      <c r="AY552" s="769"/>
    </row>
    <row r="553" spans="1:51" ht="15.75" hidden="1" customHeight="1">
      <c r="A553" s="766"/>
      <c r="B553" s="784" t="s">
        <v>1573</v>
      </c>
      <c r="C553" s="768">
        <f>+$C$551+$G$552</f>
        <v>44092.6</v>
      </c>
      <c r="D553" s="769"/>
      <c r="E553" s="769"/>
      <c r="F553" s="770">
        <f>309550/(C553-44042)</f>
        <v>6117.5889328065005</v>
      </c>
      <c r="G553" s="771"/>
      <c r="H553" s="772"/>
      <c r="I553" s="775"/>
      <c r="J553" s="783"/>
      <c r="K553" s="769"/>
      <c r="L553" s="769" t="s">
        <v>1118</v>
      </c>
      <c r="M553" s="769" t="s">
        <v>2668</v>
      </c>
      <c r="N553" s="772" t="s">
        <v>145</v>
      </c>
      <c r="O553" s="772"/>
      <c r="P553" s="772"/>
      <c r="Q553" s="769">
        <v>33</v>
      </c>
      <c r="R553" s="769">
        <v>5655.43</v>
      </c>
      <c r="S553" s="769"/>
      <c r="T553" s="769">
        <v>30</v>
      </c>
      <c r="U553" s="769"/>
      <c r="V553" s="769"/>
      <c r="W553" s="769">
        <v>1.4</v>
      </c>
      <c r="X553" s="769"/>
      <c r="Y553" s="769"/>
      <c r="Z553" s="769"/>
      <c r="AA553" s="769"/>
      <c r="AB553" s="769"/>
      <c r="AC553" s="769" t="s">
        <v>2616</v>
      </c>
      <c r="AD553" s="769"/>
      <c r="AE553" s="769"/>
      <c r="AF553" s="769">
        <v>5400</v>
      </c>
      <c r="AG553" s="1342">
        <v>44092.73</v>
      </c>
      <c r="AH553" s="769">
        <v>3017</v>
      </c>
      <c r="AI553" s="769">
        <v>-182</v>
      </c>
      <c r="AJ553" s="769"/>
      <c r="AK553" s="769"/>
      <c r="AL553" s="769"/>
      <c r="AM553" s="769" t="s">
        <v>2054</v>
      </c>
      <c r="AN553" s="774">
        <v>5.5</v>
      </c>
      <c r="AO553" s="769"/>
      <c r="AP553" s="769"/>
      <c r="AQ553" s="774"/>
      <c r="AR553" s="774"/>
      <c r="AS553" s="774"/>
      <c r="AT553" s="774">
        <f>+ab($T$553,$T$551,$T$555,$G$552,$G$554,-1*$F$553,1200)</f>
        <v>8.9703898887152516</v>
      </c>
      <c r="AU553" s="774"/>
      <c r="AV553" s="774"/>
      <c r="AW553" s="769"/>
      <c r="AX553" s="769"/>
      <c r="AY553" s="769"/>
    </row>
    <row r="554" spans="1:51" ht="15.75" hidden="1" customHeight="1">
      <c r="A554" s="766"/>
      <c r="B554" s="768"/>
      <c r="C554" s="768"/>
      <c r="D554" s="769"/>
      <c r="E554" s="769"/>
      <c r="F554" s="770"/>
      <c r="G554" s="771">
        <v>44</v>
      </c>
      <c r="H554" s="772"/>
      <c r="I554" s="775"/>
      <c r="J554" s="783"/>
      <c r="K554" s="769"/>
      <c r="L554" s="769"/>
      <c r="M554" s="769"/>
      <c r="N554" s="772"/>
      <c r="O554" s="772"/>
      <c r="P554" s="772"/>
      <c r="Q554" s="769"/>
      <c r="R554" s="769"/>
      <c r="S554" s="769">
        <f t="shared" ref="S554" si="66">AG555-AG553</f>
        <v>43.909999999996217</v>
      </c>
      <c r="T554" s="769"/>
      <c r="U554" s="769"/>
      <c r="V554" s="769"/>
      <c r="W554" s="769"/>
      <c r="X554" s="769"/>
      <c r="Y554" s="769"/>
      <c r="Z554" s="769"/>
      <c r="AA554" s="769"/>
      <c r="AB554" s="769"/>
      <c r="AC554" s="769"/>
      <c r="AD554" s="769"/>
      <c r="AE554" s="769"/>
      <c r="AF554" s="769"/>
      <c r="AG554" s="1342"/>
      <c r="AH554" s="769"/>
      <c r="AI554" s="769"/>
      <c r="AJ554" s="769"/>
      <c r="AK554" s="769"/>
      <c r="AL554" s="769"/>
      <c r="AM554" s="769"/>
      <c r="AN554" s="774"/>
      <c r="AO554" s="769"/>
      <c r="AP554" s="769"/>
      <c r="AQ554" s="774">
        <f>+FL_1($T$555,$T$553,$G$554,1200,12.26,-1*$F$555)</f>
        <v>0.39125009622838625</v>
      </c>
      <c r="AR554" s="774"/>
      <c r="AS554" s="774"/>
      <c r="AT554" s="774"/>
      <c r="AU554" s="774"/>
      <c r="AV554" s="774"/>
      <c r="AW554" s="769"/>
      <c r="AX554" s="769"/>
      <c r="AY554" s="769"/>
    </row>
    <row r="555" spans="1:51" ht="15.75" hidden="1" customHeight="1">
      <c r="A555" s="782"/>
      <c r="B555" s="784" t="s">
        <v>1574</v>
      </c>
      <c r="C555" s="768">
        <f>+$C$553+$G$554</f>
        <v>44136.6</v>
      </c>
      <c r="D555" s="769"/>
      <c r="E555" s="769"/>
      <c r="F555" s="770">
        <f>309550/(C555-44042)</f>
        <v>3272.1987315011074</v>
      </c>
      <c r="G555" s="771"/>
      <c r="H555" s="772"/>
      <c r="I555" s="775"/>
      <c r="J555" s="783"/>
      <c r="K555" s="769"/>
      <c r="L555" s="769" t="s">
        <v>1118</v>
      </c>
      <c r="M555" s="769" t="s">
        <v>2668</v>
      </c>
      <c r="N555" s="769" t="s">
        <v>144</v>
      </c>
      <c r="O555" s="772"/>
      <c r="P555" s="772"/>
      <c r="Q555" s="769">
        <v>64</v>
      </c>
      <c r="R555" s="769">
        <v>3040.2</v>
      </c>
      <c r="S555" s="769"/>
      <c r="T555" s="769">
        <v>-30</v>
      </c>
      <c r="U555" s="769"/>
      <c r="V555" s="769"/>
      <c r="W555" s="769">
        <v>1.4</v>
      </c>
      <c r="X555" s="769"/>
      <c r="Y555" s="769"/>
      <c r="Z555" s="769"/>
      <c r="AA555" s="769"/>
      <c r="AB555" s="769"/>
      <c r="AC555" s="769" t="s">
        <v>2978</v>
      </c>
      <c r="AD555" s="769"/>
      <c r="AE555" s="769"/>
      <c r="AF555" s="769">
        <v>5400</v>
      </c>
      <c r="AG555" s="1342">
        <v>44136.639999999999</v>
      </c>
      <c r="AH555" s="769">
        <v>3017</v>
      </c>
      <c r="AI555" s="769">
        <v>-95</v>
      </c>
      <c r="AJ555" s="769"/>
      <c r="AK555" s="769"/>
      <c r="AL555" s="769"/>
      <c r="AM555" s="769" t="s">
        <v>2054</v>
      </c>
      <c r="AN555" s="774">
        <v>5.43</v>
      </c>
      <c r="AO555" s="769"/>
      <c r="AP555" s="769"/>
      <c r="AQ555" s="774"/>
      <c r="AR555" s="774"/>
      <c r="AS555" s="774"/>
      <c r="AT555" s="774">
        <f>+ab($T$555,$T$553,$T$557,$G$554,$G$556,-1*$F$555,1200)</f>
        <v>-6.9181827859822098</v>
      </c>
      <c r="AU555" s="774"/>
      <c r="AV555" s="774"/>
      <c r="AW555" s="769"/>
      <c r="AX555" s="769"/>
      <c r="AY555" s="769"/>
    </row>
    <row r="556" spans="1:51" ht="15.75" hidden="1" customHeight="1">
      <c r="A556" s="766" t="s">
        <v>1105</v>
      </c>
      <c r="B556" s="768"/>
      <c r="C556" s="768"/>
      <c r="D556" s="769"/>
      <c r="E556" s="769"/>
      <c r="F556" s="770"/>
      <c r="G556" s="771">
        <v>47.4</v>
      </c>
      <c r="H556" s="772"/>
      <c r="I556" s="775"/>
      <c r="J556" s="783"/>
      <c r="K556" s="769"/>
      <c r="L556" s="769"/>
      <c r="M556" s="769"/>
      <c r="N556" s="772"/>
      <c r="O556" s="772"/>
      <c r="P556" s="772"/>
      <c r="Q556" s="769"/>
      <c r="R556" s="769"/>
      <c r="S556" s="769"/>
      <c r="T556" s="769"/>
      <c r="U556" s="769"/>
      <c r="V556" s="769"/>
      <c r="W556" s="769"/>
      <c r="X556" s="769"/>
      <c r="Y556" s="769"/>
      <c r="Z556" s="769"/>
      <c r="AA556" s="769"/>
      <c r="AB556" s="769"/>
      <c r="AC556" s="769"/>
      <c r="AD556" s="769"/>
      <c r="AE556" s="769"/>
      <c r="AF556" s="769"/>
      <c r="AG556" s="1342"/>
      <c r="AH556" s="769"/>
      <c r="AI556" s="769"/>
      <c r="AJ556" s="769"/>
      <c r="AK556" s="769"/>
      <c r="AL556" s="769"/>
      <c r="AM556" s="769"/>
      <c r="AN556" s="774"/>
      <c r="AO556" s="769"/>
      <c r="AP556" s="769"/>
      <c r="AQ556" s="774">
        <f>+FL_2($T$557,$T$555,$G$556,1200,12.26,-1*$F$557)</f>
        <v>-0.45809402440115898</v>
      </c>
      <c r="AR556" s="774"/>
      <c r="AS556" s="774"/>
      <c r="AT556" s="774"/>
      <c r="AU556" s="774"/>
      <c r="AV556" s="774"/>
      <c r="AW556" s="769"/>
      <c r="AX556" s="769"/>
      <c r="AY556" s="769"/>
    </row>
    <row r="557" spans="1:51" ht="15.75" hidden="1" customHeight="1">
      <c r="A557" s="701"/>
      <c r="B557" s="715" t="s">
        <v>1575</v>
      </c>
      <c r="C557" s="703">
        <f>+$C$555+$G$556</f>
        <v>44184</v>
      </c>
      <c r="D557" s="704"/>
      <c r="E557" s="704"/>
      <c r="F557" s="705">
        <f>309550/(C557-44042)</f>
        <v>2179.9295774647885</v>
      </c>
      <c r="G557" s="706"/>
      <c r="H557" s="707"/>
      <c r="I557" s="708"/>
      <c r="J557" s="714"/>
      <c r="K557" s="704"/>
      <c r="L557" s="704" t="s">
        <v>233</v>
      </c>
      <c r="M557" s="704" t="s">
        <v>3154</v>
      </c>
      <c r="N557" s="707" t="s">
        <v>144</v>
      </c>
      <c r="O557" s="707"/>
      <c r="P557" s="707"/>
      <c r="Q557" s="704"/>
      <c r="R557" s="704"/>
      <c r="S557" s="704"/>
      <c r="T557" s="704">
        <v>-30</v>
      </c>
      <c r="U557" s="704"/>
      <c r="V557" s="704"/>
      <c r="W557" s="704">
        <v>1.4</v>
      </c>
      <c r="X557" s="704"/>
      <c r="Y557" s="704"/>
      <c r="Z557" s="704"/>
      <c r="AA557" s="704"/>
      <c r="AB557" s="704"/>
      <c r="AC557" s="704" t="s">
        <v>2616</v>
      </c>
      <c r="AD557" s="704"/>
      <c r="AE557" s="704"/>
      <c r="AF557" s="704">
        <v>2300</v>
      </c>
      <c r="AG557" s="1343">
        <v>44184</v>
      </c>
      <c r="AH557" s="704">
        <v>3080</v>
      </c>
      <c r="AI557" s="704">
        <v>-3090</v>
      </c>
      <c r="AJ557" s="704"/>
      <c r="AK557" s="704"/>
      <c r="AL557" s="704"/>
      <c r="AM557" s="704" t="s">
        <v>2054</v>
      </c>
      <c r="AN557" s="711">
        <v>5.3</v>
      </c>
      <c r="AO557" s="704"/>
      <c r="AP557" s="704"/>
      <c r="AQ557" s="711"/>
      <c r="AR557" s="711"/>
      <c r="AS557" s="711"/>
      <c r="AT557" s="711">
        <f>+ab($T$557,$T$555,$T$559,$G$556,$G$558,-1*$F$557,1200)</f>
        <v>-9.8154565142383472</v>
      </c>
      <c r="AU557" s="711"/>
      <c r="AV557" s="711"/>
      <c r="AW557" s="704"/>
      <c r="AX557" s="704"/>
      <c r="AY557" s="704"/>
    </row>
    <row r="558" spans="1:51" ht="15.75" hidden="1" customHeight="1">
      <c r="A558" s="701"/>
      <c r="B558" s="703"/>
      <c r="C558" s="703"/>
      <c r="D558" s="704"/>
      <c r="E558" s="704"/>
      <c r="F558" s="705"/>
      <c r="G558" s="706">
        <v>37</v>
      </c>
      <c r="H558" s="707"/>
      <c r="I558" s="708"/>
      <c r="J558" s="714"/>
      <c r="K558" s="704"/>
      <c r="L558" s="704"/>
      <c r="M558" s="704"/>
      <c r="N558" s="707"/>
      <c r="O558" s="707"/>
      <c r="P558" s="707"/>
      <c r="Q558" s="704"/>
      <c r="R558" s="704"/>
      <c r="S558" s="704"/>
      <c r="T558" s="704"/>
      <c r="U558" s="704"/>
      <c r="V558" s="704"/>
      <c r="W558" s="704"/>
      <c r="X558" s="704"/>
      <c r="Y558" s="704"/>
      <c r="Z558" s="704"/>
      <c r="AA558" s="704"/>
      <c r="AB558" s="704"/>
      <c r="AC558" s="704"/>
      <c r="AD558" s="704"/>
      <c r="AE558" s="704"/>
      <c r="AF558" s="704"/>
      <c r="AG558" s="1343"/>
      <c r="AH558" s="704"/>
      <c r="AI558" s="704"/>
      <c r="AJ558" s="704"/>
      <c r="AK558" s="704"/>
      <c r="AL558" s="704"/>
      <c r="AM558" s="704"/>
      <c r="AN558" s="711"/>
      <c r="AO558" s="704"/>
      <c r="AP558" s="704"/>
      <c r="AQ558" s="711">
        <f>+FL_2($T$559,$T$557,$G$558,1200,9.28,-1*$F$559)</f>
        <v>-0.31900459906493467</v>
      </c>
      <c r="AR558" s="711"/>
      <c r="AS558" s="711"/>
      <c r="AT558" s="711"/>
      <c r="AU558" s="711"/>
      <c r="AV558" s="711"/>
      <c r="AW558" s="704"/>
      <c r="AX558" s="704"/>
      <c r="AY558" s="704"/>
    </row>
    <row r="559" spans="1:51" ht="15.75" customHeight="1">
      <c r="A559" s="742" t="s">
        <v>1106</v>
      </c>
      <c r="B559" s="728" t="s">
        <v>1576</v>
      </c>
      <c r="C559" s="718">
        <f>+$C$557+$G$558</f>
        <v>44221</v>
      </c>
      <c r="D559" s="719"/>
      <c r="E559" s="719">
        <v>130</v>
      </c>
      <c r="F559" s="720">
        <v>1510</v>
      </c>
      <c r="G559" s="721"/>
      <c r="H559" s="726" t="s">
        <v>1101</v>
      </c>
      <c r="I559" s="722" t="s">
        <v>2053</v>
      </c>
      <c r="J559" s="727"/>
      <c r="K559" s="719" t="s">
        <v>1102</v>
      </c>
      <c r="L559" s="719" t="s">
        <v>241</v>
      </c>
      <c r="M559" s="719"/>
      <c r="N559" s="719" t="s">
        <v>695</v>
      </c>
      <c r="O559" s="726"/>
      <c r="P559" s="726"/>
      <c r="Q559" s="719">
        <v>123</v>
      </c>
      <c r="R559" s="719">
        <v>1614.02</v>
      </c>
      <c r="S559" s="719"/>
      <c r="T559" s="719">
        <v>-30</v>
      </c>
      <c r="U559" s="719"/>
      <c r="V559" s="719"/>
      <c r="W559" s="719">
        <v>1.1000000000000001</v>
      </c>
      <c r="X559" s="719"/>
      <c r="Y559" s="719"/>
      <c r="Z559" s="719"/>
      <c r="AA559" s="719"/>
      <c r="AB559" s="719"/>
      <c r="AC559" s="719" t="s">
        <v>2979</v>
      </c>
      <c r="AD559" s="719"/>
      <c r="AE559" s="719"/>
      <c r="AF559" s="719">
        <v>200</v>
      </c>
      <c r="AG559" s="1341">
        <v>44220.45</v>
      </c>
      <c r="AH559" s="719">
        <v>1491</v>
      </c>
      <c r="AI559" s="719">
        <v>-4992</v>
      </c>
      <c r="AJ559" s="719"/>
      <c r="AK559" s="719"/>
      <c r="AL559" s="719"/>
      <c r="AM559" s="719" t="s">
        <v>2609</v>
      </c>
      <c r="AN559" s="724">
        <v>5.25</v>
      </c>
      <c r="AO559" s="719"/>
      <c r="AP559" s="719"/>
      <c r="AQ559" s="724"/>
      <c r="AR559" s="724"/>
      <c r="AS559" s="724"/>
      <c r="AT559" s="724">
        <f>+ab($T$559,$T$557,$T$561,$G$558,$G$560,-1*$F$559,1200)</f>
        <v>-7.9965033842096158</v>
      </c>
      <c r="AU559" s="724"/>
      <c r="AV559" s="724"/>
      <c r="AW559" s="719"/>
      <c r="AX559" s="719"/>
      <c r="AY559" s="719"/>
    </row>
    <row r="560" spans="1:51" ht="15.75" hidden="1" customHeight="1">
      <c r="A560" s="716"/>
      <c r="B560" s="718"/>
      <c r="C560" s="718"/>
      <c r="D560" s="719"/>
      <c r="E560" s="719"/>
      <c r="F560" s="720"/>
      <c r="G560" s="721">
        <v>35</v>
      </c>
      <c r="H560" s="726"/>
      <c r="I560" s="726">
        <f>+SUM(G540:G560)</f>
        <v>476</v>
      </c>
      <c r="J560" s="727">
        <f>C559+1</f>
        <v>44222</v>
      </c>
      <c r="K560" s="719" t="s">
        <v>1102</v>
      </c>
      <c r="L560" s="719"/>
      <c r="M560" s="719"/>
      <c r="N560" s="726"/>
      <c r="O560" s="726"/>
      <c r="P560" s="726"/>
      <c r="Q560" s="719"/>
      <c r="R560" s="719"/>
      <c r="S560" s="724">
        <f t="shared" ref="S560:S592" si="67">AG561-AG559</f>
        <v>34.900000000001455</v>
      </c>
      <c r="T560" s="719"/>
      <c r="U560" s="719"/>
      <c r="V560" s="719"/>
      <c r="W560" s="719"/>
      <c r="X560" s="719"/>
      <c r="Y560" s="719"/>
      <c r="Z560" s="719"/>
      <c r="AA560" s="719"/>
      <c r="AB560" s="719"/>
      <c r="AC560" s="719"/>
      <c r="AD560" s="719"/>
      <c r="AE560" s="719"/>
      <c r="AF560" s="719"/>
      <c r="AG560" s="1341"/>
      <c r="AH560" s="719"/>
      <c r="AI560" s="719"/>
      <c r="AJ560" s="719"/>
      <c r="AK560" s="719"/>
      <c r="AL560" s="719"/>
      <c r="AM560" s="719"/>
      <c r="AN560" s="724"/>
      <c r="AO560" s="719"/>
      <c r="AP560" s="719"/>
      <c r="AQ560" s="724">
        <f>+FL_2($T$561,$T$559,$G$560,1200,9.28,-1*$F$561)</f>
        <v>-0.31700597655801599</v>
      </c>
      <c r="AR560" s="724"/>
      <c r="AS560" s="724"/>
      <c r="AT560" s="724"/>
      <c r="AU560" s="724"/>
      <c r="AV560" s="724"/>
      <c r="AW560" s="719"/>
      <c r="AX560" s="719"/>
      <c r="AY560" s="719"/>
    </row>
    <row r="561" spans="1:51" ht="15.75" customHeight="1">
      <c r="A561" s="716" t="s">
        <v>676</v>
      </c>
      <c r="B561" s="728" t="s">
        <v>1577</v>
      </c>
      <c r="C561" s="718">
        <f>+$C$559+$G$560</f>
        <v>44256</v>
      </c>
      <c r="D561" s="719"/>
      <c r="E561" s="719">
        <v>130</v>
      </c>
      <c r="F561" s="720">
        <v>1510</v>
      </c>
      <c r="G561" s="721"/>
      <c r="H561" s="726" t="s">
        <v>997</v>
      </c>
      <c r="I561" s="726"/>
      <c r="J561" s="727"/>
      <c r="K561" s="719"/>
      <c r="L561" s="719" t="s">
        <v>241</v>
      </c>
      <c r="M561" s="719"/>
      <c r="N561" s="726" t="s">
        <v>695</v>
      </c>
      <c r="O561" s="726"/>
      <c r="P561" s="726"/>
      <c r="Q561" s="719">
        <v>131</v>
      </c>
      <c r="R561" s="719">
        <v>1510</v>
      </c>
      <c r="S561" s="724"/>
      <c r="T561" s="719">
        <v>-30</v>
      </c>
      <c r="U561" s="719"/>
      <c r="V561" s="719"/>
      <c r="W561" s="719">
        <v>1.1000000000000001</v>
      </c>
      <c r="X561" s="719"/>
      <c r="Y561" s="719"/>
      <c r="Z561" s="719"/>
      <c r="AA561" s="719"/>
      <c r="AB561" s="719"/>
      <c r="AC561" s="719" t="s">
        <v>2979</v>
      </c>
      <c r="AD561" s="719"/>
      <c r="AE561" s="719"/>
      <c r="AF561" s="719">
        <v>200</v>
      </c>
      <c r="AG561" s="1341">
        <v>44255.35</v>
      </c>
      <c r="AH561" s="719">
        <v>1504</v>
      </c>
      <c r="AI561" s="719">
        <v>-4971</v>
      </c>
      <c r="AJ561" s="719"/>
      <c r="AK561" s="719"/>
      <c r="AL561" s="719"/>
      <c r="AM561" s="719" t="s">
        <v>2609</v>
      </c>
      <c r="AN561" s="724">
        <v>5.25</v>
      </c>
      <c r="AO561" s="719"/>
      <c r="AP561" s="719"/>
      <c r="AQ561" s="724"/>
      <c r="AR561" s="724"/>
      <c r="AS561" s="724"/>
      <c r="AT561" s="724">
        <f>+ab($T$561,$T$559,$T$563,$G$560,$G$562,-1*$F$561,1200)</f>
        <v>-7.2959512772286494</v>
      </c>
      <c r="AU561" s="724"/>
      <c r="AV561" s="724"/>
      <c r="AW561" s="719"/>
      <c r="AX561" s="719"/>
      <c r="AY561" s="719"/>
    </row>
    <row r="562" spans="1:51" ht="15.75" hidden="1" customHeight="1">
      <c r="A562" s="716"/>
      <c r="B562" s="718"/>
      <c r="C562" s="718"/>
      <c r="D562" s="719"/>
      <c r="E562" s="719"/>
      <c r="F562" s="720"/>
      <c r="G562" s="721">
        <v>44</v>
      </c>
      <c r="H562" s="726"/>
      <c r="I562" s="726">
        <f>SUM(G562:G578)</f>
        <v>447</v>
      </c>
      <c r="J562" s="727">
        <f>C563-1</f>
        <v>44299</v>
      </c>
      <c r="K562" s="719" t="s">
        <v>1102</v>
      </c>
      <c r="L562" s="719"/>
      <c r="M562" s="719"/>
      <c r="N562" s="726"/>
      <c r="O562" s="726"/>
      <c r="P562" s="726"/>
      <c r="Q562" s="719"/>
      <c r="R562" s="719"/>
      <c r="S562" s="724">
        <f t="shared" si="67"/>
        <v>43.779999999998836</v>
      </c>
      <c r="T562" s="719"/>
      <c r="U562" s="719"/>
      <c r="V562" s="719"/>
      <c r="W562" s="719"/>
      <c r="X562" s="719"/>
      <c r="Y562" s="719"/>
      <c r="Z562" s="719"/>
      <c r="AA562" s="719"/>
      <c r="AB562" s="719"/>
      <c r="AC562" s="719"/>
      <c r="AD562" s="719"/>
      <c r="AE562" s="719"/>
      <c r="AF562" s="719"/>
      <c r="AG562" s="1341"/>
      <c r="AH562" s="719"/>
      <c r="AI562" s="719"/>
      <c r="AJ562" s="719"/>
      <c r="AK562" s="719"/>
      <c r="AL562" s="719"/>
      <c r="AM562" s="719"/>
      <c r="AN562" s="724"/>
      <c r="AO562" s="719"/>
      <c r="AP562" s="719"/>
      <c r="AQ562" s="724">
        <f>+FL_2($T$563,$T$561,$G$562,1200,9.28,-1*$F$563)</f>
        <v>-0.32687326018828489</v>
      </c>
      <c r="AR562" s="724"/>
      <c r="AS562" s="724"/>
      <c r="AT562" s="724"/>
      <c r="AU562" s="724"/>
      <c r="AV562" s="724"/>
      <c r="AW562" s="719"/>
      <c r="AX562" s="719"/>
      <c r="AY562" s="719"/>
    </row>
    <row r="563" spans="1:51" ht="15.75" customHeight="1">
      <c r="A563" s="716" t="s">
        <v>676</v>
      </c>
      <c r="B563" s="728" t="s">
        <v>1578</v>
      </c>
      <c r="C563" s="718">
        <f>+$C$561+$G$562</f>
        <v>44300</v>
      </c>
      <c r="D563" s="719"/>
      <c r="E563" s="719">
        <v>130</v>
      </c>
      <c r="F563" s="720">
        <v>1510</v>
      </c>
      <c r="G563" s="721"/>
      <c r="H563" s="726" t="s">
        <v>1101</v>
      </c>
      <c r="I563" s="726"/>
      <c r="J563" s="727"/>
      <c r="K563" s="719"/>
      <c r="L563" s="719" t="s">
        <v>241</v>
      </c>
      <c r="M563" s="719"/>
      <c r="N563" s="726" t="s">
        <v>695</v>
      </c>
      <c r="O563" s="726"/>
      <c r="P563" s="726"/>
      <c r="Q563" s="719">
        <v>134</v>
      </c>
      <c r="R563" s="719">
        <v>1510</v>
      </c>
      <c r="S563" s="724"/>
      <c r="T563" s="719">
        <v>-30</v>
      </c>
      <c r="U563" s="719"/>
      <c r="V563" s="719"/>
      <c r="W563" s="719">
        <v>1.1000000000000001</v>
      </c>
      <c r="X563" s="719"/>
      <c r="Y563" s="719"/>
      <c r="Z563" s="719"/>
      <c r="AA563" s="719"/>
      <c r="AB563" s="719"/>
      <c r="AC563" s="719" t="s">
        <v>2979</v>
      </c>
      <c r="AD563" s="719"/>
      <c r="AE563" s="719"/>
      <c r="AF563" s="719">
        <v>200</v>
      </c>
      <c r="AG563" s="1341">
        <v>44299.13</v>
      </c>
      <c r="AH563" s="719">
        <v>1536</v>
      </c>
      <c r="AI563" s="719">
        <v>-5011</v>
      </c>
      <c r="AJ563" s="719"/>
      <c r="AK563" s="719"/>
      <c r="AL563" s="719"/>
      <c r="AM563" s="719" t="s">
        <v>2609</v>
      </c>
      <c r="AN563" s="724">
        <v>5.25</v>
      </c>
      <c r="AO563" s="719"/>
      <c r="AP563" s="719"/>
      <c r="AQ563" s="724"/>
      <c r="AR563" s="724"/>
      <c r="AS563" s="724"/>
      <c r="AT563" s="724">
        <f>+ab($T$563,$T$561,$T$565,$G$562,$G$564,-1*$F$563,1200)</f>
        <v>-6.1414332533494793</v>
      </c>
      <c r="AU563" s="724"/>
      <c r="AV563" s="724"/>
      <c r="AW563" s="719"/>
      <c r="AX563" s="719"/>
      <c r="AY563" s="719"/>
    </row>
    <row r="564" spans="1:51" ht="15.75" hidden="1" customHeight="1">
      <c r="A564" s="716"/>
      <c r="B564" s="718"/>
      <c r="C564" s="718"/>
      <c r="D564" s="719"/>
      <c r="E564" s="719"/>
      <c r="F564" s="720"/>
      <c r="G564" s="721">
        <v>50</v>
      </c>
      <c r="H564" s="726"/>
      <c r="I564" s="726"/>
      <c r="J564" s="727"/>
      <c r="K564" s="719"/>
      <c r="L564" s="719"/>
      <c r="M564" s="719"/>
      <c r="N564" s="726"/>
      <c r="O564" s="726"/>
      <c r="P564" s="726"/>
      <c r="Q564" s="719"/>
      <c r="R564" s="719"/>
      <c r="S564" s="724">
        <f t="shared" si="67"/>
        <v>50.860000000000582</v>
      </c>
      <c r="T564" s="719"/>
      <c r="U564" s="719"/>
      <c r="V564" s="719"/>
      <c r="W564" s="719"/>
      <c r="X564" s="719"/>
      <c r="Y564" s="719"/>
      <c r="Z564" s="719"/>
      <c r="AA564" s="719"/>
      <c r="AB564" s="719"/>
      <c r="AC564" s="719"/>
      <c r="AD564" s="719"/>
      <c r="AE564" s="719"/>
      <c r="AF564" s="719"/>
      <c r="AG564" s="1341"/>
      <c r="AH564" s="719"/>
      <c r="AI564" s="719"/>
      <c r="AJ564" s="719"/>
      <c r="AK564" s="719"/>
      <c r="AL564" s="719"/>
      <c r="AM564" s="719"/>
      <c r="AN564" s="724"/>
      <c r="AO564" s="719"/>
      <c r="AP564" s="719"/>
      <c r="AQ564" s="724">
        <f>+FL_2($T$565,$T$563,$G$564,1200,9.28,-1*$F$565)</f>
        <v>-0.33469884028219588</v>
      </c>
      <c r="AR564" s="724"/>
      <c r="AS564" s="724"/>
      <c r="AT564" s="724"/>
      <c r="AU564" s="724"/>
      <c r="AV564" s="724"/>
      <c r="AW564" s="719"/>
      <c r="AX564" s="719"/>
      <c r="AY564" s="719"/>
    </row>
    <row r="565" spans="1:51" ht="15.75" hidden="1" customHeight="1">
      <c r="A565" s="716" t="s">
        <v>676</v>
      </c>
      <c r="B565" s="728" t="s">
        <v>1579</v>
      </c>
      <c r="C565" s="718">
        <f>+$C$563+$G$564</f>
        <v>44350</v>
      </c>
      <c r="D565" s="719"/>
      <c r="E565" s="719">
        <v>130</v>
      </c>
      <c r="F565" s="720">
        <v>1510</v>
      </c>
      <c r="G565" s="721"/>
      <c r="H565" s="726"/>
      <c r="I565" s="726"/>
      <c r="J565" s="727"/>
      <c r="K565" s="719"/>
      <c r="L565" s="719" t="s">
        <v>241</v>
      </c>
      <c r="M565" s="719"/>
      <c r="N565" s="726" t="s">
        <v>695</v>
      </c>
      <c r="O565" s="726"/>
      <c r="P565" s="726"/>
      <c r="Q565" s="719">
        <v>136</v>
      </c>
      <c r="R565" s="719">
        <v>1510</v>
      </c>
      <c r="S565" s="724"/>
      <c r="T565" s="719">
        <v>-30</v>
      </c>
      <c r="U565" s="719"/>
      <c r="V565" s="719"/>
      <c r="W565" s="719">
        <v>1.1000000000000001</v>
      </c>
      <c r="X565" s="719"/>
      <c r="Y565" s="719"/>
      <c r="Z565" s="719"/>
      <c r="AA565" s="719"/>
      <c r="AB565" s="719"/>
      <c r="AC565" s="719" t="s">
        <v>2978</v>
      </c>
      <c r="AD565" s="719"/>
      <c r="AE565" s="719"/>
      <c r="AF565" s="719">
        <v>200</v>
      </c>
      <c r="AG565" s="1341">
        <v>44349.99</v>
      </c>
      <c r="AH565" s="719">
        <v>1504</v>
      </c>
      <c r="AI565" s="719">
        <v>-4981</v>
      </c>
      <c r="AJ565" s="719"/>
      <c r="AK565" s="719"/>
      <c r="AL565" s="719"/>
      <c r="AM565" s="719" t="s">
        <v>2609</v>
      </c>
      <c r="AN565" s="724">
        <v>5.25</v>
      </c>
      <c r="AO565" s="719"/>
      <c r="AP565" s="719"/>
      <c r="AQ565" s="724"/>
      <c r="AR565" s="724"/>
      <c r="AS565" s="724"/>
      <c r="AT565" s="724">
        <f>+ab($T$565,$T$563,$T$567,$G$564,$G$566,-1*$F$565,1200)</f>
        <v>-5.7755169149213152</v>
      </c>
      <c r="AU565" s="724"/>
      <c r="AV565" s="724"/>
      <c r="AW565" s="719"/>
      <c r="AX565" s="719"/>
      <c r="AY565" s="719"/>
    </row>
    <row r="566" spans="1:51" ht="15.75" hidden="1" customHeight="1">
      <c r="A566" s="716"/>
      <c r="B566" s="718"/>
      <c r="C566" s="718"/>
      <c r="D566" s="719"/>
      <c r="E566" s="719"/>
      <c r="F566" s="720"/>
      <c r="G566" s="721">
        <v>50</v>
      </c>
      <c r="H566" s="726"/>
      <c r="I566" s="726"/>
      <c r="J566" s="727"/>
      <c r="K566" s="719"/>
      <c r="L566" s="719"/>
      <c r="M566" s="719"/>
      <c r="N566" s="726"/>
      <c r="O566" s="726"/>
      <c r="P566" s="726"/>
      <c r="Q566" s="719"/>
      <c r="R566" s="719"/>
      <c r="S566" s="724">
        <f t="shared" si="67"/>
        <v>50.020000000004075</v>
      </c>
      <c r="T566" s="719"/>
      <c r="U566" s="719"/>
      <c r="V566" s="719"/>
      <c r="W566" s="719"/>
      <c r="X566" s="719"/>
      <c r="Y566" s="719"/>
      <c r="Z566" s="719"/>
      <c r="AA566" s="719"/>
      <c r="AB566" s="719"/>
      <c r="AC566" s="719"/>
      <c r="AD566" s="719"/>
      <c r="AE566" s="719"/>
      <c r="AF566" s="719"/>
      <c r="AG566" s="1341"/>
      <c r="AH566" s="719"/>
      <c r="AI566" s="719"/>
      <c r="AJ566" s="719"/>
      <c r="AK566" s="719"/>
      <c r="AL566" s="719"/>
      <c r="AM566" s="719"/>
      <c r="AN566" s="724"/>
      <c r="AO566" s="719"/>
      <c r="AP566" s="719"/>
      <c r="AQ566" s="724">
        <f>+FL_2($T$567,$T$565,$G$566,1200,9.28,-1*$F$567)</f>
        <v>-0.33469884028219588</v>
      </c>
      <c r="AR566" s="724"/>
      <c r="AS566" s="724"/>
      <c r="AT566" s="724"/>
      <c r="AU566" s="724"/>
      <c r="AV566" s="724"/>
      <c r="AW566" s="719"/>
      <c r="AX566" s="719"/>
      <c r="AY566" s="719"/>
    </row>
    <row r="567" spans="1:51" ht="15.75" hidden="1" customHeight="1">
      <c r="A567" s="716" t="s">
        <v>676</v>
      </c>
      <c r="B567" s="728" t="s">
        <v>1580</v>
      </c>
      <c r="C567" s="718">
        <f>+$C$565+$G$566</f>
        <v>44400</v>
      </c>
      <c r="D567" s="719"/>
      <c r="E567" s="719">
        <v>130</v>
      </c>
      <c r="F567" s="720">
        <v>1510</v>
      </c>
      <c r="G567" s="721"/>
      <c r="H567" s="726"/>
      <c r="I567" s="722"/>
      <c r="J567" s="727"/>
      <c r="K567" s="719"/>
      <c r="L567" s="719" t="s">
        <v>241</v>
      </c>
      <c r="M567" s="719"/>
      <c r="N567" s="726" t="s">
        <v>695</v>
      </c>
      <c r="O567" s="726"/>
      <c r="P567" s="726"/>
      <c r="Q567" s="719">
        <v>128</v>
      </c>
      <c r="R567" s="719">
        <v>1510</v>
      </c>
      <c r="S567" s="724"/>
      <c r="T567" s="719">
        <v>-30</v>
      </c>
      <c r="U567" s="719"/>
      <c r="V567" s="719"/>
      <c r="W567" s="719">
        <v>1.1000000000000001</v>
      </c>
      <c r="X567" s="719"/>
      <c r="Y567" s="719"/>
      <c r="Z567" s="719"/>
      <c r="AA567" s="719"/>
      <c r="AB567" s="719"/>
      <c r="AC567" s="719" t="s">
        <v>2979</v>
      </c>
      <c r="AD567" s="719"/>
      <c r="AE567" s="719"/>
      <c r="AF567" s="719">
        <v>200</v>
      </c>
      <c r="AG567" s="1341">
        <v>44400.01</v>
      </c>
      <c r="AH567" s="719">
        <v>1531</v>
      </c>
      <c r="AI567" s="719">
        <v>-4940</v>
      </c>
      <c r="AJ567" s="719"/>
      <c r="AK567" s="719"/>
      <c r="AL567" s="719"/>
      <c r="AM567" s="719" t="s">
        <v>2609</v>
      </c>
      <c r="AN567" s="719">
        <v>5.25</v>
      </c>
      <c r="AO567" s="719"/>
      <c r="AP567" s="719"/>
      <c r="AQ567" s="724"/>
      <c r="AR567" s="724"/>
      <c r="AS567" s="724"/>
      <c r="AT567" s="724">
        <f>+ab($T$567,$T$565,$T$569,$G$566,$G$568,-1*$F$567,1200)</f>
        <v>-5.7755169149213152</v>
      </c>
      <c r="AU567" s="724"/>
      <c r="AV567" s="724"/>
      <c r="AW567" s="719"/>
      <c r="AX567" s="719"/>
      <c r="AY567" s="719"/>
    </row>
    <row r="568" spans="1:51" ht="15.75" hidden="1" customHeight="1">
      <c r="A568" s="716"/>
      <c r="B568" s="718"/>
      <c r="C568" s="718"/>
      <c r="D568" s="719"/>
      <c r="E568" s="719"/>
      <c r="F568" s="720"/>
      <c r="G568" s="721">
        <v>50</v>
      </c>
      <c r="H568" s="726"/>
      <c r="I568" s="722"/>
      <c r="J568" s="727"/>
      <c r="K568" s="719"/>
      <c r="L568" s="719"/>
      <c r="M568" s="719"/>
      <c r="N568" s="726"/>
      <c r="O568" s="726"/>
      <c r="P568" s="726"/>
      <c r="Q568" s="719"/>
      <c r="R568" s="719"/>
      <c r="S568" s="724">
        <f t="shared" si="67"/>
        <v>49.009999999994761</v>
      </c>
      <c r="T568" s="719"/>
      <c r="U568" s="719"/>
      <c r="V568" s="719"/>
      <c r="W568" s="719"/>
      <c r="X568" s="719"/>
      <c r="Y568" s="719"/>
      <c r="Z568" s="719"/>
      <c r="AA568" s="719"/>
      <c r="AB568" s="719"/>
      <c r="AC568" s="719"/>
      <c r="AD568" s="719"/>
      <c r="AE568" s="719"/>
      <c r="AF568" s="719"/>
      <c r="AG568" s="1341"/>
      <c r="AH568" s="719"/>
      <c r="AI568" s="719"/>
      <c r="AJ568" s="719"/>
      <c r="AK568" s="719"/>
      <c r="AL568" s="719"/>
      <c r="AM568" s="719"/>
      <c r="AN568" s="719"/>
      <c r="AO568" s="719"/>
      <c r="AP568" s="719"/>
      <c r="AQ568" s="724">
        <f>+FL_2($T$569,$T$567,$G$568,1200,9.28,-1*$F$569)</f>
        <v>-0.33469884028219588</v>
      </c>
      <c r="AR568" s="724"/>
      <c r="AS568" s="724"/>
      <c r="AT568" s="724"/>
      <c r="AU568" s="724"/>
      <c r="AV568" s="724"/>
      <c r="AW568" s="719"/>
      <c r="AX568" s="719"/>
      <c r="AY568" s="719"/>
    </row>
    <row r="569" spans="1:51" ht="15.75" hidden="1" customHeight="1">
      <c r="A569" s="716" t="s">
        <v>676</v>
      </c>
      <c r="B569" s="728" t="s">
        <v>1581</v>
      </c>
      <c r="C569" s="718">
        <f>+$C$567+$G$568</f>
        <v>44450</v>
      </c>
      <c r="D569" s="719"/>
      <c r="E569" s="719">
        <v>130</v>
      </c>
      <c r="F569" s="720">
        <v>1510</v>
      </c>
      <c r="G569" s="721"/>
      <c r="H569" s="726"/>
      <c r="I569" s="722"/>
      <c r="J569" s="727"/>
      <c r="K569" s="719"/>
      <c r="L569" s="719" t="s">
        <v>241</v>
      </c>
      <c r="M569" s="719"/>
      <c r="N569" s="726" t="s">
        <v>695</v>
      </c>
      <c r="O569" s="726"/>
      <c r="P569" s="726"/>
      <c r="Q569" s="719">
        <v>131</v>
      </c>
      <c r="R569" s="719">
        <v>1510</v>
      </c>
      <c r="S569" s="724"/>
      <c r="T569" s="719">
        <v>-30</v>
      </c>
      <c r="U569" s="719"/>
      <c r="V569" s="719"/>
      <c r="W569" s="719">
        <v>1.1000000000000001</v>
      </c>
      <c r="X569" s="719"/>
      <c r="Y569" s="719"/>
      <c r="Z569" s="719"/>
      <c r="AA569" s="719"/>
      <c r="AB569" s="719"/>
      <c r="AC569" s="719" t="s">
        <v>2978</v>
      </c>
      <c r="AD569" s="719"/>
      <c r="AE569" s="719"/>
      <c r="AF569" s="719">
        <v>200</v>
      </c>
      <c r="AG569" s="1341">
        <v>44449.02</v>
      </c>
      <c r="AH569" s="719">
        <v>1567</v>
      </c>
      <c r="AI569" s="719">
        <v>-5025</v>
      </c>
      <c r="AJ569" s="719"/>
      <c r="AK569" s="719"/>
      <c r="AL569" s="719"/>
      <c r="AM569" s="719" t="s">
        <v>2609</v>
      </c>
      <c r="AN569" s="719">
        <v>5.25</v>
      </c>
      <c r="AO569" s="719"/>
      <c r="AP569" s="719"/>
      <c r="AQ569" s="724"/>
      <c r="AR569" s="724"/>
      <c r="AS569" s="724"/>
      <c r="AT569" s="724">
        <f>+ab($T$569,$T$567,$T$571,$G$568,$G$570,-1*$F$569,1200)</f>
        <v>-5.7755169149213152</v>
      </c>
      <c r="AU569" s="724"/>
      <c r="AV569" s="724"/>
      <c r="AW569" s="719"/>
      <c r="AX569" s="719"/>
      <c r="AY569" s="719"/>
    </row>
    <row r="570" spans="1:51" ht="15.75" hidden="1" customHeight="1">
      <c r="A570" s="716"/>
      <c r="B570" s="718"/>
      <c r="C570" s="718"/>
      <c r="D570" s="719"/>
      <c r="E570" s="719"/>
      <c r="F570" s="720"/>
      <c r="G570" s="721">
        <v>50</v>
      </c>
      <c r="H570" s="726"/>
      <c r="I570" s="726"/>
      <c r="J570" s="727"/>
      <c r="K570" s="719"/>
      <c r="L570" s="719"/>
      <c r="M570" s="719"/>
      <c r="N570" s="726"/>
      <c r="O570" s="726"/>
      <c r="P570" s="726"/>
      <c r="Q570" s="719"/>
      <c r="R570" s="719"/>
      <c r="S570" s="724">
        <f t="shared" si="67"/>
        <v>51.010000000002037</v>
      </c>
      <c r="T570" s="719"/>
      <c r="U570" s="719"/>
      <c r="V570" s="719"/>
      <c r="W570" s="719"/>
      <c r="X570" s="719"/>
      <c r="Y570" s="719"/>
      <c r="Z570" s="719"/>
      <c r="AA570" s="719"/>
      <c r="AB570" s="719"/>
      <c r="AC570" s="719"/>
      <c r="AD570" s="719"/>
      <c r="AE570" s="719"/>
      <c r="AF570" s="719"/>
      <c r="AG570" s="1341"/>
      <c r="AH570" s="719"/>
      <c r="AI570" s="719"/>
      <c r="AJ570" s="719"/>
      <c r="AK570" s="719"/>
      <c r="AL570" s="719"/>
      <c r="AM570" s="719"/>
      <c r="AN570" s="719"/>
      <c r="AO570" s="719"/>
      <c r="AP570" s="719"/>
      <c r="AQ570" s="724">
        <f>+FL_2($T$571,$T$569,$G$570,1200,9.28,-1*$F$571)</f>
        <v>-0.33469884028219588</v>
      </c>
      <c r="AR570" s="724"/>
      <c r="AS570" s="724"/>
      <c r="AT570" s="724"/>
      <c r="AU570" s="724"/>
      <c r="AV570" s="724"/>
      <c r="AW570" s="719"/>
      <c r="AX570" s="719"/>
      <c r="AY570" s="719"/>
    </row>
    <row r="571" spans="1:51" ht="15.75" hidden="1" customHeight="1">
      <c r="A571" s="716" t="s">
        <v>676</v>
      </c>
      <c r="B571" s="728" t="s">
        <v>1582</v>
      </c>
      <c r="C571" s="718">
        <f>+$C$569+$G$570</f>
        <v>44500</v>
      </c>
      <c r="D571" s="719"/>
      <c r="E571" s="719">
        <v>130</v>
      </c>
      <c r="F571" s="720">
        <v>1510</v>
      </c>
      <c r="G571" s="721"/>
      <c r="H571" s="726"/>
      <c r="I571" s="722"/>
      <c r="J571" s="727"/>
      <c r="K571" s="719"/>
      <c r="L571" s="719" t="s">
        <v>241</v>
      </c>
      <c r="M571" s="719"/>
      <c r="N571" s="726" t="s">
        <v>695</v>
      </c>
      <c r="O571" s="726"/>
      <c r="P571" s="726"/>
      <c r="Q571" s="719">
        <v>131</v>
      </c>
      <c r="R571" s="719">
        <v>1510</v>
      </c>
      <c r="S571" s="724"/>
      <c r="T571" s="719">
        <v>-30</v>
      </c>
      <c r="U571" s="719"/>
      <c r="V571" s="719"/>
      <c r="W571" s="719">
        <v>1.1000000000000001</v>
      </c>
      <c r="X571" s="719"/>
      <c r="Y571" s="719"/>
      <c r="Z571" s="719"/>
      <c r="AA571" s="719"/>
      <c r="AB571" s="719"/>
      <c r="AC571" s="719" t="s">
        <v>2979</v>
      </c>
      <c r="AD571" s="719"/>
      <c r="AE571" s="719"/>
      <c r="AF571" s="719">
        <v>200</v>
      </c>
      <c r="AG571" s="1341">
        <v>44500.03</v>
      </c>
      <c r="AH571" s="719">
        <v>1519</v>
      </c>
      <c r="AI571" s="719">
        <v>-4944</v>
      </c>
      <c r="AJ571" s="719"/>
      <c r="AK571" s="719"/>
      <c r="AL571" s="719"/>
      <c r="AM571" s="719" t="s">
        <v>2609</v>
      </c>
      <c r="AN571" s="719">
        <v>5.25</v>
      </c>
      <c r="AO571" s="719"/>
      <c r="AP571" s="719"/>
      <c r="AQ571" s="724"/>
      <c r="AR571" s="724"/>
      <c r="AS571" s="724"/>
      <c r="AT571" s="724">
        <f>+ab($T$571,$T$569,$T$573,$G$570,$G$572,-1*$F$571,1200)</f>
        <v>-5.7755169149213152</v>
      </c>
      <c r="AU571" s="724"/>
      <c r="AV571" s="724"/>
      <c r="AW571" s="719"/>
      <c r="AX571" s="719"/>
      <c r="AY571" s="719"/>
    </row>
    <row r="572" spans="1:51" ht="15.75" hidden="1" customHeight="1">
      <c r="A572" s="716"/>
      <c r="B572" s="718"/>
      <c r="C572" s="718"/>
      <c r="D572" s="719"/>
      <c r="E572" s="719"/>
      <c r="F572" s="720"/>
      <c r="G572" s="721">
        <v>50</v>
      </c>
      <c r="H572" s="726"/>
      <c r="I572" s="726"/>
      <c r="J572" s="727"/>
      <c r="K572" s="719"/>
      <c r="L572" s="719"/>
      <c r="M572" s="719"/>
      <c r="N572" s="726"/>
      <c r="O572" s="726"/>
      <c r="P572" s="726"/>
      <c r="Q572" s="719"/>
      <c r="R572" s="719"/>
      <c r="S572" s="724">
        <f t="shared" si="67"/>
        <v>49.950000000004366</v>
      </c>
      <c r="T572" s="719"/>
      <c r="U572" s="719"/>
      <c r="V572" s="719"/>
      <c r="W572" s="719"/>
      <c r="X572" s="719"/>
      <c r="Y572" s="719"/>
      <c r="Z572" s="719"/>
      <c r="AA572" s="719"/>
      <c r="AB572" s="719"/>
      <c r="AC572" s="719"/>
      <c r="AD572" s="719"/>
      <c r="AE572" s="719"/>
      <c r="AF572" s="719"/>
      <c r="AG572" s="1341"/>
      <c r="AH572" s="719"/>
      <c r="AI572" s="719"/>
      <c r="AJ572" s="719"/>
      <c r="AK572" s="719"/>
      <c r="AL572" s="719"/>
      <c r="AM572" s="719"/>
      <c r="AN572" s="719"/>
      <c r="AO572" s="719"/>
      <c r="AP572" s="719"/>
      <c r="AQ572" s="724">
        <f>+FL_2($T$573,$T$571,$G$572,1200,9.28,-1*$F$573)</f>
        <v>-0.33469884028219588</v>
      </c>
      <c r="AR572" s="724"/>
      <c r="AS572" s="724"/>
      <c r="AT572" s="724"/>
      <c r="AU572" s="724"/>
      <c r="AV572" s="724"/>
      <c r="AW572" s="719"/>
      <c r="AX572" s="719"/>
      <c r="AY572" s="719"/>
    </row>
    <row r="573" spans="1:51" ht="15.75" hidden="1" customHeight="1">
      <c r="A573" s="716" t="s">
        <v>676</v>
      </c>
      <c r="B573" s="1270" t="s">
        <v>1583</v>
      </c>
      <c r="C573" s="1271">
        <f>+$C$571+$G$572</f>
        <v>44550</v>
      </c>
      <c r="D573" s="719"/>
      <c r="E573" s="719">
        <v>130</v>
      </c>
      <c r="F573" s="720">
        <v>1510</v>
      </c>
      <c r="G573" s="721"/>
      <c r="H573" s="726" t="s">
        <v>138</v>
      </c>
      <c r="I573" s="726" t="s">
        <v>2827</v>
      </c>
      <c r="J573" s="727"/>
      <c r="K573" s="719"/>
      <c r="L573" s="719" t="s">
        <v>241</v>
      </c>
      <c r="M573" s="719"/>
      <c r="N573" s="726" t="s">
        <v>695</v>
      </c>
      <c r="O573" s="726"/>
      <c r="P573" s="726"/>
      <c r="Q573" s="719">
        <v>132</v>
      </c>
      <c r="R573" s="719">
        <v>1510</v>
      </c>
      <c r="S573" s="724"/>
      <c r="T573" s="719">
        <v>-30</v>
      </c>
      <c r="U573" s="719"/>
      <c r="V573" s="719"/>
      <c r="W573" s="719">
        <v>1.1000000000000001</v>
      </c>
      <c r="X573" s="719"/>
      <c r="Y573" s="719"/>
      <c r="Z573" s="719"/>
      <c r="AA573" s="719"/>
      <c r="AB573" s="719"/>
      <c r="AC573" s="719" t="s">
        <v>2978</v>
      </c>
      <c r="AD573" s="719"/>
      <c r="AE573" s="719"/>
      <c r="AF573" s="719">
        <v>200</v>
      </c>
      <c r="AG573" s="1341">
        <v>44549.98</v>
      </c>
      <c r="AH573" s="719">
        <v>1535</v>
      </c>
      <c r="AI573" s="719">
        <v>-4955</v>
      </c>
      <c r="AJ573" s="719"/>
      <c r="AK573" s="719"/>
      <c r="AL573" s="719"/>
      <c r="AM573" s="719" t="s">
        <v>2609</v>
      </c>
      <c r="AN573" s="719">
        <v>5.25</v>
      </c>
      <c r="AO573" s="719"/>
      <c r="AP573" s="719"/>
      <c r="AQ573" s="724"/>
      <c r="AR573" s="724"/>
      <c r="AS573" s="724"/>
      <c r="AT573" s="724">
        <f>+ab($T$573,$T$571,$T$575,$G$572,$G$574,-1*$F$573,1200)</f>
        <v>-5.021989814346755</v>
      </c>
      <c r="AU573" s="724"/>
      <c r="AV573" s="724"/>
      <c r="AW573" s="719"/>
      <c r="AX573" s="719"/>
      <c r="AY573" s="719"/>
    </row>
    <row r="574" spans="1:51" ht="15.75" hidden="1" customHeight="1">
      <c r="A574" s="716"/>
      <c r="B574" s="1271"/>
      <c r="C574" s="1271"/>
      <c r="D574" s="719"/>
      <c r="E574" s="719"/>
      <c r="F574" s="720"/>
      <c r="G574" s="721">
        <v>50</v>
      </c>
      <c r="H574" s="726"/>
      <c r="I574" s="726"/>
      <c r="J574" s="727">
        <f>C573+10</f>
        <v>44560</v>
      </c>
      <c r="K574" s="719" t="s">
        <v>1097</v>
      </c>
      <c r="L574" s="719"/>
      <c r="M574" s="719"/>
      <c r="N574" s="726"/>
      <c r="O574" s="726"/>
      <c r="P574" s="726"/>
      <c r="Q574" s="719"/>
      <c r="R574" s="719"/>
      <c r="S574" s="724">
        <f>AG575-AG573</f>
        <v>50.139999999999418</v>
      </c>
      <c r="T574" s="719"/>
      <c r="U574" s="719"/>
      <c r="V574" s="719"/>
      <c r="W574" s="719"/>
      <c r="X574" s="719"/>
      <c r="Y574" s="719"/>
      <c r="Z574" s="719"/>
      <c r="AA574" s="719"/>
      <c r="AB574" s="719"/>
      <c r="AC574" s="719"/>
      <c r="AD574" s="719"/>
      <c r="AE574" s="719"/>
      <c r="AF574" s="719"/>
      <c r="AG574" s="1341"/>
      <c r="AH574" s="719"/>
      <c r="AI574" s="719"/>
      <c r="AJ574" s="719"/>
      <c r="AK574" s="719"/>
      <c r="AL574" s="719"/>
      <c r="AM574" s="719"/>
      <c r="AN574" s="719"/>
      <c r="AO574" s="719"/>
      <c r="AP574" s="719"/>
      <c r="AQ574" s="724">
        <f>+FL_2($U$575,$T$573,$G$574,1200,9.28,-1*$F$575)</f>
        <v>-0.31420347499131768</v>
      </c>
      <c r="AR574" s="724"/>
      <c r="AS574" s="724"/>
      <c r="AT574" s="724"/>
      <c r="AU574" s="724"/>
      <c r="AV574" s="724"/>
      <c r="AW574" s="719"/>
      <c r="AX574" s="719"/>
      <c r="AY574" s="719"/>
    </row>
    <row r="575" spans="1:51" ht="15.75" hidden="1" customHeight="1">
      <c r="A575" s="716" t="s">
        <v>676</v>
      </c>
      <c r="B575" s="1270" t="s">
        <v>1584</v>
      </c>
      <c r="C575" s="1271">
        <f>+$C$573+$G$574</f>
        <v>44600</v>
      </c>
      <c r="D575" s="719"/>
      <c r="E575" s="719">
        <v>130</v>
      </c>
      <c r="F575" s="720">
        <v>1510</v>
      </c>
      <c r="G575" s="721"/>
      <c r="H575" s="726" t="s">
        <v>668</v>
      </c>
      <c r="I575" s="726"/>
      <c r="J575" s="727"/>
      <c r="K575" s="719"/>
      <c r="L575" s="719" t="s">
        <v>465</v>
      </c>
      <c r="M575" s="719"/>
      <c r="N575" s="726" t="s">
        <v>697</v>
      </c>
      <c r="O575" s="726" t="s">
        <v>695</v>
      </c>
      <c r="P575" s="726"/>
      <c r="Q575" s="719">
        <v>130</v>
      </c>
      <c r="R575" s="719">
        <v>1510</v>
      </c>
      <c r="S575" s="724">
        <f>AG576-AG575</f>
        <v>1.5999999999985448</v>
      </c>
      <c r="T575" s="719">
        <v>-5</v>
      </c>
      <c r="U575" s="719">
        <v>-25</v>
      </c>
      <c r="V575" s="719"/>
      <c r="W575" s="719">
        <v>1.1000000000000001</v>
      </c>
      <c r="X575" s="719">
        <v>1.2</v>
      </c>
      <c r="Y575" s="719"/>
      <c r="Z575" s="719">
        <v>0.45</v>
      </c>
      <c r="AA575" s="719"/>
      <c r="AB575" s="719"/>
      <c r="AC575" s="719"/>
      <c r="AD575" s="719" t="s">
        <v>2978</v>
      </c>
      <c r="AE575" s="719"/>
      <c r="AF575" s="719">
        <v>200</v>
      </c>
      <c r="AG575" s="1341">
        <v>44600.12</v>
      </c>
      <c r="AH575" s="719">
        <v>1555</v>
      </c>
      <c r="AI575" s="719">
        <v>-4952</v>
      </c>
      <c r="AJ575" s="719"/>
      <c r="AK575" s="719"/>
      <c r="AL575" s="719"/>
      <c r="AM575" s="719" t="s">
        <v>2609</v>
      </c>
      <c r="AN575" s="719">
        <v>5.25</v>
      </c>
      <c r="AO575" s="719"/>
      <c r="AP575" s="719"/>
      <c r="AQ575" s="724"/>
      <c r="AR575" s="724"/>
      <c r="AS575" s="724"/>
      <c r="AT575" s="724">
        <f>+ab($U$575,$T$573,$U$577,$G$574,$G$576,-1*$F$575,1200)</f>
        <v>-5.9540963165696148</v>
      </c>
      <c r="AU575" s="724"/>
      <c r="AV575" s="724"/>
      <c r="AW575" s="719"/>
      <c r="AX575" s="719"/>
      <c r="AY575" s="719"/>
    </row>
    <row r="576" spans="1:51" ht="15.75" hidden="1" customHeight="1">
      <c r="A576" s="716"/>
      <c r="B576" s="1271"/>
      <c r="C576" s="1271"/>
      <c r="D576" s="719"/>
      <c r="E576" s="719"/>
      <c r="F576" s="720"/>
      <c r="G576" s="721">
        <v>50</v>
      </c>
      <c r="H576" s="726"/>
      <c r="I576" s="726"/>
      <c r="J576" s="727"/>
      <c r="K576" s="719"/>
      <c r="L576" s="719"/>
      <c r="M576" s="719"/>
      <c r="N576" s="726"/>
      <c r="O576" s="726"/>
      <c r="P576" s="726"/>
      <c r="Q576" s="719">
        <v>130</v>
      </c>
      <c r="R576" s="719">
        <v>1510</v>
      </c>
      <c r="S576" s="724">
        <f>AG577-AG576</f>
        <v>51.319999999999709</v>
      </c>
      <c r="T576" s="719"/>
      <c r="U576" s="719"/>
      <c r="V576" s="719"/>
      <c r="W576" s="719"/>
      <c r="X576" s="719"/>
      <c r="Y576" s="719"/>
      <c r="Z576" s="719"/>
      <c r="AA576" s="719"/>
      <c r="AB576" s="719"/>
      <c r="AC576" s="719"/>
      <c r="AD576" s="719"/>
      <c r="AE576" s="719"/>
      <c r="AF576" s="719">
        <v>200</v>
      </c>
      <c r="AG576" s="1341">
        <v>44601.72</v>
      </c>
      <c r="AH576" s="719">
        <v>1455</v>
      </c>
      <c r="AI576" s="719">
        <v>-4994</v>
      </c>
      <c r="AJ576" s="719"/>
      <c r="AK576" s="719"/>
      <c r="AL576" s="719"/>
      <c r="AM576" s="719"/>
      <c r="AN576" s="719"/>
      <c r="AO576" s="719"/>
      <c r="AP576" s="719"/>
      <c r="AQ576" s="724">
        <f>+FL_2($T$577,$U$575,$G$576,1200,9.28,-1*$F$577)</f>
        <v>-0.25001222401728951</v>
      </c>
      <c r="AR576" s="724"/>
      <c r="AS576" s="724"/>
      <c r="AT576" s="724"/>
      <c r="AU576" s="724"/>
      <c r="AV576" s="724"/>
      <c r="AW576" s="719"/>
      <c r="AX576" s="719"/>
      <c r="AY576" s="719"/>
    </row>
    <row r="577" spans="1:51" ht="15.75" hidden="1" customHeight="1">
      <c r="A577" s="716" t="s">
        <v>676</v>
      </c>
      <c r="B577" s="1270" t="s">
        <v>1585</v>
      </c>
      <c r="C577" s="1271">
        <f>+$C$575+$G$576</f>
        <v>44650</v>
      </c>
      <c r="D577" s="719"/>
      <c r="E577" s="719">
        <v>130</v>
      </c>
      <c r="F577" s="720">
        <v>1510</v>
      </c>
      <c r="G577" s="721"/>
      <c r="H577" s="726" t="s">
        <v>668</v>
      </c>
      <c r="I577" s="726"/>
      <c r="J577" s="727"/>
      <c r="K577" s="719"/>
      <c r="L577" s="719" t="s">
        <v>465</v>
      </c>
      <c r="M577" s="719"/>
      <c r="N577" s="726" t="s">
        <v>695</v>
      </c>
      <c r="O577" s="726" t="s">
        <v>697</v>
      </c>
      <c r="P577" s="726"/>
      <c r="Q577" s="719">
        <v>139</v>
      </c>
      <c r="R577" s="719">
        <v>1510</v>
      </c>
      <c r="S577" s="724">
        <f>AG578-AG577</f>
        <v>1.5599999999976717</v>
      </c>
      <c r="T577" s="719">
        <v>-5</v>
      </c>
      <c r="U577" s="719">
        <v>-25</v>
      </c>
      <c r="V577" s="719"/>
      <c r="W577" s="719">
        <v>1.1000000000000001</v>
      </c>
      <c r="X577" s="719">
        <v>1.2</v>
      </c>
      <c r="Y577" s="719"/>
      <c r="Z577" s="719"/>
      <c r="AA577" s="719">
        <v>0.45</v>
      </c>
      <c r="AB577" s="719"/>
      <c r="AC577" s="719" t="s">
        <v>3005</v>
      </c>
      <c r="AD577" s="719"/>
      <c r="AE577" s="719"/>
      <c r="AF577" s="719">
        <v>200</v>
      </c>
      <c r="AG577" s="1341">
        <v>44653.04</v>
      </c>
      <c r="AH577" s="719">
        <v>1482</v>
      </c>
      <c r="AI577" s="719">
        <v>-4959</v>
      </c>
      <c r="AJ577" s="719"/>
      <c r="AK577" s="719"/>
      <c r="AL577" s="719"/>
      <c r="AM577" s="719" t="s">
        <v>2609</v>
      </c>
      <c r="AN577" s="719">
        <v>5.25</v>
      </c>
      <c r="AO577" s="719"/>
      <c r="AP577" s="719"/>
      <c r="AQ577" s="724"/>
      <c r="AR577" s="724"/>
      <c r="AS577" s="724"/>
      <c r="AT577" s="724">
        <f>+ab($T$577,$T$575,$T$579,$G$576,$G$578,-1*$F$577,1200)</f>
        <v>-6.5013617397507568</v>
      </c>
      <c r="AU577" s="724"/>
      <c r="AV577" s="724"/>
      <c r="AW577" s="719"/>
      <c r="AX577" s="719"/>
      <c r="AY577" s="719"/>
    </row>
    <row r="578" spans="1:51" ht="15.75" hidden="1" customHeight="1">
      <c r="A578" s="716"/>
      <c r="B578" s="1271"/>
      <c r="C578" s="1271"/>
      <c r="D578" s="719"/>
      <c r="E578" s="719"/>
      <c r="F578" s="720"/>
      <c r="G578" s="721">
        <v>53</v>
      </c>
      <c r="H578" s="726"/>
      <c r="I578" s="726"/>
      <c r="J578" s="727">
        <f>C579-10</f>
        <v>44693</v>
      </c>
      <c r="K578" s="719" t="s">
        <v>1097</v>
      </c>
      <c r="L578" s="719"/>
      <c r="M578" s="719"/>
      <c r="N578" s="726"/>
      <c r="O578" s="726"/>
      <c r="P578" s="726"/>
      <c r="Q578" s="719">
        <v>136</v>
      </c>
      <c r="R578" s="719">
        <v>1510</v>
      </c>
      <c r="S578" s="724">
        <f>AG579-AG578</f>
        <v>51</v>
      </c>
      <c r="T578" s="719"/>
      <c r="U578" s="719"/>
      <c r="V578" s="719"/>
      <c r="W578" s="719"/>
      <c r="X578" s="719"/>
      <c r="Y578" s="719"/>
      <c r="Z578" s="719"/>
      <c r="AA578" s="719"/>
      <c r="AB578" s="719"/>
      <c r="AC578" s="719"/>
      <c r="AD578" s="719"/>
      <c r="AE578" s="719"/>
      <c r="AF578" s="719">
        <v>200</v>
      </c>
      <c r="AG578" s="1341">
        <v>44654.6</v>
      </c>
      <c r="AH578" s="719">
        <v>1460</v>
      </c>
      <c r="AI578" s="719">
        <v>-4970</v>
      </c>
      <c r="AJ578" s="719"/>
      <c r="AK578" s="719"/>
      <c r="AL578" s="719"/>
      <c r="AM578" s="719"/>
      <c r="AN578" s="719"/>
      <c r="AO578" s="719"/>
      <c r="AP578" s="719"/>
      <c r="AQ578" s="724">
        <f>+FL_1($T$579,$T$577,$G$578,1200,9.28,-1*$F$579)</f>
        <v>0.33683654889862846</v>
      </c>
      <c r="AR578" s="724"/>
      <c r="AS578" s="724"/>
      <c r="AT578" s="724"/>
      <c r="AU578" s="724"/>
      <c r="AV578" s="724"/>
      <c r="AW578" s="719"/>
      <c r="AX578" s="719"/>
      <c r="AY578" s="719"/>
    </row>
    <row r="579" spans="1:51" ht="15.75" hidden="1" customHeight="1">
      <c r="A579" s="716" t="s">
        <v>676</v>
      </c>
      <c r="B579" s="1270" t="s">
        <v>1586</v>
      </c>
      <c r="C579" s="1271">
        <f>+$C$577+$G$578</f>
        <v>44703</v>
      </c>
      <c r="D579" s="719"/>
      <c r="E579" s="719">
        <v>130</v>
      </c>
      <c r="F579" s="720">
        <v>1510</v>
      </c>
      <c r="G579" s="721"/>
      <c r="H579" s="726" t="s">
        <v>138</v>
      </c>
      <c r="I579" s="726" t="s">
        <v>948</v>
      </c>
      <c r="J579" s="727"/>
      <c r="K579" s="719"/>
      <c r="L579" s="719" t="s">
        <v>241</v>
      </c>
      <c r="M579" s="719"/>
      <c r="N579" s="726" t="s">
        <v>695</v>
      </c>
      <c r="O579" s="726"/>
      <c r="P579" s="726"/>
      <c r="Q579" s="719">
        <v>128</v>
      </c>
      <c r="R579" s="719">
        <v>1510</v>
      </c>
      <c r="S579" s="724"/>
      <c r="T579" s="719">
        <v>-30</v>
      </c>
      <c r="U579" s="719"/>
      <c r="V579" s="719"/>
      <c r="W579" s="719">
        <v>1.1000000000000001</v>
      </c>
      <c r="X579" s="719"/>
      <c r="Y579" s="719"/>
      <c r="Z579" s="719"/>
      <c r="AA579" s="719"/>
      <c r="AB579" s="719"/>
      <c r="AC579" s="719" t="s">
        <v>2978</v>
      </c>
      <c r="AD579" s="719"/>
      <c r="AE579" s="719"/>
      <c r="AF579" s="719">
        <v>200</v>
      </c>
      <c r="AG579" s="1341">
        <v>44705.599999999999</v>
      </c>
      <c r="AH579" s="719">
        <v>1516</v>
      </c>
      <c r="AI579" s="719">
        <v>-4999</v>
      </c>
      <c r="AJ579" s="719"/>
      <c r="AK579" s="719"/>
      <c r="AL579" s="719"/>
      <c r="AM579" s="719" t="s">
        <v>2609</v>
      </c>
      <c r="AN579" s="719">
        <v>5.25</v>
      </c>
      <c r="AO579" s="719"/>
      <c r="AP579" s="719"/>
      <c r="AQ579" s="724"/>
      <c r="AR579" s="724"/>
      <c r="AS579" s="724"/>
      <c r="AT579" s="724">
        <f>+ab($T$579,$T$577,$T$581,$G$578,$G$580,-1*$F$579,1200)</f>
        <v>-4.8081291888388327</v>
      </c>
      <c r="AU579" s="724"/>
      <c r="AV579" s="724"/>
      <c r="AW579" s="719"/>
      <c r="AX579" s="719"/>
      <c r="AY579" s="719"/>
    </row>
    <row r="580" spans="1:51" ht="15.75" hidden="1" customHeight="1">
      <c r="A580" s="716"/>
      <c r="B580" s="1271"/>
      <c r="C580" s="1271"/>
      <c r="D580" s="719"/>
      <c r="E580" s="719"/>
      <c r="F580" s="720"/>
      <c r="G580" s="721">
        <v>53</v>
      </c>
      <c r="H580" s="726"/>
      <c r="I580" s="726"/>
      <c r="J580" s="727"/>
      <c r="K580" s="719"/>
      <c r="L580" s="719"/>
      <c r="M580" s="719"/>
      <c r="N580" s="726"/>
      <c r="O580" s="726"/>
      <c r="P580" s="726"/>
      <c r="Q580" s="719"/>
      <c r="R580" s="719"/>
      <c r="S580" s="724">
        <f t="shared" si="67"/>
        <v>51.580000000001746</v>
      </c>
      <c r="T580" s="719"/>
      <c r="U580" s="719"/>
      <c r="V580" s="719"/>
      <c r="W580" s="719"/>
      <c r="X580" s="719"/>
      <c r="Y580" s="719"/>
      <c r="Z580" s="719"/>
      <c r="AA580" s="719"/>
      <c r="AB580" s="719"/>
      <c r="AC580" s="719"/>
      <c r="AD580" s="719"/>
      <c r="AE580" s="719"/>
      <c r="AF580" s="719"/>
      <c r="AG580" s="1341"/>
      <c r="AH580" s="719"/>
      <c r="AI580" s="719"/>
      <c r="AJ580" s="719"/>
      <c r="AK580" s="719"/>
      <c r="AL580" s="719"/>
      <c r="AM580" s="719"/>
      <c r="AN580" s="719"/>
      <c r="AO580" s="719"/>
      <c r="AP580" s="719"/>
      <c r="AQ580" s="724">
        <f>+FL_2($T$581,$T$579,$G$580,1200,9.28,-1*$F$581)</f>
        <v>-0.33898564680688259</v>
      </c>
      <c r="AR580" s="724"/>
      <c r="AS580" s="724"/>
      <c r="AT580" s="724"/>
      <c r="AU580" s="724"/>
      <c r="AV580" s="724"/>
      <c r="AW580" s="719"/>
      <c r="AX580" s="719"/>
      <c r="AY580" s="719"/>
    </row>
    <row r="581" spans="1:51" ht="15.75" hidden="1" customHeight="1">
      <c r="A581" s="716" t="s">
        <v>676</v>
      </c>
      <c r="B581" s="1270" t="s">
        <v>1587</v>
      </c>
      <c r="C581" s="1271">
        <f>+$C$579+$G$580</f>
        <v>44756</v>
      </c>
      <c r="D581" s="719"/>
      <c r="E581" s="719">
        <v>130</v>
      </c>
      <c r="F581" s="720">
        <v>1510</v>
      </c>
      <c r="G581" s="721"/>
      <c r="H581" s="726"/>
      <c r="I581" s="726"/>
      <c r="J581" s="727"/>
      <c r="K581" s="719"/>
      <c r="L581" s="719" t="s">
        <v>241</v>
      </c>
      <c r="M581" s="719"/>
      <c r="N581" s="726" t="s">
        <v>695</v>
      </c>
      <c r="O581" s="726"/>
      <c r="P581" s="726"/>
      <c r="Q581" s="719">
        <v>132</v>
      </c>
      <c r="R581" s="719">
        <v>1510</v>
      </c>
      <c r="S581" s="724"/>
      <c r="T581" s="719">
        <v>-30</v>
      </c>
      <c r="U581" s="719"/>
      <c r="V581" s="719"/>
      <c r="W581" s="719">
        <v>1.1000000000000001</v>
      </c>
      <c r="X581" s="719"/>
      <c r="Y581" s="719"/>
      <c r="Z581" s="719"/>
      <c r="AA581" s="719"/>
      <c r="AB581" s="719"/>
      <c r="AC581" s="719" t="s">
        <v>2978</v>
      </c>
      <c r="AD581" s="719"/>
      <c r="AE581" s="719"/>
      <c r="AF581" s="719">
        <v>200</v>
      </c>
      <c r="AG581" s="1341">
        <v>44757.18</v>
      </c>
      <c r="AH581" s="719">
        <v>1531</v>
      </c>
      <c r="AI581" s="719">
        <v>-5001</v>
      </c>
      <c r="AJ581" s="719"/>
      <c r="AK581" s="719"/>
      <c r="AL581" s="719"/>
      <c r="AM581" s="719" t="s">
        <v>2609</v>
      </c>
      <c r="AN581" s="719">
        <v>5.25</v>
      </c>
      <c r="AO581" s="719"/>
      <c r="AP581" s="719"/>
      <c r="AQ581" s="724"/>
      <c r="AR581" s="724"/>
      <c r="AS581" s="724"/>
      <c r="AT581" s="724">
        <f>+ab($T$581,$T$579,$T$583,$G$580,$G$582,-1*$F$581,1200)</f>
        <v>-5.9528774844237917</v>
      </c>
      <c r="AU581" s="724"/>
      <c r="AV581" s="724"/>
      <c r="AW581" s="719"/>
      <c r="AX581" s="719"/>
      <c r="AY581" s="719"/>
    </row>
    <row r="582" spans="1:51" ht="15.75" hidden="1" customHeight="1">
      <c r="A582" s="716"/>
      <c r="B582" s="1271"/>
      <c r="C582" s="1271"/>
      <c r="D582" s="719"/>
      <c r="E582" s="719"/>
      <c r="F582" s="720"/>
      <c r="G582" s="721">
        <v>44</v>
      </c>
      <c r="H582" s="726"/>
      <c r="I582" s="726"/>
      <c r="J582" s="727"/>
      <c r="K582" s="719"/>
      <c r="L582" s="719"/>
      <c r="M582" s="719"/>
      <c r="N582" s="726"/>
      <c r="O582" s="726"/>
      <c r="P582" s="726"/>
      <c r="Q582" s="719"/>
      <c r="R582" s="719"/>
      <c r="S582" s="724">
        <f t="shared" si="67"/>
        <v>48.889999999999418</v>
      </c>
      <c r="T582" s="719"/>
      <c r="U582" s="719"/>
      <c r="V582" s="719"/>
      <c r="W582" s="719"/>
      <c r="X582" s="719"/>
      <c r="Y582" s="719"/>
      <c r="Z582" s="719"/>
      <c r="AA582" s="719"/>
      <c r="AB582" s="719"/>
      <c r="AC582" s="719"/>
      <c r="AD582" s="719"/>
      <c r="AE582" s="719"/>
      <c r="AF582" s="719"/>
      <c r="AG582" s="1341"/>
      <c r="AH582" s="719"/>
      <c r="AI582" s="719"/>
      <c r="AJ582" s="719"/>
      <c r="AK582" s="719"/>
      <c r="AL582" s="719"/>
      <c r="AM582" s="719"/>
      <c r="AN582" s="719"/>
      <c r="AO582" s="719"/>
      <c r="AP582" s="719"/>
      <c r="AQ582" s="724">
        <f>+FL_2($T$583,$T$581,$G$582,1200,9.28,-1*$F$583)</f>
        <v>-0.32687326018828489</v>
      </c>
      <c r="AR582" s="724"/>
      <c r="AS582" s="724"/>
      <c r="AT582" s="724"/>
      <c r="AU582" s="724"/>
      <c r="AV582" s="724"/>
      <c r="AW582" s="719"/>
      <c r="AX582" s="719"/>
      <c r="AY582" s="719"/>
    </row>
    <row r="583" spans="1:51" ht="15.75" hidden="1" customHeight="1">
      <c r="A583" s="716" t="s">
        <v>676</v>
      </c>
      <c r="B583" s="1270" t="s">
        <v>1588</v>
      </c>
      <c r="C583" s="1271">
        <f>+$C$581+$G$582</f>
        <v>44800</v>
      </c>
      <c r="D583" s="719"/>
      <c r="E583" s="719">
        <v>130</v>
      </c>
      <c r="F583" s="720">
        <v>1510</v>
      </c>
      <c r="G583" s="721"/>
      <c r="H583" s="726"/>
      <c r="I583" s="726"/>
      <c r="J583" s="727"/>
      <c r="K583" s="719"/>
      <c r="L583" s="719" t="s">
        <v>241</v>
      </c>
      <c r="M583" s="719"/>
      <c r="N583" s="726" t="s">
        <v>695</v>
      </c>
      <c r="O583" s="726"/>
      <c r="P583" s="726"/>
      <c r="Q583" s="719">
        <v>130</v>
      </c>
      <c r="R583" s="719">
        <v>1510</v>
      </c>
      <c r="S583" s="724"/>
      <c r="T583" s="719">
        <v>-30</v>
      </c>
      <c r="U583" s="719"/>
      <c r="V583" s="719"/>
      <c r="W583" s="719">
        <v>1.1000000000000001</v>
      </c>
      <c r="X583" s="719"/>
      <c r="Y583" s="719"/>
      <c r="Z583" s="719"/>
      <c r="AA583" s="719"/>
      <c r="AB583" s="719"/>
      <c r="AC583" s="719" t="s">
        <v>2979</v>
      </c>
      <c r="AD583" s="719"/>
      <c r="AE583" s="719"/>
      <c r="AF583" s="719">
        <v>200</v>
      </c>
      <c r="AG583" s="1341">
        <v>44806.07</v>
      </c>
      <c r="AH583" s="719">
        <v>1555</v>
      </c>
      <c r="AI583" s="719">
        <v>-4958</v>
      </c>
      <c r="AJ583" s="719"/>
      <c r="AK583" s="719"/>
      <c r="AL583" s="719"/>
      <c r="AM583" s="719" t="s">
        <v>2609</v>
      </c>
      <c r="AN583" s="719">
        <v>5.25</v>
      </c>
      <c r="AO583" s="719"/>
      <c r="AP583" s="719"/>
      <c r="AQ583" s="724"/>
      <c r="AR583" s="724"/>
      <c r="AS583" s="724"/>
      <c r="AT583" s="724">
        <f>+ab($T$583,$T$581,$T$585,$G$582,$G$584,-1*$F$583,1200)</f>
        <v>-6.1414332533494793</v>
      </c>
      <c r="AU583" s="724"/>
      <c r="AV583" s="724"/>
      <c r="AW583" s="719"/>
      <c r="AX583" s="719"/>
      <c r="AY583" s="719"/>
    </row>
    <row r="584" spans="1:51" ht="15.75" hidden="1" customHeight="1">
      <c r="A584" s="716"/>
      <c r="B584" s="1271"/>
      <c r="C584" s="1271"/>
      <c r="D584" s="719"/>
      <c r="E584" s="719"/>
      <c r="F584" s="720"/>
      <c r="G584" s="721">
        <v>50</v>
      </c>
      <c r="H584" s="726"/>
      <c r="I584" s="726"/>
      <c r="J584" s="727"/>
      <c r="K584" s="719"/>
      <c r="L584" s="719"/>
      <c r="M584" s="719"/>
      <c r="N584" s="726"/>
      <c r="O584" s="726"/>
      <c r="P584" s="726"/>
      <c r="Q584" s="719"/>
      <c r="R584" s="719"/>
      <c r="S584" s="724">
        <f t="shared" si="67"/>
        <v>43.889999999999418</v>
      </c>
      <c r="T584" s="719"/>
      <c r="U584" s="719"/>
      <c r="V584" s="719"/>
      <c r="W584" s="719"/>
      <c r="X584" s="719"/>
      <c r="Y584" s="719"/>
      <c r="Z584" s="719"/>
      <c r="AA584" s="719"/>
      <c r="AB584" s="719"/>
      <c r="AC584" s="719"/>
      <c r="AD584" s="719"/>
      <c r="AE584" s="719"/>
      <c r="AF584" s="719"/>
      <c r="AG584" s="1341"/>
      <c r="AH584" s="719"/>
      <c r="AI584" s="719"/>
      <c r="AJ584" s="719"/>
      <c r="AK584" s="719"/>
      <c r="AL584" s="719"/>
      <c r="AM584" s="719"/>
      <c r="AN584" s="719"/>
      <c r="AO584" s="719"/>
      <c r="AP584" s="719"/>
      <c r="AQ584" s="724">
        <f>+FL_2($T$585,$T$583,$G$584,1200,9.28,-1*$F$585)</f>
        <v>-0.33469884028219588</v>
      </c>
      <c r="AR584" s="724"/>
      <c r="AS584" s="724"/>
      <c r="AT584" s="724"/>
      <c r="AU584" s="724"/>
      <c r="AV584" s="724"/>
      <c r="AW584" s="719"/>
      <c r="AX584" s="719"/>
      <c r="AY584" s="719"/>
    </row>
    <row r="585" spans="1:51" ht="15.75" hidden="1" customHeight="1">
      <c r="A585" s="716" t="s">
        <v>676</v>
      </c>
      <c r="B585" s="1272" t="s">
        <v>1589</v>
      </c>
      <c r="C585" s="1271">
        <f>+$C$583+$G$584</f>
        <v>44850</v>
      </c>
      <c r="D585" s="719"/>
      <c r="E585" s="719">
        <v>130</v>
      </c>
      <c r="F585" s="720">
        <v>1510</v>
      </c>
      <c r="G585" s="721"/>
      <c r="H585" s="726"/>
      <c r="I585" s="726"/>
      <c r="J585" s="727"/>
      <c r="K585" s="719"/>
      <c r="L585" s="719" t="s">
        <v>241</v>
      </c>
      <c r="M585" s="719"/>
      <c r="N585" s="726" t="s">
        <v>695</v>
      </c>
      <c r="O585" s="726"/>
      <c r="P585" s="726"/>
      <c r="Q585" s="719">
        <v>132</v>
      </c>
      <c r="R585" s="719">
        <v>1510</v>
      </c>
      <c r="S585" s="724"/>
      <c r="T585" s="719">
        <v>-30</v>
      </c>
      <c r="U585" s="719"/>
      <c r="V585" s="719"/>
      <c r="W585" s="719">
        <v>1.1000000000000001</v>
      </c>
      <c r="X585" s="719"/>
      <c r="Y585" s="719"/>
      <c r="Z585" s="719"/>
      <c r="AA585" s="719"/>
      <c r="AB585" s="719"/>
      <c r="AC585" s="719" t="s">
        <v>2979</v>
      </c>
      <c r="AD585" s="719"/>
      <c r="AE585" s="719"/>
      <c r="AF585" s="719">
        <v>200</v>
      </c>
      <c r="AG585" s="1341">
        <v>44849.96</v>
      </c>
      <c r="AH585" s="719">
        <v>1499</v>
      </c>
      <c r="AI585" s="719">
        <v>-4945</v>
      </c>
      <c r="AJ585" s="719"/>
      <c r="AK585" s="719"/>
      <c r="AL585" s="719"/>
      <c r="AM585" s="719" t="s">
        <v>2609</v>
      </c>
      <c r="AN585" s="719">
        <v>5.25</v>
      </c>
      <c r="AO585" s="719"/>
      <c r="AP585" s="719"/>
      <c r="AQ585" s="724"/>
      <c r="AR585" s="724"/>
      <c r="AS585" s="724"/>
      <c r="AT585" s="724">
        <f>+ab($T$585,$T$583,$T$587,$G$584,$G$586,-1*$F$585,1200)</f>
        <v>-5.608386361012375</v>
      </c>
      <c r="AU585" s="724"/>
      <c r="AV585" s="724"/>
      <c r="AW585" s="719"/>
      <c r="AX585" s="719"/>
      <c r="AY585" s="719"/>
    </row>
    <row r="586" spans="1:51" ht="15.75" hidden="1" customHeight="1">
      <c r="A586" s="716"/>
      <c r="B586" s="1273"/>
      <c r="C586" s="1271"/>
      <c r="D586" s="719"/>
      <c r="E586" s="719"/>
      <c r="F586" s="720"/>
      <c r="G586" s="721">
        <v>53</v>
      </c>
      <c r="H586" s="726"/>
      <c r="I586" s="726"/>
      <c r="J586" s="727"/>
      <c r="K586" s="719"/>
      <c r="L586" s="719"/>
      <c r="M586" s="719"/>
      <c r="N586" s="726"/>
      <c r="O586" s="726"/>
      <c r="P586" s="726"/>
      <c r="Q586" s="719"/>
      <c r="R586" s="719"/>
      <c r="S586" s="724">
        <f t="shared" si="67"/>
        <v>50.069999999999709</v>
      </c>
      <c r="T586" s="719"/>
      <c r="U586" s="719"/>
      <c r="V586" s="719"/>
      <c r="W586" s="719"/>
      <c r="X586" s="719"/>
      <c r="Y586" s="719"/>
      <c r="Z586" s="719"/>
      <c r="AA586" s="719"/>
      <c r="AB586" s="719"/>
      <c r="AC586" s="719"/>
      <c r="AD586" s="719"/>
      <c r="AE586" s="719"/>
      <c r="AF586" s="719"/>
      <c r="AG586" s="1341"/>
      <c r="AH586" s="719"/>
      <c r="AI586" s="719"/>
      <c r="AJ586" s="719"/>
      <c r="AK586" s="719"/>
      <c r="AL586" s="719"/>
      <c r="AM586" s="719"/>
      <c r="AN586" s="719"/>
      <c r="AO586" s="719"/>
      <c r="AP586" s="719"/>
      <c r="AQ586" s="724">
        <f>+FL_2($T$587,$T$585,$G$586,1200,9.28,-1*$F$587)</f>
        <v>-0.33898564680688259</v>
      </c>
      <c r="AR586" s="724"/>
      <c r="AS586" s="724"/>
      <c r="AT586" s="724"/>
      <c r="AU586" s="724"/>
      <c r="AV586" s="724"/>
      <c r="AW586" s="719"/>
      <c r="AX586" s="719"/>
      <c r="AY586" s="719"/>
    </row>
    <row r="587" spans="1:51" ht="15.75" customHeight="1">
      <c r="A587" s="716" t="s">
        <v>676</v>
      </c>
      <c r="B587" s="1272" t="s">
        <v>1590</v>
      </c>
      <c r="C587" s="1271">
        <f>+$C$585+$G$586</f>
        <v>44903</v>
      </c>
      <c r="D587" s="719"/>
      <c r="E587" s="719">
        <v>130</v>
      </c>
      <c r="F587" s="720">
        <v>1510</v>
      </c>
      <c r="G587" s="721"/>
      <c r="H587" s="726" t="s">
        <v>1101</v>
      </c>
      <c r="I587" s="726"/>
      <c r="J587" s="727"/>
      <c r="K587" s="719"/>
      <c r="L587" s="719" t="s">
        <v>241</v>
      </c>
      <c r="M587" s="719"/>
      <c r="N587" s="726" t="s">
        <v>695</v>
      </c>
      <c r="O587" s="726"/>
      <c r="P587" s="726"/>
      <c r="Q587" s="719">
        <v>131</v>
      </c>
      <c r="R587" s="719">
        <v>1510</v>
      </c>
      <c r="S587" s="724"/>
      <c r="T587" s="719">
        <v>-30</v>
      </c>
      <c r="U587" s="719"/>
      <c r="V587" s="719"/>
      <c r="W587" s="719">
        <v>1.1000000000000001</v>
      </c>
      <c r="X587" s="719"/>
      <c r="Y587" s="719"/>
      <c r="Z587" s="719"/>
      <c r="AA587" s="719"/>
      <c r="AB587" s="719"/>
      <c r="AC587" s="719" t="s">
        <v>2978</v>
      </c>
      <c r="AD587" s="719"/>
      <c r="AE587" s="719"/>
      <c r="AF587" s="719">
        <v>200</v>
      </c>
      <c r="AG587" s="1341">
        <v>44900.03</v>
      </c>
      <c r="AH587" s="719">
        <v>1492</v>
      </c>
      <c r="AI587" s="719">
        <v>-4992</v>
      </c>
      <c r="AJ587" s="719"/>
      <c r="AK587" s="719"/>
      <c r="AL587" s="719"/>
      <c r="AM587" s="719" t="s">
        <v>2609</v>
      </c>
      <c r="AN587" s="719">
        <v>5.25</v>
      </c>
      <c r="AO587" s="719"/>
      <c r="AP587" s="719"/>
      <c r="AQ587" s="724"/>
      <c r="AR587" s="724"/>
      <c r="AS587" s="724"/>
      <c r="AT587" s="724">
        <f>+ab($T$587,$T$585,$T$589,$G$586,$G$588,-1*$F$587,1200)</f>
        <v>-5.7755169149213152</v>
      </c>
      <c r="AU587" s="724"/>
      <c r="AV587" s="724"/>
      <c r="AW587" s="719"/>
      <c r="AX587" s="719"/>
      <c r="AY587" s="719"/>
    </row>
    <row r="588" spans="1:51" ht="15.75" hidden="1" customHeight="1">
      <c r="A588" s="716"/>
      <c r="B588" s="1273"/>
      <c r="C588" s="1271"/>
      <c r="D588" s="719"/>
      <c r="E588" s="719"/>
      <c r="F588" s="720"/>
      <c r="G588" s="721">
        <v>47</v>
      </c>
      <c r="H588" s="726"/>
      <c r="I588" s="726">
        <f>+SUM(G574:G588)</f>
        <v>400</v>
      </c>
      <c r="J588" s="727">
        <f>C587+1</f>
        <v>44904</v>
      </c>
      <c r="K588" s="719" t="s">
        <v>1102</v>
      </c>
      <c r="L588" s="719"/>
      <c r="M588" s="719"/>
      <c r="N588" s="726"/>
      <c r="O588" s="726"/>
      <c r="P588" s="738"/>
      <c r="Q588" s="719"/>
      <c r="R588" s="719"/>
      <c r="S588" s="724">
        <f t="shared" si="67"/>
        <v>49.959999999999127</v>
      </c>
      <c r="T588" s="719"/>
      <c r="U588" s="719"/>
      <c r="V588" s="719"/>
      <c r="W588" s="719"/>
      <c r="X588" s="719"/>
      <c r="Y588" s="719"/>
      <c r="Z588" s="719"/>
      <c r="AA588" s="719"/>
      <c r="AB588" s="719"/>
      <c r="AC588" s="719"/>
      <c r="AD588" s="719"/>
      <c r="AE588" s="719"/>
      <c r="AF588" s="719"/>
      <c r="AG588" s="1341"/>
      <c r="AH588" s="719"/>
      <c r="AI588" s="719"/>
      <c r="AJ588" s="719"/>
      <c r="AK588" s="719"/>
      <c r="AL588" s="719"/>
      <c r="AM588" s="719"/>
      <c r="AN588" s="719"/>
      <c r="AO588" s="719"/>
      <c r="AP588" s="719"/>
      <c r="AQ588" s="724">
        <f>+FL_2($T$589,$T$587,$G$588,1200,9.28,-1*$F$589)</f>
        <v>-0.330661354289148</v>
      </c>
      <c r="AR588" s="724"/>
      <c r="AS588" s="724"/>
      <c r="AT588" s="724"/>
      <c r="AU588" s="724"/>
      <c r="AV588" s="724"/>
      <c r="AW588" s="719"/>
      <c r="AX588" s="719"/>
      <c r="AY588" s="719"/>
    </row>
    <row r="589" spans="1:51" ht="15.75" customHeight="1">
      <c r="A589" s="716" t="s">
        <v>676</v>
      </c>
      <c r="B589" s="1272" t="s">
        <v>1591</v>
      </c>
      <c r="C589" s="1271">
        <f>+$C$587+$G$588</f>
        <v>44950</v>
      </c>
      <c r="D589" s="719"/>
      <c r="E589" s="719">
        <v>130</v>
      </c>
      <c r="F589" s="720">
        <v>1510</v>
      </c>
      <c r="G589" s="721"/>
      <c r="H589" s="726" t="s">
        <v>997</v>
      </c>
      <c r="I589" s="726"/>
      <c r="J589" s="727"/>
      <c r="K589" s="719"/>
      <c r="L589" s="719" t="s">
        <v>241</v>
      </c>
      <c r="M589" s="719"/>
      <c r="N589" s="726" t="s">
        <v>695</v>
      </c>
      <c r="O589" s="726"/>
      <c r="P589" s="738"/>
      <c r="Q589" s="719">
        <v>125</v>
      </c>
      <c r="R589" s="719">
        <v>1510</v>
      </c>
      <c r="S589" s="724"/>
      <c r="T589" s="719">
        <v>-30</v>
      </c>
      <c r="U589" s="719"/>
      <c r="V589" s="719"/>
      <c r="W589" s="719">
        <v>1.1000000000000001</v>
      </c>
      <c r="X589" s="719"/>
      <c r="Y589" s="719"/>
      <c r="Z589" s="719"/>
      <c r="AA589" s="719"/>
      <c r="AB589" s="719"/>
      <c r="AC589" s="719" t="s">
        <v>2979</v>
      </c>
      <c r="AD589" s="719"/>
      <c r="AE589" s="719"/>
      <c r="AF589" s="719">
        <v>200</v>
      </c>
      <c r="AG589" s="1341">
        <v>44949.99</v>
      </c>
      <c r="AH589" s="719">
        <v>1507</v>
      </c>
      <c r="AI589" s="719">
        <v>-4918</v>
      </c>
      <c r="AJ589" s="719"/>
      <c r="AK589" s="719"/>
      <c r="AL589" s="719"/>
      <c r="AM589" s="719" t="s">
        <v>2609</v>
      </c>
      <c r="AN589" s="719">
        <v>5.26</v>
      </c>
      <c r="AO589" s="719"/>
      <c r="AP589" s="719"/>
      <c r="AQ589" s="724"/>
      <c r="AR589" s="724"/>
      <c r="AS589" s="724"/>
      <c r="AT589" s="724">
        <f>+ab($T$589,$T$587,$T$591,$G$588,$G$590,-1*$F$589,1200)</f>
        <v>-6.2738892001737403</v>
      </c>
      <c r="AU589" s="724"/>
      <c r="AV589" s="724"/>
      <c r="AW589" s="719"/>
      <c r="AX589" s="719"/>
      <c r="AY589" s="719"/>
    </row>
    <row r="590" spans="1:51" ht="15.75" hidden="1" customHeight="1">
      <c r="A590" s="716"/>
      <c r="B590" s="1273"/>
      <c r="C590" s="1271"/>
      <c r="D590" s="719"/>
      <c r="E590" s="719"/>
      <c r="F590" s="720"/>
      <c r="G590" s="721">
        <v>45</v>
      </c>
      <c r="H590" s="726"/>
      <c r="I590" s="726">
        <f>SUM(G590:G606)</f>
        <v>418.5</v>
      </c>
      <c r="J590" s="727">
        <f>C591-1</f>
        <v>44994</v>
      </c>
      <c r="K590" s="719" t="s">
        <v>1102</v>
      </c>
      <c r="L590" s="719"/>
      <c r="M590" s="719"/>
      <c r="N590" s="726"/>
      <c r="O590" s="726"/>
      <c r="P590" s="738"/>
      <c r="Q590" s="719"/>
      <c r="R590" s="719"/>
      <c r="S590" s="724">
        <f t="shared" si="67"/>
        <v>43.700000000004366</v>
      </c>
      <c r="T590" s="719"/>
      <c r="U590" s="719"/>
      <c r="V590" s="719"/>
      <c r="W590" s="719"/>
      <c r="X590" s="719"/>
      <c r="Y590" s="719"/>
      <c r="Z590" s="719"/>
      <c r="AA590" s="719"/>
      <c r="AB590" s="719"/>
      <c r="AC590" s="719"/>
      <c r="AD590" s="719"/>
      <c r="AE590" s="719"/>
      <c r="AF590" s="719"/>
      <c r="AG590" s="1341"/>
      <c r="AH590" s="719"/>
      <c r="AI590" s="719"/>
      <c r="AJ590" s="719"/>
      <c r="AK590" s="719"/>
      <c r="AL590" s="719"/>
      <c r="AM590" s="719"/>
      <c r="AN590" s="719"/>
      <c r="AO590" s="719"/>
      <c r="AP590" s="719"/>
      <c r="AQ590" s="724">
        <f>+FL_2($T$591,$T$589,$G$590,1200,9.28,-1*$F$591)</f>
        <v>-0.32810824378857611</v>
      </c>
      <c r="AR590" s="724"/>
      <c r="AS590" s="724"/>
      <c r="AT590" s="724"/>
      <c r="AU590" s="724"/>
      <c r="AV590" s="724"/>
      <c r="AW590" s="719"/>
      <c r="AX590" s="719"/>
      <c r="AY590" s="719"/>
    </row>
    <row r="591" spans="1:51" ht="15.75" customHeight="1">
      <c r="A591" s="716" t="s">
        <v>676</v>
      </c>
      <c r="B591" s="1272" t="s">
        <v>1592</v>
      </c>
      <c r="C591" s="1271">
        <f>+$C$589+$G$590</f>
        <v>44995</v>
      </c>
      <c r="D591" s="719"/>
      <c r="E591" s="719">
        <v>130</v>
      </c>
      <c r="F591" s="720">
        <v>1510</v>
      </c>
      <c r="G591" s="721"/>
      <c r="H591" s="726" t="s">
        <v>1101</v>
      </c>
      <c r="I591" s="726"/>
      <c r="J591" s="727"/>
      <c r="K591" s="719"/>
      <c r="L591" s="719" t="s">
        <v>241</v>
      </c>
      <c r="M591" s="719"/>
      <c r="N591" s="726" t="s">
        <v>695</v>
      </c>
      <c r="O591" s="726"/>
      <c r="P591" s="726"/>
      <c r="Q591" s="719">
        <v>130</v>
      </c>
      <c r="R591" s="719">
        <v>1510</v>
      </c>
      <c r="S591" s="719"/>
      <c r="T591" s="719">
        <v>-30</v>
      </c>
      <c r="U591" s="719"/>
      <c r="V591" s="719"/>
      <c r="W591" s="719">
        <v>1.1000000000000001</v>
      </c>
      <c r="X591" s="719"/>
      <c r="Y591" s="719"/>
      <c r="Z591" s="719"/>
      <c r="AA591" s="719"/>
      <c r="AB591" s="719"/>
      <c r="AC591" s="719" t="s">
        <v>2978</v>
      </c>
      <c r="AD591" s="719"/>
      <c r="AE591" s="719"/>
      <c r="AF591" s="719">
        <v>200</v>
      </c>
      <c r="AG591" s="1341">
        <v>44993.69</v>
      </c>
      <c r="AH591" s="719">
        <v>1478</v>
      </c>
      <c r="AI591" s="719">
        <v>-5047</v>
      </c>
      <c r="AJ591" s="719"/>
      <c r="AK591" s="719"/>
      <c r="AL591" s="719"/>
      <c r="AM591" s="719" t="s">
        <v>2609</v>
      </c>
      <c r="AN591" s="719">
        <v>5.33</v>
      </c>
      <c r="AO591" s="719"/>
      <c r="AP591" s="719"/>
      <c r="AQ591" s="724"/>
      <c r="AR591" s="724"/>
      <c r="AS591" s="724"/>
      <c r="AT591" s="724">
        <f>+ab($T$591,$T$589,$T$593,$G$590,$G$592,-1*$F$591,1200)</f>
        <v>-6.4121602081423816</v>
      </c>
      <c r="AU591" s="724"/>
      <c r="AV591" s="724"/>
      <c r="AW591" s="719"/>
      <c r="AX591" s="719"/>
      <c r="AY591" s="719"/>
    </row>
    <row r="592" spans="1:51" ht="15.75" hidden="1" customHeight="1">
      <c r="A592" s="742" t="s">
        <v>1107</v>
      </c>
      <c r="B592" s="1273"/>
      <c r="C592" s="1271"/>
      <c r="D592" s="719"/>
      <c r="E592" s="719"/>
      <c r="F592" s="720"/>
      <c r="G592" s="721">
        <v>45</v>
      </c>
      <c r="H592" s="726"/>
      <c r="I592" s="726" t="s">
        <v>2053</v>
      </c>
      <c r="J592" s="727"/>
      <c r="K592" s="719" t="s">
        <v>1102</v>
      </c>
      <c r="L592" s="719"/>
      <c r="M592" s="719"/>
      <c r="N592" s="726"/>
      <c r="O592" s="726"/>
      <c r="P592" s="726"/>
      <c r="Q592" s="719"/>
      <c r="R592" s="719"/>
      <c r="S592" s="724">
        <f t="shared" si="67"/>
        <v>46.339999999996508</v>
      </c>
      <c r="T592" s="719"/>
      <c r="U592" s="719"/>
      <c r="V592" s="719"/>
      <c r="W592" s="719"/>
      <c r="X592" s="719"/>
      <c r="Y592" s="719"/>
      <c r="Z592" s="719"/>
      <c r="AA592" s="719"/>
      <c r="AB592" s="719"/>
      <c r="AC592" s="719"/>
      <c r="AD592" s="719"/>
      <c r="AE592" s="719"/>
      <c r="AF592" s="719"/>
      <c r="AG592" s="1341"/>
      <c r="AH592" s="719"/>
      <c r="AI592" s="719"/>
      <c r="AJ592" s="719"/>
      <c r="AK592" s="719"/>
      <c r="AL592" s="719"/>
      <c r="AM592" s="719"/>
      <c r="AN592" s="719"/>
      <c r="AO592" s="719"/>
      <c r="AP592" s="719"/>
      <c r="AQ592" s="724">
        <f>+FL_2($T$593,$T$591,$G$592,1200,9.28,-1*$F$593)</f>
        <v>-0.32810824378857611</v>
      </c>
      <c r="AR592" s="724"/>
      <c r="AS592" s="724"/>
      <c r="AT592" s="724"/>
      <c r="AU592" s="724"/>
      <c r="AV592" s="724"/>
      <c r="AW592" s="719"/>
      <c r="AX592" s="719"/>
      <c r="AY592" s="719"/>
    </row>
    <row r="593" spans="1:51" ht="15.75" hidden="1" customHeight="1">
      <c r="A593" s="701"/>
      <c r="B593" s="1272" t="s">
        <v>1593</v>
      </c>
      <c r="C593" s="1271">
        <f>+$C$591+$G$592</f>
        <v>45040</v>
      </c>
      <c r="D593" s="704"/>
      <c r="E593" s="704">
        <v>130</v>
      </c>
      <c r="F593" s="705">
        <v>1510</v>
      </c>
      <c r="G593" s="706"/>
      <c r="H593" s="706"/>
      <c r="I593" s="706"/>
      <c r="J593" s="714"/>
      <c r="K593" s="704"/>
      <c r="L593" s="704" t="s">
        <v>233</v>
      </c>
      <c r="M593" s="704" t="s">
        <v>2634</v>
      </c>
      <c r="N593" s="707" t="s">
        <v>144</v>
      </c>
      <c r="O593" s="707"/>
      <c r="P593" s="707"/>
      <c r="Q593" s="704">
        <v>132</v>
      </c>
      <c r="R593" s="704">
        <v>1510</v>
      </c>
      <c r="S593" s="704"/>
      <c r="T593" s="704">
        <v>-30</v>
      </c>
      <c r="U593" s="704"/>
      <c r="V593" s="704"/>
      <c r="W593" s="704">
        <v>1.4</v>
      </c>
      <c r="X593" s="704"/>
      <c r="Y593" s="704"/>
      <c r="Z593" s="704"/>
      <c r="AA593" s="704"/>
      <c r="AB593" s="704"/>
      <c r="AC593" s="704" t="s">
        <v>2978</v>
      </c>
      <c r="AD593" s="704"/>
      <c r="AE593" s="704"/>
      <c r="AF593" s="704">
        <v>4800</v>
      </c>
      <c r="AG593" s="1343">
        <v>45040.03</v>
      </c>
      <c r="AH593" s="704">
        <v>2537</v>
      </c>
      <c r="AI593" s="704">
        <v>-647</v>
      </c>
      <c r="AJ593" s="704"/>
      <c r="AK593" s="704"/>
      <c r="AL593" s="704"/>
      <c r="AM593" s="704" t="s">
        <v>2054</v>
      </c>
      <c r="AN593" s="711">
        <v>5.4</v>
      </c>
      <c r="AO593" s="704"/>
      <c r="AP593" s="704"/>
      <c r="AQ593" s="711"/>
      <c r="AR593" s="711"/>
      <c r="AS593" s="711"/>
      <c r="AT593" s="711">
        <f>+ab($T$593,$T$591,$T$595,$G$592,$G$594,-1*$F$593,1200)</f>
        <v>-6.4476814946305705</v>
      </c>
      <c r="AU593" s="711"/>
      <c r="AV593" s="711"/>
      <c r="AW593" s="704"/>
      <c r="AX593" s="704"/>
      <c r="AY593" s="704"/>
    </row>
    <row r="594" spans="1:51" ht="15.75" hidden="1" customHeight="1">
      <c r="A594" s="766" t="s">
        <v>1108</v>
      </c>
      <c r="B594" s="1273"/>
      <c r="C594" s="1271"/>
      <c r="D594" s="769"/>
      <c r="E594" s="769"/>
      <c r="F594" s="770"/>
      <c r="G594" s="771">
        <v>44.5</v>
      </c>
      <c r="H594" s="772"/>
      <c r="I594" s="772"/>
      <c r="J594" s="783"/>
      <c r="K594" s="769"/>
      <c r="L594" s="769"/>
      <c r="M594" s="769"/>
      <c r="N594" s="772"/>
      <c r="O594" s="772"/>
      <c r="P594" s="772"/>
      <c r="Q594" s="769"/>
      <c r="R594" s="769"/>
      <c r="S594" s="769">
        <f t="shared" ref="S594:S596" si="68">AG595-AG593</f>
        <v>44.559999999997672</v>
      </c>
      <c r="T594" s="769"/>
      <c r="U594" s="769"/>
      <c r="V594" s="769"/>
      <c r="W594" s="769"/>
      <c r="X594" s="769"/>
      <c r="Y594" s="769"/>
      <c r="Z594" s="769"/>
      <c r="AA594" s="769"/>
      <c r="AB594" s="769"/>
      <c r="AC594" s="769"/>
      <c r="AD594" s="769"/>
      <c r="AE594" s="769"/>
      <c r="AF594" s="769"/>
      <c r="AG594" s="1342"/>
      <c r="AH594" s="769"/>
      <c r="AI594" s="769"/>
      <c r="AJ594" s="769"/>
      <c r="AK594" s="769"/>
      <c r="AL594" s="769"/>
      <c r="AM594" s="769"/>
      <c r="AN594" s="774"/>
      <c r="AO594" s="769"/>
      <c r="AP594" s="769"/>
      <c r="AQ594" s="774">
        <f>+FL_2($T$595,$T$593,$G$594,1200,9.28,-1*$F$595)</f>
        <v>-0.32748728742820366</v>
      </c>
      <c r="AR594" s="774"/>
      <c r="AS594" s="774"/>
      <c r="AT594" s="774"/>
      <c r="AU594" s="774"/>
      <c r="AV594" s="774"/>
      <c r="AW594" s="769"/>
      <c r="AX594" s="769"/>
      <c r="AY594" s="769"/>
    </row>
    <row r="595" spans="1:51" ht="15.75" hidden="1" customHeight="1">
      <c r="A595" s="766" t="s">
        <v>2952</v>
      </c>
      <c r="B595" s="1272" t="s">
        <v>1594</v>
      </c>
      <c r="C595" s="1271">
        <f>+$C$593+$G$594</f>
        <v>45084.5</v>
      </c>
      <c r="D595" s="769"/>
      <c r="E595" s="769">
        <v>130</v>
      </c>
      <c r="F595" s="770">
        <v>1510</v>
      </c>
      <c r="G595" s="771"/>
      <c r="H595" s="772"/>
      <c r="I595" s="772"/>
      <c r="J595" s="783"/>
      <c r="K595" s="769"/>
      <c r="L595" s="769" t="s">
        <v>1118</v>
      </c>
      <c r="M595" s="769" t="s">
        <v>2670</v>
      </c>
      <c r="N595" s="772" t="s">
        <v>144</v>
      </c>
      <c r="O595" s="772"/>
      <c r="P595" s="772"/>
      <c r="Q595" s="769">
        <v>132</v>
      </c>
      <c r="R595" s="769">
        <v>1510</v>
      </c>
      <c r="S595" s="769"/>
      <c r="T595" s="769">
        <v>-30</v>
      </c>
      <c r="U595" s="769"/>
      <c r="V595" s="769"/>
      <c r="W595" s="769">
        <v>1.4</v>
      </c>
      <c r="X595" s="769"/>
      <c r="Y595" s="769"/>
      <c r="Z595" s="769"/>
      <c r="AA595" s="769"/>
      <c r="AB595" s="769"/>
      <c r="AC595" s="769" t="s">
        <v>2978</v>
      </c>
      <c r="AD595" s="769"/>
      <c r="AE595" s="769"/>
      <c r="AF595" s="769">
        <v>5200</v>
      </c>
      <c r="AG595" s="1342">
        <v>45084.59</v>
      </c>
      <c r="AH595" s="769">
        <v>2974</v>
      </c>
      <c r="AI595" s="769">
        <v>-369</v>
      </c>
      <c r="AJ595" s="769" t="s">
        <v>2466</v>
      </c>
      <c r="AK595" s="769"/>
      <c r="AL595" s="769"/>
      <c r="AM595" s="769" t="s">
        <v>2054</v>
      </c>
      <c r="AN595" s="774">
        <v>5.45</v>
      </c>
      <c r="AO595" s="769"/>
      <c r="AP595" s="769"/>
      <c r="AQ595" s="774"/>
      <c r="AR595" s="774"/>
      <c r="AS595" s="774"/>
      <c r="AT595" s="774">
        <f>+ab($T$595,$T$593,$T$597,$G$594,$G$596,-1*$F$595,1200)</f>
        <v>-6.7077421194494296</v>
      </c>
      <c r="AU595" s="774"/>
      <c r="AV595" s="774"/>
      <c r="AW595" s="769"/>
      <c r="AX595" s="769"/>
      <c r="AY595" s="769"/>
    </row>
    <row r="596" spans="1:51" ht="15.75" hidden="1" customHeight="1">
      <c r="A596" s="766"/>
      <c r="B596" s="1273"/>
      <c r="C596" s="1271"/>
      <c r="D596" s="769"/>
      <c r="E596" s="769"/>
      <c r="F596" s="770"/>
      <c r="G596" s="771">
        <v>41.5</v>
      </c>
      <c r="H596" s="772"/>
      <c r="I596" s="772"/>
      <c r="J596" s="783"/>
      <c r="K596" s="769"/>
      <c r="L596" s="769"/>
      <c r="M596" s="769"/>
      <c r="N596" s="772"/>
      <c r="O596" s="772"/>
      <c r="P596" s="772"/>
      <c r="Q596" s="769"/>
      <c r="R596" s="769"/>
      <c r="S596" s="769">
        <f t="shared" si="68"/>
        <v>41.510000000002037</v>
      </c>
      <c r="T596" s="769"/>
      <c r="U596" s="769"/>
      <c r="V596" s="769"/>
      <c r="W596" s="769"/>
      <c r="X596" s="769"/>
      <c r="Y596" s="769"/>
      <c r="Z596" s="769"/>
      <c r="AA596" s="769"/>
      <c r="AB596" s="769"/>
      <c r="AC596" s="769"/>
      <c r="AD596" s="769"/>
      <c r="AE596" s="769"/>
      <c r="AF596" s="769"/>
      <c r="AG596" s="1342"/>
      <c r="AH596" s="769"/>
      <c r="AI596" s="769"/>
      <c r="AJ596" s="769" t="s">
        <v>2976</v>
      </c>
      <c r="AK596" s="769"/>
      <c r="AL596" s="769"/>
      <c r="AM596" s="769"/>
      <c r="AN596" s="769"/>
      <c r="AO596" s="769"/>
      <c r="AP596" s="769"/>
      <c r="AQ596" s="774">
        <f>+FL_2($T$597,$T$595,$G$596,1200,9.28,-1*$F$597)</f>
        <v>-0.32390707122694723</v>
      </c>
      <c r="AR596" s="774"/>
      <c r="AS596" s="774"/>
      <c r="AT596" s="774"/>
      <c r="AU596" s="774"/>
      <c r="AV596" s="774"/>
      <c r="AW596" s="769"/>
      <c r="AX596" s="769"/>
      <c r="AY596" s="769"/>
    </row>
    <row r="597" spans="1:51" ht="15.75" hidden="1" customHeight="1">
      <c r="A597" s="766"/>
      <c r="B597" s="1272" t="s">
        <v>1595</v>
      </c>
      <c r="C597" s="1271">
        <f>+$C$595+$G$596</f>
        <v>45126</v>
      </c>
      <c r="D597" s="769"/>
      <c r="E597" s="769">
        <v>130</v>
      </c>
      <c r="F597" s="770">
        <v>1510</v>
      </c>
      <c r="G597" s="771"/>
      <c r="H597" s="772"/>
      <c r="I597" s="772"/>
      <c r="J597" s="783"/>
      <c r="K597" s="769"/>
      <c r="L597" s="769" t="s">
        <v>1120</v>
      </c>
      <c r="M597" s="769" t="s">
        <v>2667</v>
      </c>
      <c r="N597" s="772" t="s">
        <v>144</v>
      </c>
      <c r="O597" s="772"/>
      <c r="P597" s="772"/>
      <c r="Q597" s="769">
        <v>132</v>
      </c>
      <c r="R597" s="769">
        <v>1510</v>
      </c>
      <c r="S597" s="769"/>
      <c r="T597" s="769">
        <v>-30</v>
      </c>
      <c r="U597" s="769"/>
      <c r="V597" s="769"/>
      <c r="W597" s="769">
        <v>1.4</v>
      </c>
      <c r="X597" s="769"/>
      <c r="Y597" s="769"/>
      <c r="Z597" s="769"/>
      <c r="AA597" s="769"/>
      <c r="AB597" s="769"/>
      <c r="AC597" s="769" t="s">
        <v>2978</v>
      </c>
      <c r="AD597" s="769"/>
      <c r="AE597" s="769"/>
      <c r="AF597" s="769">
        <v>5200</v>
      </c>
      <c r="AG597" s="1342">
        <v>45126.1</v>
      </c>
      <c r="AH597" s="769">
        <v>3144</v>
      </c>
      <c r="AI597" s="769">
        <v>-448</v>
      </c>
      <c r="AJ597" s="769"/>
      <c r="AK597" s="769"/>
      <c r="AL597" s="769"/>
      <c r="AM597" s="769" t="s">
        <v>2054</v>
      </c>
      <c r="AN597" s="774">
        <v>5.5</v>
      </c>
      <c r="AO597" s="769"/>
      <c r="AP597" s="769"/>
      <c r="AQ597" s="774"/>
      <c r="AR597" s="774"/>
      <c r="AS597" s="774"/>
      <c r="AT597" s="774">
        <f>+ab($T$597,$T$595,$T$599,$G$596,$G$598,-1*$F$597,1200)</f>
        <v>-6.0144344199492563</v>
      </c>
      <c r="AU597" s="774"/>
      <c r="AV597" s="774"/>
      <c r="AW597" s="769"/>
      <c r="AX597" s="769"/>
      <c r="AY597" s="769"/>
    </row>
    <row r="598" spans="1:51" ht="15.75" hidden="1" customHeight="1">
      <c r="A598" s="766"/>
      <c r="B598" s="1273"/>
      <c r="C598" s="1271"/>
      <c r="D598" s="769"/>
      <c r="E598" s="769"/>
      <c r="F598" s="770"/>
      <c r="G598" s="771">
        <v>54.5</v>
      </c>
      <c r="H598" s="772"/>
      <c r="I598" s="772"/>
      <c r="J598" s="783"/>
      <c r="K598" s="769"/>
      <c r="L598" s="769"/>
      <c r="M598" s="769"/>
      <c r="N598" s="772"/>
      <c r="O598" s="772"/>
      <c r="P598" s="772"/>
      <c r="Q598" s="769"/>
      <c r="R598" s="769"/>
      <c r="S598" s="769">
        <f t="shared" ref="S598" si="69">AG599-AG597</f>
        <v>54.360000000000582</v>
      </c>
      <c r="T598" s="769"/>
      <c r="U598" s="769"/>
      <c r="V598" s="769"/>
      <c r="W598" s="769"/>
      <c r="X598" s="769"/>
      <c r="Y598" s="769"/>
      <c r="Z598" s="769"/>
      <c r="AA598" s="769"/>
      <c r="AB598" s="769"/>
      <c r="AC598" s="769"/>
      <c r="AD598" s="769"/>
      <c r="AE598" s="769"/>
      <c r="AF598" s="769"/>
      <c r="AG598" s="1342"/>
      <c r="AH598" s="769"/>
      <c r="AI598" s="769"/>
      <c r="AJ598" s="769"/>
      <c r="AK598" s="769"/>
      <c r="AL598" s="769"/>
      <c r="AM598" s="769"/>
      <c r="AN598" s="774"/>
      <c r="AO598" s="769"/>
      <c r="AP598" s="769"/>
      <c r="AQ598" s="774">
        <f>+FL_2($T$599,$T$597,$G$598,1200,11.88,-1*$F$599)</f>
        <v>-0.42166679259299233</v>
      </c>
      <c r="AR598" s="774"/>
      <c r="AS598" s="774"/>
      <c r="AT598" s="774"/>
      <c r="AU598" s="774"/>
      <c r="AV598" s="774"/>
      <c r="AW598" s="769"/>
      <c r="AX598" s="769"/>
      <c r="AY598" s="769"/>
    </row>
    <row r="599" spans="1:51" ht="15.75" hidden="1" customHeight="1">
      <c r="A599" s="766"/>
      <c r="B599" s="1272" t="s">
        <v>1596</v>
      </c>
      <c r="C599" s="1271">
        <f>+$C$597+$G$598</f>
        <v>45180.5</v>
      </c>
      <c r="D599" s="769"/>
      <c r="E599" s="769">
        <v>130</v>
      </c>
      <c r="F599" s="770">
        <v>1510</v>
      </c>
      <c r="G599" s="771"/>
      <c r="H599" s="772" t="s">
        <v>138</v>
      </c>
      <c r="I599" s="772" t="s">
        <v>2831</v>
      </c>
      <c r="J599" s="783"/>
      <c r="K599" s="769"/>
      <c r="L599" s="769" t="s">
        <v>2710</v>
      </c>
      <c r="M599" s="769" t="s">
        <v>2671</v>
      </c>
      <c r="N599" s="772" t="s">
        <v>144</v>
      </c>
      <c r="O599" s="772"/>
      <c r="P599" s="772"/>
      <c r="Q599" s="769">
        <v>132</v>
      </c>
      <c r="R599" s="769">
        <v>1510</v>
      </c>
      <c r="S599" s="769"/>
      <c r="T599" s="769">
        <v>-30</v>
      </c>
      <c r="U599" s="769"/>
      <c r="V599" s="769"/>
      <c r="W599" s="769">
        <v>1.4</v>
      </c>
      <c r="X599" s="769"/>
      <c r="Y599" s="769"/>
      <c r="Z599" s="769"/>
      <c r="AA599" s="769"/>
      <c r="AB599" s="769"/>
      <c r="AC599" s="769" t="s">
        <v>2978</v>
      </c>
      <c r="AD599" s="769"/>
      <c r="AE599" s="769"/>
      <c r="AF599" s="769">
        <v>5400</v>
      </c>
      <c r="AG599" s="1342">
        <v>45180.46</v>
      </c>
      <c r="AH599" s="769">
        <v>3169</v>
      </c>
      <c r="AI599" s="769">
        <v>-202</v>
      </c>
      <c r="AJ599" s="769"/>
      <c r="AK599" s="769"/>
      <c r="AL599" s="769"/>
      <c r="AM599" s="769" t="s">
        <v>2054</v>
      </c>
      <c r="AN599" s="774">
        <v>5.5</v>
      </c>
      <c r="AO599" s="769"/>
      <c r="AP599" s="769"/>
      <c r="AQ599" s="774"/>
      <c r="AR599" s="774"/>
      <c r="AS599" s="774"/>
      <c r="AT599" s="774">
        <f>+ab($T$599,$T$597,$U$601,$G$598,$G$600,-1*$F$599,1200)</f>
        <v>-5.3257682483549758</v>
      </c>
      <c r="AU599" s="774"/>
      <c r="AV599" s="774"/>
      <c r="AW599" s="769"/>
      <c r="AX599" s="769"/>
      <c r="AY599" s="769"/>
    </row>
    <row r="600" spans="1:51" ht="15.75" hidden="1" customHeight="1">
      <c r="A600" s="766"/>
      <c r="B600" s="1273"/>
      <c r="C600" s="1271"/>
      <c r="D600" s="769"/>
      <c r="E600" s="769"/>
      <c r="F600" s="770"/>
      <c r="G600" s="771">
        <v>54</v>
      </c>
      <c r="H600" s="772"/>
      <c r="I600" s="772"/>
      <c r="J600" s="783"/>
      <c r="K600" s="769"/>
      <c r="L600" s="769"/>
      <c r="M600" s="769"/>
      <c r="N600" s="772"/>
      <c r="O600" s="772"/>
      <c r="P600" s="772"/>
      <c r="Q600" s="769"/>
      <c r="R600" s="769"/>
      <c r="S600" s="769">
        <f t="shared" ref="S600" si="70">AG601-AG599</f>
        <v>53.972999999998137</v>
      </c>
      <c r="T600" s="769"/>
      <c r="U600" s="769"/>
      <c r="V600" s="769"/>
      <c r="W600" s="769"/>
      <c r="X600" s="769"/>
      <c r="Y600" s="769"/>
      <c r="Z600" s="769"/>
      <c r="AA600" s="769"/>
      <c r="AB600" s="769"/>
      <c r="AC600" s="769"/>
      <c r="AD600" s="769"/>
      <c r="AE600" s="769"/>
      <c r="AF600" s="769"/>
      <c r="AG600" s="1342"/>
      <c r="AH600" s="769"/>
      <c r="AI600" s="769"/>
      <c r="AJ600" s="769"/>
      <c r="AK600" s="769"/>
      <c r="AL600" s="769"/>
      <c r="AM600" s="769"/>
      <c r="AN600" s="769"/>
      <c r="AO600" s="769"/>
      <c r="AP600" s="769"/>
      <c r="AQ600" s="774">
        <f>+FL_1($U$601,$T$599,$G$600,1200,12.7,-1*$F$601)</f>
        <v>0.32717252609303538</v>
      </c>
      <c r="AR600" s="774"/>
      <c r="AS600" s="774"/>
      <c r="AT600" s="774"/>
      <c r="AU600" s="774"/>
      <c r="AV600" s="774"/>
      <c r="AW600" s="769"/>
      <c r="AX600" s="769"/>
      <c r="AY600" s="769"/>
    </row>
    <row r="601" spans="1:51" ht="15.75" hidden="1" customHeight="1">
      <c r="A601" s="766" t="s">
        <v>2953</v>
      </c>
      <c r="B601" s="1272" t="s">
        <v>1597</v>
      </c>
      <c r="C601" s="1271">
        <f>+$C$599+$G$600</f>
        <v>45234.5</v>
      </c>
      <c r="D601" s="769"/>
      <c r="E601" s="769">
        <v>130</v>
      </c>
      <c r="F601" s="770">
        <v>1510</v>
      </c>
      <c r="G601" s="771"/>
      <c r="H601" s="772" t="s">
        <v>668</v>
      </c>
      <c r="I601" s="772" t="s">
        <v>2645</v>
      </c>
      <c r="J601" s="783"/>
      <c r="K601" s="769"/>
      <c r="L601" s="769" t="s">
        <v>1124</v>
      </c>
      <c r="M601" s="769" t="s">
        <v>2670</v>
      </c>
      <c r="N601" s="772" t="s">
        <v>140</v>
      </c>
      <c r="O601" s="772" t="s">
        <v>144</v>
      </c>
      <c r="P601" s="772"/>
      <c r="Q601" s="769">
        <v>132</v>
      </c>
      <c r="R601" s="769">
        <v>1510</v>
      </c>
      <c r="S601" s="769"/>
      <c r="T601" s="769">
        <v>15</v>
      </c>
      <c r="U601" s="769">
        <v>-30</v>
      </c>
      <c r="V601" s="769"/>
      <c r="W601" s="769">
        <v>1.4</v>
      </c>
      <c r="X601" s="769">
        <v>2.2999999999999998</v>
      </c>
      <c r="Y601" s="769"/>
      <c r="Z601" s="774">
        <v>0.45300000000000001</v>
      </c>
      <c r="AA601" s="774"/>
      <c r="AB601" s="769"/>
      <c r="AC601" s="769"/>
      <c r="AD601" s="769" t="s">
        <v>2978</v>
      </c>
      <c r="AE601" s="769"/>
      <c r="AF601" s="769">
        <v>5400</v>
      </c>
      <c r="AG601" s="1342">
        <v>45234.432999999997</v>
      </c>
      <c r="AH601" s="769">
        <v>3245</v>
      </c>
      <c r="AI601" s="769">
        <v>-161</v>
      </c>
      <c r="AJ601" s="769" t="s">
        <v>3150</v>
      </c>
      <c r="AK601" s="769"/>
      <c r="AL601" s="769"/>
      <c r="AM601" s="769" t="s">
        <v>2054</v>
      </c>
      <c r="AN601" s="774">
        <v>5.5</v>
      </c>
      <c r="AO601" s="769"/>
      <c r="AP601" s="769"/>
      <c r="AQ601" s="774"/>
      <c r="AR601" s="774"/>
      <c r="AS601" s="774"/>
      <c r="AT601" s="774">
        <f>+ab($U$601,$T$599,$U$603,$G$600,$G$602,-1*$F$601,1200)</f>
        <v>-5.6630148617805416</v>
      </c>
      <c r="AU601" s="774"/>
      <c r="AV601" s="774"/>
      <c r="AW601" s="769"/>
      <c r="AX601" s="769"/>
      <c r="AY601" s="769"/>
    </row>
    <row r="602" spans="1:51" ht="15.75" hidden="1" customHeight="1">
      <c r="A602" s="766"/>
      <c r="B602" s="1273"/>
      <c r="C602" s="1271"/>
      <c r="D602" s="769"/>
      <c r="E602" s="769"/>
      <c r="F602" s="770"/>
      <c r="G602" s="771">
        <v>48</v>
      </c>
      <c r="H602" s="772"/>
      <c r="I602" s="772"/>
      <c r="J602" s="783"/>
      <c r="K602" s="769"/>
      <c r="L602" s="769"/>
      <c r="M602" s="769"/>
      <c r="N602" s="772"/>
      <c r="O602" s="772"/>
      <c r="P602" s="772"/>
      <c r="Q602" s="769"/>
      <c r="R602" s="769"/>
      <c r="S602" s="769">
        <f>AG603-AG601</f>
        <v>48.280000000006112</v>
      </c>
      <c r="T602" s="769"/>
      <c r="U602" s="769"/>
      <c r="V602" s="769"/>
      <c r="W602" s="769"/>
      <c r="X602" s="769"/>
      <c r="Y602" s="769"/>
      <c r="Z602" s="774"/>
      <c r="AA602" s="774"/>
      <c r="AB602" s="769"/>
      <c r="AC602" s="769"/>
      <c r="AD602" s="769"/>
      <c r="AE602" s="769"/>
      <c r="AF602" s="769"/>
      <c r="AG602" s="1342"/>
      <c r="AH602" s="769"/>
      <c r="AI602" s="769"/>
      <c r="AJ602" s="769"/>
      <c r="AK602" s="769"/>
      <c r="AL602" s="769"/>
      <c r="AM602" s="769"/>
      <c r="AN602" s="774"/>
      <c r="AO602" s="769"/>
      <c r="AP602" s="769"/>
      <c r="AQ602" s="774">
        <f>+FL_2($T$603,$U$601,$G$602,1200,13.16,-1*$F$603)</f>
        <v>-0.30127082806329902</v>
      </c>
      <c r="AR602" s="774"/>
      <c r="AS602" s="774"/>
      <c r="AT602" s="774"/>
      <c r="AU602" s="774"/>
      <c r="AV602" s="774"/>
      <c r="AW602" s="769"/>
      <c r="AX602" s="769"/>
      <c r="AY602" s="769"/>
    </row>
    <row r="603" spans="1:51" ht="15.75" hidden="1" customHeight="1">
      <c r="A603" s="766"/>
      <c r="B603" s="1272" t="s">
        <v>1598</v>
      </c>
      <c r="C603" s="1271">
        <f>+$C$601+$G$602</f>
        <v>45282.5</v>
      </c>
      <c r="D603" s="769"/>
      <c r="E603" s="769">
        <v>130</v>
      </c>
      <c r="F603" s="770">
        <v>1510</v>
      </c>
      <c r="G603" s="771"/>
      <c r="H603" s="772" t="s">
        <v>668</v>
      </c>
      <c r="I603" s="772"/>
      <c r="J603" s="783"/>
      <c r="K603" s="769"/>
      <c r="L603" s="769" t="s">
        <v>1120</v>
      </c>
      <c r="M603" s="769" t="s">
        <v>2670</v>
      </c>
      <c r="N603" s="772" t="s">
        <v>144</v>
      </c>
      <c r="O603" s="772" t="s">
        <v>140</v>
      </c>
      <c r="P603" s="772"/>
      <c r="Q603" s="769">
        <v>132</v>
      </c>
      <c r="R603" s="769">
        <v>1510</v>
      </c>
      <c r="S603" s="769"/>
      <c r="T603" s="769">
        <v>15</v>
      </c>
      <c r="U603" s="769">
        <v>-30</v>
      </c>
      <c r="V603" s="769"/>
      <c r="W603" s="769">
        <v>1.4</v>
      </c>
      <c r="X603" s="769">
        <v>2.2999999999999998</v>
      </c>
      <c r="Y603" s="769"/>
      <c r="Z603" s="774"/>
      <c r="AA603" s="774">
        <v>0.45</v>
      </c>
      <c r="AB603" s="769"/>
      <c r="AC603" s="769" t="s">
        <v>3012</v>
      </c>
      <c r="AD603" s="769"/>
      <c r="AE603" s="769"/>
      <c r="AF603" s="769">
        <v>5400</v>
      </c>
      <c r="AG603" s="1342">
        <v>45282.713000000003</v>
      </c>
      <c r="AH603" s="769">
        <v>3228</v>
      </c>
      <c r="AI603" s="769">
        <v>-167</v>
      </c>
      <c r="AJ603" s="769"/>
      <c r="AK603" s="769"/>
      <c r="AL603" s="769"/>
      <c r="AM603" s="769" t="s">
        <v>2054</v>
      </c>
      <c r="AN603" s="774">
        <v>5.5</v>
      </c>
      <c r="AO603" s="769"/>
      <c r="AP603" s="769"/>
      <c r="AQ603" s="774"/>
      <c r="AR603" s="774"/>
      <c r="AS603" s="774"/>
      <c r="AT603" s="774">
        <f>+ab($T$603,$T$601,$T$605,$G$602,$G$604,-1*$F$603,1200)</f>
        <v>-10.604052658660974</v>
      </c>
      <c r="AU603" s="774"/>
      <c r="AV603" s="774"/>
      <c r="AW603" s="769"/>
      <c r="AX603" s="769"/>
      <c r="AY603" s="769"/>
    </row>
    <row r="604" spans="1:51" ht="15.75" hidden="1" customHeight="1">
      <c r="A604" s="766"/>
      <c r="B604" s="1273"/>
      <c r="C604" s="1271"/>
      <c r="D604" s="769"/>
      <c r="E604" s="769"/>
      <c r="F604" s="770"/>
      <c r="G604" s="771">
        <v>40</v>
      </c>
      <c r="H604" s="772"/>
      <c r="I604" s="772"/>
      <c r="J604" s="783"/>
      <c r="K604" s="769"/>
      <c r="L604" s="769"/>
      <c r="M604" s="769"/>
      <c r="N604" s="772"/>
      <c r="O604" s="772"/>
      <c r="P604" s="772"/>
      <c r="Q604" s="769"/>
      <c r="R604" s="769"/>
      <c r="S604" s="774">
        <f t="shared" ref="S604:S608" si="71">AG605-AG603</f>
        <v>39.820999999996275</v>
      </c>
      <c r="T604" s="769"/>
      <c r="U604" s="769"/>
      <c r="V604" s="769"/>
      <c r="W604" s="769"/>
      <c r="X604" s="769"/>
      <c r="Y604" s="769"/>
      <c r="Z604" s="774"/>
      <c r="AA604" s="774"/>
      <c r="AB604" s="769"/>
      <c r="AC604" s="769"/>
      <c r="AD604" s="769"/>
      <c r="AE604" s="769"/>
      <c r="AF604" s="769"/>
      <c r="AG604" s="1342"/>
      <c r="AH604" s="769"/>
      <c r="AI604" s="769"/>
      <c r="AJ604" s="769"/>
      <c r="AK604" s="769"/>
      <c r="AL604" s="769"/>
      <c r="AM604" s="769"/>
      <c r="AN604" s="769"/>
      <c r="AO604" s="769"/>
      <c r="AP604" s="769"/>
      <c r="AQ604" s="774">
        <f>+FL_1($T$605,$T$603,$G$604,1200,13.78,-1*$F$605)</f>
        <v>0.3220724507577446</v>
      </c>
      <c r="AR604" s="774"/>
      <c r="AS604" s="774"/>
      <c r="AT604" s="774"/>
      <c r="AU604" s="774"/>
      <c r="AV604" s="774"/>
      <c r="AW604" s="769"/>
      <c r="AX604" s="769"/>
      <c r="AY604" s="769"/>
    </row>
    <row r="605" spans="1:51" ht="15.75" hidden="1" customHeight="1">
      <c r="A605" s="766"/>
      <c r="B605" s="1272" t="s">
        <v>1599</v>
      </c>
      <c r="C605" s="1271">
        <f>+$C$603+$G$604</f>
        <v>45322.5</v>
      </c>
      <c r="D605" s="769"/>
      <c r="E605" s="769">
        <v>130</v>
      </c>
      <c r="F605" s="770">
        <v>1510</v>
      </c>
      <c r="G605" s="771"/>
      <c r="H605" s="772" t="s">
        <v>668</v>
      </c>
      <c r="I605" s="772"/>
      <c r="J605" s="783"/>
      <c r="K605" s="769"/>
      <c r="L605" s="769" t="s">
        <v>1124</v>
      </c>
      <c r="M605" s="769" t="s">
        <v>2670</v>
      </c>
      <c r="N605" s="772" t="s">
        <v>144</v>
      </c>
      <c r="O605" s="772" t="s">
        <v>140</v>
      </c>
      <c r="P605" s="772"/>
      <c r="Q605" s="769">
        <v>132</v>
      </c>
      <c r="R605" s="769">
        <v>1510</v>
      </c>
      <c r="S605" s="769"/>
      <c r="T605" s="769">
        <v>-30</v>
      </c>
      <c r="U605" s="769">
        <v>-75</v>
      </c>
      <c r="V605" s="769"/>
      <c r="W605" s="769">
        <v>1.4</v>
      </c>
      <c r="X605" s="769">
        <v>2.2999999999999998</v>
      </c>
      <c r="Y605" s="769"/>
      <c r="Z605" s="774"/>
      <c r="AA605" s="774">
        <v>0.6</v>
      </c>
      <c r="AB605" s="769"/>
      <c r="AC605" s="769" t="s">
        <v>3003</v>
      </c>
      <c r="AD605" s="769"/>
      <c r="AE605" s="769"/>
      <c r="AF605" s="769">
        <v>5400</v>
      </c>
      <c r="AG605" s="1342">
        <v>45322.534</v>
      </c>
      <c r="AH605" s="769">
        <v>3250</v>
      </c>
      <c r="AI605" s="769">
        <v>-173</v>
      </c>
      <c r="AJ605" s="769"/>
      <c r="AK605" s="769"/>
      <c r="AL605" s="769"/>
      <c r="AM605" s="769" t="s">
        <v>2054</v>
      </c>
      <c r="AN605" s="774">
        <v>5.5</v>
      </c>
      <c r="AO605" s="769"/>
      <c r="AP605" s="769"/>
      <c r="AQ605" s="774"/>
      <c r="AR605" s="774"/>
      <c r="AS605" s="774"/>
      <c r="AT605" s="774">
        <f>+ab($T$605,$T$603,$T$607,$G$604,$G$606,-1*$F$605,1200)</f>
        <v>-4.8189101232737395</v>
      </c>
      <c r="AU605" s="774"/>
      <c r="AV605" s="774"/>
      <c r="AW605" s="769"/>
      <c r="AX605" s="769"/>
      <c r="AY605" s="769"/>
    </row>
    <row r="606" spans="1:51" ht="15.75" hidden="1" customHeight="1">
      <c r="A606" s="766"/>
      <c r="B606" s="1273"/>
      <c r="C606" s="1271"/>
      <c r="D606" s="769"/>
      <c r="E606" s="769"/>
      <c r="F606" s="770"/>
      <c r="G606" s="771">
        <v>46</v>
      </c>
      <c r="H606" s="772"/>
      <c r="I606" s="772"/>
      <c r="J606" s="783"/>
      <c r="K606" s="769"/>
      <c r="L606" s="769"/>
      <c r="M606" s="769"/>
      <c r="N606" s="772"/>
      <c r="O606" s="772"/>
      <c r="P606" s="772"/>
      <c r="Q606" s="769"/>
      <c r="R606" s="769"/>
      <c r="S606" s="774">
        <f t="shared" si="71"/>
        <v>45.885999999998603</v>
      </c>
      <c r="T606" s="769"/>
      <c r="U606" s="769"/>
      <c r="V606" s="769"/>
      <c r="W606" s="769"/>
      <c r="X606" s="769"/>
      <c r="Y606" s="769"/>
      <c r="Z606" s="774"/>
      <c r="AA606" s="774"/>
      <c r="AB606" s="769"/>
      <c r="AC606" s="769"/>
      <c r="AD606" s="769"/>
      <c r="AE606" s="769"/>
      <c r="AF606" s="769"/>
      <c r="AG606" s="1342"/>
      <c r="AH606" s="769"/>
      <c r="AI606" s="769"/>
      <c r="AJ606" s="769"/>
      <c r="AK606" s="769"/>
      <c r="AL606" s="769"/>
      <c r="AM606" s="769"/>
      <c r="AN606" s="774"/>
      <c r="AO606" s="769"/>
      <c r="AP606" s="769"/>
      <c r="AQ606" s="774">
        <f>+FL_2($T$607,$T$605,$G$606,1200,13.84,-1*$F$607)</f>
        <v>-0.4298809426487763</v>
      </c>
      <c r="AR606" s="774"/>
      <c r="AS606" s="774"/>
      <c r="AT606" s="774"/>
      <c r="AU606" s="774"/>
      <c r="AV606" s="774"/>
      <c r="AW606" s="769"/>
      <c r="AX606" s="769"/>
      <c r="AY606" s="769"/>
    </row>
    <row r="607" spans="1:51" ht="15.75" hidden="1" customHeight="1">
      <c r="A607" s="766"/>
      <c r="B607" s="1272" t="s">
        <v>1600</v>
      </c>
      <c r="C607" s="1271">
        <f>+$C$605+$G$606</f>
        <v>45368.5</v>
      </c>
      <c r="D607" s="769"/>
      <c r="E607" s="769">
        <v>130</v>
      </c>
      <c r="F607" s="770">
        <v>1510</v>
      </c>
      <c r="G607" s="771"/>
      <c r="H607" s="772" t="s">
        <v>138</v>
      </c>
      <c r="I607" s="772" t="s">
        <v>2831</v>
      </c>
      <c r="J607" s="783"/>
      <c r="K607" s="769"/>
      <c r="L607" s="769" t="s">
        <v>2710</v>
      </c>
      <c r="M607" s="769" t="s">
        <v>2671</v>
      </c>
      <c r="N607" s="772" t="s">
        <v>144</v>
      </c>
      <c r="O607" s="772"/>
      <c r="P607" s="772"/>
      <c r="Q607" s="769">
        <v>131</v>
      </c>
      <c r="R607" s="769">
        <v>1510</v>
      </c>
      <c r="S607" s="774"/>
      <c r="T607" s="769">
        <v>-30</v>
      </c>
      <c r="U607" s="769"/>
      <c r="V607" s="769"/>
      <c r="W607" s="769">
        <v>1.4</v>
      </c>
      <c r="X607" s="769"/>
      <c r="Y607" s="769"/>
      <c r="Z607" s="769"/>
      <c r="AA607" s="769"/>
      <c r="AB607" s="769"/>
      <c r="AC607" s="769" t="s">
        <v>2978</v>
      </c>
      <c r="AD607" s="769"/>
      <c r="AE607" s="769"/>
      <c r="AF607" s="769">
        <v>5400</v>
      </c>
      <c r="AG607" s="1342">
        <v>45368.42</v>
      </c>
      <c r="AH607" s="769">
        <v>3226</v>
      </c>
      <c r="AI607" s="769">
        <v>-205</v>
      </c>
      <c r="AJ607" s="769"/>
      <c r="AK607" s="769"/>
      <c r="AL607" s="769"/>
      <c r="AM607" s="769" t="s">
        <v>2054</v>
      </c>
      <c r="AN607" s="774">
        <v>5.5</v>
      </c>
      <c r="AO607" s="769"/>
      <c r="AP607" s="769"/>
      <c r="AQ607" s="774"/>
      <c r="AR607" s="774"/>
      <c r="AS607" s="774"/>
      <c r="AT607" s="774">
        <f>+ab($T$607,$T$605,$T$609,$G$606,$G$608,-1*$F$607,1200)</f>
        <v>-6.7859250417946164</v>
      </c>
      <c r="AU607" s="774"/>
      <c r="AV607" s="774"/>
      <c r="AW607" s="769"/>
      <c r="AX607" s="769"/>
      <c r="AY607" s="769"/>
    </row>
    <row r="608" spans="1:51" ht="15.75" hidden="1" customHeight="1">
      <c r="A608" s="766"/>
      <c r="B608" s="1273"/>
      <c r="C608" s="1271"/>
      <c r="D608" s="769"/>
      <c r="E608" s="769"/>
      <c r="F608" s="770"/>
      <c r="G608" s="771">
        <v>39</v>
      </c>
      <c r="H608" s="772"/>
      <c r="I608" s="772"/>
      <c r="J608" s="783"/>
      <c r="K608" s="769"/>
      <c r="L608" s="769"/>
      <c r="M608" s="769"/>
      <c r="N608" s="772"/>
      <c r="O608" s="772"/>
      <c r="P608" s="772"/>
      <c r="Q608" s="769"/>
      <c r="R608" s="769"/>
      <c r="S608" s="774">
        <f t="shared" si="71"/>
        <v>39.24199999999837</v>
      </c>
      <c r="T608" s="769"/>
      <c r="U608" s="769"/>
      <c r="V608" s="769"/>
      <c r="W608" s="769"/>
      <c r="X608" s="769"/>
      <c r="Y608" s="769"/>
      <c r="Z608" s="769"/>
      <c r="AA608" s="769"/>
      <c r="AB608" s="769"/>
      <c r="AC608" s="769"/>
      <c r="AD608" s="769"/>
      <c r="AE608" s="769"/>
      <c r="AF608" s="769"/>
      <c r="AG608" s="1342"/>
      <c r="AH608" s="769"/>
      <c r="AI608" s="769"/>
      <c r="AJ608" s="769"/>
      <c r="AK608" s="769"/>
      <c r="AL608" s="769"/>
      <c r="AM608" s="769"/>
      <c r="AN608" s="769"/>
      <c r="AO608" s="769"/>
      <c r="AP608" s="769"/>
      <c r="AQ608" s="774">
        <f>+FL_2($T$609,$T$607,$G$608,1200,15.09,-1*$F$609)</f>
        <v>-0.413166341539565</v>
      </c>
      <c r="AR608" s="774"/>
      <c r="AS608" s="774"/>
      <c r="AT608" s="774"/>
      <c r="AU608" s="774"/>
      <c r="AV608" s="774"/>
      <c r="AW608" s="769"/>
      <c r="AX608" s="769"/>
      <c r="AY608" s="769"/>
    </row>
    <row r="609" spans="1:51" ht="15.75" hidden="1" customHeight="1">
      <c r="A609" s="766"/>
      <c r="B609" s="1272" t="s">
        <v>1601</v>
      </c>
      <c r="C609" s="1271">
        <f>+$C$607+$G$608</f>
        <v>45407.5</v>
      </c>
      <c r="D609" s="769"/>
      <c r="E609" s="769">
        <v>130</v>
      </c>
      <c r="F609" s="770">
        <v>1510</v>
      </c>
      <c r="G609" s="771"/>
      <c r="H609" s="772"/>
      <c r="I609" s="772"/>
      <c r="J609" s="783"/>
      <c r="K609" s="769"/>
      <c r="L609" s="769" t="s">
        <v>1120</v>
      </c>
      <c r="M609" s="769" t="s">
        <v>2670</v>
      </c>
      <c r="N609" s="772" t="s">
        <v>144</v>
      </c>
      <c r="O609" s="772"/>
      <c r="P609" s="772"/>
      <c r="Q609" s="769">
        <v>135</v>
      </c>
      <c r="R609" s="769">
        <v>1510</v>
      </c>
      <c r="S609" s="774"/>
      <c r="T609" s="769">
        <v>-30</v>
      </c>
      <c r="U609" s="769"/>
      <c r="V609" s="769"/>
      <c r="W609" s="769">
        <v>1.4</v>
      </c>
      <c r="X609" s="769"/>
      <c r="Y609" s="769"/>
      <c r="Z609" s="769"/>
      <c r="AA609" s="769"/>
      <c r="AB609" s="769"/>
      <c r="AC609" s="769" t="s">
        <v>2978</v>
      </c>
      <c r="AD609" s="769"/>
      <c r="AE609" s="769"/>
      <c r="AF609" s="769">
        <v>5400</v>
      </c>
      <c r="AG609" s="1342">
        <v>45407.661999999997</v>
      </c>
      <c r="AH609" s="769">
        <v>3165</v>
      </c>
      <c r="AI609" s="769">
        <v>-121</v>
      </c>
      <c r="AJ609" s="769"/>
      <c r="AK609" s="769"/>
      <c r="AL609" s="769"/>
      <c r="AM609" s="769" t="s">
        <v>2054</v>
      </c>
      <c r="AN609" s="774">
        <v>5.5</v>
      </c>
      <c r="AO609" s="769"/>
      <c r="AP609" s="769"/>
      <c r="AQ609" s="774"/>
      <c r="AR609" s="774"/>
      <c r="AS609" s="774"/>
      <c r="AT609" s="774">
        <f>+ab($T$609,$T$607,$T$611,$G$608,$G$610,-1*$F$609,1200)</f>
        <v>-7.1614265616221813</v>
      </c>
      <c r="AU609" s="774"/>
      <c r="AV609" s="774"/>
      <c r="AW609" s="769"/>
      <c r="AX609" s="769"/>
      <c r="AY609" s="769"/>
    </row>
    <row r="610" spans="1:51" ht="15.75" hidden="1" customHeight="1">
      <c r="A610" s="766"/>
      <c r="B610" s="1273"/>
      <c r="C610" s="1271"/>
      <c r="D610" s="769"/>
      <c r="E610" s="769"/>
      <c r="F610" s="770"/>
      <c r="G610" s="771">
        <v>41.5</v>
      </c>
      <c r="H610" s="772"/>
      <c r="I610" s="772"/>
      <c r="J610" s="783"/>
      <c r="K610" s="769"/>
      <c r="L610" s="769"/>
      <c r="M610" s="769"/>
      <c r="N610" s="772"/>
      <c r="O610" s="772"/>
      <c r="P610" s="772"/>
      <c r="Q610" s="769"/>
      <c r="R610" s="769"/>
      <c r="S610" s="774">
        <f t="shared" ref="S610" si="72">AG611-AG609</f>
        <v>41.488000000004831</v>
      </c>
      <c r="T610" s="769"/>
      <c r="U610" s="769"/>
      <c r="V610" s="769"/>
      <c r="W610" s="769"/>
      <c r="X610" s="769"/>
      <c r="Y610" s="769"/>
      <c r="Z610" s="769"/>
      <c r="AA610" s="769"/>
      <c r="AB610" s="769"/>
      <c r="AC610" s="769"/>
      <c r="AD610" s="769"/>
      <c r="AE610" s="769"/>
      <c r="AF610" s="769"/>
      <c r="AG610" s="1342"/>
      <c r="AH610" s="769"/>
      <c r="AI610" s="769"/>
      <c r="AJ610" s="769"/>
      <c r="AK610" s="769"/>
      <c r="AL610" s="769"/>
      <c r="AM610" s="769"/>
      <c r="AN610" s="774"/>
      <c r="AO610" s="769"/>
      <c r="AP610" s="769"/>
      <c r="AQ610" s="774">
        <f>+FL_2($T$611,$T$609,$G$610,1200,15.09,-1*$F$611)</f>
        <v>-0.44690065776478027</v>
      </c>
      <c r="AR610" s="774"/>
      <c r="AS610" s="774"/>
      <c r="AT610" s="774"/>
      <c r="AU610" s="774"/>
      <c r="AV610" s="774"/>
      <c r="AW610" s="769"/>
      <c r="AX610" s="769"/>
      <c r="AY610" s="769"/>
    </row>
    <row r="611" spans="1:51" ht="15.75" hidden="1" customHeight="1">
      <c r="A611" s="766"/>
      <c r="B611" s="1272" t="s">
        <v>1602</v>
      </c>
      <c r="C611" s="1271">
        <f>+$C$609+$G$610</f>
        <v>45449</v>
      </c>
      <c r="D611" s="769"/>
      <c r="E611" s="769"/>
      <c r="F611" s="770">
        <f>286900/(45614-C611)</f>
        <v>1738.7878787878788</v>
      </c>
      <c r="G611" s="771"/>
      <c r="H611" s="772"/>
      <c r="I611" s="772"/>
      <c r="J611" s="783"/>
      <c r="K611" s="769"/>
      <c r="L611" s="769" t="s">
        <v>1120</v>
      </c>
      <c r="M611" s="769" t="s">
        <v>2670</v>
      </c>
      <c r="N611" s="772" t="s">
        <v>144</v>
      </c>
      <c r="O611" s="772"/>
      <c r="P611" s="772"/>
      <c r="Q611" s="769">
        <v>114</v>
      </c>
      <c r="R611" s="769">
        <v>1729.58</v>
      </c>
      <c r="S611" s="774"/>
      <c r="T611" s="769">
        <v>-30</v>
      </c>
      <c r="U611" s="769"/>
      <c r="V611" s="769"/>
      <c r="W611" s="769">
        <v>1.4</v>
      </c>
      <c r="X611" s="769"/>
      <c r="Y611" s="769"/>
      <c r="Z611" s="769"/>
      <c r="AA611" s="769"/>
      <c r="AB611" s="769"/>
      <c r="AC611" s="769" t="s">
        <v>2978</v>
      </c>
      <c r="AD611" s="769"/>
      <c r="AE611" s="769"/>
      <c r="AF611" s="769">
        <v>5400</v>
      </c>
      <c r="AG611" s="1342">
        <v>45449.15</v>
      </c>
      <c r="AH611" s="769">
        <v>3260</v>
      </c>
      <c r="AI611" s="769">
        <v>-214</v>
      </c>
      <c r="AJ611" s="769"/>
      <c r="AK611" s="769"/>
      <c r="AL611" s="769"/>
      <c r="AM611" s="769" t="s">
        <v>2054</v>
      </c>
      <c r="AN611" s="774">
        <v>5.5</v>
      </c>
      <c r="AO611" s="769"/>
      <c r="AP611" s="769"/>
      <c r="AQ611" s="774"/>
      <c r="AR611" s="774"/>
      <c r="AS611" s="774"/>
      <c r="AT611" s="774">
        <f>+ab($T$611,$T$609,$T$613,$G$610,$G$612,-1*$F$611,1200)</f>
        <v>-7.232226639571568</v>
      </c>
      <c r="AU611" s="774"/>
      <c r="AV611" s="774"/>
      <c r="AW611" s="769"/>
      <c r="AX611" s="769"/>
      <c r="AY611" s="769"/>
    </row>
    <row r="612" spans="1:51" ht="15.75" hidden="1" customHeight="1">
      <c r="A612" s="766"/>
      <c r="B612" s="1273"/>
      <c r="C612" s="1271"/>
      <c r="D612" s="769"/>
      <c r="E612" s="769"/>
      <c r="F612" s="770"/>
      <c r="G612" s="771">
        <v>42</v>
      </c>
      <c r="H612" s="772"/>
      <c r="I612" s="772"/>
      <c r="J612" s="783"/>
      <c r="K612" s="769"/>
      <c r="L612" s="769"/>
      <c r="M612" s="769"/>
      <c r="N612" s="772"/>
      <c r="O612" s="772"/>
      <c r="P612" s="772"/>
      <c r="Q612" s="769"/>
      <c r="R612" s="769"/>
      <c r="S612" s="774">
        <f t="shared" ref="S612" si="73">AG613-AG611</f>
        <v>41.915000000000873</v>
      </c>
      <c r="T612" s="769"/>
      <c r="U612" s="769"/>
      <c r="V612" s="769"/>
      <c r="W612" s="769"/>
      <c r="X612" s="769"/>
      <c r="Y612" s="769"/>
      <c r="Z612" s="769"/>
      <c r="AA612" s="769"/>
      <c r="AB612" s="769"/>
      <c r="AC612" s="769"/>
      <c r="AD612" s="769"/>
      <c r="AE612" s="769"/>
      <c r="AF612" s="769"/>
      <c r="AG612" s="1342"/>
      <c r="AH612" s="769"/>
      <c r="AI612" s="769"/>
      <c r="AJ612" s="769"/>
      <c r="AK612" s="769"/>
      <c r="AL612" s="769"/>
      <c r="AM612" s="769"/>
      <c r="AN612" s="769"/>
      <c r="AO612" s="769"/>
      <c r="AP612" s="769"/>
      <c r="AQ612" s="774">
        <f>+FL_2($T$613,$T$611,$G$612,1200,15,-1*$F$613)</f>
        <v>-0.43454150126542268</v>
      </c>
      <c r="AR612" s="774"/>
      <c r="AS612" s="774"/>
      <c r="AT612" s="774"/>
      <c r="AU612" s="774"/>
      <c r="AV612" s="774"/>
      <c r="AW612" s="769"/>
      <c r="AX612" s="769"/>
      <c r="AY612" s="769"/>
    </row>
    <row r="613" spans="1:51" ht="15.75" hidden="1" customHeight="1">
      <c r="A613" s="766"/>
      <c r="B613" s="1272" t="s">
        <v>1603</v>
      </c>
      <c r="C613" s="1271">
        <f>+$C$611+$G$612</f>
        <v>45491</v>
      </c>
      <c r="D613" s="769"/>
      <c r="E613" s="769"/>
      <c r="F613" s="770">
        <f>286900/(45614-C613)</f>
        <v>2332.520325203252</v>
      </c>
      <c r="G613" s="771"/>
      <c r="H613" s="772"/>
      <c r="I613" s="772"/>
      <c r="J613" s="783"/>
      <c r="K613" s="769"/>
      <c r="L613" s="769" t="s">
        <v>1120</v>
      </c>
      <c r="M613" s="769" t="s">
        <v>2670</v>
      </c>
      <c r="N613" s="772" t="s">
        <v>144</v>
      </c>
      <c r="O613" s="772"/>
      <c r="P613" s="772"/>
      <c r="Q613" s="769">
        <v>84</v>
      </c>
      <c r="R613" s="769">
        <v>2316.94</v>
      </c>
      <c r="S613" s="774"/>
      <c r="T613" s="769">
        <v>-20</v>
      </c>
      <c r="U613" s="769"/>
      <c r="V613" s="769"/>
      <c r="W613" s="769">
        <v>1.4</v>
      </c>
      <c r="X613" s="769"/>
      <c r="Y613" s="769"/>
      <c r="Z613" s="769"/>
      <c r="AA613" s="769"/>
      <c r="AB613" s="769"/>
      <c r="AC613" s="769" t="s">
        <v>2616</v>
      </c>
      <c r="AD613" s="769"/>
      <c r="AE613" s="769"/>
      <c r="AF613" s="769">
        <v>5400</v>
      </c>
      <c r="AG613" s="1342">
        <v>45491.065000000002</v>
      </c>
      <c r="AH613" s="769">
        <v>3185</v>
      </c>
      <c r="AI613" s="769">
        <v>-170</v>
      </c>
      <c r="AJ613" s="769"/>
      <c r="AK613" s="769"/>
      <c r="AL613" s="769"/>
      <c r="AM613" s="769" t="s">
        <v>2054</v>
      </c>
      <c r="AN613" s="774">
        <v>5.5</v>
      </c>
      <c r="AO613" s="769"/>
      <c r="AP613" s="769"/>
      <c r="AQ613" s="774"/>
      <c r="AR613" s="774"/>
      <c r="AS613" s="774"/>
      <c r="AT613" s="774">
        <f>+ab($T$613,$T$611,$T$615,$G$612,$G$614,-1*$F$613,1200)</f>
        <v>-11.264055158124961</v>
      </c>
      <c r="AU613" s="774"/>
      <c r="AV613" s="774"/>
      <c r="AW613" s="769"/>
      <c r="AX613" s="769"/>
      <c r="AY613" s="769"/>
    </row>
    <row r="614" spans="1:51" ht="15.75" hidden="1" customHeight="1">
      <c r="A614" s="766"/>
      <c r="B614" s="1273"/>
      <c r="C614" s="1271"/>
      <c r="D614" s="769"/>
      <c r="E614" s="769"/>
      <c r="F614" s="770"/>
      <c r="G614" s="771">
        <v>42</v>
      </c>
      <c r="H614" s="772"/>
      <c r="I614" s="772"/>
      <c r="J614" s="783"/>
      <c r="K614" s="769"/>
      <c r="L614" s="769"/>
      <c r="M614" s="769"/>
      <c r="N614" s="772"/>
      <c r="O614" s="772"/>
      <c r="P614" s="772"/>
      <c r="Q614" s="769"/>
      <c r="R614" s="769"/>
      <c r="S614" s="774">
        <f t="shared" ref="S614" si="74">AG615-AG613</f>
        <v>41.582999999998719</v>
      </c>
      <c r="T614" s="769"/>
      <c r="U614" s="769"/>
      <c r="V614" s="769"/>
      <c r="W614" s="769"/>
      <c r="X614" s="769"/>
      <c r="Y614" s="769"/>
      <c r="Z614" s="769"/>
      <c r="AA614" s="769"/>
      <c r="AB614" s="769"/>
      <c r="AC614" s="769"/>
      <c r="AD614" s="769"/>
      <c r="AE614" s="769"/>
      <c r="AF614" s="769"/>
      <c r="AG614" s="1342"/>
      <c r="AH614" s="769"/>
      <c r="AI614" s="769"/>
      <c r="AJ614" s="769"/>
      <c r="AK614" s="769"/>
      <c r="AL614" s="769"/>
      <c r="AM614" s="769"/>
      <c r="AN614" s="774"/>
      <c r="AO614" s="769"/>
      <c r="AP614" s="769"/>
      <c r="AQ614" s="774">
        <f>+FL_2($T$615,$T$613,$G$614,1200,15.63,-1*$F$615)</f>
        <v>-0.40064190855350645</v>
      </c>
      <c r="AR614" s="774"/>
      <c r="AS614" s="774"/>
      <c r="AT614" s="774"/>
      <c r="AU614" s="774"/>
      <c r="AV614" s="774"/>
      <c r="AW614" s="769"/>
      <c r="AX614" s="769"/>
      <c r="AY614" s="769"/>
    </row>
    <row r="615" spans="1:51" ht="15.75" hidden="1" customHeight="1">
      <c r="A615" s="766"/>
      <c r="B615" s="1272" t="s">
        <v>1604</v>
      </c>
      <c r="C615" s="1271">
        <f>+$C$613+$G$614</f>
        <v>45533</v>
      </c>
      <c r="D615" s="769"/>
      <c r="E615" s="769"/>
      <c r="F615" s="770">
        <f>286900/(45614-C615)</f>
        <v>3541.9753086419755</v>
      </c>
      <c r="G615" s="771"/>
      <c r="H615" s="772"/>
      <c r="I615" s="772"/>
      <c r="J615" s="783"/>
      <c r="K615" s="769"/>
      <c r="L615" s="769" t="s">
        <v>1120</v>
      </c>
      <c r="M615" s="769" t="s">
        <v>2671</v>
      </c>
      <c r="N615" s="772" t="s">
        <v>144</v>
      </c>
      <c r="O615" s="772"/>
      <c r="P615" s="772"/>
      <c r="Q615" s="769">
        <v>66</v>
      </c>
      <c r="R615" s="769">
        <v>3488.99</v>
      </c>
      <c r="S615" s="774"/>
      <c r="T615" s="769">
        <v>-15</v>
      </c>
      <c r="U615" s="769"/>
      <c r="V615" s="769"/>
      <c r="W615" s="769">
        <v>1.4</v>
      </c>
      <c r="X615" s="769"/>
      <c r="Y615" s="769"/>
      <c r="Z615" s="769"/>
      <c r="AA615" s="769"/>
      <c r="AB615" s="769"/>
      <c r="AC615" s="769" t="s">
        <v>2616</v>
      </c>
      <c r="AD615" s="769"/>
      <c r="AE615" s="769"/>
      <c r="AF615" s="769">
        <v>5400</v>
      </c>
      <c r="AG615" s="1342">
        <v>45532.648000000001</v>
      </c>
      <c r="AH615" s="769">
        <v>3175</v>
      </c>
      <c r="AI615" s="769">
        <v>-137</v>
      </c>
      <c r="AJ615" s="769"/>
      <c r="AK615" s="769"/>
      <c r="AL615" s="769"/>
      <c r="AM615" s="769" t="s">
        <v>2054</v>
      </c>
      <c r="AN615" s="774">
        <v>5.5</v>
      </c>
      <c r="AO615" s="769"/>
      <c r="AP615" s="769"/>
      <c r="AQ615" s="774"/>
      <c r="AR615" s="774"/>
      <c r="AS615" s="774"/>
      <c r="AT615" s="774">
        <f>+ab($T$615,$T$613,$T$617,$G$614,$G$616,-1*$F$615,1200)</f>
        <v>-19.626246000462963</v>
      </c>
      <c r="AU615" s="774"/>
      <c r="AV615" s="774"/>
      <c r="AW615" s="769"/>
      <c r="AX615" s="769"/>
      <c r="AY615" s="769"/>
    </row>
    <row r="616" spans="1:51" ht="15.75" hidden="1" customHeight="1">
      <c r="A616" s="766"/>
      <c r="B616" s="1273"/>
      <c r="C616" s="1271"/>
      <c r="D616" s="769"/>
      <c r="E616" s="769"/>
      <c r="F616" s="770"/>
      <c r="G616" s="771">
        <v>41.5</v>
      </c>
      <c r="H616" s="772"/>
      <c r="I616" s="772"/>
      <c r="J616" s="783"/>
      <c r="K616" s="769"/>
      <c r="L616" s="769"/>
      <c r="M616" s="769"/>
      <c r="N616" s="772"/>
      <c r="O616" s="772"/>
      <c r="P616" s="772"/>
      <c r="Q616" s="769"/>
      <c r="R616" s="769"/>
      <c r="S616" s="774">
        <f t="shared" ref="S616" si="75">AG617-AG615</f>
        <v>41.491000000001804</v>
      </c>
      <c r="T616" s="769"/>
      <c r="U616" s="769"/>
      <c r="V616" s="769"/>
      <c r="W616" s="769"/>
      <c r="X616" s="769"/>
      <c r="Y616" s="769"/>
      <c r="Z616" s="769"/>
      <c r="AA616" s="769"/>
      <c r="AB616" s="769"/>
      <c r="AC616" s="769"/>
      <c r="AD616" s="769"/>
      <c r="AE616" s="769"/>
      <c r="AF616" s="769"/>
      <c r="AG616" s="1342"/>
      <c r="AH616" s="769"/>
      <c r="AI616" s="769"/>
      <c r="AJ616" s="769"/>
      <c r="AK616" s="769"/>
      <c r="AL616" s="769"/>
      <c r="AM616" s="769"/>
      <c r="AN616" s="769"/>
      <c r="AO616" s="769"/>
      <c r="AP616" s="769"/>
      <c r="AQ616" s="774">
        <f>+FL_1($T$617,$T$615,$G$616,1200,15.97,-1*$F$617)</f>
        <v>0.14163739026777791</v>
      </c>
      <c r="AR616" s="774"/>
      <c r="AS616" s="774"/>
      <c r="AT616" s="774"/>
      <c r="AU616" s="774"/>
      <c r="AV616" s="774"/>
      <c r="AW616" s="769"/>
      <c r="AX616" s="769"/>
      <c r="AY616" s="769"/>
    </row>
    <row r="617" spans="1:51" ht="15.75" hidden="1" customHeight="1">
      <c r="A617" s="766"/>
      <c r="B617" s="1272" t="s">
        <v>1605</v>
      </c>
      <c r="C617" s="1271">
        <f>+$C$615+$G$616</f>
        <v>45574.5</v>
      </c>
      <c r="D617" s="769"/>
      <c r="E617" s="769"/>
      <c r="F617" s="770">
        <f>286900/(45614-C617)</f>
        <v>7263.2911392405067</v>
      </c>
      <c r="G617" s="771"/>
      <c r="H617" s="772"/>
      <c r="I617" s="772"/>
      <c r="J617" s="783"/>
      <c r="K617" s="769"/>
      <c r="L617" s="769" t="s">
        <v>1118</v>
      </c>
      <c r="M617" s="769" t="s">
        <v>2670</v>
      </c>
      <c r="N617" s="772" t="s">
        <v>144</v>
      </c>
      <c r="O617" s="772"/>
      <c r="P617" s="772"/>
      <c r="Q617" s="769">
        <v>26</v>
      </c>
      <c r="R617" s="769">
        <v>7042.21</v>
      </c>
      <c r="S617" s="774"/>
      <c r="T617" s="769">
        <v>-20</v>
      </c>
      <c r="U617" s="769"/>
      <c r="V617" s="769"/>
      <c r="W617" s="769">
        <v>1.4</v>
      </c>
      <c r="X617" s="769"/>
      <c r="Y617" s="769"/>
      <c r="Z617" s="769"/>
      <c r="AA617" s="769"/>
      <c r="AB617" s="769"/>
      <c r="AC617" s="769" t="s">
        <v>2616</v>
      </c>
      <c r="AD617" s="769"/>
      <c r="AE617" s="769"/>
      <c r="AF617" s="769">
        <v>5400</v>
      </c>
      <c r="AG617" s="1342">
        <v>45574.139000000003</v>
      </c>
      <c r="AH617" s="769">
        <v>3218</v>
      </c>
      <c r="AI617" s="769">
        <v>-206</v>
      </c>
      <c r="AJ617" s="769"/>
      <c r="AK617" s="769"/>
      <c r="AL617" s="769"/>
      <c r="AM617" s="769" t="s">
        <v>2054</v>
      </c>
      <c r="AN617" s="774">
        <v>5.5</v>
      </c>
      <c r="AO617" s="769"/>
      <c r="AP617" s="769"/>
      <c r="AQ617" s="774"/>
      <c r="AR617" s="774"/>
      <c r="AS617" s="774"/>
      <c r="AT617" s="774">
        <f>+ab($T$617,$T$615,$T$619,$G$616,$G$618,-1*$F$617,1200)</f>
        <v>-25.719746766304894</v>
      </c>
      <c r="AU617" s="774"/>
      <c r="AV617" s="774"/>
      <c r="AW617" s="769"/>
      <c r="AX617" s="769"/>
      <c r="AY617" s="769"/>
    </row>
    <row r="618" spans="1:51" ht="15.75" hidden="1" customHeight="1">
      <c r="A618" s="766"/>
      <c r="B618" s="1273"/>
      <c r="C618" s="1271"/>
      <c r="D618" s="769"/>
      <c r="E618" s="769"/>
      <c r="F618" s="770"/>
      <c r="G618" s="771">
        <v>42</v>
      </c>
      <c r="H618" s="772"/>
      <c r="I618" s="772"/>
      <c r="J618" s="783"/>
      <c r="K618" s="769"/>
      <c r="L618" s="769"/>
      <c r="M618" s="769"/>
      <c r="N618" s="772"/>
      <c r="O618" s="772"/>
      <c r="P618" s="772"/>
      <c r="Q618" s="769"/>
      <c r="R618" s="769"/>
      <c r="S618" s="774">
        <f t="shared" ref="S618" si="76">AG619-AG617</f>
        <v>42.067999999999302</v>
      </c>
      <c r="T618" s="769"/>
      <c r="U618" s="769"/>
      <c r="V618" s="769"/>
      <c r="W618" s="769"/>
      <c r="X618" s="769"/>
      <c r="Y618" s="769"/>
      <c r="Z618" s="769"/>
      <c r="AA618" s="769"/>
      <c r="AB618" s="769"/>
      <c r="AC618" s="769"/>
      <c r="AD618" s="769"/>
      <c r="AE618" s="769"/>
      <c r="AF618" s="769"/>
      <c r="AG618" s="1342"/>
      <c r="AH618" s="769"/>
      <c r="AI618" s="769"/>
      <c r="AJ618" s="769"/>
      <c r="AK618" s="769"/>
      <c r="AL618" s="769"/>
      <c r="AM618" s="769"/>
      <c r="AN618" s="774"/>
      <c r="AO618" s="769"/>
      <c r="AP618" s="769"/>
      <c r="AQ618" s="774">
        <f>+FL_2($T$619,$T$617,$G$618,1200,16.2,-1*$F$619)</f>
        <v>-0.49767499999999998</v>
      </c>
      <c r="AR618" s="774"/>
      <c r="AS618" s="774"/>
      <c r="AT618" s="774"/>
      <c r="AU618" s="774"/>
      <c r="AV618" s="774"/>
      <c r="AW618" s="769"/>
      <c r="AX618" s="769"/>
      <c r="AY618" s="769"/>
    </row>
    <row r="619" spans="1:51" ht="15.75" hidden="1" customHeight="1">
      <c r="A619" s="766"/>
      <c r="B619" s="1272" t="s">
        <v>1606</v>
      </c>
      <c r="C619" s="1271">
        <f>+$C$617+$G$618</f>
        <v>45616.5</v>
      </c>
      <c r="D619" s="769"/>
      <c r="E619" s="769"/>
      <c r="F619" s="770">
        <v>0</v>
      </c>
      <c r="G619" s="771"/>
      <c r="H619" s="772"/>
      <c r="I619" s="772"/>
      <c r="J619" s="783"/>
      <c r="K619" s="769"/>
      <c r="L619" s="769" t="s">
        <v>1118</v>
      </c>
      <c r="M619" s="769" t="s">
        <v>2671</v>
      </c>
      <c r="N619" s="772" t="s">
        <v>144</v>
      </c>
      <c r="O619" s="772"/>
      <c r="P619" s="772"/>
      <c r="Q619" s="769">
        <v>0</v>
      </c>
      <c r="R619" s="769">
        <v>0</v>
      </c>
      <c r="S619" s="774"/>
      <c r="T619" s="769">
        <v>-20</v>
      </c>
      <c r="U619" s="769"/>
      <c r="V619" s="769"/>
      <c r="W619" s="769">
        <v>1.4</v>
      </c>
      <c r="X619" s="769"/>
      <c r="Y619" s="769"/>
      <c r="Z619" s="769"/>
      <c r="AA619" s="769"/>
      <c r="AB619" s="769"/>
      <c r="AC619" s="769" t="s">
        <v>2616</v>
      </c>
      <c r="AD619" s="769"/>
      <c r="AE619" s="769"/>
      <c r="AF619" s="769">
        <v>5400</v>
      </c>
      <c r="AG619" s="1342">
        <v>45616.207000000002</v>
      </c>
      <c r="AH619" s="769">
        <v>3215</v>
      </c>
      <c r="AI619" s="769">
        <v>-183</v>
      </c>
      <c r="AJ619" s="769"/>
      <c r="AK619" s="769"/>
      <c r="AL619" s="769"/>
      <c r="AM619" s="769" t="s">
        <v>2054</v>
      </c>
      <c r="AN619" s="774">
        <v>5.5</v>
      </c>
      <c r="AO619" s="769"/>
      <c r="AP619" s="769"/>
      <c r="AQ619" s="774"/>
      <c r="AR619" s="774"/>
      <c r="AS619" s="774"/>
      <c r="AT619" s="774">
        <f>+ab($T$619,$T$617,$T$621,$G$618,$G$620,-1*$F$619,1200)</f>
        <v>-15.534926165440114</v>
      </c>
      <c r="AU619" s="774"/>
      <c r="AV619" s="774"/>
      <c r="AW619" s="769"/>
      <c r="AX619" s="769"/>
      <c r="AY619" s="769"/>
    </row>
    <row r="620" spans="1:51" ht="15.75" hidden="1" customHeight="1">
      <c r="A620" s="766"/>
      <c r="B620" s="1273"/>
      <c r="C620" s="1271"/>
      <c r="D620" s="769"/>
      <c r="E620" s="769"/>
      <c r="F620" s="770"/>
      <c r="G620" s="771">
        <v>41.5</v>
      </c>
      <c r="H620" s="772"/>
      <c r="I620" s="772"/>
      <c r="J620" s="783"/>
      <c r="K620" s="769"/>
      <c r="L620" s="769"/>
      <c r="M620" s="769"/>
      <c r="N620" s="772"/>
      <c r="O620" s="772"/>
      <c r="P620" s="772"/>
      <c r="Q620" s="769"/>
      <c r="R620" s="769"/>
      <c r="S620" s="774">
        <f t="shared" ref="S620" si="77">AG621-AG619</f>
        <v>41.318999999995867</v>
      </c>
      <c r="T620" s="769"/>
      <c r="U620" s="769"/>
      <c r="V620" s="769"/>
      <c r="W620" s="769"/>
      <c r="X620" s="769"/>
      <c r="Y620" s="769"/>
      <c r="Z620" s="769"/>
      <c r="AA620" s="769"/>
      <c r="AB620" s="769"/>
      <c r="AC620" s="769"/>
      <c r="AD620" s="769"/>
      <c r="AE620" s="769"/>
      <c r="AF620" s="769"/>
      <c r="AG620" s="1342"/>
      <c r="AH620" s="769"/>
      <c r="AI620" s="769"/>
      <c r="AJ620" s="769"/>
      <c r="AK620" s="769"/>
      <c r="AL620" s="769"/>
      <c r="AM620" s="769"/>
      <c r="AN620" s="769"/>
      <c r="AO620" s="769"/>
      <c r="AP620" s="769"/>
      <c r="AQ620" s="774">
        <f>+FL_2($T$621,$T$619,$G$620,1200,15.72,-1*$F$621)</f>
        <v>-0.28742261099397592</v>
      </c>
      <c r="AR620" s="774"/>
      <c r="AS620" s="774"/>
      <c r="AT620" s="774"/>
      <c r="AU620" s="774"/>
      <c r="AV620" s="774"/>
      <c r="AW620" s="769"/>
      <c r="AX620" s="769"/>
      <c r="AY620" s="769"/>
    </row>
    <row r="621" spans="1:51" ht="15.75" customHeight="1">
      <c r="A621" s="766"/>
      <c r="B621" s="1272" t="s">
        <v>1607</v>
      </c>
      <c r="C621" s="1271">
        <f>+$C$619+$G$620</f>
        <v>45658</v>
      </c>
      <c r="D621" s="769"/>
      <c r="E621" s="769"/>
      <c r="F621" s="770">
        <v>0</v>
      </c>
      <c r="G621" s="771"/>
      <c r="H621" s="772" t="s">
        <v>995</v>
      </c>
      <c r="I621" s="772"/>
      <c r="J621" s="783"/>
      <c r="K621" s="769"/>
      <c r="L621" s="769" t="s">
        <v>2681</v>
      </c>
      <c r="M621" s="769" t="s">
        <v>2670</v>
      </c>
      <c r="N621" s="772" t="s">
        <v>145</v>
      </c>
      <c r="O621" s="772"/>
      <c r="P621" s="772"/>
      <c r="Q621" s="769">
        <v>0</v>
      </c>
      <c r="R621" s="769">
        <v>0</v>
      </c>
      <c r="S621" s="769"/>
      <c r="T621" s="769">
        <v>30</v>
      </c>
      <c r="U621" s="769"/>
      <c r="V621" s="769"/>
      <c r="W621" s="769">
        <v>1.4</v>
      </c>
      <c r="X621" s="769"/>
      <c r="Y621" s="769"/>
      <c r="Z621" s="769"/>
      <c r="AA621" s="769"/>
      <c r="AB621" s="769"/>
      <c r="AC621" s="769" t="s">
        <v>2978</v>
      </c>
      <c r="AD621" s="769"/>
      <c r="AE621" s="769"/>
      <c r="AF621" s="769">
        <v>5400</v>
      </c>
      <c r="AG621" s="1342">
        <v>45657.525999999998</v>
      </c>
      <c r="AH621" s="769">
        <v>3193</v>
      </c>
      <c r="AI621" s="769">
        <v>-160</v>
      </c>
      <c r="AJ621" s="769"/>
      <c r="AK621" s="769"/>
      <c r="AL621" s="769"/>
      <c r="AM621" s="769" t="s">
        <v>2054</v>
      </c>
      <c r="AN621" s="774">
        <v>5.5</v>
      </c>
      <c r="AO621" s="769"/>
      <c r="AP621" s="769"/>
      <c r="AQ621" s="774"/>
      <c r="AR621" s="774"/>
      <c r="AS621" s="774"/>
      <c r="AT621" s="774">
        <f>+ab($T$621,$T$619,$T$623,$G$620,$G$622,-1*$F$621,1200)</f>
        <v>7.2014126730423813</v>
      </c>
      <c r="AU621" s="774"/>
      <c r="AV621" s="774"/>
      <c r="AW621" s="769"/>
      <c r="AX621" s="769"/>
      <c r="AY621" s="769"/>
    </row>
    <row r="622" spans="1:51" ht="15.75" hidden="1" customHeight="1">
      <c r="A622" s="766"/>
      <c r="B622" s="1273"/>
      <c r="C622" s="1271"/>
      <c r="D622" s="769"/>
      <c r="E622" s="769"/>
      <c r="F622" s="770"/>
      <c r="G622" s="771">
        <v>41.5</v>
      </c>
      <c r="H622" s="772"/>
      <c r="I622" s="772">
        <f>SUM(G600:G622)</f>
        <v>519</v>
      </c>
      <c r="J622" s="783"/>
      <c r="K622" s="769"/>
      <c r="L622" s="769"/>
      <c r="M622" s="769"/>
      <c r="N622" s="772"/>
      <c r="O622" s="772"/>
      <c r="P622" s="772"/>
      <c r="Q622" s="769"/>
      <c r="R622" s="769"/>
      <c r="S622" s="774">
        <f t="shared" ref="S622" si="78">AG623-AG621</f>
        <v>41.394000000000233</v>
      </c>
      <c r="T622" s="769"/>
      <c r="U622" s="769"/>
      <c r="V622" s="769"/>
      <c r="W622" s="769"/>
      <c r="X622" s="769"/>
      <c r="Y622" s="769"/>
      <c r="Z622" s="769"/>
      <c r="AA622" s="769"/>
      <c r="AB622" s="769"/>
      <c r="AC622" s="769"/>
      <c r="AD622" s="769"/>
      <c r="AE622" s="769"/>
      <c r="AF622" s="769"/>
      <c r="AG622" s="1342"/>
      <c r="AH622" s="769"/>
      <c r="AI622" s="769"/>
      <c r="AJ622" s="769"/>
      <c r="AK622" s="769"/>
      <c r="AL622" s="769"/>
      <c r="AM622" s="769"/>
      <c r="AN622" s="774"/>
      <c r="AO622" s="769"/>
      <c r="AP622" s="769"/>
      <c r="AQ622" s="774">
        <f>+FL_1($T$623,$T$621,$G$622,1200,15.05,-1*$F$623)</f>
        <v>0.35333234018072279</v>
      </c>
      <c r="AR622" s="774"/>
      <c r="AS622" s="774"/>
      <c r="AT622" s="774"/>
      <c r="AU622" s="774"/>
      <c r="AV622" s="774"/>
      <c r="AW622" s="769"/>
      <c r="AX622" s="769"/>
      <c r="AY622" s="769"/>
    </row>
    <row r="623" spans="1:51" ht="15.75" customHeight="1">
      <c r="A623" s="766"/>
      <c r="B623" s="1272" t="s">
        <v>1608</v>
      </c>
      <c r="C623" s="1271">
        <f>+$C$621+$G$622</f>
        <v>45699.5</v>
      </c>
      <c r="D623" s="769"/>
      <c r="E623" s="769"/>
      <c r="F623" s="770">
        <v>0</v>
      </c>
      <c r="G623" s="771"/>
      <c r="H623" s="772" t="s">
        <v>996</v>
      </c>
      <c r="I623" s="772"/>
      <c r="J623" s="783"/>
      <c r="K623" s="769"/>
      <c r="L623" s="769" t="s">
        <v>1118</v>
      </c>
      <c r="M623" s="769" t="s">
        <v>2670</v>
      </c>
      <c r="N623" s="772" t="s">
        <v>144</v>
      </c>
      <c r="O623" s="772"/>
      <c r="P623" s="772"/>
      <c r="Q623" s="769">
        <v>0</v>
      </c>
      <c r="R623" s="769">
        <v>0</v>
      </c>
      <c r="S623" s="774"/>
      <c r="T623" s="769">
        <v>-30</v>
      </c>
      <c r="U623" s="769"/>
      <c r="V623" s="769"/>
      <c r="W623" s="769">
        <v>1.4</v>
      </c>
      <c r="X623" s="769"/>
      <c r="Y623" s="769"/>
      <c r="Z623" s="769"/>
      <c r="AA623" s="769"/>
      <c r="AB623" s="769"/>
      <c r="AC623" s="769" t="s">
        <v>2978</v>
      </c>
      <c r="AD623" s="769"/>
      <c r="AE623" s="769"/>
      <c r="AF623" s="769">
        <v>5400</v>
      </c>
      <c r="AG623" s="1342">
        <v>45698.92</v>
      </c>
      <c r="AH623" s="769">
        <v>3253</v>
      </c>
      <c r="AI623" s="769">
        <v>-148</v>
      </c>
      <c r="AJ623" s="769"/>
      <c r="AK623" s="769"/>
      <c r="AL623" s="769"/>
      <c r="AM623" s="769" t="s">
        <v>2054</v>
      </c>
      <c r="AN623" s="774">
        <v>5.5</v>
      </c>
      <c r="AO623" s="769"/>
      <c r="AP623" s="769"/>
      <c r="AQ623" s="774"/>
      <c r="AR623" s="774"/>
      <c r="AS623" s="774"/>
      <c r="AT623" s="774">
        <f>+ab($T$623,$T$621,$T$625,$G$622,$G$624,-1*$F$623,1200)</f>
        <v>-6.6460669013510918</v>
      </c>
      <c r="AU623" s="774"/>
      <c r="AV623" s="774"/>
      <c r="AW623" s="769"/>
      <c r="AX623" s="769"/>
      <c r="AY623" s="769"/>
    </row>
    <row r="624" spans="1:51" ht="15.75" hidden="1" customHeight="1">
      <c r="A624" s="766"/>
      <c r="B624" s="1273"/>
      <c r="C624" s="1271"/>
      <c r="D624" s="769"/>
      <c r="E624" s="769"/>
      <c r="F624" s="770"/>
      <c r="G624" s="771">
        <v>42</v>
      </c>
      <c r="H624" s="772"/>
      <c r="I624" s="772">
        <f>SUM(G624:G640)</f>
        <v>498.5</v>
      </c>
      <c r="J624" s="783"/>
      <c r="K624" s="769"/>
      <c r="L624" s="769"/>
      <c r="M624" s="769"/>
      <c r="N624" s="772"/>
      <c r="O624" s="772"/>
      <c r="P624" s="772"/>
      <c r="Q624" s="769"/>
      <c r="R624" s="769"/>
      <c r="S624" s="774">
        <f t="shared" ref="S624" si="79">AG625-AG623</f>
        <v>42.074000000000524</v>
      </c>
      <c r="T624" s="769"/>
      <c r="U624" s="769"/>
      <c r="V624" s="769"/>
      <c r="W624" s="769"/>
      <c r="X624" s="769"/>
      <c r="Y624" s="769"/>
      <c r="Z624" s="769"/>
      <c r="AA624" s="769"/>
      <c r="AB624" s="769"/>
      <c r="AC624" s="769"/>
      <c r="AD624" s="769"/>
      <c r="AE624" s="769"/>
      <c r="AF624" s="769"/>
      <c r="AG624" s="1342"/>
      <c r="AH624" s="769"/>
      <c r="AI624" s="769"/>
      <c r="AJ624" s="769"/>
      <c r="AK624" s="769"/>
      <c r="AL624" s="769"/>
      <c r="AM624" s="769"/>
      <c r="AN624" s="769"/>
      <c r="AO624" s="769"/>
      <c r="AP624" s="769"/>
      <c r="AQ624" s="774">
        <f>+FL_2($T$625,$T$623,$G$624,1200,13.84,-1*$F$625)</f>
        <v>-0.34278468899999986</v>
      </c>
      <c r="AR624" s="774"/>
      <c r="AS624" s="774"/>
      <c r="AT624" s="774"/>
      <c r="AU624" s="774"/>
      <c r="AV624" s="774"/>
      <c r="AW624" s="769"/>
      <c r="AX624" s="769"/>
      <c r="AY624" s="769"/>
    </row>
    <row r="625" spans="1:51" ht="15.75" customHeight="1">
      <c r="A625" s="766"/>
      <c r="B625" s="1272" t="s">
        <v>1609</v>
      </c>
      <c r="C625" s="1271">
        <f>+$C$623+$G$624</f>
        <v>45741.5</v>
      </c>
      <c r="D625" s="769"/>
      <c r="E625" s="769"/>
      <c r="F625" s="770">
        <v>0</v>
      </c>
      <c r="G625" s="771"/>
      <c r="H625" s="772" t="s">
        <v>995</v>
      </c>
      <c r="I625" s="772"/>
      <c r="J625" s="783"/>
      <c r="K625" s="769"/>
      <c r="L625" s="769" t="s">
        <v>2681</v>
      </c>
      <c r="M625" s="769" t="s">
        <v>2670</v>
      </c>
      <c r="N625" s="772" t="s">
        <v>145</v>
      </c>
      <c r="O625" s="772"/>
      <c r="P625" s="772"/>
      <c r="Q625" s="769">
        <v>0</v>
      </c>
      <c r="R625" s="769">
        <v>0</v>
      </c>
      <c r="S625" s="769"/>
      <c r="T625" s="769">
        <v>30</v>
      </c>
      <c r="U625" s="769"/>
      <c r="V625" s="769"/>
      <c r="W625" s="769">
        <v>1.4</v>
      </c>
      <c r="X625" s="769"/>
      <c r="Y625" s="769"/>
      <c r="Z625" s="769"/>
      <c r="AA625" s="769"/>
      <c r="AB625" s="769"/>
      <c r="AC625" s="769" t="s">
        <v>2978</v>
      </c>
      <c r="AD625" s="769"/>
      <c r="AE625" s="769"/>
      <c r="AF625" s="769">
        <v>5400</v>
      </c>
      <c r="AG625" s="1342">
        <v>45740.993999999999</v>
      </c>
      <c r="AH625" s="769">
        <v>3228</v>
      </c>
      <c r="AI625" s="769">
        <v>-196</v>
      </c>
      <c r="AJ625" s="769"/>
      <c r="AK625" s="769"/>
      <c r="AL625" s="769"/>
      <c r="AM625" s="769" t="s">
        <v>2054</v>
      </c>
      <c r="AN625" s="774">
        <v>5.5</v>
      </c>
      <c r="AO625" s="769"/>
      <c r="AP625" s="769"/>
      <c r="AQ625" s="774"/>
      <c r="AR625" s="774"/>
      <c r="AS625" s="774"/>
      <c r="AT625" s="774">
        <f>+ab($T$625,$T$623,$T$627,$G$624,$G$626,-1*$F$625,1200)</f>
        <v>7.8519211672832201</v>
      </c>
      <c r="AU625" s="774"/>
      <c r="AV625" s="774"/>
      <c r="AW625" s="769"/>
      <c r="AX625" s="769"/>
      <c r="AY625" s="769"/>
    </row>
    <row r="626" spans="1:51" ht="15.75" hidden="1" customHeight="1">
      <c r="A626" s="766"/>
      <c r="B626" s="1273"/>
      <c r="C626" s="1271"/>
      <c r="D626" s="769"/>
      <c r="E626" s="769"/>
      <c r="F626" s="770"/>
      <c r="G626" s="771">
        <v>50</v>
      </c>
      <c r="H626" s="772"/>
      <c r="I626" s="772"/>
      <c r="J626" s="783"/>
      <c r="K626" s="769"/>
      <c r="L626" s="769"/>
      <c r="M626" s="769"/>
      <c r="N626" s="772"/>
      <c r="O626" s="772"/>
      <c r="P626" s="772"/>
      <c r="Q626" s="769"/>
      <c r="R626" s="769"/>
      <c r="S626" s="774">
        <f t="shared" ref="S626" si="80">AG627-AG625</f>
        <v>50.353000000002794</v>
      </c>
      <c r="T626" s="769"/>
      <c r="U626" s="769"/>
      <c r="V626" s="769"/>
      <c r="W626" s="769"/>
      <c r="X626" s="769"/>
      <c r="Y626" s="769"/>
      <c r="Z626" s="769"/>
      <c r="AA626" s="769"/>
      <c r="AB626" s="769"/>
      <c r="AC626" s="769"/>
      <c r="AD626" s="769"/>
      <c r="AE626" s="769"/>
      <c r="AF626" s="769"/>
      <c r="AG626" s="1342"/>
      <c r="AH626" s="769"/>
      <c r="AI626" s="769"/>
      <c r="AJ626" s="769"/>
      <c r="AK626" s="769"/>
      <c r="AL626" s="769"/>
      <c r="AM626" s="769"/>
      <c r="AN626" s="774"/>
      <c r="AO626" s="769"/>
      <c r="AP626" s="769"/>
      <c r="AQ626" s="774">
        <f>+FL_2($T$627,$T$625,$G$626,1200,13.24,-1*$F$627)</f>
        <v>-0.34010888066666667</v>
      </c>
      <c r="AR626" s="774"/>
      <c r="AS626" s="774"/>
      <c r="AT626" s="774"/>
      <c r="AU626" s="774"/>
      <c r="AV626" s="774"/>
      <c r="AW626" s="769"/>
      <c r="AX626" s="769"/>
      <c r="AY626" s="769"/>
    </row>
    <row r="627" spans="1:51" ht="15.75" hidden="1" customHeight="1">
      <c r="A627" s="766"/>
      <c r="B627" s="1272" t="s">
        <v>1610</v>
      </c>
      <c r="C627" s="1271">
        <f>+$C$625+$G$626</f>
        <v>45791.5</v>
      </c>
      <c r="D627" s="769"/>
      <c r="E627" s="769"/>
      <c r="F627" s="770">
        <v>0</v>
      </c>
      <c r="G627" s="771"/>
      <c r="H627" s="772"/>
      <c r="I627" s="772"/>
      <c r="J627" s="783"/>
      <c r="K627" s="769"/>
      <c r="L627" s="769" t="s">
        <v>1120</v>
      </c>
      <c r="M627" s="769" t="s">
        <v>2670</v>
      </c>
      <c r="N627" s="772" t="s">
        <v>144</v>
      </c>
      <c r="O627" s="772"/>
      <c r="P627" s="772"/>
      <c r="Q627" s="769">
        <v>0</v>
      </c>
      <c r="R627" s="769">
        <v>0</v>
      </c>
      <c r="S627" s="774"/>
      <c r="T627" s="769">
        <v>-20</v>
      </c>
      <c r="U627" s="769"/>
      <c r="V627" s="769"/>
      <c r="W627" s="769">
        <v>1.4</v>
      </c>
      <c r="X627" s="769"/>
      <c r="Y627" s="769"/>
      <c r="Z627" s="769"/>
      <c r="AA627" s="769"/>
      <c r="AB627" s="769"/>
      <c r="AC627" s="769" t="s">
        <v>2616</v>
      </c>
      <c r="AD627" s="769"/>
      <c r="AE627" s="769"/>
      <c r="AF627" s="769">
        <v>5400</v>
      </c>
      <c r="AG627" s="1342">
        <v>45791.347000000002</v>
      </c>
      <c r="AH627" s="769">
        <v>3210</v>
      </c>
      <c r="AI627" s="769">
        <v>-214</v>
      </c>
      <c r="AJ627" s="769"/>
      <c r="AK627" s="769"/>
      <c r="AL627" s="769"/>
      <c r="AM627" s="769" t="s">
        <v>2054</v>
      </c>
      <c r="AN627" s="774">
        <v>5.5</v>
      </c>
      <c r="AO627" s="769"/>
      <c r="AP627" s="769"/>
      <c r="AQ627" s="774"/>
      <c r="AR627" s="774"/>
      <c r="AS627" s="774"/>
      <c r="AT627" s="774">
        <f>+ab($T$627,$T$625,$T$629,$G$626,$G$628,-1*$F$627,1200)</f>
        <v>-12.15051500728956</v>
      </c>
      <c r="AU627" s="774"/>
      <c r="AV627" s="774"/>
      <c r="AW627" s="769"/>
      <c r="AX627" s="769"/>
      <c r="AY627" s="769"/>
    </row>
    <row r="628" spans="1:51" ht="15.75" hidden="1" customHeight="1">
      <c r="A628" s="766"/>
      <c r="B628" s="1273"/>
      <c r="C628" s="1271"/>
      <c r="D628" s="769"/>
      <c r="E628" s="769"/>
      <c r="F628" s="770"/>
      <c r="G628" s="771">
        <v>54</v>
      </c>
      <c r="H628" s="772"/>
      <c r="I628" s="772"/>
      <c r="J628" s="783"/>
      <c r="K628" s="769"/>
      <c r="L628" s="769"/>
      <c r="M628" s="769"/>
      <c r="N628" s="772"/>
      <c r="O628" s="772"/>
      <c r="P628" s="772"/>
      <c r="Q628" s="769"/>
      <c r="R628" s="769"/>
      <c r="S628" s="774">
        <f t="shared" ref="S628" si="81">AG629-AG627</f>
        <v>53.618999999998778</v>
      </c>
      <c r="T628" s="769"/>
      <c r="U628" s="769"/>
      <c r="V628" s="769"/>
      <c r="W628" s="769"/>
      <c r="X628" s="769"/>
      <c r="Y628" s="769"/>
      <c r="Z628" s="769"/>
      <c r="AA628" s="769"/>
      <c r="AB628" s="769"/>
      <c r="AC628" s="769"/>
      <c r="AD628" s="769"/>
      <c r="AE628" s="769"/>
      <c r="AF628" s="769"/>
      <c r="AG628" s="1342"/>
      <c r="AH628" s="769"/>
      <c r="AI628" s="769"/>
      <c r="AJ628" s="769"/>
      <c r="AK628" s="769"/>
      <c r="AL628" s="769"/>
      <c r="AM628" s="769"/>
      <c r="AN628" s="769"/>
      <c r="AO628" s="769"/>
      <c r="AP628" s="769"/>
      <c r="AQ628" s="774">
        <f>+FL_2($T$629,$T$627,$G$628,1200,12.61,-1*$F$629)</f>
        <v>-0.44771432634722225</v>
      </c>
      <c r="AR628" s="774"/>
      <c r="AS628" s="774"/>
      <c r="AT628" s="774"/>
      <c r="AU628" s="774"/>
      <c r="AV628" s="774"/>
      <c r="AW628" s="769"/>
      <c r="AX628" s="769"/>
      <c r="AY628" s="769"/>
    </row>
    <row r="629" spans="1:51" ht="15.75" hidden="1" customHeight="1">
      <c r="A629" s="766"/>
      <c r="B629" s="1272" t="s">
        <v>1611</v>
      </c>
      <c r="C629" s="1271">
        <f>+$C$627+$G$628</f>
        <v>45845.5</v>
      </c>
      <c r="D629" s="769"/>
      <c r="E629" s="769"/>
      <c r="F629" s="770">
        <v>0</v>
      </c>
      <c r="G629" s="771"/>
      <c r="H629" s="772"/>
      <c r="I629" s="772"/>
      <c r="J629" s="783"/>
      <c r="K629" s="769"/>
      <c r="L629" s="769" t="s">
        <v>1120</v>
      </c>
      <c r="M629" s="769" t="s">
        <v>2671</v>
      </c>
      <c r="N629" s="772" t="s">
        <v>145</v>
      </c>
      <c r="O629" s="772"/>
      <c r="P629" s="772"/>
      <c r="Q629" s="769">
        <v>0</v>
      </c>
      <c r="R629" s="769">
        <v>0</v>
      </c>
      <c r="S629" s="774"/>
      <c r="T629" s="769">
        <v>10</v>
      </c>
      <c r="U629" s="769"/>
      <c r="V629" s="769"/>
      <c r="W629" s="769">
        <v>1.4</v>
      </c>
      <c r="X629" s="769"/>
      <c r="Y629" s="769"/>
      <c r="Z629" s="769"/>
      <c r="AA629" s="769"/>
      <c r="AB629" s="769"/>
      <c r="AC629" s="769" t="s">
        <v>2616</v>
      </c>
      <c r="AD629" s="769"/>
      <c r="AE629" s="769"/>
      <c r="AF629" s="769">
        <v>5400</v>
      </c>
      <c r="AG629" s="1342">
        <v>45844.966</v>
      </c>
      <c r="AH629" s="769">
        <v>3211</v>
      </c>
      <c r="AI629" s="769">
        <v>-166</v>
      </c>
      <c r="AJ629" s="769"/>
      <c r="AK629" s="769"/>
      <c r="AL629" s="769"/>
      <c r="AM629" s="769" t="s">
        <v>2054</v>
      </c>
      <c r="AN629" s="774">
        <v>5.5</v>
      </c>
      <c r="AO629" s="769"/>
      <c r="AP629" s="769"/>
      <c r="AQ629" s="774"/>
      <c r="AR629" s="774"/>
      <c r="AS629" s="774"/>
      <c r="AT629" s="774">
        <f>+ab($T$629,$T$627,$T$631,$G$628,$G$630,-1*$F$629,1200)</f>
        <v>20.932627839859716</v>
      </c>
      <c r="AU629" s="774"/>
      <c r="AV629" s="774"/>
      <c r="AW629" s="769"/>
      <c r="AX629" s="769"/>
      <c r="AY629" s="769"/>
    </row>
    <row r="630" spans="1:51" ht="15.75" hidden="1" customHeight="1">
      <c r="A630" s="766"/>
      <c r="B630" s="1273"/>
      <c r="C630" s="1271"/>
      <c r="D630" s="769"/>
      <c r="E630" s="769"/>
      <c r="F630" s="770"/>
      <c r="G630" s="771">
        <v>62.5</v>
      </c>
      <c r="H630" s="772"/>
      <c r="I630" s="772"/>
      <c r="J630" s="783"/>
      <c r="K630" s="769"/>
      <c r="L630" s="769"/>
      <c r="M630" s="769"/>
      <c r="N630" s="772"/>
      <c r="O630" s="772"/>
      <c r="P630" s="772"/>
      <c r="Q630" s="769"/>
      <c r="R630" s="769"/>
      <c r="S630" s="774">
        <f t="shared" ref="S630" si="82">AG631-AG629</f>
        <v>62.497999999999593</v>
      </c>
      <c r="T630" s="769"/>
      <c r="U630" s="769"/>
      <c r="V630" s="769"/>
      <c r="W630" s="769"/>
      <c r="X630" s="769"/>
      <c r="Y630" s="769"/>
      <c r="Z630" s="769"/>
      <c r="AA630" s="769"/>
      <c r="AB630" s="769"/>
      <c r="AC630" s="769"/>
      <c r="AD630" s="769"/>
      <c r="AE630" s="769"/>
      <c r="AF630" s="769"/>
      <c r="AG630" s="1342"/>
      <c r="AH630" s="769"/>
      <c r="AI630" s="769"/>
      <c r="AJ630" s="769"/>
      <c r="AK630" s="769"/>
      <c r="AL630" s="769"/>
      <c r="AM630" s="769"/>
      <c r="AN630" s="774"/>
      <c r="AO630" s="769"/>
      <c r="AP630" s="769"/>
      <c r="AQ630" s="774">
        <f>+FL_2($T$631,$T$629,$G$630,1200,11.88,-1*$F$631)</f>
        <v>-0.48857015200000004</v>
      </c>
      <c r="AR630" s="774"/>
      <c r="AS630" s="774"/>
      <c r="AT630" s="774"/>
      <c r="AU630" s="774"/>
      <c r="AV630" s="774"/>
      <c r="AW630" s="769"/>
      <c r="AX630" s="769"/>
      <c r="AY630" s="769"/>
    </row>
    <row r="631" spans="1:51" ht="15.75" hidden="1" customHeight="1">
      <c r="A631" s="766"/>
      <c r="B631" s="1272" t="s">
        <v>1612</v>
      </c>
      <c r="C631" s="1271">
        <f>+$C$629+$G$630</f>
        <v>45908</v>
      </c>
      <c r="D631" s="769"/>
      <c r="E631" s="769"/>
      <c r="F631" s="770">
        <v>0</v>
      </c>
      <c r="G631" s="771"/>
      <c r="H631" s="772"/>
      <c r="I631" s="772"/>
      <c r="J631" s="783"/>
      <c r="K631" s="769"/>
      <c r="L631" s="769" t="s">
        <v>1120</v>
      </c>
      <c r="M631" s="769" t="s">
        <v>2671</v>
      </c>
      <c r="N631" s="772" t="s">
        <v>144</v>
      </c>
      <c r="O631" s="772"/>
      <c r="P631" s="772"/>
      <c r="Q631" s="769">
        <v>0</v>
      </c>
      <c r="R631" s="769">
        <v>0</v>
      </c>
      <c r="S631" s="774"/>
      <c r="T631" s="769">
        <v>-10</v>
      </c>
      <c r="U631" s="769"/>
      <c r="V631" s="769"/>
      <c r="W631" s="769">
        <v>1.4</v>
      </c>
      <c r="X631" s="769"/>
      <c r="Y631" s="769"/>
      <c r="Z631" s="769"/>
      <c r="AA631" s="769"/>
      <c r="AB631" s="769"/>
      <c r="AC631" s="769" t="s">
        <v>2616</v>
      </c>
      <c r="AD631" s="769"/>
      <c r="AE631" s="769"/>
      <c r="AF631" s="769">
        <v>5400</v>
      </c>
      <c r="AG631" s="1342">
        <v>45907.464</v>
      </c>
      <c r="AH631" s="769">
        <v>3177</v>
      </c>
      <c r="AI631" s="769">
        <v>-171</v>
      </c>
      <c r="AJ631" s="769"/>
      <c r="AK631" s="769"/>
      <c r="AL631" s="769"/>
      <c r="AM631" s="769" t="s">
        <v>2054</v>
      </c>
      <c r="AN631" s="774">
        <v>5.5</v>
      </c>
      <c r="AO631" s="769"/>
      <c r="AP631" s="769"/>
      <c r="AQ631" s="774"/>
      <c r="AR631" s="774"/>
      <c r="AS631" s="774"/>
      <c r="AT631" s="774">
        <f>+ab($T$631,$T$629,$T$633,$G$630,$G$632,-1*$F$631,1200)</f>
        <v>-21.155698844597623</v>
      </c>
      <c r="AU631" s="774"/>
      <c r="AV631" s="774"/>
      <c r="AW631" s="769"/>
      <c r="AX631" s="769"/>
      <c r="AY631" s="769"/>
    </row>
    <row r="632" spans="1:51" ht="15.75" hidden="1" customHeight="1">
      <c r="A632" s="766"/>
      <c r="B632" s="1273"/>
      <c r="C632" s="1271"/>
      <c r="D632" s="769"/>
      <c r="E632" s="769"/>
      <c r="F632" s="770"/>
      <c r="G632" s="771">
        <v>55</v>
      </c>
      <c r="H632" s="772"/>
      <c r="I632" s="772"/>
      <c r="J632" s="783"/>
      <c r="K632" s="769"/>
      <c r="L632" s="769"/>
      <c r="M632" s="769"/>
      <c r="N632" s="772"/>
      <c r="O632" s="772"/>
      <c r="P632" s="776"/>
      <c r="Q632" s="769"/>
      <c r="R632" s="769"/>
      <c r="S632" s="774">
        <f t="shared" ref="S632" si="83">AG633-AG631</f>
        <v>55.023000000001048</v>
      </c>
      <c r="T632" s="769"/>
      <c r="U632" s="769"/>
      <c r="V632" s="769"/>
      <c r="W632" s="769"/>
      <c r="X632" s="769"/>
      <c r="Y632" s="769"/>
      <c r="Z632" s="769"/>
      <c r="AA632" s="769"/>
      <c r="AB632" s="769"/>
      <c r="AC632" s="769"/>
      <c r="AD632" s="769"/>
      <c r="AE632" s="769"/>
      <c r="AF632" s="769"/>
      <c r="AG632" s="1342"/>
      <c r="AH632" s="769"/>
      <c r="AI632" s="769"/>
      <c r="AJ632" s="769"/>
      <c r="AK632" s="769"/>
      <c r="AL632" s="769"/>
      <c r="AM632" s="769"/>
      <c r="AN632" s="769"/>
      <c r="AO632" s="769"/>
      <c r="AP632" s="769"/>
      <c r="AQ632" s="774">
        <f>+FL_1($T$633,$T$631,$G$632,1200,11.45,-1*$F$633)</f>
        <v>0.42638486749999999</v>
      </c>
      <c r="AR632" s="774"/>
      <c r="AS632" s="774"/>
      <c r="AT632" s="774"/>
      <c r="AU632" s="774"/>
      <c r="AV632" s="774"/>
      <c r="AW632" s="769"/>
      <c r="AX632" s="769"/>
      <c r="AY632" s="769"/>
    </row>
    <row r="633" spans="1:51" ht="15.75" hidden="1" customHeight="1">
      <c r="A633" s="766"/>
      <c r="B633" s="1272" t="s">
        <v>1613</v>
      </c>
      <c r="C633" s="1271">
        <f>+$C$631+$G$632</f>
        <v>45963</v>
      </c>
      <c r="D633" s="769"/>
      <c r="E633" s="769"/>
      <c r="F633" s="770">
        <v>0</v>
      </c>
      <c r="G633" s="771"/>
      <c r="H633" s="772"/>
      <c r="I633" s="772"/>
      <c r="J633" s="783"/>
      <c r="K633" s="769"/>
      <c r="L633" s="769" t="s">
        <v>1120</v>
      </c>
      <c r="M633" s="769" t="s">
        <v>2671</v>
      </c>
      <c r="N633" s="772" t="s">
        <v>145</v>
      </c>
      <c r="O633" s="772"/>
      <c r="P633" s="776"/>
      <c r="Q633" s="769">
        <v>0</v>
      </c>
      <c r="R633" s="769">
        <v>0</v>
      </c>
      <c r="S633" s="774"/>
      <c r="T633" s="769">
        <v>20</v>
      </c>
      <c r="U633" s="769"/>
      <c r="V633" s="769"/>
      <c r="W633" s="769">
        <v>1.4</v>
      </c>
      <c r="X633" s="769"/>
      <c r="Y633" s="769"/>
      <c r="Z633" s="769"/>
      <c r="AA633" s="769"/>
      <c r="AB633" s="769"/>
      <c r="AC633" s="769" t="s">
        <v>2616</v>
      </c>
      <c r="AD633" s="769"/>
      <c r="AE633" s="769"/>
      <c r="AF633" s="769">
        <v>5400</v>
      </c>
      <c r="AG633" s="1342">
        <v>45962.487000000001</v>
      </c>
      <c r="AH633" s="769">
        <v>3176</v>
      </c>
      <c r="AI633" s="769">
        <v>-174</v>
      </c>
      <c r="AJ633" s="769"/>
      <c r="AK633" s="769"/>
      <c r="AL633" s="769"/>
      <c r="AM633" s="769" t="s">
        <v>2054</v>
      </c>
      <c r="AN633" s="774">
        <v>5.5</v>
      </c>
      <c r="AO633" s="769"/>
      <c r="AP633" s="769"/>
      <c r="AQ633" s="774"/>
      <c r="AR633" s="774"/>
      <c r="AS633" s="774"/>
      <c r="AT633" s="774">
        <f>+ab($T$633,$T$631,$T$635,$G$632,$G$634,-1*$F$633,1200)</f>
        <v>15.445702674817886</v>
      </c>
      <c r="AU633" s="774"/>
      <c r="AV633" s="774"/>
      <c r="AW633" s="769"/>
      <c r="AX633" s="769"/>
      <c r="AY633" s="769"/>
    </row>
    <row r="634" spans="1:51" ht="15.75" hidden="1" customHeight="1">
      <c r="A634" s="766"/>
      <c r="B634" s="1273"/>
      <c r="C634" s="1271"/>
      <c r="D634" s="769"/>
      <c r="E634" s="769"/>
      <c r="F634" s="770"/>
      <c r="G634" s="771">
        <v>60</v>
      </c>
      <c r="H634" s="772"/>
      <c r="I634" s="772"/>
      <c r="J634" s="783"/>
      <c r="K634" s="769"/>
      <c r="L634" s="769"/>
      <c r="M634" s="769"/>
      <c r="N634" s="772"/>
      <c r="O634" s="772"/>
      <c r="P634" s="776"/>
      <c r="Q634" s="769"/>
      <c r="R634" s="769"/>
      <c r="S634" s="774">
        <f t="shared" ref="S634" si="84">AG635-AG633</f>
        <v>60.015999999995984</v>
      </c>
      <c r="T634" s="769"/>
      <c r="U634" s="769"/>
      <c r="V634" s="769"/>
      <c r="W634" s="769"/>
      <c r="X634" s="769"/>
      <c r="Y634" s="769"/>
      <c r="Z634" s="769"/>
      <c r="AA634" s="769"/>
      <c r="AB634" s="769"/>
      <c r="AC634" s="769"/>
      <c r="AD634" s="769"/>
      <c r="AE634" s="769"/>
      <c r="AF634" s="769"/>
      <c r="AG634" s="1342"/>
      <c r="AH634" s="769"/>
      <c r="AI634" s="769"/>
      <c r="AJ634" s="769"/>
      <c r="AK634" s="769"/>
      <c r="AL634" s="769"/>
      <c r="AM634" s="769"/>
      <c r="AN634" s="774"/>
      <c r="AO634" s="769"/>
      <c r="AP634" s="769"/>
      <c r="AQ634" s="774">
        <f>+FL_1($T$635,$T$633,$G$634,1200,11.08,-1*$F$635)</f>
        <v>0.43956738866666673</v>
      </c>
      <c r="AR634" s="774"/>
      <c r="AS634" s="774"/>
      <c r="AT634" s="774"/>
      <c r="AU634" s="774"/>
      <c r="AV634" s="774"/>
      <c r="AW634" s="769"/>
      <c r="AX634" s="769"/>
      <c r="AY634" s="769"/>
    </row>
    <row r="635" spans="1:51" ht="15.75" hidden="1" customHeight="1">
      <c r="A635" s="766"/>
      <c r="B635" s="1272" t="s">
        <v>1614</v>
      </c>
      <c r="C635" s="1271">
        <f>+$C$633+$G$634</f>
        <v>46023</v>
      </c>
      <c r="D635" s="769"/>
      <c r="E635" s="769"/>
      <c r="F635" s="770">
        <v>0</v>
      </c>
      <c r="G635" s="771"/>
      <c r="H635" s="772" t="s">
        <v>138</v>
      </c>
      <c r="I635" s="772" t="s">
        <v>2831</v>
      </c>
      <c r="J635" s="783"/>
      <c r="K635" s="769"/>
      <c r="L635" s="769" t="s">
        <v>2710</v>
      </c>
      <c r="M635" s="769" t="s">
        <v>2670</v>
      </c>
      <c r="N635" s="772" t="s">
        <v>144</v>
      </c>
      <c r="O635" s="772"/>
      <c r="P635" s="772"/>
      <c r="Q635" s="769">
        <v>0</v>
      </c>
      <c r="R635" s="769">
        <v>0</v>
      </c>
      <c r="S635" s="774"/>
      <c r="T635" s="769">
        <v>-20</v>
      </c>
      <c r="U635" s="769"/>
      <c r="V635" s="769"/>
      <c r="W635" s="769">
        <v>1.4</v>
      </c>
      <c r="X635" s="769"/>
      <c r="Y635" s="769"/>
      <c r="Z635" s="769"/>
      <c r="AA635" s="769"/>
      <c r="AB635" s="769"/>
      <c r="AC635" s="769" t="s">
        <v>2616</v>
      </c>
      <c r="AD635" s="769"/>
      <c r="AE635" s="769"/>
      <c r="AF635" s="769">
        <v>5400</v>
      </c>
      <c r="AG635" s="1342">
        <v>46022.502999999997</v>
      </c>
      <c r="AH635" s="769">
        <v>3161</v>
      </c>
      <c r="AI635" s="769">
        <v>-211</v>
      </c>
      <c r="AJ635" s="769"/>
      <c r="AK635" s="769"/>
      <c r="AL635" s="769"/>
      <c r="AM635" s="769" t="s">
        <v>2054</v>
      </c>
      <c r="AN635" s="774">
        <v>5.5</v>
      </c>
      <c r="AO635" s="769"/>
      <c r="AP635" s="769"/>
      <c r="AQ635" s="774"/>
      <c r="AR635" s="774"/>
      <c r="AS635" s="774"/>
      <c r="AT635" s="774">
        <f>+ab($T$635,$T$633,$T$637,$G$634,$G$636,-1*$F$635,1200)</f>
        <v>-9.9117495158891469</v>
      </c>
      <c r="AU635" s="774"/>
      <c r="AV635" s="774"/>
      <c r="AW635" s="769"/>
      <c r="AX635" s="769"/>
      <c r="AY635" s="769"/>
    </row>
    <row r="636" spans="1:51" ht="15.75" hidden="1" customHeight="1">
      <c r="A636" s="766"/>
      <c r="B636" s="1273"/>
      <c r="C636" s="1271"/>
      <c r="D636" s="769"/>
      <c r="E636" s="769"/>
      <c r="F636" s="770"/>
      <c r="G636" s="771">
        <v>60</v>
      </c>
      <c r="H636" s="772"/>
      <c r="I636" s="772"/>
      <c r="J636" s="783"/>
      <c r="K636" s="769"/>
      <c r="L636" s="769"/>
      <c r="M636" s="769"/>
      <c r="N636" s="772"/>
      <c r="O636" s="772"/>
      <c r="P636" s="772"/>
      <c r="Q636" s="769"/>
      <c r="R636" s="769"/>
      <c r="S636" s="774">
        <f t="shared" ref="S636" si="85">AG637-AG635</f>
        <v>59.952000000004773</v>
      </c>
      <c r="T636" s="769"/>
      <c r="U636" s="769"/>
      <c r="V636" s="769"/>
      <c r="W636" s="769"/>
      <c r="X636" s="769"/>
      <c r="Y636" s="769"/>
      <c r="Z636" s="769"/>
      <c r="AA636" s="769"/>
      <c r="AB636" s="769"/>
      <c r="AC636" s="769"/>
      <c r="AD636" s="769"/>
      <c r="AE636" s="769"/>
      <c r="AF636" s="769"/>
      <c r="AG636" s="1342"/>
      <c r="AH636" s="769"/>
      <c r="AI636" s="769"/>
      <c r="AJ636" s="769"/>
      <c r="AK636" s="769"/>
      <c r="AL636" s="769"/>
      <c r="AM636" s="769"/>
      <c r="AN636" s="769"/>
      <c r="AO636" s="769"/>
      <c r="AP636" s="769"/>
      <c r="AQ636" s="774">
        <f>+FL_2($U$637,$T$635,$G$636,1200,9.28,-1*$F$637)</f>
        <v>-0.41416378533333326</v>
      </c>
      <c r="AR636" s="774"/>
      <c r="AS636" s="774"/>
      <c r="AT636" s="774"/>
      <c r="AU636" s="774"/>
      <c r="AV636" s="774"/>
      <c r="AW636" s="769"/>
      <c r="AX636" s="769"/>
      <c r="AY636" s="769"/>
    </row>
    <row r="637" spans="1:51" ht="15.75" hidden="1" customHeight="1">
      <c r="A637" s="766" t="s">
        <v>1109</v>
      </c>
      <c r="B637" s="1272" t="s">
        <v>1615</v>
      </c>
      <c r="C637" s="1271">
        <f>+$C$635+$G$636</f>
        <v>46083</v>
      </c>
      <c r="D637" s="769"/>
      <c r="E637" s="769"/>
      <c r="F637" s="770">
        <v>0</v>
      </c>
      <c r="G637" s="771"/>
      <c r="H637" s="772" t="s">
        <v>668</v>
      </c>
      <c r="I637" s="772"/>
      <c r="J637" s="783"/>
      <c r="K637" s="769"/>
      <c r="L637" s="769" t="s">
        <v>1123</v>
      </c>
      <c r="M637" s="769" t="s">
        <v>2671</v>
      </c>
      <c r="N637" s="772" t="s">
        <v>140</v>
      </c>
      <c r="O637" s="772" t="s">
        <v>145</v>
      </c>
      <c r="P637" s="772"/>
      <c r="Q637" s="769">
        <v>0</v>
      </c>
      <c r="R637" s="769">
        <v>0</v>
      </c>
      <c r="S637" s="769"/>
      <c r="T637" s="769">
        <v>55</v>
      </c>
      <c r="U637" s="769">
        <v>10</v>
      </c>
      <c r="V637" s="769"/>
      <c r="W637" s="769">
        <v>1.4</v>
      </c>
      <c r="X637" s="769">
        <v>2.2999999999999998</v>
      </c>
      <c r="Y637" s="769"/>
      <c r="Z637" s="774">
        <v>0.5</v>
      </c>
      <c r="AA637" s="774"/>
      <c r="AB637" s="769"/>
      <c r="AC637" s="769"/>
      <c r="AD637" s="769" t="s">
        <v>2616</v>
      </c>
      <c r="AE637" s="769"/>
      <c r="AF637" s="769">
        <v>5400</v>
      </c>
      <c r="AG637" s="1342">
        <v>46082.455000000002</v>
      </c>
      <c r="AH637" s="769">
        <v>3150</v>
      </c>
      <c r="AI637" s="769">
        <v>-213</v>
      </c>
      <c r="AJ637" s="769"/>
      <c r="AK637" s="769"/>
      <c r="AL637" s="769"/>
      <c r="AM637" s="769" t="s">
        <v>2054</v>
      </c>
      <c r="AN637" s="774">
        <v>5.5</v>
      </c>
      <c r="AO637" s="769"/>
      <c r="AP637" s="769"/>
      <c r="AQ637" s="774"/>
      <c r="AR637" s="774"/>
      <c r="AS637" s="774"/>
      <c r="AT637" s="774">
        <f>+ab($U$637,$T$635,$U$639,$G$636,$G$638,-1*$F$637,1200)</f>
        <v>11.262461728055506</v>
      </c>
      <c r="AU637" s="774"/>
      <c r="AV637" s="774"/>
      <c r="AW637" s="769"/>
      <c r="AX637" s="769"/>
      <c r="AY637" s="769"/>
    </row>
    <row r="638" spans="1:51" ht="15.75" hidden="1" customHeight="1">
      <c r="A638" s="766" t="s">
        <v>1110</v>
      </c>
      <c r="B638" s="1273"/>
      <c r="C638" s="1271"/>
      <c r="D638" s="769"/>
      <c r="E638" s="769"/>
      <c r="F638" s="770"/>
      <c r="G638" s="771">
        <v>55</v>
      </c>
      <c r="H638" s="772"/>
      <c r="I638" s="772"/>
      <c r="J638" s="778"/>
      <c r="K638" s="769"/>
      <c r="L638" s="769"/>
      <c r="M638" s="769"/>
      <c r="N638" s="772"/>
      <c r="O638" s="772"/>
      <c r="P638" s="772"/>
      <c r="Q638" s="769"/>
      <c r="R638" s="769"/>
      <c r="S638" s="769">
        <f t="shared" ref="S638" si="86">AG639-AG637</f>
        <v>54.44999999999709</v>
      </c>
      <c r="T638" s="769"/>
      <c r="U638" s="769"/>
      <c r="V638" s="769"/>
      <c r="W638" s="769"/>
      <c r="X638" s="769"/>
      <c r="Y638" s="769"/>
      <c r="Z638" s="774"/>
      <c r="AA638" s="774"/>
      <c r="AB638" s="769"/>
      <c r="AC638" s="769"/>
      <c r="AD638" s="769"/>
      <c r="AE638" s="769"/>
      <c r="AF638" s="769"/>
      <c r="AG638" s="1342"/>
      <c r="AH638" s="769"/>
      <c r="AI638" s="769"/>
      <c r="AJ638" s="769"/>
      <c r="AK638" s="769"/>
      <c r="AL638" s="769"/>
      <c r="AM638" s="769"/>
      <c r="AN638" s="774"/>
      <c r="AO638" s="769"/>
      <c r="AP638" s="769"/>
      <c r="AQ638" s="774">
        <f>+FL_1($T$639,$U$637,$G$638,1200,9.28,-1*$F$639)</f>
        <v>0.30096610909090904</v>
      </c>
      <c r="AR638" s="774"/>
      <c r="AS638" s="774"/>
      <c r="AT638" s="774"/>
      <c r="AU638" s="774"/>
      <c r="AV638" s="774"/>
      <c r="AW638" s="769"/>
      <c r="AX638" s="769"/>
      <c r="AY638" s="769"/>
    </row>
    <row r="639" spans="1:51" ht="15.75" hidden="1" customHeight="1">
      <c r="A639" s="766" t="s">
        <v>2958</v>
      </c>
      <c r="B639" s="1272" t="s">
        <v>1616</v>
      </c>
      <c r="C639" s="1271">
        <f>+$C$637+$G$638</f>
        <v>46138</v>
      </c>
      <c r="D639" s="769"/>
      <c r="E639" s="769"/>
      <c r="F639" s="770">
        <v>0</v>
      </c>
      <c r="G639" s="771"/>
      <c r="H639" s="772" t="s">
        <v>668</v>
      </c>
      <c r="I639" s="772" t="s">
        <v>2645</v>
      </c>
      <c r="J639" s="783"/>
      <c r="K639" s="769"/>
      <c r="L639" s="769" t="s">
        <v>1123</v>
      </c>
      <c r="M639" s="769" t="s">
        <v>2671</v>
      </c>
      <c r="N639" s="772" t="s">
        <v>144</v>
      </c>
      <c r="O639" s="772" t="s">
        <v>140</v>
      </c>
      <c r="P639" s="772"/>
      <c r="Q639" s="769">
        <v>0</v>
      </c>
      <c r="R639" s="769">
        <v>0</v>
      </c>
      <c r="S639" s="769"/>
      <c r="T639" s="769">
        <v>-10</v>
      </c>
      <c r="U639" s="769">
        <v>-55</v>
      </c>
      <c r="V639" s="769"/>
      <c r="W639" s="769">
        <v>1.4</v>
      </c>
      <c r="X639" s="769">
        <v>2.2999999999999998</v>
      </c>
      <c r="Y639" s="769"/>
      <c r="Z639" s="774"/>
      <c r="AA639" s="774">
        <v>0.5</v>
      </c>
      <c r="AB639" s="769"/>
      <c r="AC639" s="769" t="s">
        <v>2616</v>
      </c>
      <c r="AD639" s="769"/>
      <c r="AE639" s="769"/>
      <c r="AF639" s="769">
        <v>5400</v>
      </c>
      <c r="AG639" s="1342">
        <v>46136.904999999999</v>
      </c>
      <c r="AH639" s="769">
        <v>3175</v>
      </c>
      <c r="AI639" s="769">
        <v>-180</v>
      </c>
      <c r="AJ639" s="769" t="s">
        <v>3150</v>
      </c>
      <c r="AK639" s="769"/>
      <c r="AL639" s="769"/>
      <c r="AM639" s="769" t="s">
        <v>2054</v>
      </c>
      <c r="AN639" s="774">
        <v>5.5</v>
      </c>
      <c r="AO639" s="769"/>
      <c r="AP639" s="769"/>
      <c r="AQ639" s="774"/>
      <c r="AR639" s="774"/>
      <c r="AS639" s="774"/>
      <c r="AT639" s="774">
        <f>+ab($T$639,$T$637,$T$641,$G$638,$G$640,-1*$F$639,1200)</f>
        <v>-10.26970025102799</v>
      </c>
      <c r="AU639" s="774"/>
      <c r="AV639" s="774"/>
      <c r="AW639" s="769"/>
      <c r="AX639" s="769"/>
      <c r="AY639" s="769"/>
    </row>
    <row r="640" spans="1:51" ht="15.75" hidden="1" customHeight="1">
      <c r="A640" s="766"/>
      <c r="B640" s="1273"/>
      <c r="C640" s="1271"/>
      <c r="D640" s="769"/>
      <c r="E640" s="769"/>
      <c r="F640" s="770"/>
      <c r="G640" s="771">
        <v>60</v>
      </c>
      <c r="H640" s="772"/>
      <c r="I640" s="772"/>
      <c r="J640" s="783"/>
      <c r="K640" s="769"/>
      <c r="L640" s="769"/>
      <c r="M640" s="769"/>
      <c r="N640" s="772"/>
      <c r="O640" s="772"/>
      <c r="P640" s="772"/>
      <c r="Q640" s="769"/>
      <c r="R640" s="769"/>
      <c r="S640" s="769">
        <f t="shared" ref="S640" si="87">AG641-AG639</f>
        <v>59.923999999999069</v>
      </c>
      <c r="T640" s="769"/>
      <c r="U640" s="769"/>
      <c r="V640" s="769"/>
      <c r="W640" s="769"/>
      <c r="X640" s="769"/>
      <c r="Y640" s="769"/>
      <c r="Z640" s="774"/>
      <c r="AA640" s="774"/>
      <c r="AB640" s="769"/>
      <c r="AC640" s="769"/>
      <c r="AD640" s="769"/>
      <c r="AE640" s="769"/>
      <c r="AF640" s="769"/>
      <c r="AG640" s="1342"/>
      <c r="AH640" s="769"/>
      <c r="AI640" s="769"/>
      <c r="AJ640" s="769"/>
      <c r="AK640" s="769"/>
      <c r="AL640" s="769"/>
      <c r="AM640" s="769"/>
      <c r="AN640" s="769"/>
      <c r="AO640" s="769"/>
      <c r="AP640" s="769"/>
      <c r="AQ640" s="774">
        <f>+FL_1($T$641,$T$639,$G$640,1200,9.28,-1*$F$641)</f>
        <v>0.47673563199999996</v>
      </c>
      <c r="AR640" s="774"/>
      <c r="AS640" s="774"/>
      <c r="AT640" s="774"/>
      <c r="AU640" s="774"/>
      <c r="AV640" s="774"/>
      <c r="AW640" s="769"/>
      <c r="AX640" s="769"/>
      <c r="AY640" s="769"/>
    </row>
    <row r="641" spans="1:51" ht="15.75" hidden="1" customHeight="1">
      <c r="A641" s="766" t="s">
        <v>2959</v>
      </c>
      <c r="B641" s="1272" t="s">
        <v>1617</v>
      </c>
      <c r="C641" s="1271">
        <f>+$C$639+$G$640</f>
        <v>46198</v>
      </c>
      <c r="D641" s="769"/>
      <c r="E641" s="769"/>
      <c r="F641" s="770">
        <v>0</v>
      </c>
      <c r="G641" s="771"/>
      <c r="H641" s="772" t="s">
        <v>138</v>
      </c>
      <c r="I641" s="772" t="s">
        <v>2831</v>
      </c>
      <c r="J641" s="783"/>
      <c r="K641" s="769"/>
      <c r="L641" s="769" t="s">
        <v>2710</v>
      </c>
      <c r="M641" s="769" t="s">
        <v>2670</v>
      </c>
      <c r="N641" s="772" t="s">
        <v>145</v>
      </c>
      <c r="O641" s="772"/>
      <c r="P641" s="772"/>
      <c r="Q641" s="769">
        <v>0</v>
      </c>
      <c r="R641" s="769">
        <v>0</v>
      </c>
      <c r="S641" s="769"/>
      <c r="T641" s="769">
        <v>30</v>
      </c>
      <c r="U641" s="769"/>
      <c r="V641" s="769"/>
      <c r="W641" s="769">
        <v>1.4</v>
      </c>
      <c r="X641" s="769"/>
      <c r="Y641" s="769"/>
      <c r="Z641" s="769"/>
      <c r="AA641" s="769"/>
      <c r="AB641" s="769"/>
      <c r="AC641" s="769" t="s">
        <v>2616</v>
      </c>
      <c r="AD641" s="769"/>
      <c r="AE641" s="769"/>
      <c r="AF641" s="769">
        <v>5400</v>
      </c>
      <c r="AG641" s="1342">
        <v>46196.828999999998</v>
      </c>
      <c r="AH641" s="769">
        <v>3234</v>
      </c>
      <c r="AI641" s="769">
        <v>-156</v>
      </c>
      <c r="AJ641" s="769" t="s">
        <v>2466</v>
      </c>
      <c r="AK641" s="769"/>
      <c r="AL641" s="769"/>
      <c r="AM641" s="769" t="s">
        <v>2054</v>
      </c>
      <c r="AN641" s="774">
        <v>5.45</v>
      </c>
      <c r="AO641" s="769"/>
      <c r="AP641" s="769"/>
      <c r="AQ641" s="774"/>
      <c r="AR641" s="774"/>
      <c r="AS641" s="774"/>
      <c r="AT641" s="774">
        <f>+ab($T$641,$T$639,$T$643,$G$640,$G$642,-1*$F$641,1200)</f>
        <v>26.673542207059025</v>
      </c>
      <c r="AU641" s="774"/>
      <c r="AV641" s="774"/>
      <c r="AW641" s="769"/>
      <c r="AX641" s="769"/>
      <c r="AY641" s="769"/>
    </row>
    <row r="642" spans="1:51" ht="15.75" hidden="1" customHeight="1">
      <c r="A642" s="766" t="s">
        <v>1111</v>
      </c>
      <c r="B642" s="767"/>
      <c r="C642" s="768"/>
      <c r="D642" s="769"/>
      <c r="E642" s="769"/>
      <c r="F642" s="770"/>
      <c r="G642" s="771">
        <v>59</v>
      </c>
      <c r="H642" s="772"/>
      <c r="I642" s="772"/>
      <c r="J642" s="783"/>
      <c r="K642" s="769"/>
      <c r="L642" s="769"/>
      <c r="M642" s="769"/>
      <c r="N642" s="772"/>
      <c r="O642" s="772"/>
      <c r="P642" s="772"/>
      <c r="Q642" s="769"/>
      <c r="R642" s="769"/>
      <c r="S642" s="769">
        <f t="shared" ref="S642" si="88">AG643-AG641</f>
        <v>60.041000000004715</v>
      </c>
      <c r="T642" s="769"/>
      <c r="U642" s="769"/>
      <c r="V642" s="769"/>
      <c r="W642" s="769"/>
      <c r="X642" s="769"/>
      <c r="Y642" s="769"/>
      <c r="Z642" s="769"/>
      <c r="AA642" s="769"/>
      <c r="AB642" s="769"/>
      <c r="AC642" s="769"/>
      <c r="AD642" s="769"/>
      <c r="AE642" s="769"/>
      <c r="AF642" s="769"/>
      <c r="AG642" s="1342"/>
      <c r="AH642" s="769"/>
      <c r="AI642" s="769"/>
      <c r="AJ642" s="769" t="s">
        <v>2976</v>
      </c>
      <c r="AK642" s="769"/>
      <c r="AL642" s="769"/>
      <c r="AM642" s="769"/>
      <c r="AN642" s="769"/>
      <c r="AO642" s="769"/>
      <c r="AP642" s="769"/>
      <c r="AQ642" s="774">
        <f>+FL_2($T$643,$T$641,$G$642,1200,9.28,-1*$F$643)</f>
        <v>-3.6496666666666656E-2</v>
      </c>
      <c r="AR642" s="774"/>
      <c r="AS642" s="774"/>
      <c r="AT642" s="774"/>
      <c r="AU642" s="774"/>
      <c r="AV642" s="774"/>
      <c r="AW642" s="769"/>
      <c r="AX642" s="769"/>
      <c r="AY642" s="769"/>
    </row>
    <row r="643" spans="1:51" ht="15.75" hidden="1" customHeight="1">
      <c r="A643" s="716" t="s">
        <v>1112</v>
      </c>
      <c r="B643" s="741" t="s">
        <v>1618</v>
      </c>
      <c r="C643" s="718">
        <f>+$C$641+$G$642</f>
        <v>46257</v>
      </c>
      <c r="D643" s="719"/>
      <c r="E643" s="719"/>
      <c r="F643" s="720">
        <v>0</v>
      </c>
      <c r="G643" s="721"/>
      <c r="H643" s="726"/>
      <c r="I643" s="726" t="s">
        <v>2053</v>
      </c>
      <c r="J643" s="727"/>
      <c r="K643" s="719" t="s">
        <v>1102</v>
      </c>
      <c r="L643" s="719" t="s">
        <v>241</v>
      </c>
      <c r="M643" s="719"/>
      <c r="N643" s="726" t="s">
        <v>696</v>
      </c>
      <c r="O643" s="726"/>
      <c r="P643" s="726"/>
      <c r="Q643" s="719">
        <v>3</v>
      </c>
      <c r="R643" s="719">
        <v>0</v>
      </c>
      <c r="S643" s="719"/>
      <c r="T643" s="719">
        <v>30</v>
      </c>
      <c r="U643" s="719"/>
      <c r="V643" s="719"/>
      <c r="W643" s="719">
        <v>1.4</v>
      </c>
      <c r="X643" s="719"/>
      <c r="Y643" s="719"/>
      <c r="Z643" s="719"/>
      <c r="AA643" s="719"/>
      <c r="AB643" s="719"/>
      <c r="AC643" s="719" t="s">
        <v>2616</v>
      </c>
      <c r="AD643" s="719"/>
      <c r="AE643" s="719"/>
      <c r="AF643" s="719">
        <v>200</v>
      </c>
      <c r="AG643" s="1341">
        <v>46256.87</v>
      </c>
      <c r="AH643" s="719">
        <v>2114</v>
      </c>
      <c r="AI643" s="719">
        <v>-4931</v>
      </c>
      <c r="AJ643" s="719"/>
      <c r="AK643" s="719"/>
      <c r="AL643" s="719"/>
      <c r="AM643" s="719" t="s">
        <v>2609</v>
      </c>
      <c r="AN643" s="724">
        <v>5.4</v>
      </c>
      <c r="AO643" s="719"/>
      <c r="AP643" s="719"/>
      <c r="AQ643" s="724"/>
      <c r="AR643" s="724"/>
      <c r="AS643" s="724"/>
      <c r="AT643" s="724">
        <f>+ab($T$643,$T$641,$T$645,$G$642,$G$644,-1*$F$643,1200)</f>
        <v>15.297033858747978</v>
      </c>
      <c r="AU643" s="724"/>
      <c r="AV643" s="724"/>
      <c r="AW643" s="719"/>
      <c r="AX643" s="719"/>
      <c r="AY643" s="719"/>
    </row>
    <row r="644" spans="1:51" ht="15.75" hidden="1" customHeight="1">
      <c r="A644" s="716"/>
      <c r="B644" s="735"/>
      <c r="C644" s="718"/>
      <c r="D644" s="719"/>
      <c r="E644" s="719"/>
      <c r="F644" s="720"/>
      <c r="G644" s="721">
        <v>49</v>
      </c>
      <c r="H644" s="726"/>
      <c r="I644" s="726"/>
      <c r="J644" s="727"/>
      <c r="K644" s="719"/>
      <c r="L644" s="719"/>
      <c r="M644" s="719"/>
      <c r="N644" s="726"/>
      <c r="O644" s="726"/>
      <c r="P644" s="726"/>
      <c r="Q644" s="719"/>
      <c r="R644" s="719"/>
      <c r="S644" s="719">
        <f t="shared" ref="S644:S692" si="89">AG645-AG643</f>
        <v>49.169999999998254</v>
      </c>
      <c r="T644" s="719"/>
      <c r="U644" s="719"/>
      <c r="V644" s="719"/>
      <c r="W644" s="719"/>
      <c r="X644" s="719"/>
      <c r="Y644" s="719"/>
      <c r="Z644" s="719"/>
      <c r="AA644" s="719"/>
      <c r="AB644" s="719"/>
      <c r="AC644" s="719"/>
      <c r="AD644" s="719"/>
      <c r="AE644" s="719"/>
      <c r="AF644" s="719"/>
      <c r="AG644" s="1341"/>
      <c r="AH644" s="719"/>
      <c r="AI644" s="719"/>
      <c r="AJ644" s="719"/>
      <c r="AK644" s="719"/>
      <c r="AL644" s="719"/>
      <c r="AM644" s="719"/>
      <c r="AN644" s="719"/>
      <c r="AO644" s="719"/>
      <c r="AP644" s="719"/>
      <c r="AQ644" s="724">
        <f>+FL_1($T$645,$T$643,$G$644,1200,9.28,-1*$F$645)</f>
        <v>0.32903902669387752</v>
      </c>
      <c r="AR644" s="724"/>
      <c r="AS644" s="724"/>
      <c r="AT644" s="724"/>
      <c r="AU644" s="724"/>
      <c r="AV644" s="724"/>
      <c r="AW644" s="719"/>
      <c r="AX644" s="719"/>
      <c r="AY644" s="719"/>
    </row>
    <row r="645" spans="1:51" ht="15.75" hidden="1" customHeight="1">
      <c r="A645" s="716"/>
      <c r="B645" s="741" t="s">
        <v>1619</v>
      </c>
      <c r="C645" s="718">
        <f>+$C$643+$G$644</f>
        <v>46306</v>
      </c>
      <c r="D645" s="719"/>
      <c r="E645" s="719"/>
      <c r="F645" s="720">
        <v>0</v>
      </c>
      <c r="G645" s="721"/>
      <c r="H645" s="726"/>
      <c r="I645" s="726"/>
      <c r="J645" s="727"/>
      <c r="K645" s="719"/>
      <c r="L645" s="719" t="s">
        <v>241</v>
      </c>
      <c r="M645" s="719"/>
      <c r="N645" s="726" t="s">
        <v>695</v>
      </c>
      <c r="O645" s="726"/>
      <c r="P645" s="726"/>
      <c r="Q645" s="719">
        <v>10</v>
      </c>
      <c r="R645" s="719">
        <v>0</v>
      </c>
      <c r="S645" s="719"/>
      <c r="T645" s="719">
        <v>-30</v>
      </c>
      <c r="U645" s="719"/>
      <c r="V645" s="719"/>
      <c r="W645" s="719">
        <v>1.4</v>
      </c>
      <c r="X645" s="719"/>
      <c r="Y645" s="719"/>
      <c r="Z645" s="719"/>
      <c r="AA645" s="719"/>
      <c r="AB645" s="719"/>
      <c r="AC645" s="719" t="s">
        <v>2616</v>
      </c>
      <c r="AD645" s="719"/>
      <c r="AE645" s="719"/>
      <c r="AF645" s="719">
        <v>200</v>
      </c>
      <c r="AG645" s="1341">
        <v>46306.04</v>
      </c>
      <c r="AH645" s="719">
        <v>2087</v>
      </c>
      <c r="AI645" s="719">
        <v>-4958</v>
      </c>
      <c r="AJ645" s="719"/>
      <c r="AK645" s="719"/>
      <c r="AL645" s="719"/>
      <c r="AM645" s="719" t="s">
        <v>2609</v>
      </c>
      <c r="AN645" s="719">
        <v>5.33</v>
      </c>
      <c r="AO645" s="719"/>
      <c r="AP645" s="719"/>
      <c r="AQ645" s="724"/>
      <c r="AR645" s="724"/>
      <c r="AS645" s="724"/>
      <c r="AT645" s="724">
        <f>+ab($T$645,$T$643,$T$647,$G$644,$G$646,-1*$F$645,1200)</f>
        <v>-15.297151146323644</v>
      </c>
      <c r="AU645" s="724"/>
      <c r="AV645" s="724"/>
      <c r="AW645" s="719"/>
      <c r="AX645" s="719"/>
      <c r="AY645" s="719"/>
    </row>
    <row r="646" spans="1:51" ht="15.75" hidden="1" customHeight="1">
      <c r="A646" s="716"/>
      <c r="B646" s="735"/>
      <c r="C646" s="718"/>
      <c r="D646" s="719"/>
      <c r="E646" s="719"/>
      <c r="F646" s="720"/>
      <c r="G646" s="721">
        <v>40</v>
      </c>
      <c r="H646" s="726"/>
      <c r="I646" s="726"/>
      <c r="J646" s="727"/>
      <c r="K646" s="719"/>
      <c r="L646" s="719"/>
      <c r="M646" s="719"/>
      <c r="N646" s="726"/>
      <c r="O646" s="726"/>
      <c r="P646" s="726"/>
      <c r="Q646" s="719"/>
      <c r="R646" s="719"/>
      <c r="S646" s="719">
        <f t="shared" si="89"/>
        <v>39.940000000002328</v>
      </c>
      <c r="T646" s="719"/>
      <c r="U646" s="719"/>
      <c r="V646" s="719"/>
      <c r="W646" s="719"/>
      <c r="X646" s="719"/>
      <c r="Y646" s="719"/>
      <c r="Z646" s="719"/>
      <c r="AA646" s="719"/>
      <c r="AB646" s="719"/>
      <c r="AC646" s="719"/>
      <c r="AD646" s="719"/>
      <c r="AE646" s="719"/>
      <c r="AF646" s="719"/>
      <c r="AG646" s="1341"/>
      <c r="AH646" s="719"/>
      <c r="AI646" s="719"/>
      <c r="AJ646" s="719"/>
      <c r="AK646" s="719"/>
      <c r="AL646" s="719"/>
      <c r="AM646" s="719"/>
      <c r="AN646" s="719"/>
      <c r="AO646" s="719"/>
      <c r="AP646" s="719"/>
      <c r="AQ646" s="724">
        <f>+FL_1($T$647,$T$645,$G$646,1200,9.28,-1*$F$647)</f>
        <v>-0.19020535407839392</v>
      </c>
      <c r="AR646" s="724"/>
      <c r="AS646" s="724"/>
      <c r="AT646" s="724"/>
      <c r="AU646" s="724"/>
      <c r="AV646" s="724"/>
      <c r="AW646" s="719"/>
      <c r="AX646" s="719"/>
      <c r="AY646" s="719"/>
    </row>
    <row r="647" spans="1:51" ht="15.75" hidden="1" customHeight="1">
      <c r="A647" s="716"/>
      <c r="B647" s="741" t="s">
        <v>1620</v>
      </c>
      <c r="C647" s="718">
        <f>+$C$645+$G$646</f>
        <v>46346</v>
      </c>
      <c r="D647" s="719"/>
      <c r="E647" s="719"/>
      <c r="F647" s="720">
        <f>-156000/(C647-46311)</f>
        <v>-4457.1428571428569</v>
      </c>
      <c r="G647" s="721"/>
      <c r="H647" s="726"/>
      <c r="I647" s="726"/>
      <c r="J647" s="727"/>
      <c r="K647" s="719"/>
      <c r="L647" s="719" t="s">
        <v>241</v>
      </c>
      <c r="M647" s="719"/>
      <c r="N647" s="726" t="s">
        <v>695</v>
      </c>
      <c r="O647" s="726"/>
      <c r="P647" s="726"/>
      <c r="Q647" s="719">
        <v>16</v>
      </c>
      <c r="R647" s="719">
        <v>-4589</v>
      </c>
      <c r="S647" s="719"/>
      <c r="T647" s="719">
        <v>-30</v>
      </c>
      <c r="U647" s="719"/>
      <c r="V647" s="719"/>
      <c r="W647" s="719">
        <v>1.4</v>
      </c>
      <c r="X647" s="719"/>
      <c r="Y647" s="719"/>
      <c r="Z647" s="719"/>
      <c r="AA647" s="719"/>
      <c r="AB647" s="719"/>
      <c r="AC647" s="719" t="s">
        <v>2614</v>
      </c>
      <c r="AD647" s="719"/>
      <c r="AE647" s="719"/>
      <c r="AF647" s="719">
        <v>200</v>
      </c>
      <c r="AG647" s="1341">
        <v>46345.98</v>
      </c>
      <c r="AH647" s="719">
        <v>1591</v>
      </c>
      <c r="AI647" s="719">
        <v>-5093</v>
      </c>
      <c r="AJ647" s="719"/>
      <c r="AK647" s="719"/>
      <c r="AL647" s="719"/>
      <c r="AM647" s="719" t="s">
        <v>2609</v>
      </c>
      <c r="AN647" s="719">
        <v>5.27</v>
      </c>
      <c r="AO647" s="719"/>
      <c r="AP647" s="719"/>
      <c r="AQ647" s="724"/>
      <c r="AR647" s="724"/>
      <c r="AS647" s="724"/>
      <c r="AT647" s="724">
        <f>+ab($T$647,$T$645,$T$649,$G$646,$G$648,-1*$F$647,1200)</f>
        <v>20.465167225615343</v>
      </c>
      <c r="AU647" s="724"/>
      <c r="AV647" s="724"/>
      <c r="AW647" s="719"/>
      <c r="AX647" s="719"/>
      <c r="AY647" s="719"/>
    </row>
    <row r="648" spans="1:51" ht="15.75" hidden="1" customHeight="1">
      <c r="A648" s="716"/>
      <c r="B648" s="735"/>
      <c r="C648" s="718"/>
      <c r="D648" s="719"/>
      <c r="E648" s="719"/>
      <c r="F648" s="720"/>
      <c r="G648" s="721">
        <v>40</v>
      </c>
      <c r="H648" s="726"/>
      <c r="I648" s="726"/>
      <c r="J648" s="727"/>
      <c r="K648" s="719"/>
      <c r="L648" s="719"/>
      <c r="M648" s="719"/>
      <c r="N648" s="726"/>
      <c r="O648" s="726"/>
      <c r="P648" s="726"/>
      <c r="Q648" s="719"/>
      <c r="R648" s="719"/>
      <c r="S648" s="719">
        <f t="shared" si="89"/>
        <v>39.939999999995052</v>
      </c>
      <c r="T648" s="719"/>
      <c r="U648" s="719"/>
      <c r="V648" s="719"/>
      <c r="W648" s="719"/>
      <c r="X648" s="719"/>
      <c r="Y648" s="719"/>
      <c r="Z648" s="719"/>
      <c r="AA648" s="719"/>
      <c r="AB648" s="719"/>
      <c r="AC648" s="719"/>
      <c r="AD648" s="719"/>
      <c r="AE648" s="719"/>
      <c r="AF648" s="719"/>
      <c r="AG648" s="1341"/>
      <c r="AH648" s="719"/>
      <c r="AI648" s="719"/>
      <c r="AJ648" s="719"/>
      <c r="AK648" s="719"/>
      <c r="AL648" s="719"/>
      <c r="AM648" s="719"/>
      <c r="AN648" s="719"/>
      <c r="AO648" s="719"/>
      <c r="AP648" s="719"/>
      <c r="AQ648" s="724">
        <f>+FL_1($T$649,$T$647,$G$648,1200,9.28,-1*$F$649)</f>
        <v>-0.24148940208073813</v>
      </c>
      <c r="AR648" s="724"/>
      <c r="AS648" s="724"/>
      <c r="AT648" s="724"/>
      <c r="AU648" s="724"/>
      <c r="AV648" s="724"/>
      <c r="AW648" s="719"/>
      <c r="AX648" s="719"/>
      <c r="AY648" s="719"/>
    </row>
    <row r="649" spans="1:51" ht="15.75" customHeight="1">
      <c r="A649" s="716"/>
      <c r="B649" s="741" t="s">
        <v>1621</v>
      </c>
      <c r="C649" s="718">
        <f>+$C$647+$G$648</f>
        <v>46386</v>
      </c>
      <c r="D649" s="719"/>
      <c r="E649" s="719"/>
      <c r="F649" s="720">
        <f>-156000/(C649-46311)</f>
        <v>-2080</v>
      </c>
      <c r="G649" s="721"/>
      <c r="H649" s="726" t="s">
        <v>1101</v>
      </c>
      <c r="I649" s="726"/>
      <c r="J649" s="727"/>
      <c r="K649" s="719"/>
      <c r="L649" s="719" t="s">
        <v>241</v>
      </c>
      <c r="M649" s="719"/>
      <c r="N649" s="726" t="s">
        <v>695</v>
      </c>
      <c r="O649" s="726"/>
      <c r="P649" s="726"/>
      <c r="Q649" s="719">
        <v>45</v>
      </c>
      <c r="R649" s="719">
        <v>-2108</v>
      </c>
      <c r="S649" s="719"/>
      <c r="T649" s="719">
        <v>-30</v>
      </c>
      <c r="U649" s="719"/>
      <c r="V649" s="719"/>
      <c r="W649" s="719">
        <v>1.4</v>
      </c>
      <c r="X649" s="719"/>
      <c r="Y649" s="719"/>
      <c r="Z649" s="719"/>
      <c r="AA649" s="719"/>
      <c r="AB649" s="719"/>
      <c r="AC649" s="719" t="s">
        <v>2616</v>
      </c>
      <c r="AD649" s="719"/>
      <c r="AE649" s="719"/>
      <c r="AF649" s="719">
        <v>200</v>
      </c>
      <c r="AG649" s="1341">
        <v>46385.919999999998</v>
      </c>
      <c r="AH649" s="719">
        <v>1603</v>
      </c>
      <c r="AI649" s="719">
        <v>-4972</v>
      </c>
      <c r="AJ649" s="719"/>
      <c r="AK649" s="719"/>
      <c r="AL649" s="719"/>
      <c r="AM649" s="719" t="s">
        <v>2609</v>
      </c>
      <c r="AN649" s="719">
        <v>5.25</v>
      </c>
      <c r="AO649" s="719"/>
      <c r="AP649" s="719"/>
      <c r="AQ649" s="724"/>
      <c r="AR649" s="724"/>
      <c r="AS649" s="724"/>
      <c r="AT649" s="724">
        <f>+ab($T$649,$T$647,$T$651,$G$648,$G$650,-1*$F$649,1200)</f>
        <v>9.0983035380478423</v>
      </c>
      <c r="AU649" s="724"/>
      <c r="AV649" s="724"/>
      <c r="AW649" s="719"/>
      <c r="AX649" s="719"/>
      <c r="AY649" s="719"/>
    </row>
    <row r="650" spans="1:51" ht="15.75" hidden="1" customHeight="1">
      <c r="A650" s="716"/>
      <c r="B650" s="735"/>
      <c r="C650" s="718"/>
      <c r="D650" s="719"/>
      <c r="E650" s="719"/>
      <c r="F650" s="720"/>
      <c r="G650" s="721">
        <v>47</v>
      </c>
      <c r="H650" s="726"/>
      <c r="I650" s="726">
        <f>+SUM(G636:G650)</f>
        <v>410</v>
      </c>
      <c r="J650" s="727">
        <f>C649+1</f>
        <v>46387</v>
      </c>
      <c r="K650" s="719" t="s">
        <v>1102</v>
      </c>
      <c r="L650" s="719"/>
      <c r="M650" s="719"/>
      <c r="N650" s="726"/>
      <c r="O650" s="726"/>
      <c r="P650" s="726"/>
      <c r="Q650" s="719"/>
      <c r="R650" s="719"/>
      <c r="S650" s="719">
        <f t="shared" si="89"/>
        <v>47.069999999999709</v>
      </c>
      <c r="T650" s="719"/>
      <c r="U650" s="719"/>
      <c r="V650" s="719"/>
      <c r="W650" s="719"/>
      <c r="X650" s="719"/>
      <c r="Y650" s="719"/>
      <c r="Z650" s="719"/>
      <c r="AA650" s="719"/>
      <c r="AB650" s="719"/>
      <c r="AC650" s="719"/>
      <c r="AD650" s="719"/>
      <c r="AE650" s="719"/>
      <c r="AF650" s="719"/>
      <c r="AG650" s="1341"/>
      <c r="AH650" s="719"/>
      <c r="AI650" s="719"/>
      <c r="AJ650" s="719"/>
      <c r="AK650" s="719"/>
      <c r="AL650" s="719"/>
      <c r="AM650" s="719"/>
      <c r="AN650" s="719"/>
      <c r="AO650" s="719"/>
      <c r="AP650" s="719"/>
      <c r="AQ650" s="724">
        <f>+FL_1($T$651,$T$649,$G$650,1200,9.28,-1*$F$651)</f>
        <v>-0.29999795085940462</v>
      </c>
      <c r="AR650" s="724"/>
      <c r="AS650" s="724"/>
      <c r="AT650" s="724"/>
      <c r="AU650" s="724"/>
      <c r="AV650" s="724"/>
      <c r="AW650" s="719"/>
      <c r="AX650" s="719"/>
      <c r="AY650" s="719"/>
    </row>
    <row r="651" spans="1:51" ht="15.75" customHeight="1">
      <c r="A651" s="716"/>
      <c r="B651" s="741" t="s">
        <v>1622</v>
      </c>
      <c r="C651" s="718">
        <f>+$C$649+$G$650</f>
        <v>46433</v>
      </c>
      <c r="D651" s="719"/>
      <c r="E651" s="719"/>
      <c r="F651" s="720">
        <f>-156000/(C651-46311)</f>
        <v>-1278.688524590164</v>
      </c>
      <c r="G651" s="721"/>
      <c r="H651" s="726" t="s">
        <v>997</v>
      </c>
      <c r="I651" s="726"/>
      <c r="J651" s="727"/>
      <c r="K651" s="719"/>
      <c r="L651" s="719" t="s">
        <v>241</v>
      </c>
      <c r="M651" s="719"/>
      <c r="N651" s="726" t="s">
        <v>695</v>
      </c>
      <c r="O651" s="726"/>
      <c r="P651" s="719"/>
      <c r="Q651" s="719">
        <v>76</v>
      </c>
      <c r="R651" s="719">
        <v>-1198</v>
      </c>
      <c r="S651" s="719"/>
      <c r="T651" s="719">
        <v>-30</v>
      </c>
      <c r="U651" s="719"/>
      <c r="V651" s="719"/>
      <c r="W651" s="719">
        <v>1.4</v>
      </c>
      <c r="X651" s="719"/>
      <c r="Y651" s="719"/>
      <c r="Z651" s="719"/>
      <c r="AA651" s="719"/>
      <c r="AB651" s="719"/>
      <c r="AC651" s="719" t="s">
        <v>3005</v>
      </c>
      <c r="AD651" s="719"/>
      <c r="AE651" s="719"/>
      <c r="AF651" s="719">
        <v>100</v>
      </c>
      <c r="AG651" s="1341">
        <v>46432.99</v>
      </c>
      <c r="AH651" s="719">
        <v>1586</v>
      </c>
      <c r="AI651" s="719">
        <v>-5078</v>
      </c>
      <c r="AJ651" s="719"/>
      <c r="AK651" s="719"/>
      <c r="AL651" s="719"/>
      <c r="AM651" s="719" t="s">
        <v>2609</v>
      </c>
      <c r="AN651" s="719">
        <v>5.25</v>
      </c>
      <c r="AO651" s="719"/>
      <c r="AP651" s="719"/>
      <c r="AQ651" s="724"/>
      <c r="AR651" s="724"/>
      <c r="AS651" s="724"/>
      <c r="AT651" s="724">
        <f>+ab($T$651,$T$649,$T$653,$G$650,$G$652,-1*$F$651,1200)</f>
        <v>5.2062819421386957</v>
      </c>
      <c r="AU651" s="724"/>
      <c r="AV651" s="724"/>
      <c r="AW651" s="719"/>
      <c r="AX651" s="719"/>
      <c r="AY651" s="719"/>
    </row>
    <row r="652" spans="1:51" ht="15.75" hidden="1" customHeight="1">
      <c r="A652" s="716"/>
      <c r="B652" s="735"/>
      <c r="C652" s="718"/>
      <c r="D652" s="719"/>
      <c r="E652" s="719"/>
      <c r="F652" s="720"/>
      <c r="G652" s="721">
        <v>47</v>
      </c>
      <c r="H652" s="726"/>
      <c r="I652" s="726">
        <f>SUM(G652:G668)</f>
        <v>422</v>
      </c>
      <c r="J652" s="727">
        <f>C653-1</f>
        <v>46479</v>
      </c>
      <c r="K652" s="719" t="s">
        <v>1102</v>
      </c>
      <c r="L652" s="719"/>
      <c r="M652" s="719"/>
      <c r="N652" s="726"/>
      <c r="O652" s="726"/>
      <c r="P652" s="726"/>
      <c r="Q652" s="719"/>
      <c r="R652" s="719"/>
      <c r="S652" s="719">
        <f t="shared" si="89"/>
        <v>47.029999999998836</v>
      </c>
      <c r="T652" s="719"/>
      <c r="U652" s="719"/>
      <c r="V652" s="719"/>
      <c r="W652" s="719"/>
      <c r="X652" s="719"/>
      <c r="Y652" s="719"/>
      <c r="Z652" s="719"/>
      <c r="AA652" s="719"/>
      <c r="AB652" s="719"/>
      <c r="AC652" s="719"/>
      <c r="AD652" s="719"/>
      <c r="AE652" s="719"/>
      <c r="AF652" s="719"/>
      <c r="AG652" s="1341"/>
      <c r="AH652" s="719"/>
      <c r="AI652" s="719"/>
      <c r="AJ652" s="719"/>
      <c r="AK652" s="719"/>
      <c r="AL652" s="719"/>
      <c r="AM652" s="719"/>
      <c r="AN652" s="719"/>
      <c r="AO652" s="719"/>
      <c r="AP652" s="719"/>
      <c r="AQ652" s="724">
        <f>+FL_1($T$653,$T$651,$G$652,1200,9.28,-1*$F$653)</f>
        <v>-0.29998589701598433</v>
      </c>
      <c r="AR652" s="724"/>
      <c r="AS652" s="724"/>
      <c r="AT652" s="724"/>
      <c r="AU652" s="724"/>
      <c r="AV652" s="724"/>
      <c r="AW652" s="719"/>
      <c r="AX652" s="719"/>
      <c r="AY652" s="719"/>
    </row>
    <row r="653" spans="1:51" ht="15.75" customHeight="1">
      <c r="A653" s="716"/>
      <c r="B653" s="741" t="s">
        <v>1623</v>
      </c>
      <c r="C653" s="718">
        <f>+$C$651+$G$652</f>
        <v>46480</v>
      </c>
      <c r="D653" s="719"/>
      <c r="E653" s="719">
        <v>-80</v>
      </c>
      <c r="F653" s="720">
        <v>-1200</v>
      </c>
      <c r="G653" s="721"/>
      <c r="H653" s="726" t="s">
        <v>1101</v>
      </c>
      <c r="I653" s="726"/>
      <c r="J653" s="727"/>
      <c r="K653" s="719"/>
      <c r="L653" s="719" t="s">
        <v>241</v>
      </c>
      <c r="M653" s="719"/>
      <c r="N653" s="726" t="s">
        <v>695</v>
      </c>
      <c r="O653" s="726"/>
      <c r="P653" s="726"/>
      <c r="Q653" s="719">
        <v>76</v>
      </c>
      <c r="R653" s="719">
        <v>-1197.6500000000001</v>
      </c>
      <c r="S653" s="719"/>
      <c r="T653" s="719">
        <v>-30</v>
      </c>
      <c r="U653" s="719"/>
      <c r="V653" s="719"/>
      <c r="W653" s="719">
        <v>1.4</v>
      </c>
      <c r="X653" s="719"/>
      <c r="Y653" s="719"/>
      <c r="Z653" s="719"/>
      <c r="AA653" s="719"/>
      <c r="AB653" s="719"/>
      <c r="AC653" s="719" t="s">
        <v>3005</v>
      </c>
      <c r="AD653" s="719"/>
      <c r="AE653" s="719"/>
      <c r="AF653" s="719">
        <v>100</v>
      </c>
      <c r="AG653" s="1341">
        <v>46480.02</v>
      </c>
      <c r="AH653" s="719">
        <v>1592</v>
      </c>
      <c r="AI653" s="719">
        <v>-5076</v>
      </c>
      <c r="AJ653" s="719"/>
      <c r="AK653" s="719"/>
      <c r="AL653" s="719"/>
      <c r="AM653" s="719" t="s">
        <v>2609</v>
      </c>
      <c r="AN653" s="719">
        <v>5.25</v>
      </c>
      <c r="AO653" s="719"/>
      <c r="AP653" s="719"/>
      <c r="AQ653" s="724"/>
      <c r="AR653" s="724"/>
      <c r="AS653" s="724"/>
      <c r="AT653" s="724">
        <f>+ab($T$653,$T$651,$T$655,$G$652,$G$654,-1*$F$653,1200)</f>
        <v>4.8874977865320783</v>
      </c>
      <c r="AU653" s="724"/>
      <c r="AV653" s="724"/>
      <c r="AW653" s="719"/>
      <c r="AX653" s="719"/>
      <c r="AY653" s="719"/>
    </row>
    <row r="654" spans="1:51" ht="15.75" hidden="1" customHeight="1">
      <c r="A654" s="716"/>
      <c r="B654" s="735"/>
      <c r="C654" s="718"/>
      <c r="D654" s="719"/>
      <c r="E654" s="719"/>
      <c r="F654" s="720"/>
      <c r="G654" s="721">
        <v>47</v>
      </c>
      <c r="H654" s="726"/>
      <c r="I654" s="726"/>
      <c r="J654" s="727"/>
      <c r="K654" s="719"/>
      <c r="L654" s="719"/>
      <c r="M654" s="719"/>
      <c r="N654" s="726"/>
      <c r="O654" s="726"/>
      <c r="P654" s="726"/>
      <c r="Q654" s="719"/>
      <c r="R654" s="719"/>
      <c r="S654" s="719">
        <f t="shared" si="89"/>
        <v>46.970000000001164</v>
      </c>
      <c r="T654" s="719"/>
      <c r="U654" s="719"/>
      <c r="V654" s="719"/>
      <c r="W654" s="719"/>
      <c r="X654" s="719"/>
      <c r="Y654" s="719"/>
      <c r="Z654" s="719"/>
      <c r="AA654" s="719"/>
      <c r="AB654" s="719"/>
      <c r="AC654" s="719"/>
      <c r="AD654" s="719"/>
      <c r="AE654" s="719"/>
      <c r="AF654" s="719"/>
      <c r="AG654" s="1341"/>
      <c r="AH654" s="719"/>
      <c r="AI654" s="719"/>
      <c r="AJ654" s="719"/>
      <c r="AK654" s="719"/>
      <c r="AL654" s="719"/>
      <c r="AM654" s="719"/>
      <c r="AN654" s="719"/>
      <c r="AO654" s="719"/>
      <c r="AP654" s="719"/>
      <c r="AQ654" s="724">
        <f>+FL_1($T$655,$T$653,$G$654,1200,9.28,-1*$F$655)</f>
        <v>-0.29998589701598433</v>
      </c>
      <c r="AR654" s="724"/>
      <c r="AS654" s="724"/>
      <c r="AT654" s="724"/>
      <c r="AU654" s="724"/>
      <c r="AV654" s="724"/>
      <c r="AW654" s="719"/>
      <c r="AX654" s="719"/>
      <c r="AY654" s="719"/>
    </row>
    <row r="655" spans="1:51" ht="15.75" hidden="1" customHeight="1">
      <c r="A655" s="716"/>
      <c r="B655" s="741" t="s">
        <v>1624</v>
      </c>
      <c r="C655" s="718">
        <f>+$C$653+$G$654</f>
        <v>46527</v>
      </c>
      <c r="D655" s="719"/>
      <c r="E655" s="719">
        <v>-80</v>
      </c>
      <c r="F655" s="720">
        <v>-1200</v>
      </c>
      <c r="G655" s="721"/>
      <c r="H655" s="726"/>
      <c r="I655" s="726"/>
      <c r="J655" s="727"/>
      <c r="K655" s="719"/>
      <c r="L655" s="719" t="s">
        <v>241</v>
      </c>
      <c r="M655" s="719"/>
      <c r="N655" s="726" t="s">
        <v>695</v>
      </c>
      <c r="O655" s="726"/>
      <c r="P655" s="726"/>
      <c r="Q655" s="719">
        <v>78</v>
      </c>
      <c r="R655" s="719">
        <v>-1197.6500000000001</v>
      </c>
      <c r="S655" s="719"/>
      <c r="T655" s="719">
        <v>-30</v>
      </c>
      <c r="U655" s="719"/>
      <c r="V655" s="719"/>
      <c r="W655" s="719">
        <v>1.4</v>
      </c>
      <c r="X655" s="719"/>
      <c r="Y655" s="719"/>
      <c r="Z655" s="719"/>
      <c r="AA655" s="719"/>
      <c r="AB655" s="719"/>
      <c r="AC655" s="719" t="s">
        <v>3005</v>
      </c>
      <c r="AD655" s="719"/>
      <c r="AE655" s="719"/>
      <c r="AF655" s="719">
        <v>100</v>
      </c>
      <c r="AG655" s="1341">
        <v>46526.99</v>
      </c>
      <c r="AH655" s="719">
        <v>1546</v>
      </c>
      <c r="AI655" s="719">
        <v>-5079</v>
      </c>
      <c r="AJ655" s="719"/>
      <c r="AK655" s="719"/>
      <c r="AL655" s="719"/>
      <c r="AM655" s="719" t="s">
        <v>2609</v>
      </c>
      <c r="AN655" s="719">
        <v>5.25</v>
      </c>
      <c r="AO655" s="719"/>
      <c r="AP655" s="719"/>
      <c r="AQ655" s="724"/>
      <c r="AR655" s="724"/>
      <c r="AS655" s="724"/>
      <c r="AT655" s="724">
        <f>+ab($T$655,$T$653,$T$657,$G$654,$G$656,-1*$F$655,1200)</f>
        <v>4.8362957550210837</v>
      </c>
      <c r="AU655" s="724"/>
      <c r="AV655" s="724"/>
      <c r="AW655" s="719"/>
      <c r="AX655" s="719"/>
      <c r="AY655" s="719"/>
    </row>
    <row r="656" spans="1:51" ht="15.75" hidden="1" customHeight="1">
      <c r="A656" s="716"/>
      <c r="B656" s="735"/>
      <c r="C656" s="718"/>
      <c r="D656" s="719"/>
      <c r="E656" s="719"/>
      <c r="F656" s="720"/>
      <c r="G656" s="721">
        <v>48</v>
      </c>
      <c r="H656" s="726"/>
      <c r="I656" s="726"/>
      <c r="J656" s="727"/>
      <c r="K656" s="719"/>
      <c r="L656" s="719"/>
      <c r="M656" s="719"/>
      <c r="N656" s="726"/>
      <c r="O656" s="726"/>
      <c r="P656" s="726"/>
      <c r="Q656" s="719"/>
      <c r="R656" s="719"/>
      <c r="S656" s="719">
        <f t="shared" si="89"/>
        <v>47.959999999999127</v>
      </c>
      <c r="T656" s="719"/>
      <c r="U656" s="719"/>
      <c r="V656" s="719"/>
      <c r="W656" s="719"/>
      <c r="X656" s="719"/>
      <c r="Y656" s="719"/>
      <c r="Z656" s="719"/>
      <c r="AA656" s="719"/>
      <c r="AB656" s="719"/>
      <c r="AC656" s="719"/>
      <c r="AD656" s="719"/>
      <c r="AE656" s="719"/>
      <c r="AF656" s="719"/>
      <c r="AG656" s="1341"/>
      <c r="AH656" s="719"/>
      <c r="AI656" s="719"/>
      <c r="AJ656" s="719"/>
      <c r="AK656" s="719"/>
      <c r="AL656" s="719"/>
      <c r="AM656" s="719"/>
      <c r="AN656" s="719"/>
      <c r="AO656" s="719"/>
      <c r="AP656" s="719"/>
      <c r="AQ656" s="724">
        <f>+FL_1($T$657,$T$655,$G$656,1200,9.28,-1*$F$657)</f>
        <v>-0.29998559701661609</v>
      </c>
      <c r="AR656" s="724"/>
      <c r="AS656" s="724"/>
      <c r="AT656" s="724"/>
      <c r="AU656" s="724"/>
      <c r="AV656" s="724"/>
      <c r="AW656" s="719"/>
      <c r="AX656" s="719"/>
      <c r="AY656" s="719"/>
    </row>
    <row r="657" spans="1:51" ht="15.75" hidden="1" customHeight="1">
      <c r="A657" s="716"/>
      <c r="B657" s="741" t="s">
        <v>1625</v>
      </c>
      <c r="C657" s="718">
        <f>+$C$655+$G$656</f>
        <v>46575</v>
      </c>
      <c r="D657" s="719"/>
      <c r="E657" s="719">
        <v>-80</v>
      </c>
      <c r="F657" s="720">
        <v>-1200</v>
      </c>
      <c r="G657" s="721"/>
      <c r="H657" s="726"/>
      <c r="I657" s="726"/>
      <c r="J657" s="727"/>
      <c r="K657" s="719"/>
      <c r="L657" s="719" t="s">
        <v>241</v>
      </c>
      <c r="M657" s="719"/>
      <c r="N657" s="726" t="s">
        <v>695</v>
      </c>
      <c r="O657" s="726"/>
      <c r="P657" s="726"/>
      <c r="Q657" s="719">
        <v>80</v>
      </c>
      <c r="R657" s="719">
        <v>-1197.6500000000001</v>
      </c>
      <c r="S657" s="719"/>
      <c r="T657" s="719">
        <v>-30</v>
      </c>
      <c r="U657" s="719"/>
      <c r="V657" s="719"/>
      <c r="W657" s="719">
        <v>1.4</v>
      </c>
      <c r="X657" s="719"/>
      <c r="Y657" s="719"/>
      <c r="Z657" s="719"/>
      <c r="AA657" s="719"/>
      <c r="AB657" s="719"/>
      <c r="AC657" s="719" t="s">
        <v>3005</v>
      </c>
      <c r="AD657" s="719"/>
      <c r="AE657" s="719"/>
      <c r="AF657" s="719">
        <v>100</v>
      </c>
      <c r="AG657" s="1341">
        <v>46574.95</v>
      </c>
      <c r="AH657" s="719">
        <v>1575</v>
      </c>
      <c r="AI657" s="719">
        <v>-5086</v>
      </c>
      <c r="AJ657" s="719"/>
      <c r="AK657" s="719"/>
      <c r="AL657" s="719"/>
      <c r="AM657" s="719" t="s">
        <v>2609</v>
      </c>
      <c r="AN657" s="719">
        <v>5.25</v>
      </c>
      <c r="AO657" s="719"/>
      <c r="AP657" s="719"/>
      <c r="AQ657" s="724"/>
      <c r="AR657" s="724"/>
      <c r="AS657" s="724"/>
      <c r="AT657" s="724">
        <f>+ab($T$657,$T$655,$T$659,$G$656,$G$658,-1*$F$657,1200)</f>
        <v>4.688916372723317</v>
      </c>
      <c r="AU657" s="724"/>
      <c r="AV657" s="724"/>
      <c r="AW657" s="719"/>
      <c r="AX657" s="719"/>
      <c r="AY657" s="719"/>
    </row>
    <row r="658" spans="1:51" ht="15.75" hidden="1" customHeight="1">
      <c r="A658" s="716"/>
      <c r="B658" s="735"/>
      <c r="C658" s="718"/>
      <c r="D658" s="719"/>
      <c r="E658" s="719"/>
      <c r="F658" s="720"/>
      <c r="G658" s="721">
        <v>50</v>
      </c>
      <c r="H658" s="726"/>
      <c r="I658" s="726"/>
      <c r="J658" s="727"/>
      <c r="K658" s="719"/>
      <c r="L658" s="719"/>
      <c r="M658" s="719"/>
      <c r="N658" s="726"/>
      <c r="O658" s="726"/>
      <c r="P658" s="726"/>
      <c r="Q658" s="719"/>
      <c r="R658" s="719"/>
      <c r="S658" s="719">
        <f t="shared" si="89"/>
        <v>50.080000000001746</v>
      </c>
      <c r="T658" s="719"/>
      <c r="U658" s="719"/>
      <c r="V658" s="719"/>
      <c r="W658" s="719"/>
      <c r="X658" s="719"/>
      <c r="Y658" s="719"/>
      <c r="Z658" s="719"/>
      <c r="AA658" s="719"/>
      <c r="AB658" s="719"/>
      <c r="AC658" s="719"/>
      <c r="AD658" s="719"/>
      <c r="AE658" s="719"/>
      <c r="AF658" s="719"/>
      <c r="AG658" s="1341"/>
      <c r="AH658" s="719"/>
      <c r="AI658" s="719"/>
      <c r="AJ658" s="719"/>
      <c r="AK658" s="719"/>
      <c r="AL658" s="719"/>
      <c r="AM658" s="719"/>
      <c r="AN658" s="719"/>
      <c r="AO658" s="719"/>
      <c r="AP658" s="719"/>
      <c r="AQ658" s="724">
        <f>+FL_1($T$659,$T$657,$G$658,1200,9.28,-1*$F$659)</f>
        <v>-0.29998499701810666</v>
      </c>
      <c r="AR658" s="724"/>
      <c r="AS658" s="724"/>
      <c r="AT658" s="724"/>
      <c r="AU658" s="724"/>
      <c r="AV658" s="724"/>
      <c r="AW658" s="719"/>
      <c r="AX658" s="719"/>
      <c r="AY658" s="719"/>
    </row>
    <row r="659" spans="1:51" ht="15.75" hidden="1" customHeight="1">
      <c r="A659" s="716"/>
      <c r="B659" s="741" t="s">
        <v>1626</v>
      </c>
      <c r="C659" s="718">
        <f>+$C$657+$G$658</f>
        <v>46625</v>
      </c>
      <c r="D659" s="719"/>
      <c r="E659" s="719">
        <v>-80</v>
      </c>
      <c r="F659" s="720">
        <v>-1200</v>
      </c>
      <c r="G659" s="721"/>
      <c r="H659" s="726"/>
      <c r="I659" s="726"/>
      <c r="J659" s="727"/>
      <c r="K659" s="719"/>
      <c r="L659" s="719" t="s">
        <v>241</v>
      </c>
      <c r="M659" s="719"/>
      <c r="N659" s="726" t="s">
        <v>695</v>
      </c>
      <c r="O659" s="726"/>
      <c r="P659" s="726"/>
      <c r="Q659" s="719">
        <v>80</v>
      </c>
      <c r="R659" s="719">
        <v>-1197.6500000000001</v>
      </c>
      <c r="S659" s="719"/>
      <c r="T659" s="719">
        <v>-30</v>
      </c>
      <c r="U659" s="719"/>
      <c r="V659" s="719"/>
      <c r="W659" s="719">
        <v>1.4</v>
      </c>
      <c r="X659" s="719"/>
      <c r="Y659" s="719"/>
      <c r="Z659" s="719"/>
      <c r="AA659" s="719"/>
      <c r="AB659" s="719"/>
      <c r="AC659" s="719" t="s">
        <v>3005</v>
      </c>
      <c r="AD659" s="719"/>
      <c r="AE659" s="719"/>
      <c r="AF659" s="719">
        <v>100</v>
      </c>
      <c r="AG659" s="1341">
        <v>46625.03</v>
      </c>
      <c r="AH659" s="719">
        <v>1550</v>
      </c>
      <c r="AI659" s="719">
        <v>-5054</v>
      </c>
      <c r="AJ659" s="719"/>
      <c r="AK659" s="719"/>
      <c r="AL659" s="719"/>
      <c r="AM659" s="719" t="s">
        <v>2609</v>
      </c>
      <c r="AN659" s="719">
        <v>5.25</v>
      </c>
      <c r="AO659" s="719"/>
      <c r="AP659" s="719"/>
      <c r="AQ659" s="724"/>
      <c r="AR659" s="724"/>
      <c r="AS659" s="724"/>
      <c r="AT659" s="724">
        <f>+ab($T$659,$T$657,$T$661,$G$658,$G$660,-1*$F$659,1200)</f>
        <v>4.595543798028058</v>
      </c>
      <c r="AU659" s="724"/>
      <c r="AV659" s="724"/>
      <c r="AW659" s="719"/>
      <c r="AX659" s="719"/>
      <c r="AY659" s="719"/>
    </row>
    <row r="660" spans="1:51" ht="15.75" hidden="1" customHeight="1">
      <c r="A660" s="716"/>
      <c r="B660" s="735"/>
      <c r="C660" s="718"/>
      <c r="D660" s="719"/>
      <c r="E660" s="719"/>
      <c r="F660" s="720"/>
      <c r="G660" s="721">
        <v>50</v>
      </c>
      <c r="H660" s="726"/>
      <c r="I660" s="722"/>
      <c r="J660" s="727"/>
      <c r="K660" s="719"/>
      <c r="L660" s="719"/>
      <c r="M660" s="719"/>
      <c r="N660" s="726"/>
      <c r="O660" s="726"/>
      <c r="P660" s="726"/>
      <c r="Q660" s="719"/>
      <c r="R660" s="719"/>
      <c r="S660" s="719">
        <f t="shared" si="89"/>
        <v>49.989999999997963</v>
      </c>
      <c r="T660" s="719"/>
      <c r="U660" s="719"/>
      <c r="V660" s="719"/>
      <c r="W660" s="719"/>
      <c r="X660" s="719"/>
      <c r="Y660" s="719"/>
      <c r="Z660" s="719"/>
      <c r="AA660" s="719"/>
      <c r="AB660" s="719"/>
      <c r="AC660" s="719"/>
      <c r="AD660" s="719"/>
      <c r="AE660" s="719"/>
      <c r="AF660" s="719"/>
      <c r="AG660" s="1341"/>
      <c r="AH660" s="719"/>
      <c r="AI660" s="719"/>
      <c r="AJ660" s="719"/>
      <c r="AK660" s="719"/>
      <c r="AL660" s="719"/>
      <c r="AM660" s="719"/>
      <c r="AN660" s="719"/>
      <c r="AO660" s="719"/>
      <c r="AP660" s="719"/>
      <c r="AQ660" s="724">
        <f>+FL_1($T$661,$T$659,$G$660,1200,9.28,-1*$F$661)</f>
        <v>-0.29998499701810666</v>
      </c>
      <c r="AR660" s="724"/>
      <c r="AS660" s="724"/>
      <c r="AT660" s="724"/>
      <c r="AU660" s="724"/>
      <c r="AV660" s="724"/>
      <c r="AW660" s="719"/>
      <c r="AX660" s="719"/>
      <c r="AY660" s="719"/>
    </row>
    <row r="661" spans="1:51" ht="15.75" hidden="1" customHeight="1">
      <c r="A661" s="716"/>
      <c r="B661" s="741" t="s">
        <v>1627</v>
      </c>
      <c r="C661" s="718">
        <f>+$C$659+$G$660</f>
        <v>46675</v>
      </c>
      <c r="D661" s="719"/>
      <c r="E661" s="719">
        <v>-80</v>
      </c>
      <c r="F661" s="720">
        <v>-1200</v>
      </c>
      <c r="G661" s="721"/>
      <c r="H661" s="726"/>
      <c r="I661" s="726"/>
      <c r="J661" s="727"/>
      <c r="K661" s="719"/>
      <c r="L661" s="719" t="s">
        <v>241</v>
      </c>
      <c r="M661" s="719"/>
      <c r="N661" s="726" t="s">
        <v>695</v>
      </c>
      <c r="O661" s="726"/>
      <c r="P661" s="726"/>
      <c r="Q661" s="719">
        <v>80</v>
      </c>
      <c r="R661" s="719">
        <v>-1197.6500000000001</v>
      </c>
      <c r="S661" s="719"/>
      <c r="T661" s="719">
        <v>-30</v>
      </c>
      <c r="U661" s="719"/>
      <c r="V661" s="719"/>
      <c r="W661" s="719">
        <v>1.4</v>
      </c>
      <c r="X661" s="719"/>
      <c r="Y661" s="719"/>
      <c r="Z661" s="719"/>
      <c r="AA661" s="719"/>
      <c r="AB661" s="719"/>
      <c r="AC661" s="719" t="s">
        <v>3005</v>
      </c>
      <c r="AD661" s="719"/>
      <c r="AE661" s="719"/>
      <c r="AF661" s="719">
        <v>100</v>
      </c>
      <c r="AG661" s="1341">
        <v>46675.02</v>
      </c>
      <c r="AH661" s="719">
        <v>1574</v>
      </c>
      <c r="AI661" s="719">
        <v>-5095</v>
      </c>
      <c r="AJ661" s="719"/>
      <c r="AK661" s="719"/>
      <c r="AL661" s="719"/>
      <c r="AM661" s="719" t="s">
        <v>2609</v>
      </c>
      <c r="AN661" s="719">
        <v>5.25</v>
      </c>
      <c r="AO661" s="719"/>
      <c r="AP661" s="719"/>
      <c r="AQ661" s="724"/>
      <c r="AR661" s="724"/>
      <c r="AS661" s="724"/>
      <c r="AT661" s="724">
        <f>+ab($T$661,$T$659,$T$663,$G$660,$G$662,-1*$F$661,1200)</f>
        <v>5.1035969371191472</v>
      </c>
      <c r="AU661" s="724"/>
      <c r="AV661" s="724"/>
      <c r="AW661" s="719"/>
      <c r="AX661" s="719"/>
      <c r="AY661" s="719"/>
    </row>
    <row r="662" spans="1:51" ht="15.75" hidden="1" customHeight="1">
      <c r="A662" s="716"/>
      <c r="B662" s="735"/>
      <c r="C662" s="718"/>
      <c r="D662" s="719"/>
      <c r="E662" s="719"/>
      <c r="F662" s="720"/>
      <c r="G662" s="721">
        <v>40</v>
      </c>
      <c r="H662" s="726"/>
      <c r="I662" s="726"/>
      <c r="J662" s="727"/>
      <c r="K662" s="719"/>
      <c r="L662" s="719"/>
      <c r="M662" s="719"/>
      <c r="N662" s="726"/>
      <c r="O662" s="726"/>
      <c r="P662" s="726"/>
      <c r="Q662" s="719"/>
      <c r="R662" s="719"/>
      <c r="S662" s="719">
        <f t="shared" si="89"/>
        <v>39.950000000004366</v>
      </c>
      <c r="T662" s="719"/>
      <c r="U662" s="719"/>
      <c r="V662" s="719"/>
      <c r="W662" s="719"/>
      <c r="X662" s="719"/>
      <c r="Y662" s="719"/>
      <c r="Z662" s="719"/>
      <c r="AA662" s="719"/>
      <c r="AB662" s="719"/>
      <c r="AC662" s="719"/>
      <c r="AD662" s="719"/>
      <c r="AE662" s="719"/>
      <c r="AF662" s="719"/>
      <c r="AG662" s="1341"/>
      <c r="AH662" s="719"/>
      <c r="AI662" s="719"/>
      <c r="AJ662" s="719"/>
      <c r="AK662" s="719"/>
      <c r="AL662" s="719"/>
      <c r="AM662" s="719"/>
      <c r="AN662" s="719"/>
      <c r="AO662" s="719"/>
      <c r="AP662" s="719"/>
      <c r="AQ662" s="724">
        <f>+FL_1($T$663,$T$661,$G$662,1200,9.28,-1*$F$663)</f>
        <v>-0.3</v>
      </c>
      <c r="AR662" s="724"/>
      <c r="AS662" s="724"/>
      <c r="AT662" s="724"/>
      <c r="AU662" s="724"/>
      <c r="AV662" s="724"/>
      <c r="AW662" s="719"/>
      <c r="AX662" s="719"/>
      <c r="AY662" s="719"/>
    </row>
    <row r="663" spans="1:51" ht="15.75" hidden="1" customHeight="1">
      <c r="A663" s="716"/>
      <c r="B663" s="741" t="s">
        <v>1628</v>
      </c>
      <c r="C663" s="718">
        <f>+$C$661+$G$662</f>
        <v>46715</v>
      </c>
      <c r="D663" s="719"/>
      <c r="E663" s="719">
        <v>-80</v>
      </c>
      <c r="F663" s="720">
        <v>-1200</v>
      </c>
      <c r="G663" s="721"/>
      <c r="H663" s="726" t="s">
        <v>138</v>
      </c>
      <c r="I663" s="722" t="s">
        <v>948</v>
      </c>
      <c r="J663" s="727"/>
      <c r="K663" s="719"/>
      <c r="L663" s="719" t="s">
        <v>241</v>
      </c>
      <c r="M663" s="719"/>
      <c r="N663" s="726" t="s">
        <v>695</v>
      </c>
      <c r="O663" s="726"/>
      <c r="P663" s="726"/>
      <c r="Q663" s="719">
        <v>83</v>
      </c>
      <c r="R663" s="719">
        <v>-1197.6500000000001</v>
      </c>
      <c r="S663" s="719"/>
      <c r="T663" s="719">
        <v>-30</v>
      </c>
      <c r="U663" s="719"/>
      <c r="V663" s="719"/>
      <c r="W663" s="719">
        <v>1.4</v>
      </c>
      <c r="X663" s="719"/>
      <c r="Y663" s="719"/>
      <c r="Z663" s="719"/>
      <c r="AA663" s="719"/>
      <c r="AB663" s="719"/>
      <c r="AC663" s="719" t="s">
        <v>3005</v>
      </c>
      <c r="AD663" s="719"/>
      <c r="AE663" s="719"/>
      <c r="AF663" s="719">
        <v>100</v>
      </c>
      <c r="AG663" s="1341">
        <v>46714.97</v>
      </c>
      <c r="AH663" s="719">
        <v>1562</v>
      </c>
      <c r="AI663" s="719">
        <v>-5087</v>
      </c>
      <c r="AJ663" s="719"/>
      <c r="AK663" s="719"/>
      <c r="AL663" s="719"/>
      <c r="AM663" s="719" t="s">
        <v>2609</v>
      </c>
      <c r="AN663" s="719">
        <v>5.25</v>
      </c>
      <c r="AO663" s="719"/>
      <c r="AP663" s="719"/>
      <c r="AQ663" s="724"/>
      <c r="AR663" s="724"/>
      <c r="AS663" s="724"/>
      <c r="AT663" s="724">
        <f>+ab($T$663,$T$661,$T$665,$G$662,$G$664,-1*$F$663,1200)</f>
        <v>5.9594854459015547</v>
      </c>
      <c r="AU663" s="724"/>
      <c r="AV663" s="724"/>
      <c r="AW663" s="719"/>
      <c r="AX663" s="719"/>
      <c r="AY663" s="719"/>
    </row>
    <row r="664" spans="1:51" ht="15.75" hidden="1" customHeight="1">
      <c r="A664" s="716"/>
      <c r="B664" s="735"/>
      <c r="C664" s="718"/>
      <c r="D664" s="719"/>
      <c r="E664" s="719"/>
      <c r="F664" s="720"/>
      <c r="G664" s="721">
        <v>40</v>
      </c>
      <c r="H664" s="726"/>
      <c r="I664" s="726"/>
      <c r="J664" s="727">
        <f>C663+10</f>
        <v>46725</v>
      </c>
      <c r="K664" s="719" t="s">
        <v>1097</v>
      </c>
      <c r="L664" s="719"/>
      <c r="M664" s="719"/>
      <c r="N664" s="726"/>
      <c r="O664" s="726"/>
      <c r="P664" s="726"/>
      <c r="Q664" s="719"/>
      <c r="R664" s="719"/>
      <c r="S664" s="719">
        <f>AG665-AG663</f>
        <v>39.260000000002037</v>
      </c>
      <c r="T664" s="719"/>
      <c r="U664" s="719"/>
      <c r="V664" s="719"/>
      <c r="W664" s="719"/>
      <c r="X664" s="719"/>
      <c r="Y664" s="719"/>
      <c r="Z664" s="719"/>
      <c r="AA664" s="719"/>
      <c r="AB664" s="719"/>
      <c r="AC664" s="719"/>
      <c r="AD664" s="719"/>
      <c r="AE664" s="719"/>
      <c r="AF664" s="719"/>
      <c r="AG664" s="1341"/>
      <c r="AH664" s="719"/>
      <c r="AI664" s="719"/>
      <c r="AJ664" s="719"/>
      <c r="AK664" s="719"/>
      <c r="AL664" s="719"/>
      <c r="AM664" s="719"/>
      <c r="AN664" s="719"/>
      <c r="AO664" s="719"/>
      <c r="AP664" s="719"/>
      <c r="AQ664" s="724">
        <f>+FL_1($U$665,$T$663,$G$664,1200,9.28,-1*$F$665)</f>
        <v>-0.05</v>
      </c>
      <c r="AR664" s="724"/>
      <c r="AS664" s="724"/>
      <c r="AT664" s="724"/>
      <c r="AU664" s="724"/>
      <c r="AV664" s="724"/>
      <c r="AW664" s="719"/>
      <c r="AX664" s="719"/>
      <c r="AY664" s="719"/>
    </row>
    <row r="665" spans="1:51" ht="15.75" hidden="1" customHeight="1">
      <c r="A665" s="716"/>
      <c r="B665" s="741" t="s">
        <v>1629</v>
      </c>
      <c r="C665" s="718">
        <f>+$C$663+$G$664</f>
        <v>46755</v>
      </c>
      <c r="D665" s="719"/>
      <c r="E665" s="719">
        <v>-80</v>
      </c>
      <c r="F665" s="720">
        <v>-1200</v>
      </c>
      <c r="G665" s="721"/>
      <c r="H665" s="726" t="s">
        <v>668</v>
      </c>
      <c r="I665" s="722"/>
      <c r="J665" s="727"/>
      <c r="K665" s="719"/>
      <c r="L665" s="719" t="s">
        <v>465</v>
      </c>
      <c r="M665" s="719"/>
      <c r="N665" s="726" t="s">
        <v>697</v>
      </c>
      <c r="O665" s="726" t="s">
        <v>695</v>
      </c>
      <c r="P665" s="726"/>
      <c r="Q665" s="719">
        <v>80</v>
      </c>
      <c r="R665" s="719">
        <v>-1197.6500000000001</v>
      </c>
      <c r="S665" s="719">
        <f>AG666-AG665</f>
        <v>1.5199999999967986</v>
      </c>
      <c r="T665" s="719">
        <v>-25</v>
      </c>
      <c r="U665" s="719">
        <v>-5</v>
      </c>
      <c r="V665" s="719"/>
      <c r="W665" s="719">
        <v>1.6</v>
      </c>
      <c r="X665" s="719">
        <v>1.4</v>
      </c>
      <c r="Y665" s="719"/>
      <c r="Z665" s="719">
        <v>0.45</v>
      </c>
      <c r="AA665" s="719"/>
      <c r="AB665" s="719"/>
      <c r="AC665" s="719"/>
      <c r="AD665" s="719" t="s">
        <v>3006</v>
      </c>
      <c r="AE665" s="719"/>
      <c r="AF665" s="719">
        <v>100</v>
      </c>
      <c r="AG665" s="1341">
        <v>46754.23</v>
      </c>
      <c r="AH665" s="719">
        <v>1579</v>
      </c>
      <c r="AI665" s="719">
        <v>-5146</v>
      </c>
      <c r="AJ665" s="719"/>
      <c r="AK665" s="719"/>
      <c r="AL665" s="719"/>
      <c r="AM665" s="719" t="s">
        <v>2609</v>
      </c>
      <c r="AN665" s="719">
        <v>5.25</v>
      </c>
      <c r="AO665" s="719"/>
      <c r="AP665" s="719"/>
      <c r="AQ665" s="724"/>
      <c r="AR665" s="724"/>
      <c r="AS665" s="724"/>
      <c r="AT665" s="724">
        <f>+ab($U$665,$T$663,$U$667,$G$664,$G$666,-1*$F$665,1200)</f>
        <v>4.377580143252767</v>
      </c>
      <c r="AU665" s="724"/>
      <c r="AV665" s="724"/>
      <c r="AW665" s="719"/>
      <c r="AX665" s="719"/>
      <c r="AY665" s="719"/>
    </row>
    <row r="666" spans="1:51" ht="15.75" hidden="1" customHeight="1">
      <c r="A666" s="716"/>
      <c r="B666" s="735"/>
      <c r="C666" s="718"/>
      <c r="D666" s="719"/>
      <c r="E666" s="719"/>
      <c r="F666" s="720"/>
      <c r="G666" s="721">
        <v>50</v>
      </c>
      <c r="H666" s="726"/>
      <c r="I666" s="726"/>
      <c r="J666" s="727"/>
      <c r="K666" s="719"/>
      <c r="L666" s="719"/>
      <c r="M666" s="719"/>
      <c r="N666" s="726"/>
      <c r="O666" s="726"/>
      <c r="P666" s="726"/>
      <c r="Q666" s="719">
        <v>80</v>
      </c>
      <c r="R666" s="719">
        <v>-1197.6500000000001</v>
      </c>
      <c r="S666" s="719">
        <f>AG667-AG666</f>
        <v>48.510000000002037</v>
      </c>
      <c r="T666" s="719"/>
      <c r="U666" s="719"/>
      <c r="V666" s="719"/>
      <c r="W666" s="719"/>
      <c r="X666" s="719"/>
      <c r="Y666" s="719"/>
      <c r="Z666" s="719"/>
      <c r="AA666" s="719"/>
      <c r="AB666" s="719"/>
      <c r="AC666" s="719"/>
      <c r="AD666" s="719"/>
      <c r="AE666" s="719"/>
      <c r="AF666" s="719">
        <v>100</v>
      </c>
      <c r="AG666" s="1341">
        <v>46755.75</v>
      </c>
      <c r="AH666" s="719">
        <v>1550</v>
      </c>
      <c r="AI666" s="719">
        <v>-5129</v>
      </c>
      <c r="AJ666" s="719"/>
      <c r="AK666" s="719"/>
      <c r="AL666" s="719"/>
      <c r="AM666" s="719"/>
      <c r="AN666" s="719"/>
      <c r="AO666" s="719"/>
      <c r="AP666" s="719"/>
      <c r="AQ666" s="724">
        <f>+FL_2($T$667,$U$665,$G$666,1200,9.28,-1*$F$667)</f>
        <v>-0.65709029145574216</v>
      </c>
      <c r="AR666" s="724"/>
      <c r="AS666" s="724"/>
      <c r="AT666" s="724"/>
      <c r="AU666" s="724"/>
      <c r="AV666" s="724"/>
      <c r="AW666" s="719"/>
      <c r="AX666" s="719"/>
      <c r="AY666" s="719"/>
    </row>
    <row r="667" spans="1:51" ht="15.75" hidden="1" customHeight="1">
      <c r="A667" s="716"/>
      <c r="B667" s="741" t="s">
        <v>1630</v>
      </c>
      <c r="C667" s="718">
        <f>+$C$665+$G$666</f>
        <v>46805</v>
      </c>
      <c r="D667" s="719"/>
      <c r="E667" s="719">
        <v>-80</v>
      </c>
      <c r="F667" s="720">
        <v>-1200</v>
      </c>
      <c r="G667" s="721"/>
      <c r="H667" s="726" t="s">
        <v>668</v>
      </c>
      <c r="I667" s="726"/>
      <c r="J667" s="727"/>
      <c r="K667" s="719"/>
      <c r="L667" s="719" t="s">
        <v>465</v>
      </c>
      <c r="M667" s="719"/>
      <c r="N667" s="726" t="s">
        <v>695</v>
      </c>
      <c r="O667" s="726" t="s">
        <v>697</v>
      </c>
      <c r="P667" s="726"/>
      <c r="Q667" s="719">
        <v>80</v>
      </c>
      <c r="R667" s="719">
        <v>-1197.6500000000001</v>
      </c>
      <c r="S667" s="719">
        <f>AG668-AG667</f>
        <v>1.8299999999944703</v>
      </c>
      <c r="T667" s="719">
        <v>-25</v>
      </c>
      <c r="U667" s="719">
        <v>-5</v>
      </c>
      <c r="V667" s="719"/>
      <c r="W667" s="719">
        <v>1.6</v>
      </c>
      <c r="X667" s="719">
        <v>1.4</v>
      </c>
      <c r="Y667" s="719"/>
      <c r="Z667" s="719"/>
      <c r="AA667" s="719">
        <v>0.45</v>
      </c>
      <c r="AB667" s="719"/>
      <c r="AC667" s="719" t="s">
        <v>3006</v>
      </c>
      <c r="AD667" s="719"/>
      <c r="AE667" s="719"/>
      <c r="AF667" s="719">
        <v>100</v>
      </c>
      <c r="AG667" s="1341">
        <v>46804.26</v>
      </c>
      <c r="AH667" s="719">
        <v>1592</v>
      </c>
      <c r="AI667" s="719">
        <v>-5077</v>
      </c>
      <c r="AJ667" s="719"/>
      <c r="AK667" s="719"/>
      <c r="AL667" s="719"/>
      <c r="AM667" s="719" t="s">
        <v>2609</v>
      </c>
      <c r="AN667" s="719">
        <v>5.25</v>
      </c>
      <c r="AO667" s="719"/>
      <c r="AP667" s="719"/>
      <c r="AQ667" s="724"/>
      <c r="AR667" s="724"/>
      <c r="AS667" s="724"/>
      <c r="AT667" s="724">
        <f>+ab($T$667,$T$665,$T$669,$G$666,$G$668,-1*$F$667,1200)</f>
        <v>4.488281075281316</v>
      </c>
      <c r="AU667" s="724"/>
      <c r="AV667" s="724"/>
      <c r="AW667" s="719"/>
      <c r="AX667" s="719"/>
      <c r="AY667" s="719"/>
    </row>
    <row r="668" spans="1:51" ht="15.75" hidden="1" customHeight="1">
      <c r="A668" s="716"/>
      <c r="B668" s="735"/>
      <c r="C668" s="718"/>
      <c r="D668" s="719"/>
      <c r="E668" s="719"/>
      <c r="F668" s="720"/>
      <c r="G668" s="721">
        <v>50</v>
      </c>
      <c r="H668" s="726"/>
      <c r="I668" s="726"/>
      <c r="J668" s="727">
        <f>C669-10</f>
        <v>46845</v>
      </c>
      <c r="K668" s="719" t="s">
        <v>1097</v>
      </c>
      <c r="L668" s="719"/>
      <c r="M668" s="719"/>
      <c r="N668" s="726"/>
      <c r="O668" s="726"/>
      <c r="P668" s="726"/>
      <c r="Q668" s="719">
        <v>80</v>
      </c>
      <c r="R668" s="719">
        <v>-1197.6500000000001</v>
      </c>
      <c r="S668" s="719">
        <f>AG669-AG668</f>
        <v>49.030000000006112</v>
      </c>
      <c r="T668" s="719"/>
      <c r="U668" s="719"/>
      <c r="V668" s="719"/>
      <c r="W668" s="719"/>
      <c r="X668" s="719"/>
      <c r="Y668" s="719"/>
      <c r="Z668" s="719"/>
      <c r="AA668" s="719"/>
      <c r="AB668" s="719"/>
      <c r="AC668" s="719"/>
      <c r="AD668" s="719"/>
      <c r="AE668" s="719"/>
      <c r="AF668" s="719">
        <v>100</v>
      </c>
      <c r="AG668" s="1341">
        <v>46806.09</v>
      </c>
      <c r="AH668" s="719">
        <v>1589</v>
      </c>
      <c r="AI668" s="719">
        <v>-5068</v>
      </c>
      <c r="AJ668" s="719"/>
      <c r="AK668" s="719"/>
      <c r="AL668" s="719"/>
      <c r="AM668" s="719"/>
      <c r="AN668" s="719"/>
      <c r="AO668" s="719"/>
      <c r="AP668" s="719"/>
      <c r="AQ668" s="724">
        <f>+FL_1($T$669,$T$667,$G$668,1200,9.28,-1*$F$669)</f>
        <v>-0.24997499701810805</v>
      </c>
      <c r="AR668" s="724"/>
      <c r="AS668" s="724"/>
      <c r="AT668" s="724"/>
      <c r="AU668" s="724"/>
      <c r="AV668" s="724"/>
      <c r="AW668" s="719"/>
      <c r="AX668" s="719"/>
      <c r="AY668" s="719"/>
    </row>
    <row r="669" spans="1:51" ht="15.75" hidden="1" customHeight="1">
      <c r="A669" s="716"/>
      <c r="B669" s="741" t="s">
        <v>1631</v>
      </c>
      <c r="C669" s="718">
        <f>+$C$667+$G$668</f>
        <v>46855</v>
      </c>
      <c r="D669" s="719"/>
      <c r="E669" s="719">
        <v>-80</v>
      </c>
      <c r="F669" s="720">
        <v>-1200</v>
      </c>
      <c r="G669" s="721"/>
      <c r="H669" s="726" t="s">
        <v>138</v>
      </c>
      <c r="I669" s="726" t="s">
        <v>2827</v>
      </c>
      <c r="J669" s="727"/>
      <c r="K669" s="719"/>
      <c r="L669" s="719" t="s">
        <v>241</v>
      </c>
      <c r="M669" s="719"/>
      <c r="N669" s="726" t="s">
        <v>695</v>
      </c>
      <c r="O669" s="726"/>
      <c r="P669" s="726"/>
      <c r="Q669" s="719">
        <v>80</v>
      </c>
      <c r="R669" s="719">
        <v>-1197.6500000000001</v>
      </c>
      <c r="S669" s="719"/>
      <c r="T669" s="719">
        <v>-30</v>
      </c>
      <c r="U669" s="719"/>
      <c r="V669" s="719"/>
      <c r="W669" s="719">
        <v>1.4</v>
      </c>
      <c r="X669" s="719"/>
      <c r="Y669" s="719"/>
      <c r="Z669" s="719"/>
      <c r="AA669" s="719"/>
      <c r="AB669" s="719"/>
      <c r="AC669" s="719" t="s">
        <v>3005</v>
      </c>
      <c r="AD669" s="719"/>
      <c r="AE669" s="719"/>
      <c r="AF669" s="719">
        <v>100</v>
      </c>
      <c r="AG669" s="1341">
        <v>46855.12</v>
      </c>
      <c r="AH669" s="719">
        <v>1606</v>
      </c>
      <c r="AI669" s="719">
        <v>-5063</v>
      </c>
      <c r="AJ669" s="719"/>
      <c r="AK669" s="719"/>
      <c r="AL669" s="719"/>
      <c r="AM669" s="719" t="s">
        <v>2609</v>
      </c>
      <c r="AN669" s="719">
        <v>5.25</v>
      </c>
      <c r="AO669" s="719"/>
      <c r="AP669" s="719"/>
      <c r="AQ669" s="724"/>
      <c r="AR669" s="724"/>
      <c r="AS669" s="724"/>
      <c r="AT669" s="724">
        <f>+ab($T$669,$T$667,$T$671,$G$668,$G$670,-1*$F$669,1200)</f>
        <v>4.708047032161633</v>
      </c>
      <c r="AU669" s="724"/>
      <c r="AV669" s="724"/>
      <c r="AW669" s="719"/>
      <c r="AX669" s="719"/>
      <c r="AY669" s="719"/>
    </row>
    <row r="670" spans="1:51" ht="15.75" hidden="1" customHeight="1">
      <c r="A670" s="716"/>
      <c r="B670" s="735"/>
      <c r="C670" s="718"/>
      <c r="D670" s="719"/>
      <c r="E670" s="719"/>
      <c r="F670" s="720"/>
      <c r="G670" s="721">
        <v>50</v>
      </c>
      <c r="H670" s="726"/>
      <c r="I670" s="726"/>
      <c r="J670" s="727"/>
      <c r="K670" s="719"/>
      <c r="L670" s="719"/>
      <c r="M670" s="719"/>
      <c r="N670" s="726"/>
      <c r="O670" s="726"/>
      <c r="P670" s="726"/>
      <c r="Q670" s="719"/>
      <c r="R670" s="719"/>
      <c r="S670" s="719">
        <f t="shared" si="89"/>
        <v>49.849999999998545</v>
      </c>
      <c r="T670" s="719"/>
      <c r="U670" s="719"/>
      <c r="V670" s="719"/>
      <c r="W670" s="719"/>
      <c r="X670" s="719"/>
      <c r="Y670" s="719"/>
      <c r="Z670" s="719"/>
      <c r="AA670" s="719"/>
      <c r="AB670" s="719"/>
      <c r="AC670" s="719"/>
      <c r="AD670" s="719"/>
      <c r="AE670" s="719"/>
      <c r="AF670" s="719"/>
      <c r="AG670" s="1341"/>
      <c r="AH670" s="719"/>
      <c r="AI670" s="719"/>
      <c r="AJ670" s="719"/>
      <c r="AK670" s="719"/>
      <c r="AL670" s="719"/>
      <c r="AM670" s="719"/>
      <c r="AN670" s="719"/>
      <c r="AO670" s="719"/>
      <c r="AP670" s="719"/>
      <c r="AQ670" s="724">
        <f>+FL_1($T$671,$T$669,$G$670,1200,9.28,-1*$F$671)</f>
        <v>-0.28471407388172643</v>
      </c>
      <c r="AR670" s="724"/>
      <c r="AS670" s="724"/>
      <c r="AT670" s="724"/>
      <c r="AU670" s="724"/>
      <c r="AV670" s="724"/>
      <c r="AW670" s="719"/>
      <c r="AX670" s="719"/>
      <c r="AY670" s="719"/>
    </row>
    <row r="671" spans="1:51" ht="15.75" hidden="1" customHeight="1">
      <c r="A671" s="716"/>
      <c r="B671" s="741" t="s">
        <v>1632</v>
      </c>
      <c r="C671" s="718">
        <f>+$C$669+$G$670</f>
        <v>46905</v>
      </c>
      <c r="D671" s="719"/>
      <c r="E671" s="719"/>
      <c r="F671" s="720">
        <f>-156000/(47018-C671)</f>
        <v>-1380.5309734513273</v>
      </c>
      <c r="G671" s="721"/>
      <c r="H671" s="726"/>
      <c r="I671" s="722"/>
      <c r="J671" s="727"/>
      <c r="K671" s="719"/>
      <c r="L671" s="719" t="s">
        <v>241</v>
      </c>
      <c r="M671" s="719"/>
      <c r="N671" s="726" t="s">
        <v>695</v>
      </c>
      <c r="O671" s="726"/>
      <c r="P671" s="726"/>
      <c r="Q671" s="719">
        <v>69</v>
      </c>
      <c r="R671" s="719">
        <v>-1405.63</v>
      </c>
      <c r="S671" s="719"/>
      <c r="T671" s="719">
        <v>-30</v>
      </c>
      <c r="U671" s="719"/>
      <c r="V671" s="719"/>
      <c r="W671" s="719">
        <v>1.4</v>
      </c>
      <c r="X671" s="719"/>
      <c r="Y671" s="719"/>
      <c r="Z671" s="719"/>
      <c r="AA671" s="719"/>
      <c r="AB671" s="719"/>
      <c r="AC671" s="719" t="s">
        <v>3005</v>
      </c>
      <c r="AD671" s="719"/>
      <c r="AE671" s="719"/>
      <c r="AF671" s="719">
        <v>100</v>
      </c>
      <c r="AG671" s="1341">
        <v>46904.97</v>
      </c>
      <c r="AH671" s="719">
        <v>1579</v>
      </c>
      <c r="AI671" s="719">
        <v>-5083</v>
      </c>
      <c r="AJ671" s="719"/>
      <c r="AK671" s="719"/>
      <c r="AL671" s="719"/>
      <c r="AM671" s="719" t="s">
        <v>2609</v>
      </c>
      <c r="AN671" s="719">
        <v>5.25</v>
      </c>
      <c r="AO671" s="719"/>
      <c r="AP671" s="719"/>
      <c r="AQ671" s="724"/>
      <c r="AR671" s="724"/>
      <c r="AS671" s="724"/>
      <c r="AT671" s="724">
        <f>+ab($T$671,$T$669,$T$673,$G$670,$G$672,-1*$F$671,1200)</f>
        <v>5.2832502378148627</v>
      </c>
      <c r="AU671" s="724"/>
      <c r="AV671" s="724"/>
      <c r="AW671" s="719"/>
      <c r="AX671" s="719"/>
      <c r="AY671" s="719"/>
    </row>
    <row r="672" spans="1:51" ht="15.75" hidden="1" customHeight="1">
      <c r="A672" s="716"/>
      <c r="B672" s="735"/>
      <c r="C672" s="718"/>
      <c r="D672" s="719"/>
      <c r="E672" s="719"/>
      <c r="F672" s="720"/>
      <c r="G672" s="721">
        <v>50</v>
      </c>
      <c r="H672" s="726"/>
      <c r="I672" s="726"/>
      <c r="J672" s="727"/>
      <c r="K672" s="719"/>
      <c r="L672" s="719"/>
      <c r="M672" s="719"/>
      <c r="N672" s="726"/>
      <c r="O672" s="726"/>
      <c r="P672" s="726"/>
      <c r="Q672" s="719"/>
      <c r="R672" s="719"/>
      <c r="S672" s="719">
        <f t="shared" si="89"/>
        <v>50.080000000001746</v>
      </c>
      <c r="T672" s="719"/>
      <c r="U672" s="719"/>
      <c r="V672" s="719"/>
      <c r="W672" s="719"/>
      <c r="X672" s="719"/>
      <c r="Y672" s="719"/>
      <c r="Z672" s="719"/>
      <c r="AA672" s="719"/>
      <c r="AB672" s="719"/>
      <c r="AC672" s="719"/>
      <c r="AD672" s="719"/>
      <c r="AE672" s="719"/>
      <c r="AF672" s="719"/>
      <c r="AG672" s="1341"/>
      <c r="AH672" s="719"/>
      <c r="AI672" s="719"/>
      <c r="AJ672" s="719"/>
      <c r="AK672" s="719"/>
      <c r="AL672" s="719"/>
      <c r="AM672" s="719"/>
      <c r="AN672" s="719"/>
      <c r="AO672" s="719"/>
      <c r="AP672" s="719"/>
      <c r="AQ672" s="724">
        <f>+FL_1($T$673,$T$671,$G$672,1200,9.28,-1*$F$673)</f>
        <v>-0.18453847258791334</v>
      </c>
      <c r="AR672" s="724"/>
      <c r="AS672" s="724"/>
      <c r="AT672" s="724"/>
      <c r="AU672" s="724"/>
      <c r="AV672" s="724"/>
      <c r="AW672" s="719"/>
      <c r="AX672" s="719"/>
      <c r="AY672" s="719"/>
    </row>
    <row r="673" spans="1:51" ht="15.75" hidden="1" customHeight="1">
      <c r="A673" s="716"/>
      <c r="B673" s="741" t="s">
        <v>2586</v>
      </c>
      <c r="C673" s="718">
        <f>+$C$671+$G$672</f>
        <v>46955</v>
      </c>
      <c r="D673" s="719"/>
      <c r="E673" s="719"/>
      <c r="F673" s="720">
        <f>-156000/(47018-C673)</f>
        <v>-2476.1904761904761</v>
      </c>
      <c r="G673" s="721"/>
      <c r="H673" s="726"/>
      <c r="I673" s="726"/>
      <c r="J673" s="727"/>
      <c r="K673" s="719"/>
      <c r="L673" s="719" t="s">
        <v>241</v>
      </c>
      <c r="M673" s="719"/>
      <c r="N673" s="726" t="s">
        <v>695</v>
      </c>
      <c r="O673" s="726"/>
      <c r="P673" s="726"/>
      <c r="Q673" s="719">
        <v>35</v>
      </c>
      <c r="R673" s="719">
        <v>-2543.19</v>
      </c>
      <c r="S673" s="719"/>
      <c r="T673" s="719">
        <v>-30</v>
      </c>
      <c r="U673" s="719"/>
      <c r="V673" s="719"/>
      <c r="W673" s="719">
        <v>1.4</v>
      </c>
      <c r="X673" s="719"/>
      <c r="Y673" s="719"/>
      <c r="Z673" s="719"/>
      <c r="AA673" s="719"/>
      <c r="AB673" s="719"/>
      <c r="AC673" s="719" t="s">
        <v>2978</v>
      </c>
      <c r="AD673" s="719"/>
      <c r="AE673" s="719"/>
      <c r="AF673" s="719">
        <v>100</v>
      </c>
      <c r="AG673" s="1341">
        <v>46955.05</v>
      </c>
      <c r="AH673" s="719">
        <v>1580</v>
      </c>
      <c r="AI673" s="719">
        <v>-5053</v>
      </c>
      <c r="AJ673" s="719"/>
      <c r="AK673" s="719"/>
      <c r="AL673" s="719"/>
      <c r="AM673" s="719" t="s">
        <v>2609</v>
      </c>
      <c r="AN673" s="719">
        <v>5.25</v>
      </c>
      <c r="AO673" s="719"/>
      <c r="AP673" s="719"/>
      <c r="AQ673" s="724"/>
      <c r="AR673" s="724"/>
      <c r="AS673" s="724"/>
      <c r="AT673" s="724">
        <f>+ab($T$673,$T$671,$T$675,$G$672,$G$674,-1*$F$673,1200)</f>
        <v>23.646113745310785</v>
      </c>
      <c r="AU673" s="724"/>
      <c r="AV673" s="724"/>
      <c r="AW673" s="719"/>
      <c r="AX673" s="719"/>
      <c r="AY673" s="719"/>
    </row>
    <row r="674" spans="1:51" ht="15.75" hidden="1" customHeight="1">
      <c r="A674" s="716"/>
      <c r="B674" s="735"/>
      <c r="C674" s="718"/>
      <c r="D674" s="719"/>
      <c r="E674" s="719"/>
      <c r="F674" s="720"/>
      <c r="G674" s="721">
        <v>51</v>
      </c>
      <c r="H674" s="726"/>
      <c r="I674" s="726"/>
      <c r="J674" s="727"/>
      <c r="K674" s="719"/>
      <c r="L674" s="719"/>
      <c r="M674" s="719"/>
      <c r="N674" s="726"/>
      <c r="O674" s="726"/>
      <c r="P674" s="726"/>
      <c r="Q674" s="719"/>
      <c r="R674" s="719"/>
      <c r="S674" s="719">
        <f t="shared" si="89"/>
        <v>49.939999999995052</v>
      </c>
      <c r="T674" s="719"/>
      <c r="U674" s="719"/>
      <c r="V674" s="719"/>
      <c r="W674" s="719"/>
      <c r="X674" s="719"/>
      <c r="Y674" s="719"/>
      <c r="Z674" s="719"/>
      <c r="AA674" s="719"/>
      <c r="AB674" s="719"/>
      <c r="AC674" s="719"/>
      <c r="AD674" s="719"/>
      <c r="AE674" s="719"/>
      <c r="AF674" s="719"/>
      <c r="AG674" s="1341"/>
      <c r="AH674" s="719"/>
      <c r="AI674" s="719"/>
      <c r="AJ674" s="719"/>
      <c r="AK674" s="719"/>
      <c r="AL674" s="719"/>
      <c r="AM674" s="719"/>
      <c r="AN674" s="719"/>
      <c r="AO674" s="719"/>
      <c r="AP674" s="719"/>
      <c r="AQ674" s="724">
        <f>+FL_2($T$675,$T$673,$G$674,1200,9.28,-1*$F$675)</f>
        <v>-0.34696229508991511</v>
      </c>
      <c r="AR674" s="724"/>
      <c r="AS674" s="724"/>
      <c r="AT674" s="724"/>
      <c r="AU674" s="724"/>
      <c r="AV674" s="724"/>
      <c r="AW674" s="719"/>
      <c r="AX674" s="719"/>
      <c r="AY674" s="719"/>
    </row>
    <row r="675" spans="1:51" ht="15.75" hidden="1" customHeight="1">
      <c r="A675" s="716"/>
      <c r="B675" s="741" t="s">
        <v>1633</v>
      </c>
      <c r="C675" s="718">
        <f>+$C$673+$G$674</f>
        <v>47006</v>
      </c>
      <c r="D675" s="719"/>
      <c r="E675" s="719"/>
      <c r="F675" s="720">
        <f>-156000/(47018-C675)</f>
        <v>-13000</v>
      </c>
      <c r="G675" s="721"/>
      <c r="H675" s="726"/>
      <c r="I675" s="726"/>
      <c r="J675" s="727"/>
      <c r="K675" s="719"/>
      <c r="L675" s="719" t="s">
        <v>241</v>
      </c>
      <c r="M675" s="719"/>
      <c r="N675" s="726" t="s">
        <v>696</v>
      </c>
      <c r="O675" s="726"/>
      <c r="P675" s="726"/>
      <c r="Q675" s="719">
        <v>7</v>
      </c>
      <c r="R675" s="719">
        <v>-13543.84</v>
      </c>
      <c r="S675" s="719"/>
      <c r="T675" s="719">
        <v>35</v>
      </c>
      <c r="U675" s="719"/>
      <c r="V675" s="719"/>
      <c r="W675" s="719">
        <v>1.4</v>
      </c>
      <c r="X675" s="719"/>
      <c r="Y675" s="719"/>
      <c r="Z675" s="719"/>
      <c r="AA675" s="719"/>
      <c r="AB675" s="719"/>
      <c r="AC675" s="719" t="s">
        <v>2616</v>
      </c>
      <c r="AD675" s="719"/>
      <c r="AE675" s="719"/>
      <c r="AF675" s="719">
        <v>200</v>
      </c>
      <c r="AG675" s="1341">
        <v>47004.99</v>
      </c>
      <c r="AH675" s="719">
        <v>2074</v>
      </c>
      <c r="AI675" s="719">
        <v>-5048</v>
      </c>
      <c r="AJ675" s="719"/>
      <c r="AK675" s="719"/>
      <c r="AL675" s="719"/>
      <c r="AM675" s="719" t="s">
        <v>2609</v>
      </c>
      <c r="AN675" s="719">
        <v>5.25</v>
      </c>
      <c r="AO675" s="719"/>
      <c r="AP675" s="719"/>
      <c r="AQ675" s="724"/>
      <c r="AR675" s="724"/>
      <c r="AS675" s="724"/>
      <c r="AT675" s="724">
        <f>+ab($T$675,$T$673,$T$677,$G$674,$G$676,-1*$F$675,1200)</f>
        <v>6.1905490607310174</v>
      </c>
      <c r="AU675" s="724"/>
      <c r="AV675" s="724"/>
      <c r="AW675" s="719"/>
      <c r="AX675" s="719"/>
      <c r="AY675" s="719"/>
    </row>
    <row r="676" spans="1:51" ht="15.75" hidden="1" customHeight="1">
      <c r="A676" s="716"/>
      <c r="B676" s="735"/>
      <c r="C676" s="718"/>
      <c r="D676" s="719"/>
      <c r="E676" s="719"/>
      <c r="F676" s="720"/>
      <c r="G676" s="721">
        <v>49</v>
      </c>
      <c r="H676" s="726"/>
      <c r="I676" s="726"/>
      <c r="J676" s="727"/>
      <c r="K676" s="719"/>
      <c r="L676" s="719"/>
      <c r="M676" s="719"/>
      <c r="N676" s="726"/>
      <c r="O676" s="726"/>
      <c r="P676" s="726"/>
      <c r="Q676" s="719"/>
      <c r="R676" s="719"/>
      <c r="S676" s="719">
        <f t="shared" si="89"/>
        <v>49.950000000004366</v>
      </c>
      <c r="T676" s="719"/>
      <c r="U676" s="719"/>
      <c r="V676" s="719"/>
      <c r="W676" s="719"/>
      <c r="X676" s="719"/>
      <c r="Y676" s="719"/>
      <c r="Z676" s="719"/>
      <c r="AA676" s="719"/>
      <c r="AB676" s="719"/>
      <c r="AC676" s="719"/>
      <c r="AD676" s="719"/>
      <c r="AE676" s="719"/>
      <c r="AF676" s="719"/>
      <c r="AG676" s="1341"/>
      <c r="AH676" s="719"/>
      <c r="AI676" s="719"/>
      <c r="AJ676" s="719"/>
      <c r="AK676" s="719"/>
      <c r="AL676" s="719"/>
      <c r="AM676" s="719"/>
      <c r="AN676" s="719"/>
      <c r="AO676" s="719"/>
      <c r="AP676" s="719"/>
      <c r="AQ676" s="724">
        <f>+FL_1($T$677,$T$675,$G$676,1200,9.28,-1*$F$677)</f>
        <v>0.3640459948571429</v>
      </c>
      <c r="AR676" s="724"/>
      <c r="AS676" s="724"/>
      <c r="AT676" s="724"/>
      <c r="AU676" s="724"/>
      <c r="AV676" s="724"/>
      <c r="AW676" s="719"/>
      <c r="AX676" s="719"/>
      <c r="AY676" s="719"/>
    </row>
    <row r="677" spans="1:51" ht="15.75" customHeight="1">
      <c r="A677" s="716"/>
      <c r="B677" s="741" t="s">
        <v>1634</v>
      </c>
      <c r="C677" s="718">
        <f>+$C$675+$G$676</f>
        <v>47055</v>
      </c>
      <c r="D677" s="719"/>
      <c r="E677" s="719"/>
      <c r="F677" s="720">
        <v>0</v>
      </c>
      <c r="G677" s="721"/>
      <c r="H677" s="726" t="s">
        <v>1101</v>
      </c>
      <c r="I677" s="726"/>
      <c r="J677" s="727"/>
      <c r="K677" s="719"/>
      <c r="L677" s="719" t="s">
        <v>241</v>
      </c>
      <c r="M677" s="719"/>
      <c r="N677" s="726" t="s">
        <v>695</v>
      </c>
      <c r="O677" s="726"/>
      <c r="P677" s="726"/>
      <c r="Q677" s="719">
        <v>0</v>
      </c>
      <c r="R677" s="719" t="s">
        <v>3002</v>
      </c>
      <c r="S677" s="719"/>
      <c r="T677" s="719">
        <v>-35</v>
      </c>
      <c r="U677" s="719"/>
      <c r="V677" s="719"/>
      <c r="W677" s="719">
        <v>1.4</v>
      </c>
      <c r="X677" s="719"/>
      <c r="Y677" s="719"/>
      <c r="Z677" s="719"/>
      <c r="AA677" s="719"/>
      <c r="AB677" s="719"/>
      <c r="AC677" s="719" t="s">
        <v>2978</v>
      </c>
      <c r="AD677" s="719"/>
      <c r="AE677" s="719"/>
      <c r="AF677" s="719">
        <v>200</v>
      </c>
      <c r="AG677" s="1341">
        <v>47054.94</v>
      </c>
      <c r="AH677" s="719">
        <v>2108</v>
      </c>
      <c r="AI677" s="719">
        <v>-5056</v>
      </c>
      <c r="AJ677" s="719"/>
      <c r="AK677" s="719"/>
      <c r="AL677" s="719"/>
      <c r="AM677" s="719" t="s">
        <v>2609</v>
      </c>
      <c r="AN677" s="719">
        <v>5.25</v>
      </c>
      <c r="AO677" s="719"/>
      <c r="AP677" s="719"/>
      <c r="AQ677" s="724"/>
      <c r="AR677" s="724"/>
      <c r="AS677" s="724"/>
      <c r="AT677" s="724">
        <f>+ab($T$677,$T$675,$T$679,$G$676,$G$678,-1*$F$677,1200)</f>
        <v>-6.7526562642729342</v>
      </c>
      <c r="AU677" s="724"/>
      <c r="AV677" s="724"/>
      <c r="AW677" s="719"/>
      <c r="AX677" s="719"/>
      <c r="AY677" s="719"/>
    </row>
    <row r="678" spans="1:51" ht="15.75" hidden="1" customHeight="1">
      <c r="A678" s="716"/>
      <c r="B678" s="735"/>
      <c r="C678" s="718"/>
      <c r="D678" s="719"/>
      <c r="E678" s="719"/>
      <c r="F678" s="720"/>
      <c r="G678" s="721">
        <v>50</v>
      </c>
      <c r="H678" s="726"/>
      <c r="I678" s="726">
        <f>+SUM(G664:G678)</f>
        <v>390</v>
      </c>
      <c r="J678" s="727">
        <f>C677+1</f>
        <v>47056</v>
      </c>
      <c r="K678" s="719" t="s">
        <v>1102</v>
      </c>
      <c r="L678" s="719"/>
      <c r="M678" s="719"/>
      <c r="N678" s="726"/>
      <c r="O678" s="726"/>
      <c r="P678" s="726"/>
      <c r="Q678" s="719"/>
      <c r="R678" s="719"/>
      <c r="S678" s="719">
        <f t="shared" si="89"/>
        <v>50.019999999996799</v>
      </c>
      <c r="T678" s="719"/>
      <c r="U678" s="719"/>
      <c r="V678" s="719"/>
      <c r="W678" s="719"/>
      <c r="X678" s="719"/>
      <c r="Y678" s="719"/>
      <c r="Z678" s="719"/>
      <c r="AA678" s="719"/>
      <c r="AB678" s="719"/>
      <c r="AC678" s="719"/>
      <c r="AD678" s="719"/>
      <c r="AE678" s="719"/>
      <c r="AF678" s="719"/>
      <c r="AG678" s="1341"/>
      <c r="AH678" s="719"/>
      <c r="AI678" s="719"/>
      <c r="AJ678" s="719"/>
      <c r="AK678" s="719"/>
      <c r="AL678" s="719"/>
      <c r="AM678" s="719"/>
      <c r="AN678" s="719"/>
      <c r="AO678" s="719"/>
      <c r="AP678" s="719"/>
      <c r="AQ678" s="724">
        <f>+FL_2($T$679,$T$677,$G$678,1200,9.28,-1*$F$679)</f>
        <v>-0.36839080000000002</v>
      </c>
      <c r="AR678" s="724"/>
      <c r="AS678" s="724"/>
      <c r="AT678" s="724"/>
      <c r="AU678" s="724"/>
      <c r="AV678" s="724"/>
      <c r="AW678" s="719"/>
      <c r="AX678" s="719"/>
      <c r="AY678" s="719"/>
    </row>
    <row r="679" spans="1:51" ht="15.75" customHeight="1">
      <c r="A679" s="716"/>
      <c r="B679" s="741" t="s">
        <v>1635</v>
      </c>
      <c r="C679" s="718">
        <f>+$C$677+$G$678</f>
        <v>47105</v>
      </c>
      <c r="D679" s="719"/>
      <c r="E679" s="719"/>
      <c r="F679" s="720">
        <v>0</v>
      </c>
      <c r="G679" s="721"/>
      <c r="H679" s="726" t="s">
        <v>997</v>
      </c>
      <c r="I679" s="726"/>
      <c r="J679" s="727"/>
      <c r="K679" s="719"/>
      <c r="L679" s="719" t="s">
        <v>241</v>
      </c>
      <c r="M679" s="719"/>
      <c r="N679" s="726" t="s">
        <v>696</v>
      </c>
      <c r="O679" s="726"/>
      <c r="P679" s="726"/>
      <c r="Q679" s="719">
        <v>0</v>
      </c>
      <c r="R679" s="719" t="s">
        <v>3002</v>
      </c>
      <c r="S679" s="719"/>
      <c r="T679" s="719">
        <v>35</v>
      </c>
      <c r="U679" s="719"/>
      <c r="V679" s="719"/>
      <c r="W679" s="719">
        <v>1.4</v>
      </c>
      <c r="X679" s="719"/>
      <c r="Y679" s="719"/>
      <c r="Z679" s="719"/>
      <c r="AA679" s="719"/>
      <c r="AB679" s="719"/>
      <c r="AC679" s="719" t="s">
        <v>2616</v>
      </c>
      <c r="AD679" s="719"/>
      <c r="AE679" s="719"/>
      <c r="AF679" s="719">
        <v>200</v>
      </c>
      <c r="AG679" s="1341">
        <v>47104.959999999999</v>
      </c>
      <c r="AH679" s="719">
        <v>2078</v>
      </c>
      <c r="AI679" s="719">
        <v>-5099</v>
      </c>
      <c r="AJ679" s="719"/>
      <c r="AK679" s="719"/>
      <c r="AL679" s="719"/>
      <c r="AM679" s="719" t="s">
        <v>2609</v>
      </c>
      <c r="AN679" s="719">
        <v>5.25</v>
      </c>
      <c r="AO679" s="719"/>
      <c r="AP679" s="719"/>
      <c r="AQ679" s="724"/>
      <c r="AR679" s="724"/>
      <c r="AS679" s="724"/>
      <c r="AT679" s="724">
        <f>+ab($T$679,$T$677,$T$681,$G$678,$G$680,-1*$F$679,1200)</f>
        <v>12.586357573249909</v>
      </c>
      <c r="AU679" s="724"/>
      <c r="AV679" s="724"/>
      <c r="AW679" s="719"/>
      <c r="AX679" s="719"/>
      <c r="AY679" s="719"/>
    </row>
    <row r="680" spans="1:51" ht="15.75" hidden="1" customHeight="1">
      <c r="A680" s="716"/>
      <c r="B680" s="735"/>
      <c r="C680" s="718"/>
      <c r="D680" s="719"/>
      <c r="E680" s="719"/>
      <c r="F680" s="720"/>
      <c r="G680" s="721">
        <v>50</v>
      </c>
      <c r="H680" s="726"/>
      <c r="I680" s="726">
        <f>SUM(G680:G698)</f>
        <v>432</v>
      </c>
      <c r="J680" s="727">
        <f>C681-1</f>
        <v>47154</v>
      </c>
      <c r="K680" s="719" t="s">
        <v>1102</v>
      </c>
      <c r="L680" s="719"/>
      <c r="M680" s="719"/>
      <c r="N680" s="726"/>
      <c r="O680" s="726"/>
      <c r="P680" s="726"/>
      <c r="Q680" s="719"/>
      <c r="R680" s="719"/>
      <c r="S680" s="719">
        <f t="shared" si="89"/>
        <v>50.05000000000291</v>
      </c>
      <c r="T680" s="719"/>
      <c r="U680" s="719"/>
      <c r="V680" s="719"/>
      <c r="W680" s="719"/>
      <c r="X680" s="719"/>
      <c r="Y680" s="719"/>
      <c r="Z680" s="719"/>
      <c r="AA680" s="719"/>
      <c r="AB680" s="719"/>
      <c r="AC680" s="719"/>
      <c r="AD680" s="719"/>
      <c r="AE680" s="719"/>
      <c r="AF680" s="719"/>
      <c r="AG680" s="1341"/>
      <c r="AH680" s="719"/>
      <c r="AI680" s="719"/>
      <c r="AJ680" s="719"/>
      <c r="AK680" s="719"/>
      <c r="AL680" s="719"/>
      <c r="AM680" s="719"/>
      <c r="AN680" s="719"/>
      <c r="AO680" s="719"/>
      <c r="AP680" s="719"/>
      <c r="AQ680" s="724">
        <f>+FL_2($T$681,$T$679,$G$680,1200,9.28,-1*$F$681)</f>
        <v>0.19066888525060161</v>
      </c>
      <c r="AR680" s="724"/>
      <c r="AS680" s="724"/>
      <c r="AT680" s="724"/>
      <c r="AU680" s="724"/>
      <c r="AV680" s="724"/>
      <c r="AW680" s="719"/>
      <c r="AX680" s="719"/>
      <c r="AY680" s="719"/>
    </row>
    <row r="681" spans="1:51" ht="15.75" customHeight="1">
      <c r="A681" s="716"/>
      <c r="B681" s="741" t="s">
        <v>1636</v>
      </c>
      <c r="C681" s="718">
        <f>+$C$679+$G$680</f>
        <v>47155</v>
      </c>
      <c r="D681" s="719"/>
      <c r="E681" s="719"/>
      <c r="F681" s="720">
        <f>72000/(C681-47130)</f>
        <v>2880</v>
      </c>
      <c r="G681" s="721"/>
      <c r="H681" s="726" t="s">
        <v>1101</v>
      </c>
      <c r="I681" s="726"/>
      <c r="J681" s="727"/>
      <c r="K681" s="719"/>
      <c r="L681" s="719" t="s">
        <v>241</v>
      </c>
      <c r="M681" s="719"/>
      <c r="N681" s="726" t="s">
        <v>696</v>
      </c>
      <c r="O681" s="719"/>
      <c r="P681" s="738"/>
      <c r="Q681" s="719">
        <v>2</v>
      </c>
      <c r="R681" s="719">
        <v>2894.44</v>
      </c>
      <c r="S681" s="719"/>
      <c r="T681" s="719">
        <v>30</v>
      </c>
      <c r="U681" s="719"/>
      <c r="V681" s="719"/>
      <c r="W681" s="719">
        <v>1.4</v>
      </c>
      <c r="X681" s="719"/>
      <c r="Y681" s="719"/>
      <c r="Z681" s="719"/>
      <c r="AA681" s="719"/>
      <c r="AB681" s="719"/>
      <c r="AC681" s="719" t="s">
        <v>2616</v>
      </c>
      <c r="AD681" s="719"/>
      <c r="AE681" s="719"/>
      <c r="AF681" s="719">
        <v>200</v>
      </c>
      <c r="AG681" s="1341">
        <v>47155.01</v>
      </c>
      <c r="AH681" s="719">
        <v>2121</v>
      </c>
      <c r="AI681" s="719">
        <v>-5049</v>
      </c>
      <c r="AJ681" s="719"/>
      <c r="AK681" s="719"/>
      <c r="AL681" s="719"/>
      <c r="AM681" s="719" t="s">
        <v>2609</v>
      </c>
      <c r="AN681" s="719">
        <v>5.25</v>
      </c>
      <c r="AO681" s="719"/>
      <c r="AP681" s="719"/>
      <c r="AQ681" s="724"/>
      <c r="AR681" s="724"/>
      <c r="AS681" s="724"/>
      <c r="AT681" s="724">
        <f>+ab($T$681,$T$679,$T$683,$G$680,$G$682,-1*$F$681,1200)</f>
        <v>-10.63239547193535</v>
      </c>
      <c r="AU681" s="724"/>
      <c r="AV681" s="724"/>
      <c r="AW681" s="719"/>
      <c r="AX681" s="719"/>
      <c r="AY681" s="719"/>
    </row>
    <row r="682" spans="1:51" ht="15.75" hidden="1" customHeight="1">
      <c r="A682" s="716"/>
      <c r="B682" s="735"/>
      <c r="C682" s="718"/>
      <c r="D682" s="719"/>
      <c r="E682" s="719"/>
      <c r="F682" s="720"/>
      <c r="G682" s="721">
        <v>47</v>
      </c>
      <c r="H682" s="726"/>
      <c r="I682" s="726"/>
      <c r="J682" s="727"/>
      <c r="K682" s="719"/>
      <c r="L682" s="719"/>
      <c r="M682" s="719"/>
      <c r="N682" s="726"/>
      <c r="O682" s="719"/>
      <c r="P682" s="738"/>
      <c r="Q682" s="719"/>
      <c r="R682" s="719"/>
      <c r="S682" s="719">
        <f t="shared" si="89"/>
        <v>47.07999999999447</v>
      </c>
      <c r="T682" s="719"/>
      <c r="U682" s="719"/>
      <c r="V682" s="719"/>
      <c r="W682" s="719"/>
      <c r="X682" s="719"/>
      <c r="Y682" s="719"/>
      <c r="Z682" s="719"/>
      <c r="AA682" s="719"/>
      <c r="AB682" s="719"/>
      <c r="AC682" s="719"/>
      <c r="AD682" s="719"/>
      <c r="AE682" s="719"/>
      <c r="AF682" s="719"/>
      <c r="AG682" s="1341"/>
      <c r="AH682" s="719"/>
      <c r="AI682" s="719"/>
      <c r="AJ682" s="719"/>
      <c r="AK682" s="719"/>
      <c r="AL682" s="719"/>
      <c r="AM682" s="719"/>
      <c r="AN682" s="719"/>
      <c r="AO682" s="719"/>
      <c r="AP682" s="719"/>
      <c r="AQ682" s="724">
        <f>+FL_2($T$683,$T$681,$G$682,1200,9.28,-1*$F$683)</f>
        <v>0.29994672202759687</v>
      </c>
      <c r="AR682" s="724"/>
      <c r="AS682" s="724"/>
      <c r="AT682" s="724"/>
      <c r="AU682" s="724"/>
      <c r="AV682" s="724"/>
      <c r="AW682" s="719"/>
      <c r="AX682" s="719"/>
      <c r="AY682" s="719"/>
    </row>
    <row r="683" spans="1:51" ht="15.75" hidden="1" customHeight="1">
      <c r="A683" s="716"/>
      <c r="B683" s="741" t="s">
        <v>1637</v>
      </c>
      <c r="C683" s="718">
        <f>+$C$681+$G$682</f>
        <v>47202</v>
      </c>
      <c r="D683" s="719"/>
      <c r="E683" s="719"/>
      <c r="F683" s="720">
        <f>72000/(C683-47130)</f>
        <v>1000</v>
      </c>
      <c r="G683" s="721"/>
      <c r="H683" s="726"/>
      <c r="I683" s="726"/>
      <c r="J683" s="727"/>
      <c r="K683" s="719"/>
      <c r="L683" s="719" t="s">
        <v>241</v>
      </c>
      <c r="M683" s="719"/>
      <c r="N683" s="726" t="s">
        <v>696</v>
      </c>
      <c r="O683" s="726"/>
      <c r="P683" s="738"/>
      <c r="Q683" s="719">
        <v>72</v>
      </c>
      <c r="R683" s="719">
        <v>991.25</v>
      </c>
      <c r="S683" s="719"/>
      <c r="T683" s="719">
        <v>30</v>
      </c>
      <c r="U683" s="719"/>
      <c r="V683" s="719"/>
      <c r="W683" s="719">
        <v>1.4</v>
      </c>
      <c r="X683" s="719"/>
      <c r="Y683" s="719"/>
      <c r="Z683" s="719"/>
      <c r="AA683" s="719"/>
      <c r="AB683" s="719"/>
      <c r="AC683" s="719" t="s">
        <v>2978</v>
      </c>
      <c r="AD683" s="719"/>
      <c r="AE683" s="719"/>
      <c r="AF683" s="719">
        <v>200</v>
      </c>
      <c r="AG683" s="1341">
        <v>47202.09</v>
      </c>
      <c r="AH683" s="719">
        <v>2106</v>
      </c>
      <c r="AI683" s="719">
        <v>-5128</v>
      </c>
      <c r="AJ683" s="719"/>
      <c r="AK683" s="719"/>
      <c r="AL683" s="719"/>
      <c r="AM683" s="719" t="s">
        <v>2609</v>
      </c>
      <c r="AN683" s="719">
        <v>5.25</v>
      </c>
      <c r="AO683" s="719"/>
      <c r="AP683" s="719"/>
      <c r="AQ683" s="724"/>
      <c r="AR683" s="724"/>
      <c r="AS683" s="724"/>
      <c r="AT683" s="724">
        <f>+ab($T$683,$T$681,$T$685,$G$682,$G$684,-1*$F$683,1200)</f>
        <v>-4.1642318732280241</v>
      </c>
      <c r="AU683" s="724"/>
      <c r="AV683" s="724"/>
      <c r="AW683" s="719"/>
      <c r="AX683" s="719"/>
      <c r="AY683" s="719"/>
    </row>
    <row r="684" spans="1:51" ht="15.75" hidden="1" customHeight="1">
      <c r="A684" s="716"/>
      <c r="B684" s="735"/>
      <c r="C684" s="718"/>
      <c r="D684" s="719"/>
      <c r="E684" s="719"/>
      <c r="F684" s="720"/>
      <c r="G684" s="721">
        <v>45</v>
      </c>
      <c r="H684" s="726"/>
      <c r="I684" s="726"/>
      <c r="J684" s="727"/>
      <c r="K684" s="719"/>
      <c r="L684" s="719"/>
      <c r="M684" s="719"/>
      <c r="N684" s="726"/>
      <c r="O684" s="726"/>
      <c r="P684" s="726"/>
      <c r="Q684" s="719"/>
      <c r="R684" s="719"/>
      <c r="S684" s="719">
        <f t="shared" si="89"/>
        <v>44.900000000001455</v>
      </c>
      <c r="T684" s="719"/>
      <c r="U684" s="719"/>
      <c r="V684" s="719"/>
      <c r="W684" s="719"/>
      <c r="X684" s="719"/>
      <c r="Y684" s="719"/>
      <c r="Z684" s="719"/>
      <c r="AA684" s="719"/>
      <c r="AB684" s="719"/>
      <c r="AC684" s="719"/>
      <c r="AD684" s="719"/>
      <c r="AE684" s="719"/>
      <c r="AF684" s="719"/>
      <c r="AG684" s="1341"/>
      <c r="AH684" s="719"/>
      <c r="AI684" s="719"/>
      <c r="AJ684" s="719"/>
      <c r="AK684" s="719"/>
      <c r="AL684" s="719"/>
      <c r="AM684" s="719"/>
      <c r="AN684" s="719"/>
      <c r="AO684" s="719"/>
      <c r="AP684" s="719"/>
      <c r="AQ684" s="724">
        <f>+FL_2($T$685,$T$683,$G$684,1200,9.28,-1*$F$685)</f>
        <v>0.29989272621614893</v>
      </c>
      <c r="AR684" s="724"/>
      <c r="AS684" s="724"/>
      <c r="AT684" s="724"/>
      <c r="AU684" s="724"/>
      <c r="AV684" s="724"/>
      <c r="AW684" s="719"/>
      <c r="AX684" s="719"/>
      <c r="AY684" s="719"/>
    </row>
    <row r="685" spans="1:51" ht="15.75" hidden="1" customHeight="1">
      <c r="A685" s="716"/>
      <c r="B685" s="741" t="s">
        <v>1638</v>
      </c>
      <c r="C685" s="718">
        <f>+$C$683+$G$684</f>
        <v>47247</v>
      </c>
      <c r="D685" s="719"/>
      <c r="E685" s="719">
        <v>90</v>
      </c>
      <c r="F685" s="720">
        <v>800</v>
      </c>
      <c r="G685" s="721"/>
      <c r="H685" s="726"/>
      <c r="I685" s="726"/>
      <c r="J685" s="727"/>
      <c r="K685" s="719"/>
      <c r="L685" s="719" t="s">
        <v>241</v>
      </c>
      <c r="M685" s="719"/>
      <c r="N685" s="726" t="s">
        <v>696</v>
      </c>
      <c r="O685" s="726"/>
      <c r="P685" s="726"/>
      <c r="Q685" s="719">
        <v>88</v>
      </c>
      <c r="R685" s="719">
        <v>802.35</v>
      </c>
      <c r="S685" s="719"/>
      <c r="T685" s="719">
        <v>30</v>
      </c>
      <c r="U685" s="719"/>
      <c r="V685" s="719"/>
      <c r="W685" s="719">
        <v>1.4</v>
      </c>
      <c r="X685" s="719"/>
      <c r="Y685" s="719"/>
      <c r="Z685" s="719"/>
      <c r="AA685" s="719"/>
      <c r="AB685" s="719"/>
      <c r="AC685" s="719" t="s">
        <v>3003</v>
      </c>
      <c r="AD685" s="719"/>
      <c r="AE685" s="719"/>
      <c r="AF685" s="719">
        <v>200</v>
      </c>
      <c r="AG685" s="1341">
        <v>47246.99</v>
      </c>
      <c r="AH685" s="719">
        <v>2082</v>
      </c>
      <c r="AI685" s="719">
        <v>-5042</v>
      </c>
      <c r="AJ685" s="719"/>
      <c r="AK685" s="719"/>
      <c r="AL685" s="719"/>
      <c r="AM685" s="719" t="s">
        <v>2609</v>
      </c>
      <c r="AN685" s="719">
        <v>5.25</v>
      </c>
      <c r="AO685" s="719"/>
      <c r="AP685" s="719"/>
      <c r="AQ685" s="724"/>
      <c r="AR685" s="724"/>
      <c r="AS685" s="724"/>
      <c r="AT685" s="724">
        <f>+ab($T$685,$T$683,$T$687,$G$684,$G$686,-1*$F$685,1200)</f>
        <v>-3.6073232732994258</v>
      </c>
      <c r="AU685" s="724"/>
      <c r="AV685" s="724"/>
      <c r="AW685" s="719"/>
      <c r="AX685" s="719"/>
      <c r="AY685" s="719"/>
    </row>
    <row r="686" spans="1:51" ht="15.75" hidden="1" customHeight="1">
      <c r="A686" s="716"/>
      <c r="B686" s="735"/>
      <c r="C686" s="718"/>
      <c r="D686" s="719"/>
      <c r="E686" s="719"/>
      <c r="F686" s="720"/>
      <c r="G686" s="721">
        <v>40</v>
      </c>
      <c r="H686" s="726"/>
      <c r="I686" s="726"/>
      <c r="J686" s="727"/>
      <c r="K686" s="719"/>
      <c r="L686" s="719"/>
      <c r="M686" s="719"/>
      <c r="N686" s="726"/>
      <c r="O686" s="726"/>
      <c r="P686" s="726"/>
      <c r="Q686" s="719"/>
      <c r="R686" s="719"/>
      <c r="S686" s="719">
        <f t="shared" si="89"/>
        <v>39.990000000005239</v>
      </c>
      <c r="T686" s="719"/>
      <c r="U686" s="719"/>
      <c r="V686" s="719"/>
      <c r="W686" s="719"/>
      <c r="X686" s="719"/>
      <c r="Y686" s="719"/>
      <c r="Z686" s="719"/>
      <c r="AA686" s="719"/>
      <c r="AB686" s="719"/>
      <c r="AC686" s="719"/>
      <c r="AD686" s="719"/>
      <c r="AE686" s="719"/>
      <c r="AF686" s="719"/>
      <c r="AG686" s="1341"/>
      <c r="AH686" s="719"/>
      <c r="AI686" s="719"/>
      <c r="AJ686" s="719"/>
      <c r="AK686" s="719"/>
      <c r="AL686" s="719"/>
      <c r="AM686" s="719"/>
      <c r="AN686" s="719"/>
      <c r="AO686" s="719"/>
      <c r="AP686" s="719"/>
      <c r="AQ686" s="724">
        <f>+FL_2($T$687,$T$685,$G$686,1200,9.28,-1*$F$687)</f>
        <v>0.3</v>
      </c>
      <c r="AR686" s="724"/>
      <c r="AS686" s="724"/>
      <c r="AT686" s="724"/>
      <c r="AU686" s="724"/>
      <c r="AV686" s="724"/>
      <c r="AW686" s="719"/>
      <c r="AX686" s="719"/>
      <c r="AY686" s="719"/>
    </row>
    <row r="687" spans="1:51" ht="15.75" hidden="1" customHeight="1">
      <c r="A687" s="716"/>
      <c r="B687" s="741" t="s">
        <v>1639</v>
      </c>
      <c r="C687" s="718">
        <f>+$C$685+$G$686</f>
        <v>47287</v>
      </c>
      <c r="D687" s="719"/>
      <c r="E687" s="719">
        <v>90</v>
      </c>
      <c r="F687" s="720">
        <v>800</v>
      </c>
      <c r="G687" s="721"/>
      <c r="H687" s="726"/>
      <c r="I687" s="726"/>
      <c r="J687" s="727"/>
      <c r="K687" s="719"/>
      <c r="L687" s="719" t="s">
        <v>241</v>
      </c>
      <c r="M687" s="719"/>
      <c r="N687" s="726" t="s">
        <v>696</v>
      </c>
      <c r="O687" s="726"/>
      <c r="P687" s="726"/>
      <c r="Q687" s="719">
        <v>89</v>
      </c>
      <c r="R687" s="719">
        <v>802.35</v>
      </c>
      <c r="S687" s="719"/>
      <c r="T687" s="719">
        <v>30</v>
      </c>
      <c r="U687" s="719"/>
      <c r="V687" s="719"/>
      <c r="W687" s="719">
        <v>1.4</v>
      </c>
      <c r="X687" s="719"/>
      <c r="Y687" s="719"/>
      <c r="Z687" s="719"/>
      <c r="AA687" s="719"/>
      <c r="AB687" s="719"/>
      <c r="AC687" s="719" t="s">
        <v>3003</v>
      </c>
      <c r="AD687" s="719"/>
      <c r="AE687" s="719"/>
      <c r="AF687" s="719">
        <v>200</v>
      </c>
      <c r="AG687" s="1341">
        <v>47286.98</v>
      </c>
      <c r="AH687" s="719">
        <v>2138</v>
      </c>
      <c r="AI687" s="719">
        <v>-5090</v>
      </c>
      <c r="AJ687" s="719"/>
      <c r="AK687" s="719"/>
      <c r="AL687" s="719"/>
      <c r="AM687" s="719" t="s">
        <v>2609</v>
      </c>
      <c r="AN687" s="719">
        <v>5.25</v>
      </c>
      <c r="AO687" s="719"/>
      <c r="AP687" s="719"/>
      <c r="AQ687" s="724"/>
      <c r="AR687" s="724"/>
      <c r="AS687" s="724"/>
      <c r="AT687" s="724">
        <f>+ab($T$687,$T$685,$T$689,$G$686,$G$688,-1*$F$687,1200)</f>
        <v>-3.9300845008673284</v>
      </c>
      <c r="AU687" s="724"/>
      <c r="AV687" s="724"/>
      <c r="AW687" s="719"/>
      <c r="AX687" s="719"/>
      <c r="AY687" s="719"/>
    </row>
    <row r="688" spans="1:51" ht="15.75" hidden="1" customHeight="1">
      <c r="A688" s="716"/>
      <c r="B688" s="735"/>
      <c r="C688" s="718"/>
      <c r="D688" s="719"/>
      <c r="E688" s="719"/>
      <c r="F688" s="720"/>
      <c r="G688" s="721">
        <v>38</v>
      </c>
      <c r="H688" s="726"/>
      <c r="I688" s="726"/>
      <c r="J688" s="727"/>
      <c r="K688" s="719"/>
      <c r="L688" s="719"/>
      <c r="M688" s="719"/>
      <c r="N688" s="726"/>
      <c r="O688" s="726"/>
      <c r="P688" s="726"/>
      <c r="Q688" s="719"/>
      <c r="R688" s="719"/>
      <c r="S688" s="719">
        <f t="shared" si="89"/>
        <v>38.009999999994761</v>
      </c>
      <c r="T688" s="719"/>
      <c r="U688" s="719"/>
      <c r="V688" s="719"/>
      <c r="W688" s="719"/>
      <c r="X688" s="719"/>
      <c r="Y688" s="719"/>
      <c r="Z688" s="719"/>
      <c r="AA688" s="719"/>
      <c r="AB688" s="719"/>
      <c r="AC688" s="719"/>
      <c r="AD688" s="719"/>
      <c r="AE688" s="719"/>
      <c r="AF688" s="719"/>
      <c r="AG688" s="1341"/>
      <c r="AH688" s="719"/>
      <c r="AI688" s="719"/>
      <c r="AJ688" s="719"/>
      <c r="AK688" s="719"/>
      <c r="AL688" s="719"/>
      <c r="AM688" s="719"/>
      <c r="AN688" s="719"/>
      <c r="AO688" s="719"/>
      <c r="AP688" s="719"/>
      <c r="AQ688" s="724">
        <f>+FL_2($T$689,$T$687,$G$688,1200,9.28,-1*$F$689)</f>
        <v>0.3</v>
      </c>
      <c r="AR688" s="724"/>
      <c r="AS688" s="724"/>
      <c r="AT688" s="724"/>
      <c r="AU688" s="724"/>
      <c r="AV688" s="724"/>
      <c r="AW688" s="719"/>
      <c r="AX688" s="719"/>
      <c r="AY688" s="719"/>
    </row>
    <row r="689" spans="1:51" ht="15.75" hidden="1" customHeight="1">
      <c r="A689" s="716"/>
      <c r="B689" s="741" t="s">
        <v>1640</v>
      </c>
      <c r="C689" s="718">
        <f>+$C$687+$G$688</f>
        <v>47325</v>
      </c>
      <c r="D689" s="719"/>
      <c r="E689" s="719"/>
      <c r="F689" s="720">
        <f>72000/(47413-C689)</f>
        <v>818.18181818181813</v>
      </c>
      <c r="G689" s="721"/>
      <c r="H689" s="726"/>
      <c r="I689" s="726"/>
      <c r="J689" s="727"/>
      <c r="K689" s="719"/>
      <c r="L689" s="719" t="s">
        <v>241</v>
      </c>
      <c r="M689" s="719"/>
      <c r="N689" s="726" t="s">
        <v>3025</v>
      </c>
      <c r="O689" s="726"/>
      <c r="P689" s="726"/>
      <c r="Q689" s="719">
        <v>89</v>
      </c>
      <c r="R689" s="719">
        <v>831.74</v>
      </c>
      <c r="S689" s="719"/>
      <c r="T689" s="719">
        <v>30</v>
      </c>
      <c r="U689" s="719"/>
      <c r="V689" s="719"/>
      <c r="W689" s="719">
        <v>1.4</v>
      </c>
      <c r="X689" s="719"/>
      <c r="Y689" s="719"/>
      <c r="Z689" s="719"/>
      <c r="AA689" s="719"/>
      <c r="AB689" s="719"/>
      <c r="AC689" s="719" t="s">
        <v>2978</v>
      </c>
      <c r="AD689" s="719"/>
      <c r="AE689" s="719"/>
      <c r="AF689" s="719">
        <v>200</v>
      </c>
      <c r="AG689" s="1341">
        <v>47324.99</v>
      </c>
      <c r="AH689" s="719">
        <v>2066</v>
      </c>
      <c r="AI689" s="719">
        <v>-5029</v>
      </c>
      <c r="AJ689" s="719"/>
      <c r="AK689" s="719"/>
      <c r="AL689" s="719"/>
      <c r="AM689" s="719" t="s">
        <v>2609</v>
      </c>
      <c r="AN689" s="719">
        <v>5.25</v>
      </c>
      <c r="AO689" s="719"/>
      <c r="AP689" s="719"/>
      <c r="AQ689" s="724"/>
      <c r="AR689" s="724"/>
      <c r="AS689" s="724"/>
      <c r="AT689" s="724">
        <f>+ab($T$689,$T$687,$T$691,$G$688,$G$690,-1*$F$689,1200)</f>
        <v>-4.413869884630178</v>
      </c>
      <c r="AU689" s="724"/>
      <c r="AV689" s="724"/>
      <c r="AW689" s="719"/>
      <c r="AX689" s="719"/>
      <c r="AY689" s="719"/>
    </row>
    <row r="690" spans="1:51" ht="15.75" hidden="1" customHeight="1">
      <c r="A690" s="716"/>
      <c r="B690" s="735"/>
      <c r="C690" s="718"/>
      <c r="D690" s="719"/>
      <c r="E690" s="719"/>
      <c r="F690" s="720"/>
      <c r="G690" s="721">
        <v>33</v>
      </c>
      <c r="H690" s="726"/>
      <c r="I690" s="726"/>
      <c r="J690" s="727"/>
      <c r="K690" s="719"/>
      <c r="L690" s="719"/>
      <c r="M690" s="719"/>
      <c r="N690" s="726"/>
      <c r="O690" s="726"/>
      <c r="P690" s="726"/>
      <c r="Q690" s="719"/>
      <c r="R690" s="719"/>
      <c r="S690" s="719">
        <f t="shared" si="89"/>
        <v>32.830000000001746</v>
      </c>
      <c r="T690" s="719"/>
      <c r="U690" s="719"/>
      <c r="V690" s="719"/>
      <c r="W690" s="719"/>
      <c r="X690" s="719"/>
      <c r="Y690" s="719"/>
      <c r="Z690" s="719"/>
      <c r="AA690" s="719"/>
      <c r="AB690" s="719"/>
      <c r="AC690" s="719"/>
      <c r="AD690" s="719"/>
      <c r="AE690" s="719"/>
      <c r="AF690" s="719"/>
      <c r="AG690" s="1341"/>
      <c r="AH690" s="719"/>
      <c r="AI690" s="719"/>
      <c r="AJ690" s="719"/>
      <c r="AK690" s="719"/>
      <c r="AL690" s="719"/>
      <c r="AM690" s="719"/>
      <c r="AN690" s="719"/>
      <c r="AO690" s="719"/>
      <c r="AP690" s="719"/>
      <c r="AQ690" s="724">
        <f>+FL_2($T$691,$T$689,$G$690,1200,9.28,-1*$F$691)</f>
        <v>0.29871850519800358</v>
      </c>
      <c r="AR690" s="724"/>
      <c r="AS690" s="724"/>
      <c r="AT690" s="724"/>
      <c r="AU690" s="724"/>
      <c r="AV690" s="724"/>
      <c r="AW690" s="719"/>
      <c r="AX690" s="719"/>
      <c r="AY690" s="719"/>
    </row>
    <row r="691" spans="1:51" ht="15.75" hidden="1" customHeight="1">
      <c r="A691" s="716"/>
      <c r="B691" s="741" t="s">
        <v>1641</v>
      </c>
      <c r="C691" s="718">
        <f>+$C$689+$G$690</f>
        <v>47358</v>
      </c>
      <c r="D691" s="719"/>
      <c r="E691" s="719"/>
      <c r="F691" s="720">
        <f>72000/(47413-C691)</f>
        <v>1309.090909090909</v>
      </c>
      <c r="G691" s="721"/>
      <c r="H691" s="726"/>
      <c r="I691" s="726"/>
      <c r="J691" s="727"/>
      <c r="K691" s="719"/>
      <c r="L691" s="719" t="s">
        <v>241</v>
      </c>
      <c r="M691" s="719"/>
      <c r="N691" s="726" t="s">
        <v>696</v>
      </c>
      <c r="O691" s="726"/>
      <c r="P691" s="726"/>
      <c r="Q691" s="719">
        <v>60</v>
      </c>
      <c r="R691" s="719">
        <v>1315.65</v>
      </c>
      <c r="S691" s="719"/>
      <c r="T691" s="719">
        <v>30</v>
      </c>
      <c r="U691" s="719"/>
      <c r="V691" s="719"/>
      <c r="W691" s="719">
        <v>1.4</v>
      </c>
      <c r="X691" s="719"/>
      <c r="Y691" s="719"/>
      <c r="Z691" s="719"/>
      <c r="AA691" s="719"/>
      <c r="AB691" s="719"/>
      <c r="AC691" s="719" t="s">
        <v>2978</v>
      </c>
      <c r="AD691" s="719"/>
      <c r="AE691" s="719"/>
      <c r="AF691" s="719">
        <v>200</v>
      </c>
      <c r="AG691" s="1341">
        <v>47357.82</v>
      </c>
      <c r="AH691" s="719">
        <v>2101</v>
      </c>
      <c r="AI691" s="719">
        <v>-5043</v>
      </c>
      <c r="AJ691" s="719"/>
      <c r="AK691" s="719"/>
      <c r="AL691" s="719"/>
      <c r="AM691" s="719" t="s">
        <v>2609</v>
      </c>
      <c r="AN691" s="719">
        <v>5.25</v>
      </c>
      <c r="AO691" s="719"/>
      <c r="AP691" s="719"/>
      <c r="AQ691" s="724"/>
      <c r="AR691" s="724"/>
      <c r="AS691" s="724"/>
      <c r="AT691" s="724">
        <f>+ab($T$691,$T$689,$T$693,$G$690,$G$692,-1*$F$691,1200)</f>
        <v>-12.526331990737381</v>
      </c>
      <c r="AU691" s="724"/>
      <c r="AV691" s="724"/>
      <c r="AW691" s="719"/>
      <c r="AX691" s="719"/>
      <c r="AY691" s="719"/>
    </row>
    <row r="692" spans="1:51" ht="15.75" hidden="1" customHeight="1">
      <c r="A692" s="716"/>
      <c r="B692" s="741"/>
      <c r="C692" s="718"/>
      <c r="D692" s="719"/>
      <c r="E692" s="719"/>
      <c r="F692" s="720"/>
      <c r="G692" s="721">
        <v>43</v>
      </c>
      <c r="H692" s="726"/>
      <c r="I692" s="726"/>
      <c r="J692" s="727"/>
      <c r="K692" s="719"/>
      <c r="L692" s="719"/>
      <c r="M692" s="719"/>
      <c r="N692" s="726"/>
      <c r="O692" s="726"/>
      <c r="P692" s="726"/>
      <c r="Q692" s="719"/>
      <c r="R692" s="719"/>
      <c r="S692" s="719">
        <f t="shared" si="89"/>
        <v>43.239999999997963</v>
      </c>
      <c r="T692" s="719"/>
      <c r="U692" s="719"/>
      <c r="V692" s="719"/>
      <c r="W692" s="719"/>
      <c r="X692" s="719"/>
      <c r="Y692" s="719"/>
      <c r="Z692" s="719"/>
      <c r="AA692" s="719"/>
      <c r="AB692" s="719"/>
      <c r="AC692" s="719"/>
      <c r="AD692" s="719"/>
      <c r="AE692" s="719"/>
      <c r="AF692" s="719"/>
      <c r="AG692" s="1341"/>
      <c r="AH692" s="719"/>
      <c r="AI692" s="719"/>
      <c r="AJ692" s="719"/>
      <c r="AK692" s="719"/>
      <c r="AL692" s="719"/>
      <c r="AM692" s="719"/>
      <c r="AN692" s="719"/>
      <c r="AO692" s="719"/>
      <c r="AP692" s="719"/>
      <c r="AQ692" s="724">
        <f>+FL_2($T$693,$T$691,$G$692,1200,9.28,-1*$F$693)</f>
        <v>-0.3046201782325581</v>
      </c>
      <c r="AR692" s="724"/>
      <c r="AS692" s="724"/>
      <c r="AT692" s="724"/>
      <c r="AU692" s="724"/>
      <c r="AV692" s="724"/>
      <c r="AW692" s="719"/>
      <c r="AX692" s="719"/>
      <c r="AY692" s="719"/>
    </row>
    <row r="693" spans="1:51" ht="15.75" hidden="1" customHeight="1">
      <c r="A693" s="716"/>
      <c r="B693" s="735" t="s">
        <v>1642</v>
      </c>
      <c r="C693" s="718">
        <f>+$C$691+$G$692</f>
        <v>47401</v>
      </c>
      <c r="D693" s="719"/>
      <c r="E693" s="719"/>
      <c r="F693" s="720">
        <v>0</v>
      </c>
      <c r="G693" s="721"/>
      <c r="H693" s="726" t="s">
        <v>138</v>
      </c>
      <c r="I693" s="722" t="s">
        <v>2827</v>
      </c>
      <c r="J693" s="727"/>
      <c r="K693" s="719"/>
      <c r="L693" s="719" t="s">
        <v>241</v>
      </c>
      <c r="M693" s="719"/>
      <c r="N693" s="726" t="s">
        <v>695</v>
      </c>
      <c r="O693" s="726"/>
      <c r="P693" s="726"/>
      <c r="Q693" s="719">
        <v>13</v>
      </c>
      <c r="R693" s="719">
        <v>6292.26</v>
      </c>
      <c r="S693" s="719"/>
      <c r="T693" s="726">
        <v>-30</v>
      </c>
      <c r="U693" s="726"/>
      <c r="V693" s="719"/>
      <c r="W693" s="719">
        <v>1.4</v>
      </c>
      <c r="X693" s="719"/>
      <c r="Y693" s="719"/>
      <c r="Z693" s="719"/>
      <c r="AA693" s="719"/>
      <c r="AB693" s="719"/>
      <c r="AC693" s="719" t="s">
        <v>2616</v>
      </c>
      <c r="AD693" s="719"/>
      <c r="AE693" s="719"/>
      <c r="AF693" s="719">
        <v>200</v>
      </c>
      <c r="AG693" s="1341">
        <v>47401.06</v>
      </c>
      <c r="AH693" s="719">
        <v>2061</v>
      </c>
      <c r="AI693" s="719">
        <v>-5052</v>
      </c>
      <c r="AJ693" s="719"/>
      <c r="AK693" s="719"/>
      <c r="AL693" s="719"/>
      <c r="AM693" s="719" t="s">
        <v>2609</v>
      </c>
      <c r="AN693" s="719">
        <v>5.25</v>
      </c>
      <c r="AO693" s="719"/>
      <c r="AP693" s="719"/>
      <c r="AQ693" s="724"/>
      <c r="AR693" s="724"/>
      <c r="AS693" s="724"/>
      <c r="AT693" s="724">
        <f>+ab($T$693,$T$691,$T$695,$G$692,$G$694,-1*$F$693,1200)</f>
        <v>-11.54722474640227</v>
      </c>
      <c r="AU693" s="724"/>
      <c r="AV693" s="724"/>
      <c r="AW693" s="719"/>
      <c r="AX693" s="719"/>
      <c r="AY693" s="719"/>
    </row>
    <row r="694" spans="1:51" ht="15.75" hidden="1" customHeight="1">
      <c r="A694" s="716"/>
      <c r="B694" s="741"/>
      <c r="C694" s="718"/>
      <c r="D694" s="719"/>
      <c r="E694" s="719"/>
      <c r="F694" s="720"/>
      <c r="G694" s="721">
        <v>41</v>
      </c>
      <c r="H694" s="726"/>
      <c r="I694" s="726"/>
      <c r="J694" s="727">
        <f>C693+10</f>
        <v>47411</v>
      </c>
      <c r="K694" s="719" t="s">
        <v>2587</v>
      </c>
      <c r="L694" s="719"/>
      <c r="M694" s="719"/>
      <c r="N694" s="726"/>
      <c r="O694" s="726"/>
      <c r="P694" s="726"/>
      <c r="Q694" s="719"/>
      <c r="R694" s="719"/>
      <c r="S694" s="719">
        <f>AG695-AG693</f>
        <v>40.130000000004657</v>
      </c>
      <c r="T694" s="719"/>
      <c r="U694" s="719"/>
      <c r="V694" s="719"/>
      <c r="W694" s="719"/>
      <c r="X694" s="719"/>
      <c r="Y694" s="719"/>
      <c r="Z694" s="719"/>
      <c r="AA694" s="719"/>
      <c r="AB694" s="719"/>
      <c r="AC694" s="719"/>
      <c r="AD694" s="719"/>
      <c r="AE694" s="719"/>
      <c r="AF694" s="719"/>
      <c r="AG694" s="1341"/>
      <c r="AH694" s="719"/>
      <c r="AI694" s="719"/>
      <c r="AJ694" s="719"/>
      <c r="AK694" s="719"/>
      <c r="AL694" s="719"/>
      <c r="AM694" s="719"/>
      <c r="AN694" s="719"/>
      <c r="AO694" s="719"/>
      <c r="AP694" s="719"/>
      <c r="AQ694" s="724">
        <f>+FL_1($U$695,$T$693,$G$694,1200,9.28,-1*$F$695)</f>
        <v>0.25384520243902442</v>
      </c>
      <c r="AR694" s="724"/>
      <c r="AS694" s="724"/>
      <c r="AT694" s="724"/>
      <c r="AU694" s="724"/>
      <c r="AV694" s="724"/>
      <c r="AW694" s="719"/>
      <c r="AX694" s="719"/>
      <c r="AY694" s="719"/>
    </row>
    <row r="695" spans="1:51" ht="15.75" hidden="1" customHeight="1">
      <c r="A695" s="716" t="s">
        <v>2960</v>
      </c>
      <c r="B695" s="735" t="s">
        <v>1643</v>
      </c>
      <c r="C695" s="718">
        <f>+$C$693+$G$694</f>
        <v>47442</v>
      </c>
      <c r="D695" s="719"/>
      <c r="E695" s="719"/>
      <c r="F695" s="720">
        <v>0</v>
      </c>
      <c r="G695" s="721"/>
      <c r="H695" s="726" t="s">
        <v>668</v>
      </c>
      <c r="I695" s="722" t="s">
        <v>2645</v>
      </c>
      <c r="J695" s="727"/>
      <c r="K695" s="719"/>
      <c r="L695" s="719" t="s">
        <v>465</v>
      </c>
      <c r="M695" s="719"/>
      <c r="N695" s="726" t="s">
        <v>697</v>
      </c>
      <c r="O695" s="726" t="s">
        <v>696</v>
      </c>
      <c r="P695" s="726"/>
      <c r="Q695" s="719">
        <v>0</v>
      </c>
      <c r="R695" s="719">
        <v>0</v>
      </c>
      <c r="S695" s="719">
        <f>AG696-AG695</f>
        <v>1.5199999999967986</v>
      </c>
      <c r="T695" s="719">
        <v>-20</v>
      </c>
      <c r="U695" s="719">
        <v>25</v>
      </c>
      <c r="V695" s="719"/>
      <c r="W695" s="719">
        <v>1.6</v>
      </c>
      <c r="X695" s="719">
        <v>1.4</v>
      </c>
      <c r="Y695" s="719"/>
      <c r="Z695" s="719">
        <v>0.45</v>
      </c>
      <c r="AA695" s="719"/>
      <c r="AB695" s="719"/>
      <c r="AC695" s="719"/>
      <c r="AD695" s="719" t="s">
        <v>2616</v>
      </c>
      <c r="AE695" s="719"/>
      <c r="AF695" s="719">
        <v>200</v>
      </c>
      <c r="AG695" s="1341">
        <v>47441.19</v>
      </c>
      <c r="AH695" s="719">
        <v>2090</v>
      </c>
      <c r="AI695" s="719">
        <v>-4999</v>
      </c>
      <c r="AJ695" s="719" t="s">
        <v>2943</v>
      </c>
      <c r="AK695" s="719"/>
      <c r="AL695" s="719"/>
      <c r="AM695" s="719" t="s">
        <v>2609</v>
      </c>
      <c r="AN695" s="719">
        <v>5.25</v>
      </c>
      <c r="AO695" s="719"/>
      <c r="AP695" s="719"/>
      <c r="AQ695" s="724"/>
      <c r="AR695" s="724"/>
      <c r="AS695" s="724"/>
      <c r="AT695" s="724">
        <f>+ab($U$695,$T$693,$U$697,$G$694,$G$696,-1*$F$695,1200)</f>
        <v>13.080230973594867</v>
      </c>
      <c r="AU695" s="724"/>
      <c r="AV695" s="724"/>
      <c r="AW695" s="719"/>
      <c r="AX695" s="719"/>
      <c r="AY695" s="719"/>
    </row>
    <row r="696" spans="1:51" ht="15.75" hidden="1" customHeight="1">
      <c r="A696" s="716"/>
      <c r="B696" s="741"/>
      <c r="C696" s="718"/>
      <c r="D696" s="719"/>
      <c r="E696" s="719"/>
      <c r="F696" s="720"/>
      <c r="G696" s="721">
        <v>50</v>
      </c>
      <c r="H696" s="726"/>
      <c r="I696" s="726"/>
      <c r="J696" s="727"/>
      <c r="K696" s="719"/>
      <c r="L696" s="719"/>
      <c r="M696" s="719"/>
      <c r="N696" s="726"/>
      <c r="O696" s="726"/>
      <c r="P696" s="726"/>
      <c r="Q696" s="719">
        <v>0</v>
      </c>
      <c r="R696" s="719">
        <v>0</v>
      </c>
      <c r="S696" s="719">
        <f>AG697-AG696</f>
        <v>48.5</v>
      </c>
      <c r="T696" s="719"/>
      <c r="U696" s="719"/>
      <c r="V696" s="719"/>
      <c r="W696" s="719"/>
      <c r="X696" s="719"/>
      <c r="Y696" s="719"/>
      <c r="Z696" s="719"/>
      <c r="AA696" s="719"/>
      <c r="AB696" s="719"/>
      <c r="AC696" s="719"/>
      <c r="AD696" s="719"/>
      <c r="AE696" s="719"/>
      <c r="AF696" s="719">
        <v>200</v>
      </c>
      <c r="AG696" s="1341">
        <v>47442.71</v>
      </c>
      <c r="AH696" s="719">
        <v>2054</v>
      </c>
      <c r="AI696" s="719">
        <v>-4998</v>
      </c>
      <c r="AJ696" s="719"/>
      <c r="AK696" s="719"/>
      <c r="AL696" s="719"/>
      <c r="AM696" s="719"/>
      <c r="AN696" s="719"/>
      <c r="AO696" s="719"/>
      <c r="AP696" s="719"/>
      <c r="AQ696" s="724">
        <f>+FL_1($T$697,$U$695,$G$696,1200,9.28,-1*$F$697)</f>
        <v>0.30632183866666657</v>
      </c>
      <c r="AR696" s="724"/>
      <c r="AS696" s="724"/>
      <c r="AT696" s="724"/>
      <c r="AU696" s="724"/>
      <c r="AV696" s="724"/>
      <c r="AW696" s="719"/>
      <c r="AX696" s="719"/>
      <c r="AY696" s="719"/>
    </row>
    <row r="697" spans="1:51" ht="15.75" hidden="1" customHeight="1">
      <c r="A697" s="716"/>
      <c r="B697" s="735" t="s">
        <v>1644</v>
      </c>
      <c r="C697" s="718">
        <f>+$C$695+$G$696</f>
        <v>47492</v>
      </c>
      <c r="D697" s="719"/>
      <c r="E697" s="719"/>
      <c r="F697" s="720">
        <v>0</v>
      </c>
      <c r="G697" s="721"/>
      <c r="H697" s="726" t="s">
        <v>668</v>
      </c>
      <c r="I697" s="726"/>
      <c r="J697" s="727"/>
      <c r="K697" s="719"/>
      <c r="L697" s="719" t="s">
        <v>465</v>
      </c>
      <c r="M697" s="719"/>
      <c r="N697" s="726" t="s">
        <v>695</v>
      </c>
      <c r="O697" s="726" t="s">
        <v>697</v>
      </c>
      <c r="P697" s="726"/>
      <c r="Q697" s="719">
        <v>0</v>
      </c>
      <c r="R697" s="719">
        <v>0</v>
      </c>
      <c r="S697" s="719">
        <f>AG698-AG697</f>
        <v>1.4899999999979627</v>
      </c>
      <c r="T697" s="719">
        <v>-25</v>
      </c>
      <c r="U697" s="719">
        <v>20</v>
      </c>
      <c r="V697" s="719"/>
      <c r="W697" s="719">
        <v>1.6</v>
      </c>
      <c r="X697" s="719">
        <v>1.4</v>
      </c>
      <c r="Y697" s="719"/>
      <c r="Z697" s="719"/>
      <c r="AA697" s="719">
        <v>0.45</v>
      </c>
      <c r="AB697" s="719"/>
      <c r="AC697" s="719" t="s">
        <v>2614</v>
      </c>
      <c r="AD697" s="719"/>
      <c r="AE697" s="719"/>
      <c r="AF697" s="719">
        <v>200</v>
      </c>
      <c r="AG697" s="1341">
        <v>47491.21</v>
      </c>
      <c r="AH697" s="719">
        <v>2080</v>
      </c>
      <c r="AI697" s="719">
        <v>-4950</v>
      </c>
      <c r="AJ697" s="719"/>
      <c r="AK697" s="719"/>
      <c r="AL697" s="719"/>
      <c r="AM697" s="719" t="s">
        <v>2609</v>
      </c>
      <c r="AN697" s="719">
        <v>5.25</v>
      </c>
      <c r="AO697" s="719"/>
      <c r="AP697" s="719"/>
      <c r="AQ697" s="724"/>
      <c r="AR697" s="724"/>
      <c r="AS697" s="724"/>
      <c r="AT697" s="724">
        <f>+ab($T$697,$T$695,$T$699,$G$696,$G$698,-1*$F$697,1200)</f>
        <v>-14.213984044199663</v>
      </c>
      <c r="AU697" s="724"/>
      <c r="AV697" s="724"/>
      <c r="AW697" s="719"/>
      <c r="AX697" s="719"/>
      <c r="AY697" s="719"/>
    </row>
    <row r="698" spans="1:51" ht="15.75" hidden="1" customHeight="1">
      <c r="A698" s="716"/>
      <c r="B698" s="741"/>
      <c r="C698" s="718"/>
      <c r="D698" s="719"/>
      <c r="E698" s="719"/>
      <c r="F698" s="720"/>
      <c r="G698" s="721">
        <v>45</v>
      </c>
      <c r="H698" s="726"/>
      <c r="I698" s="722"/>
      <c r="J698" s="727">
        <f>C699-10</f>
        <v>47527</v>
      </c>
      <c r="K698" s="719" t="s">
        <v>1097</v>
      </c>
      <c r="L698" s="719"/>
      <c r="M698" s="719"/>
      <c r="N698" s="726"/>
      <c r="O698" s="726"/>
      <c r="P698" s="726"/>
      <c r="Q698" s="719">
        <v>0</v>
      </c>
      <c r="R698" s="719">
        <v>0</v>
      </c>
      <c r="S698" s="724">
        <f>AG699-AG698</f>
        <v>44.30000000000291</v>
      </c>
      <c r="T698" s="719"/>
      <c r="U698" s="719"/>
      <c r="V698" s="719"/>
      <c r="W698" s="719"/>
      <c r="X698" s="719"/>
      <c r="Y698" s="719"/>
      <c r="Z698" s="719"/>
      <c r="AA698" s="719"/>
      <c r="AB698" s="719"/>
      <c r="AC698" s="719"/>
      <c r="AD698" s="719"/>
      <c r="AE698" s="719"/>
      <c r="AF698" s="719">
        <v>200</v>
      </c>
      <c r="AG698" s="1341">
        <v>47492.7</v>
      </c>
      <c r="AH698" s="719">
        <v>2086</v>
      </c>
      <c r="AI698" s="719">
        <v>-5005</v>
      </c>
      <c r="AJ698" s="719"/>
      <c r="AK698" s="719"/>
      <c r="AL698" s="719"/>
      <c r="AM698" s="719"/>
      <c r="AN698" s="719"/>
      <c r="AO698" s="719"/>
      <c r="AP698" s="719"/>
      <c r="AQ698" s="724">
        <f>+FL_2($T$699,$T$697,$G$698,1200,9.28,-1*$F$699)</f>
        <v>-0.26733364444444441</v>
      </c>
      <c r="AR698" s="724"/>
      <c r="AS698" s="724"/>
      <c r="AT698" s="724"/>
      <c r="AU698" s="724"/>
      <c r="AV698" s="724"/>
      <c r="AW698" s="719"/>
      <c r="AX698" s="719"/>
      <c r="AY698" s="719"/>
    </row>
    <row r="699" spans="1:51" ht="15.75" hidden="1" customHeight="1">
      <c r="A699" s="716"/>
      <c r="B699" s="735" t="s">
        <v>2588</v>
      </c>
      <c r="C699" s="718">
        <f>+$C$697+$G$698</f>
        <v>47537</v>
      </c>
      <c r="D699" s="719"/>
      <c r="E699" s="719"/>
      <c r="F699" s="720">
        <v>0</v>
      </c>
      <c r="G699" s="721"/>
      <c r="H699" s="726" t="s">
        <v>138</v>
      </c>
      <c r="I699" s="726" t="s">
        <v>948</v>
      </c>
      <c r="J699" s="727"/>
      <c r="K699" s="719"/>
      <c r="L699" s="719" t="s">
        <v>241</v>
      </c>
      <c r="M699" s="719"/>
      <c r="N699" s="726" t="s">
        <v>696</v>
      </c>
      <c r="O699" s="726"/>
      <c r="P699" s="726"/>
      <c r="Q699" s="719">
        <v>0</v>
      </c>
      <c r="R699" s="719">
        <v>0</v>
      </c>
      <c r="S699" s="719"/>
      <c r="T699" s="719">
        <v>30</v>
      </c>
      <c r="U699" s="719"/>
      <c r="V699" s="719"/>
      <c r="W699" s="719">
        <v>1.4</v>
      </c>
      <c r="X699" s="719"/>
      <c r="Y699" s="719"/>
      <c r="Z699" s="719"/>
      <c r="AA699" s="719"/>
      <c r="AB699" s="719"/>
      <c r="AC699" s="719" t="s">
        <v>2616</v>
      </c>
      <c r="AD699" s="719"/>
      <c r="AE699" s="719"/>
      <c r="AF699" s="719">
        <v>200</v>
      </c>
      <c r="AG699" s="1341">
        <v>47537</v>
      </c>
      <c r="AH699" s="719">
        <v>2085</v>
      </c>
      <c r="AI699" s="719">
        <v>-4992</v>
      </c>
      <c r="AJ699" s="719"/>
      <c r="AK699" s="719"/>
      <c r="AL699" s="719"/>
      <c r="AM699" s="719" t="s">
        <v>2609</v>
      </c>
      <c r="AN699" s="719">
        <v>5.25</v>
      </c>
      <c r="AO699" s="719"/>
      <c r="AP699" s="719"/>
      <c r="AQ699" s="724"/>
      <c r="AR699" s="724"/>
      <c r="AS699" s="724"/>
      <c r="AT699" s="724">
        <f>+ab($T$699,$T$697,$T$701,$G$698,$G$700,-1*$F$699,1200)</f>
        <v>17.021069465831559</v>
      </c>
      <c r="AU699" s="724"/>
      <c r="AV699" s="724"/>
      <c r="AW699" s="719"/>
      <c r="AX699" s="719"/>
      <c r="AY699" s="719"/>
    </row>
    <row r="700" spans="1:51" ht="15.75" hidden="1" customHeight="1">
      <c r="A700" s="716"/>
      <c r="B700" s="741"/>
      <c r="C700" s="718"/>
      <c r="D700" s="719"/>
      <c r="E700" s="719"/>
      <c r="F700" s="720"/>
      <c r="G700" s="721">
        <v>39</v>
      </c>
      <c r="H700" s="726"/>
      <c r="I700" s="722" t="s">
        <v>2053</v>
      </c>
      <c r="J700" s="727"/>
      <c r="K700" s="719" t="s">
        <v>1102</v>
      </c>
      <c r="L700" s="719"/>
      <c r="M700" s="719"/>
      <c r="N700" s="726"/>
      <c r="O700" s="726"/>
      <c r="P700" s="726"/>
      <c r="Q700" s="719"/>
      <c r="R700" s="719"/>
      <c r="S700" s="724">
        <f>AG701-AG699</f>
        <v>37.690000000002328</v>
      </c>
      <c r="T700" s="719"/>
      <c r="U700" s="719"/>
      <c r="V700" s="719"/>
      <c r="W700" s="719"/>
      <c r="X700" s="719"/>
      <c r="Y700" s="719"/>
      <c r="Z700" s="719"/>
      <c r="AA700" s="719"/>
      <c r="AB700" s="719"/>
      <c r="AC700" s="719"/>
      <c r="AD700" s="719"/>
      <c r="AE700" s="719"/>
      <c r="AF700" s="719"/>
      <c r="AG700" s="1341"/>
      <c r="AH700" s="719"/>
      <c r="AI700" s="719"/>
      <c r="AJ700" s="719"/>
      <c r="AK700" s="719"/>
      <c r="AL700" s="719"/>
      <c r="AM700" s="719"/>
      <c r="AN700" s="719"/>
      <c r="AO700" s="719"/>
      <c r="AP700" s="719"/>
      <c r="AQ700" s="724">
        <f>+FL_2($T$701,$T$699,$G$700,1200,9.28,-1*$F$701)</f>
        <v>0.17690729353846152</v>
      </c>
      <c r="AR700" s="724"/>
      <c r="AS700" s="724"/>
      <c r="AT700" s="724"/>
      <c r="AU700" s="724"/>
      <c r="AV700" s="724"/>
      <c r="AW700" s="719"/>
      <c r="AX700" s="719"/>
      <c r="AY700" s="719"/>
    </row>
    <row r="701" spans="1:51" ht="15.75" hidden="1" customHeight="1">
      <c r="A701" s="716"/>
      <c r="B701" s="735" t="s">
        <v>2589</v>
      </c>
      <c r="C701" s="718">
        <f>+$C$699+$G$700</f>
        <v>47576</v>
      </c>
      <c r="D701" s="719"/>
      <c r="E701" s="719"/>
      <c r="F701" s="720">
        <v>0</v>
      </c>
      <c r="G701" s="721"/>
      <c r="H701" s="726"/>
      <c r="I701" s="722" t="s">
        <v>2053</v>
      </c>
      <c r="J701" s="727"/>
      <c r="K701" s="719" t="s">
        <v>1102</v>
      </c>
      <c r="L701" s="719" t="s">
        <v>241</v>
      </c>
      <c r="M701" s="719"/>
      <c r="N701" s="726" t="s">
        <v>696</v>
      </c>
      <c r="O701" s="726"/>
      <c r="P701" s="726"/>
      <c r="Q701" s="719">
        <v>0</v>
      </c>
      <c r="R701" s="719">
        <v>0</v>
      </c>
      <c r="S701" s="719"/>
      <c r="T701" s="719">
        <v>35</v>
      </c>
      <c r="U701" s="719"/>
      <c r="V701" s="719"/>
      <c r="W701" s="719">
        <v>1.4</v>
      </c>
      <c r="X701" s="719"/>
      <c r="Y701" s="719"/>
      <c r="Z701" s="719"/>
      <c r="AA701" s="719"/>
      <c r="AB701" s="719"/>
      <c r="AC701" s="719" t="s">
        <v>2616</v>
      </c>
      <c r="AD701" s="719"/>
      <c r="AE701" s="719"/>
      <c r="AF701" s="719">
        <v>200</v>
      </c>
      <c r="AG701" s="1341">
        <v>47574.69</v>
      </c>
      <c r="AH701" s="719">
        <v>2049</v>
      </c>
      <c r="AI701" s="719">
        <v>-5188</v>
      </c>
      <c r="AJ701" s="719"/>
      <c r="AK701" s="719"/>
      <c r="AL701" s="719"/>
      <c r="AM701" s="719" t="s">
        <v>2609</v>
      </c>
      <c r="AN701" s="719">
        <v>5.25</v>
      </c>
      <c r="AO701" s="719"/>
      <c r="AP701" s="719"/>
      <c r="AQ701" s="724"/>
      <c r="AR701" s="724"/>
      <c r="AS701" s="724"/>
      <c r="AT701" s="724">
        <f>+ab($T$701,$T$699,$T$703,$G$700,$G$702,-1*$F$701,1200)</f>
        <v>9.6469839756929385</v>
      </c>
      <c r="AU701" s="724"/>
      <c r="AV701" s="724"/>
      <c r="AW701" s="719"/>
      <c r="AX701" s="719"/>
      <c r="AY701" s="719"/>
    </row>
    <row r="702" spans="1:51" ht="15.75" hidden="1" customHeight="1">
      <c r="A702" s="716"/>
      <c r="B702" s="741"/>
      <c r="C702" s="718"/>
      <c r="D702" s="719"/>
      <c r="E702" s="719"/>
      <c r="F702" s="720"/>
      <c r="G702" s="721">
        <v>38</v>
      </c>
      <c r="H702" s="726"/>
      <c r="I702" s="726"/>
      <c r="J702" s="727"/>
      <c r="K702" s="719"/>
      <c r="L702" s="719"/>
      <c r="M702" s="719"/>
      <c r="N702" s="726"/>
      <c r="O702" s="726"/>
      <c r="P702" s="726"/>
      <c r="Q702" s="719"/>
      <c r="R702" s="719"/>
      <c r="S702" s="719">
        <f t="shared" ref="S702:S748" si="90">AG703-AG701</f>
        <v>39.629999999997381</v>
      </c>
      <c r="T702" s="719"/>
      <c r="U702" s="719"/>
      <c r="V702" s="719"/>
      <c r="W702" s="719"/>
      <c r="X702" s="719"/>
      <c r="Y702" s="719"/>
      <c r="Z702" s="719"/>
      <c r="AA702" s="719"/>
      <c r="AB702" s="719"/>
      <c r="AC702" s="719"/>
      <c r="AD702" s="719"/>
      <c r="AE702" s="719"/>
      <c r="AF702" s="719"/>
      <c r="AG702" s="1341"/>
      <c r="AH702" s="719"/>
      <c r="AI702" s="719"/>
      <c r="AJ702" s="719"/>
      <c r="AK702" s="719"/>
      <c r="AL702" s="719"/>
      <c r="AM702" s="719"/>
      <c r="AN702" s="719"/>
      <c r="AO702" s="719"/>
      <c r="AP702" s="719"/>
      <c r="AQ702" s="724">
        <f>+FL_2($T$703,$T$701,$G$702,1200,9.28,-1*$F$703)</f>
        <v>-0.35</v>
      </c>
      <c r="AR702" s="724"/>
      <c r="AS702" s="724"/>
      <c r="AT702" s="724"/>
      <c r="AU702" s="724"/>
      <c r="AV702" s="724"/>
      <c r="AW702" s="719"/>
      <c r="AX702" s="719"/>
      <c r="AY702" s="719"/>
    </row>
    <row r="703" spans="1:51" ht="15.75" hidden="1" customHeight="1">
      <c r="A703" s="716"/>
      <c r="B703" s="735" t="s">
        <v>1645</v>
      </c>
      <c r="C703" s="718">
        <f>+$C$701+$G$702</f>
        <v>47614</v>
      </c>
      <c r="D703" s="719"/>
      <c r="E703" s="719"/>
      <c r="F703" s="720">
        <v>0</v>
      </c>
      <c r="G703" s="721"/>
      <c r="H703" s="726"/>
      <c r="I703" s="722"/>
      <c r="J703" s="727"/>
      <c r="K703" s="719"/>
      <c r="L703" s="719" t="s">
        <v>241</v>
      </c>
      <c r="M703" s="719"/>
      <c r="N703" s="726" t="s">
        <v>695</v>
      </c>
      <c r="O703" s="726"/>
      <c r="P703" s="726"/>
      <c r="Q703" s="719">
        <v>0</v>
      </c>
      <c r="R703" s="719">
        <v>0</v>
      </c>
      <c r="S703" s="719"/>
      <c r="T703" s="719">
        <v>-35</v>
      </c>
      <c r="U703" s="719"/>
      <c r="V703" s="719"/>
      <c r="W703" s="719">
        <v>1.4</v>
      </c>
      <c r="X703" s="719"/>
      <c r="Y703" s="719"/>
      <c r="Z703" s="719"/>
      <c r="AA703" s="719"/>
      <c r="AB703" s="719"/>
      <c r="AC703" s="719" t="s">
        <v>2978</v>
      </c>
      <c r="AD703" s="719"/>
      <c r="AE703" s="719"/>
      <c r="AF703" s="719">
        <v>200</v>
      </c>
      <c r="AG703" s="1341">
        <v>47614.32</v>
      </c>
      <c r="AH703" s="719">
        <v>2075</v>
      </c>
      <c r="AI703" s="719">
        <v>-5110</v>
      </c>
      <c r="AJ703" s="719"/>
      <c r="AK703" s="719"/>
      <c r="AL703" s="719"/>
      <c r="AM703" s="719" t="s">
        <v>2609</v>
      </c>
      <c r="AN703" s="719">
        <v>5.25</v>
      </c>
      <c r="AO703" s="719"/>
      <c r="AP703" s="719"/>
      <c r="AQ703" s="724"/>
      <c r="AR703" s="724"/>
      <c r="AS703" s="724"/>
      <c r="AT703" s="724">
        <f>+ab($T$703,$T$701,$T$705,$G$702,$G$704,-1*$F$703,1200)</f>
        <v>-7.7606819451216937</v>
      </c>
      <c r="AU703" s="724"/>
      <c r="AV703" s="724"/>
      <c r="AW703" s="719"/>
      <c r="AX703" s="719"/>
      <c r="AY703" s="719"/>
    </row>
    <row r="704" spans="1:51" ht="15.75" hidden="1" customHeight="1">
      <c r="A704" s="716"/>
      <c r="B704" s="741"/>
      <c r="C704" s="718"/>
      <c r="D704" s="719"/>
      <c r="E704" s="719"/>
      <c r="F704" s="720"/>
      <c r="G704" s="721">
        <v>32.5</v>
      </c>
      <c r="H704" s="726"/>
      <c r="I704" s="722"/>
      <c r="J704" s="727"/>
      <c r="K704" s="719"/>
      <c r="L704" s="719"/>
      <c r="M704" s="719"/>
      <c r="N704" s="726"/>
      <c r="O704" s="726"/>
      <c r="P704" s="726"/>
      <c r="Q704" s="719"/>
      <c r="R704" s="719"/>
      <c r="S704" s="719">
        <f t="shared" si="90"/>
        <v>31.760000000002037</v>
      </c>
      <c r="T704" s="719"/>
      <c r="U704" s="719"/>
      <c r="V704" s="719"/>
      <c r="W704" s="719"/>
      <c r="X704" s="719"/>
      <c r="Y704" s="719"/>
      <c r="Z704" s="719"/>
      <c r="AA704" s="719"/>
      <c r="AB704" s="719"/>
      <c r="AC704" s="719"/>
      <c r="AD704" s="719"/>
      <c r="AE704" s="719"/>
      <c r="AF704" s="719"/>
      <c r="AG704" s="1341"/>
      <c r="AH704" s="719"/>
      <c r="AI704" s="719"/>
      <c r="AJ704" s="719"/>
      <c r="AK704" s="719"/>
      <c r="AL704" s="719"/>
      <c r="AM704" s="719"/>
      <c r="AN704" s="719"/>
      <c r="AO704" s="719"/>
      <c r="AP704" s="719"/>
      <c r="AQ704" s="724">
        <f>+FL_1($T$705,$T$703,$G$704,1200,9.28,-1*$F$705)</f>
        <v>-0.12341103661538461</v>
      </c>
      <c r="AR704" s="724"/>
      <c r="AS704" s="724"/>
      <c r="AT704" s="724"/>
      <c r="AU704" s="724"/>
      <c r="AV704" s="724"/>
      <c r="AW704" s="719"/>
      <c r="AX704" s="719"/>
      <c r="AY704" s="719"/>
    </row>
    <row r="705" spans="1:51" ht="15.75" customHeight="1">
      <c r="A705" s="716"/>
      <c r="B705" s="735" t="s">
        <v>2590</v>
      </c>
      <c r="C705" s="718">
        <f>+$C$703+$G$704</f>
        <v>47646.5</v>
      </c>
      <c r="D705" s="719"/>
      <c r="E705" s="719"/>
      <c r="F705" s="720">
        <v>0</v>
      </c>
      <c r="G705" s="721"/>
      <c r="H705" s="726" t="s">
        <v>2706</v>
      </c>
      <c r="I705" s="726"/>
      <c r="J705" s="727"/>
      <c r="K705" s="719"/>
      <c r="L705" s="732" t="s">
        <v>465</v>
      </c>
      <c r="M705" s="719"/>
      <c r="N705" s="726" t="s">
        <v>695</v>
      </c>
      <c r="O705" s="726" t="s">
        <v>696</v>
      </c>
      <c r="P705" s="726"/>
      <c r="Q705" s="719">
        <v>0</v>
      </c>
      <c r="R705" s="719">
        <v>0</v>
      </c>
      <c r="S705" s="719">
        <f>AG706-AG705</f>
        <v>1.5499999999956344</v>
      </c>
      <c r="T705" s="719">
        <v>-15</v>
      </c>
      <c r="U705" s="719">
        <v>0</v>
      </c>
      <c r="V705" s="719"/>
      <c r="W705" s="719">
        <v>1.8</v>
      </c>
      <c r="X705" s="719">
        <v>1.4</v>
      </c>
      <c r="Y705" s="719"/>
      <c r="Z705" s="719"/>
      <c r="AA705" s="719"/>
      <c r="AB705" s="719"/>
      <c r="AC705" s="719" t="s">
        <v>3012</v>
      </c>
      <c r="AD705" s="719" t="s">
        <v>3024</v>
      </c>
      <c r="AE705" s="719"/>
      <c r="AF705" s="719">
        <v>200</v>
      </c>
      <c r="AG705" s="1341">
        <v>47646.080000000002</v>
      </c>
      <c r="AH705" s="719">
        <v>2574</v>
      </c>
      <c r="AI705" s="719">
        <v>-4892</v>
      </c>
      <c r="AJ705" s="719"/>
      <c r="AK705" s="719"/>
      <c r="AL705" s="719"/>
      <c r="AM705" s="719" t="s">
        <v>2609</v>
      </c>
      <c r="AN705" s="719">
        <v>5.25</v>
      </c>
      <c r="AO705" s="719"/>
      <c r="AP705" s="719"/>
      <c r="AQ705" s="724"/>
      <c r="AR705" s="724"/>
      <c r="AS705" s="724"/>
      <c r="AT705" s="724">
        <f>+ab($T$705,$T$703,$U$707,$G$704,$G$706,-1*$F$705,1200)</f>
        <v>-34.043381706153632</v>
      </c>
      <c r="AU705" s="724"/>
      <c r="AV705" s="724"/>
      <c r="AW705" s="719"/>
      <c r="AX705" s="719"/>
      <c r="AY705" s="719"/>
    </row>
    <row r="706" spans="1:51" ht="15.75" hidden="1" customHeight="1">
      <c r="A706" s="716"/>
      <c r="B706" s="735"/>
      <c r="C706" s="718"/>
      <c r="D706" s="719"/>
      <c r="E706" s="719"/>
      <c r="F706" s="720"/>
      <c r="G706" s="721">
        <v>40.5</v>
      </c>
      <c r="H706" s="726"/>
      <c r="I706" s="722"/>
      <c r="J706" s="727"/>
      <c r="K706" s="719"/>
      <c r="L706" s="719"/>
      <c r="M706" s="719"/>
      <c r="N706" s="726"/>
      <c r="O706" s="726"/>
      <c r="P706" s="726"/>
      <c r="Q706" s="719">
        <v>0</v>
      </c>
      <c r="R706" s="719">
        <v>0</v>
      </c>
      <c r="S706" s="719">
        <f t="shared" ref="S706:S707" si="91">AG707-AG706</f>
        <v>39.310000000004948</v>
      </c>
      <c r="T706" s="719"/>
      <c r="U706" s="719"/>
      <c r="V706" s="719"/>
      <c r="W706" s="719"/>
      <c r="X706" s="719"/>
      <c r="Y706" s="719"/>
      <c r="Z706" s="719"/>
      <c r="AA706" s="719"/>
      <c r="AB706" s="719"/>
      <c r="AC706" s="719"/>
      <c r="AD706" s="719"/>
      <c r="AE706" s="719"/>
      <c r="AF706" s="719">
        <v>200</v>
      </c>
      <c r="AG706" s="1341">
        <v>47647.63</v>
      </c>
      <c r="AH706" s="719">
        <v>2582</v>
      </c>
      <c r="AI706" s="719">
        <v>-4906</v>
      </c>
      <c r="AJ706" s="719"/>
      <c r="AK706" s="719"/>
      <c r="AL706" s="719"/>
      <c r="AM706" s="719"/>
      <c r="AN706" s="719"/>
      <c r="AO706" s="719"/>
      <c r="AP706" s="719"/>
      <c r="AQ706" s="724">
        <f>+FL_2($U$707,$T$705,$G$706,1200,9.28,-1*$F$707)</f>
        <v>-0.16337869866666671</v>
      </c>
      <c r="AR706" s="724"/>
      <c r="AS706" s="724"/>
      <c r="AT706" s="724"/>
      <c r="AU706" s="724"/>
      <c r="AV706" s="724"/>
      <c r="AW706" s="719"/>
      <c r="AX706" s="719"/>
      <c r="AY706" s="719"/>
    </row>
    <row r="707" spans="1:51" ht="15.75" customHeight="1">
      <c r="A707" s="716"/>
      <c r="B707" s="741" t="s">
        <v>1646</v>
      </c>
      <c r="C707" s="718">
        <f>C705+G706</f>
        <v>47687</v>
      </c>
      <c r="D707" s="719"/>
      <c r="E707" s="719"/>
      <c r="F707" s="720">
        <v>0</v>
      </c>
      <c r="G707" s="721"/>
      <c r="H707" s="719" t="s">
        <v>143</v>
      </c>
      <c r="I707" s="726"/>
      <c r="J707" s="727"/>
      <c r="K707" s="719"/>
      <c r="L707" s="719" t="s">
        <v>465</v>
      </c>
      <c r="M707" s="719"/>
      <c r="N707" s="726" t="s">
        <v>695</v>
      </c>
      <c r="O707" s="726" t="s">
        <v>696</v>
      </c>
      <c r="P707" s="726"/>
      <c r="Q707" s="719">
        <v>0</v>
      </c>
      <c r="R707" s="719">
        <v>0</v>
      </c>
      <c r="S707" s="719">
        <f t="shared" si="91"/>
        <v>1.4799999999959255</v>
      </c>
      <c r="T707" s="719">
        <v>15</v>
      </c>
      <c r="U707" s="719">
        <v>30</v>
      </c>
      <c r="V707" s="719"/>
      <c r="W707" s="719">
        <v>1.8</v>
      </c>
      <c r="X707" s="719">
        <v>1.4</v>
      </c>
      <c r="Y707" s="719"/>
      <c r="Z707" s="719"/>
      <c r="AA707" s="719"/>
      <c r="AB707" s="719"/>
      <c r="AC707" s="719" t="s">
        <v>3024</v>
      </c>
      <c r="AD707" s="719" t="s">
        <v>3012</v>
      </c>
      <c r="AE707" s="719"/>
      <c r="AF707" s="719">
        <v>200</v>
      </c>
      <c r="AG707" s="1341">
        <v>47686.94</v>
      </c>
      <c r="AH707" s="719">
        <v>2242</v>
      </c>
      <c r="AI707" s="719">
        <v>-5026</v>
      </c>
      <c r="AJ707" s="719" t="s">
        <v>985</v>
      </c>
      <c r="AK707" s="719"/>
      <c r="AL707" s="719"/>
      <c r="AM707" s="719" t="s">
        <v>2609</v>
      </c>
      <c r="AN707" s="719">
        <v>5.25</v>
      </c>
      <c r="AO707" s="719"/>
      <c r="AP707" s="719"/>
      <c r="AQ707" s="724"/>
      <c r="AR707" s="724"/>
      <c r="AS707" s="724"/>
      <c r="AT707" s="724">
        <f>+ab($U$707,$T$705,$T$709,$G$706,$G$708,-1*$F$707,1200)</f>
        <v>5.7375187159207313</v>
      </c>
      <c r="AU707" s="724"/>
      <c r="AV707" s="724"/>
      <c r="AW707" s="719"/>
      <c r="AX707" s="719"/>
      <c r="AY707" s="719"/>
    </row>
    <row r="708" spans="1:51" ht="15.75" customHeight="1">
      <c r="A708" s="716"/>
      <c r="B708" s="735"/>
      <c r="C708" s="718"/>
      <c r="D708" s="719"/>
      <c r="E708" s="719"/>
      <c r="F708" s="720"/>
      <c r="G708" s="721">
        <v>27</v>
      </c>
      <c r="H708" s="719" t="s">
        <v>1101</v>
      </c>
      <c r="I708" s="726">
        <f>+SUM(G694:G708)</f>
        <v>313</v>
      </c>
      <c r="J708" s="727">
        <f>C707+1</f>
        <v>47688</v>
      </c>
      <c r="K708" s="719" t="s">
        <v>1102</v>
      </c>
      <c r="L708" s="719"/>
      <c r="M708" s="719"/>
      <c r="N708" s="726"/>
      <c r="O708" s="726"/>
      <c r="P708" s="726"/>
      <c r="Q708" s="719">
        <v>0</v>
      </c>
      <c r="R708" s="719">
        <v>0</v>
      </c>
      <c r="S708" s="724">
        <f>AG709-AG708</f>
        <v>25.810000000004948</v>
      </c>
      <c r="T708" s="719"/>
      <c r="U708" s="719"/>
      <c r="V708" s="719"/>
      <c r="W708" s="719"/>
      <c r="X708" s="719"/>
      <c r="Y708" s="719"/>
      <c r="Z708" s="719"/>
      <c r="AA708" s="719"/>
      <c r="AB708" s="719"/>
      <c r="AC708" s="719"/>
      <c r="AD708" s="719"/>
      <c r="AE708" s="719"/>
      <c r="AF708" s="719">
        <v>200</v>
      </c>
      <c r="AG708" s="1341">
        <v>47688.42</v>
      </c>
      <c r="AH708" s="719">
        <v>2164</v>
      </c>
      <c r="AI708" s="719">
        <v>-5032</v>
      </c>
      <c r="AJ708" s="719"/>
      <c r="AK708" s="719"/>
      <c r="AL708" s="719"/>
      <c r="AM708" s="719"/>
      <c r="AN708" s="719"/>
      <c r="AO708" s="719"/>
      <c r="AP708" s="719"/>
      <c r="AQ708" s="724">
        <f>+FL_2($T$709,$U$707,$G$708,1200,9.28,-1*$F$709)</f>
        <v>-0.3</v>
      </c>
      <c r="AR708" s="724"/>
      <c r="AS708" s="724"/>
      <c r="AT708" s="724"/>
      <c r="AU708" s="724"/>
      <c r="AV708" s="724"/>
      <c r="AW708" s="719"/>
      <c r="AX708" s="719"/>
      <c r="AY708" s="719"/>
    </row>
    <row r="709" spans="1:51" ht="15.75" customHeight="1">
      <c r="A709" s="716"/>
      <c r="B709" s="741" t="s">
        <v>1647</v>
      </c>
      <c r="C709" s="718">
        <f>+$C$707+$G$708</f>
        <v>47714</v>
      </c>
      <c r="D709" s="719"/>
      <c r="E709" s="719"/>
      <c r="F709" s="720">
        <v>0</v>
      </c>
      <c r="G709" s="721"/>
      <c r="H709" s="719" t="s">
        <v>997</v>
      </c>
      <c r="I709" s="726"/>
      <c r="J709" s="727"/>
      <c r="K709" s="719"/>
      <c r="L709" s="719" t="s">
        <v>241</v>
      </c>
      <c r="M709" s="719"/>
      <c r="N709" s="726" t="s">
        <v>695</v>
      </c>
      <c r="O709" s="726"/>
      <c r="P709" s="726"/>
      <c r="Q709" s="719">
        <v>0</v>
      </c>
      <c r="R709" s="719">
        <v>0</v>
      </c>
      <c r="S709" s="719"/>
      <c r="T709" s="719">
        <v>-30</v>
      </c>
      <c r="U709" s="719"/>
      <c r="V709" s="719"/>
      <c r="W709" s="719">
        <v>1.4</v>
      </c>
      <c r="X709" s="719"/>
      <c r="Y709" s="719"/>
      <c r="Z709" s="719"/>
      <c r="AA709" s="719"/>
      <c r="AB709" s="719"/>
      <c r="AC709" s="719" t="s">
        <v>2979</v>
      </c>
      <c r="AD709" s="719"/>
      <c r="AE709" s="719"/>
      <c r="AF709" s="719">
        <v>200</v>
      </c>
      <c r="AG709" s="1341">
        <v>47714.23</v>
      </c>
      <c r="AH709" s="719">
        <v>2211</v>
      </c>
      <c r="AI709" s="719">
        <v>-4909</v>
      </c>
      <c r="AJ709" s="719"/>
      <c r="AK709" s="719"/>
      <c r="AL709" s="719"/>
      <c r="AM709" s="719" t="s">
        <v>2609</v>
      </c>
      <c r="AN709" s="719">
        <v>5.25</v>
      </c>
      <c r="AO709" s="719"/>
      <c r="AP709" s="719"/>
      <c r="AQ709" s="724"/>
      <c r="AR709" s="724"/>
      <c r="AS709" s="724"/>
      <c r="AT709" s="724">
        <f>+ab($T$709,$T$707,$T$711,$G$708,$G$710,-1*$F$709,1200)</f>
        <v>-5.7898110719980753</v>
      </c>
      <c r="AU709" s="724"/>
      <c r="AV709" s="724"/>
      <c r="AW709" s="719"/>
      <c r="AX709" s="719"/>
      <c r="AY709" s="719"/>
    </row>
    <row r="710" spans="1:51" ht="15.75" customHeight="1">
      <c r="A710" s="716" t="s">
        <v>3162</v>
      </c>
      <c r="B710" s="741"/>
      <c r="C710" s="718"/>
      <c r="D710" s="719"/>
      <c r="E710" s="719"/>
      <c r="F710" s="720"/>
      <c r="G710" s="721">
        <v>27.5</v>
      </c>
      <c r="H710" s="719" t="s">
        <v>1101</v>
      </c>
      <c r="I710" s="722">
        <f>SUM(G710:G730)</f>
        <v>378</v>
      </c>
      <c r="J710" s="727">
        <f>C711-1</f>
        <v>47740.5</v>
      </c>
      <c r="K710" s="719" t="s">
        <v>1102</v>
      </c>
      <c r="L710" s="719"/>
      <c r="M710" s="719"/>
      <c r="N710" s="726"/>
      <c r="O710" s="726"/>
      <c r="P710" s="726"/>
      <c r="Q710" s="719"/>
      <c r="R710" s="719"/>
      <c r="S710" s="724">
        <f>AG711-AG709</f>
        <v>28.69999999999709</v>
      </c>
      <c r="T710" s="719"/>
      <c r="U710" s="719"/>
      <c r="V710" s="719"/>
      <c r="W710" s="719"/>
      <c r="X710" s="719"/>
      <c r="Y710" s="719"/>
      <c r="Z710" s="719"/>
      <c r="AA710" s="719"/>
      <c r="AB710" s="719"/>
      <c r="AC710" s="719"/>
      <c r="AD710" s="719"/>
      <c r="AE710" s="719"/>
      <c r="AF710" s="719"/>
      <c r="AG710" s="1341"/>
      <c r="AH710" s="719"/>
      <c r="AI710" s="719"/>
      <c r="AJ710" s="719" t="s">
        <v>2665</v>
      </c>
      <c r="AK710" s="719"/>
      <c r="AL710" s="719"/>
      <c r="AM710" s="719"/>
      <c r="AN710" s="719"/>
      <c r="AO710" s="719"/>
      <c r="AP710" s="719"/>
      <c r="AQ710" s="724">
        <f>+FL_2($T$711,$T$709,$G$710,1200,9.28,-1*$F$711)</f>
        <v>-0.30000000000000865</v>
      </c>
      <c r="AR710" s="724"/>
      <c r="AS710" s="724"/>
      <c r="AT710" s="724"/>
      <c r="AU710" s="724"/>
      <c r="AV710" s="724"/>
      <c r="AW710" s="719"/>
      <c r="AX710" s="719"/>
      <c r="AY710" s="719"/>
    </row>
    <row r="711" spans="1:51" ht="15.75" customHeight="1">
      <c r="A711" s="716"/>
      <c r="B711" s="741" t="s">
        <v>1648</v>
      </c>
      <c r="C711" s="718">
        <f>+$C$709+$G$710</f>
        <v>47741.5</v>
      </c>
      <c r="D711" s="719"/>
      <c r="E711" s="719"/>
      <c r="F711" s="720">
        <v>0</v>
      </c>
      <c r="G711" s="721"/>
      <c r="H711" s="719" t="s">
        <v>2706</v>
      </c>
      <c r="I711" s="726"/>
      <c r="J711" s="727"/>
      <c r="K711" s="719"/>
      <c r="L711" s="719" t="s">
        <v>465</v>
      </c>
      <c r="M711" s="719"/>
      <c r="N711" s="726" t="s">
        <v>696</v>
      </c>
      <c r="O711" s="726" t="s">
        <v>695</v>
      </c>
      <c r="P711" s="726"/>
      <c r="Q711" s="719">
        <v>0</v>
      </c>
      <c r="R711" s="719">
        <v>0</v>
      </c>
      <c r="S711" s="724">
        <f>AG712-AG711</f>
        <v>1.3700000000026193</v>
      </c>
      <c r="T711" s="719">
        <v>15</v>
      </c>
      <c r="U711" s="719">
        <v>0</v>
      </c>
      <c r="V711" s="719"/>
      <c r="W711" s="719">
        <v>1.4</v>
      </c>
      <c r="X711" s="719">
        <v>1.6</v>
      </c>
      <c r="Y711" s="719"/>
      <c r="Z711" s="719"/>
      <c r="AA711" s="719"/>
      <c r="AB711" s="719"/>
      <c r="AC711" s="719" t="s">
        <v>3012</v>
      </c>
      <c r="AD711" s="719" t="s">
        <v>3024</v>
      </c>
      <c r="AE711" s="719"/>
      <c r="AF711" s="719">
        <v>200</v>
      </c>
      <c r="AG711" s="1341">
        <v>47742.93</v>
      </c>
      <c r="AH711" s="719">
        <v>2189</v>
      </c>
      <c r="AI711" s="719">
        <v>-5136</v>
      </c>
      <c r="AJ711" s="719" t="s">
        <v>985</v>
      </c>
      <c r="AK711" s="719"/>
      <c r="AL711" s="719"/>
      <c r="AM711" s="719" t="s">
        <v>2609</v>
      </c>
      <c r="AN711" s="719">
        <v>5.25</v>
      </c>
      <c r="AO711" s="719"/>
      <c r="AP711" s="719"/>
      <c r="AQ711" s="724"/>
      <c r="AR711" s="724"/>
      <c r="AS711" s="724"/>
      <c r="AT711" s="724">
        <f>+ab($T$711,$T$709,$T$713,$G$710,$G$712,-1*$F$711,1200)</f>
        <v>11.56700376102032</v>
      </c>
      <c r="AU711" s="724"/>
      <c r="AV711" s="724"/>
      <c r="AW711" s="719"/>
      <c r="AX711" s="719"/>
      <c r="AY711" s="719"/>
    </row>
    <row r="712" spans="1:51" ht="15.75" hidden="1" customHeight="1">
      <c r="A712" s="716"/>
      <c r="B712" s="741"/>
      <c r="C712" s="718"/>
      <c r="D712" s="719"/>
      <c r="E712" s="719"/>
      <c r="F712" s="720"/>
      <c r="G712" s="721">
        <v>32</v>
      </c>
      <c r="H712" s="719"/>
      <c r="I712" s="726"/>
      <c r="J712" s="727"/>
      <c r="K712" s="719"/>
      <c r="L712" s="719"/>
      <c r="M712" s="719"/>
      <c r="N712" s="726"/>
      <c r="O712" s="726"/>
      <c r="P712" s="726"/>
      <c r="Q712" s="719">
        <v>0</v>
      </c>
      <c r="R712" s="719">
        <v>0</v>
      </c>
      <c r="S712" s="724">
        <f t="shared" ref="S712:S716" si="92">AG713-AG712</f>
        <v>28.589999999996508</v>
      </c>
      <c r="T712" s="719"/>
      <c r="U712" s="719"/>
      <c r="V712" s="719"/>
      <c r="W712" s="719"/>
      <c r="X712" s="719"/>
      <c r="Y712" s="719"/>
      <c r="Z712" s="719"/>
      <c r="AA712" s="719"/>
      <c r="AB712" s="719"/>
      <c r="AC712" s="719"/>
      <c r="AD712" s="719"/>
      <c r="AE712" s="719"/>
      <c r="AF712" s="719">
        <v>200</v>
      </c>
      <c r="AG712" s="1341">
        <v>47744.3</v>
      </c>
      <c r="AH712" s="719">
        <v>2162</v>
      </c>
      <c r="AI712" s="719">
        <v>-5121</v>
      </c>
      <c r="AJ712" s="719"/>
      <c r="AK712" s="719"/>
      <c r="AL712" s="719"/>
      <c r="AM712" s="719"/>
      <c r="AN712" s="719"/>
      <c r="AO712" s="719"/>
      <c r="AP712" s="719"/>
      <c r="AQ712" s="724">
        <f>+FL_1($T$713,$T$711,$G$712,1200,9.28,-1*$F$713)</f>
        <v>0.24898666666666666</v>
      </c>
      <c r="AR712" s="724"/>
      <c r="AS712" s="724"/>
      <c r="AT712" s="724"/>
      <c r="AU712" s="724"/>
      <c r="AV712" s="724"/>
      <c r="AW712" s="719"/>
      <c r="AX712" s="719"/>
      <c r="AY712" s="719"/>
    </row>
    <row r="713" spans="1:51" ht="15.75" hidden="1" customHeight="1">
      <c r="A713" s="716"/>
      <c r="B713" s="741" t="s">
        <v>1649</v>
      </c>
      <c r="C713" s="718">
        <f>+$C$711+$G$712</f>
        <v>47773.5</v>
      </c>
      <c r="D713" s="719"/>
      <c r="E713" s="719">
        <v>-20</v>
      </c>
      <c r="F713" s="720">
        <v>0</v>
      </c>
      <c r="G713" s="721"/>
      <c r="H713" s="719" t="s">
        <v>2664</v>
      </c>
      <c r="I713" s="726" t="s">
        <v>2827</v>
      </c>
      <c r="J713" s="727">
        <f>C713+10</f>
        <v>47783.5</v>
      </c>
      <c r="K713" s="719" t="s">
        <v>2587</v>
      </c>
      <c r="L713" s="719" t="s">
        <v>465</v>
      </c>
      <c r="M713" s="719"/>
      <c r="N713" s="726" t="s">
        <v>696</v>
      </c>
      <c r="O713" s="726" t="s">
        <v>697</v>
      </c>
      <c r="P713" s="726"/>
      <c r="Q713" s="719">
        <v>4</v>
      </c>
      <c r="R713" s="719">
        <v>-2142.15</v>
      </c>
      <c r="S713" s="724">
        <f t="shared" si="92"/>
        <v>1.3899999999994179</v>
      </c>
      <c r="T713" s="719">
        <v>15</v>
      </c>
      <c r="U713" s="719">
        <v>0</v>
      </c>
      <c r="V713" s="719"/>
      <c r="W713" s="719">
        <v>1.4</v>
      </c>
      <c r="X713" s="719">
        <v>1.8</v>
      </c>
      <c r="Y713" s="719"/>
      <c r="Z713" s="719"/>
      <c r="AA713" s="724">
        <v>0.45</v>
      </c>
      <c r="AB713" s="719"/>
      <c r="AC713" s="719" t="s">
        <v>2616</v>
      </c>
      <c r="AD713" s="719"/>
      <c r="AE713" s="719"/>
      <c r="AF713" s="719">
        <v>200</v>
      </c>
      <c r="AG713" s="1341">
        <v>47772.89</v>
      </c>
      <c r="AH713" s="719">
        <v>2208</v>
      </c>
      <c r="AI713" s="719">
        <v>-5158</v>
      </c>
      <c r="AJ713" s="719"/>
      <c r="AK713" s="719"/>
      <c r="AL713" s="719"/>
      <c r="AM713" s="719" t="s">
        <v>2609</v>
      </c>
      <c r="AN713" s="719">
        <v>5.25</v>
      </c>
      <c r="AO713" s="719"/>
      <c r="AP713" s="719"/>
      <c r="AQ713" s="724"/>
      <c r="AR713" s="724"/>
      <c r="AS713" s="724"/>
      <c r="AT713" s="724">
        <f>+ab($T$713,$T$711,$U$715,$G$712,$G$714,-1*$F$713,1200)</f>
        <v>19.374746227244014</v>
      </c>
      <c r="AU713" s="724"/>
      <c r="AV713" s="724"/>
      <c r="AW713" s="719"/>
      <c r="AX713" s="719"/>
      <c r="AY713" s="719"/>
    </row>
    <row r="714" spans="1:51" ht="15.75" hidden="1" customHeight="1">
      <c r="A714" s="716"/>
      <c r="B714" s="741"/>
      <c r="C714" s="718"/>
      <c r="D714" s="719"/>
      <c r="E714" s="719"/>
      <c r="F714" s="720"/>
      <c r="G714" s="721">
        <v>42</v>
      </c>
      <c r="H714" s="719"/>
      <c r="I714" s="726"/>
      <c r="J714" s="727"/>
      <c r="K714" s="719"/>
      <c r="L714" s="719"/>
      <c r="M714" s="719"/>
      <c r="N714" s="726"/>
      <c r="O714" s="726"/>
      <c r="P714" s="726"/>
      <c r="Q714" s="719">
        <v>8</v>
      </c>
      <c r="R714" s="719">
        <v>-1785.13</v>
      </c>
      <c r="S714" s="724">
        <f t="shared" si="92"/>
        <v>40.389999999999418</v>
      </c>
      <c r="T714" s="719"/>
      <c r="U714" s="719"/>
      <c r="V714" s="719"/>
      <c r="W714" s="719"/>
      <c r="X714" s="719"/>
      <c r="Y714" s="719"/>
      <c r="Z714" s="719"/>
      <c r="AA714" s="719"/>
      <c r="AB714" s="719"/>
      <c r="AC714" s="719"/>
      <c r="AD714" s="719"/>
      <c r="AE714" s="719"/>
      <c r="AF714" s="719">
        <v>200</v>
      </c>
      <c r="AG714" s="1341">
        <v>47774.28</v>
      </c>
      <c r="AH714" s="719">
        <v>2208</v>
      </c>
      <c r="AI714" s="719">
        <v>-5156</v>
      </c>
      <c r="AJ714" s="719" t="s">
        <v>2976</v>
      </c>
      <c r="AK714" s="719"/>
      <c r="AL714" s="719"/>
      <c r="AM714" s="719"/>
      <c r="AN714" s="719"/>
      <c r="AO714" s="719"/>
      <c r="AP714" s="719"/>
      <c r="AQ714" s="724">
        <f>+FL_2($U$715,$T$713,$G$714,1200,9.28,-1*$F$715)</f>
        <v>-0.40851323368885839</v>
      </c>
      <c r="AR714" s="724"/>
      <c r="AS714" s="724"/>
      <c r="AT714" s="724"/>
      <c r="AU714" s="724"/>
      <c r="AV714" s="724"/>
      <c r="AW714" s="719"/>
      <c r="AX714" s="719"/>
      <c r="AY714" s="719"/>
    </row>
    <row r="715" spans="1:51" ht="15.75" hidden="1" customHeight="1">
      <c r="A715" s="716" t="s">
        <v>2964</v>
      </c>
      <c r="B715" s="741" t="s">
        <v>1650</v>
      </c>
      <c r="C715" s="718">
        <f>+$C$713+$G$714</f>
        <v>47815.5</v>
      </c>
      <c r="D715" s="719"/>
      <c r="E715" s="719"/>
      <c r="F715" s="720">
        <v>-1400</v>
      </c>
      <c r="G715" s="721"/>
      <c r="H715" s="719" t="s">
        <v>2664</v>
      </c>
      <c r="I715" s="726" t="s">
        <v>2827</v>
      </c>
      <c r="J715" s="727">
        <f>C715-10</f>
        <v>47805.5</v>
      </c>
      <c r="K715" s="719" t="s">
        <v>2587</v>
      </c>
      <c r="L715" s="719" t="s">
        <v>465</v>
      </c>
      <c r="M715" s="719"/>
      <c r="N715" s="726" t="s">
        <v>697</v>
      </c>
      <c r="O715" s="726" t="s">
        <v>695</v>
      </c>
      <c r="P715" s="726"/>
      <c r="Q715" s="719">
        <v>11</v>
      </c>
      <c r="R715" s="719">
        <v>-1160.33</v>
      </c>
      <c r="S715" s="724">
        <f t="shared" si="92"/>
        <v>1.5600000000049477</v>
      </c>
      <c r="T715" s="719">
        <v>-10</v>
      </c>
      <c r="U715" s="719">
        <v>-25</v>
      </c>
      <c r="V715" s="719"/>
      <c r="W715" s="719">
        <v>1.4</v>
      </c>
      <c r="X715" s="719">
        <v>1.8</v>
      </c>
      <c r="Y715" s="719"/>
      <c r="Z715" s="724">
        <v>0.5</v>
      </c>
      <c r="AA715" s="724"/>
      <c r="AB715" s="719"/>
      <c r="AC715" s="719"/>
      <c r="AD715" s="719" t="s">
        <v>3005</v>
      </c>
      <c r="AE715" s="719"/>
      <c r="AF715" s="719">
        <v>200</v>
      </c>
      <c r="AG715" s="1341">
        <v>47814.67</v>
      </c>
      <c r="AH715" s="719">
        <v>2161</v>
      </c>
      <c r="AI715" s="719">
        <v>-4978</v>
      </c>
      <c r="AJ715" s="719" t="s">
        <v>2943</v>
      </c>
      <c r="AK715" s="719"/>
      <c r="AL715" s="719"/>
      <c r="AM715" s="719" t="s">
        <v>2609</v>
      </c>
      <c r="AN715" s="719">
        <v>5.25</v>
      </c>
      <c r="AO715" s="719"/>
      <c r="AP715" s="719"/>
      <c r="AQ715" s="724"/>
      <c r="AR715" s="724"/>
      <c r="AS715" s="724"/>
      <c r="AT715" s="724">
        <f>+ab($U$715,$T$713,$U$717,$G$714,$G$716,-1*$F$715,1200)</f>
        <v>9.1327083943328802</v>
      </c>
      <c r="AU715" s="724"/>
      <c r="AV715" s="724"/>
      <c r="AW715" s="719"/>
      <c r="AX715" s="719"/>
      <c r="AY715" s="719"/>
    </row>
    <row r="716" spans="1:51" ht="15.75" hidden="1" customHeight="1">
      <c r="A716" s="716"/>
      <c r="B716" s="741"/>
      <c r="C716" s="718"/>
      <c r="D716" s="719"/>
      <c r="E716" s="719"/>
      <c r="F716" s="720"/>
      <c r="G716" s="721">
        <v>43</v>
      </c>
      <c r="H716" s="719"/>
      <c r="I716" s="726"/>
      <c r="J716" s="727"/>
      <c r="K716" s="719"/>
      <c r="L716" s="719"/>
      <c r="M716" s="719"/>
      <c r="N716" s="726"/>
      <c r="O716" s="726"/>
      <c r="P716" s="726"/>
      <c r="Q716" s="719">
        <v>9</v>
      </c>
      <c r="R716" s="719">
        <v>-1326.09</v>
      </c>
      <c r="S716" s="724">
        <f t="shared" si="92"/>
        <v>41.44999999999709</v>
      </c>
      <c r="T716" s="719"/>
      <c r="U716" s="719"/>
      <c r="V716" s="719"/>
      <c r="W716" s="719"/>
      <c r="X716" s="719"/>
      <c r="Y716" s="719"/>
      <c r="Z716" s="724"/>
      <c r="AA716" s="724"/>
      <c r="AB716" s="719"/>
      <c r="AC716" s="719"/>
      <c r="AD716" s="719"/>
      <c r="AE716" s="719"/>
      <c r="AF716" s="719">
        <v>200</v>
      </c>
      <c r="AG716" s="1341">
        <v>47816.23</v>
      </c>
      <c r="AH716" s="719">
        <v>2208</v>
      </c>
      <c r="AI716" s="719">
        <v>-4969</v>
      </c>
      <c r="AJ716" s="719" t="s">
        <v>2976</v>
      </c>
      <c r="AK716" s="719"/>
      <c r="AL716" s="719"/>
      <c r="AM716" s="719"/>
      <c r="AN716" s="719"/>
      <c r="AO716" s="719"/>
      <c r="AP716" s="719"/>
      <c r="AQ716" s="724">
        <f>+FL_2($U$717,$U$715,$G$716,1200,9.28,-1*$F$717)</f>
        <v>-0.42873666666666665</v>
      </c>
      <c r="AR716" s="724"/>
      <c r="AS716" s="724"/>
      <c r="AT716" s="724"/>
      <c r="AU716" s="724"/>
      <c r="AV716" s="724"/>
      <c r="AW716" s="719"/>
      <c r="AX716" s="719"/>
      <c r="AY716" s="719"/>
    </row>
    <row r="717" spans="1:51" ht="15.75" customHeight="1">
      <c r="A717" s="716"/>
      <c r="B717" s="741" t="s">
        <v>1651</v>
      </c>
      <c r="C717" s="718">
        <f>+$C$715+$G$716</f>
        <v>47858.5</v>
      </c>
      <c r="D717" s="719"/>
      <c r="E717" s="719"/>
      <c r="F717" s="720">
        <v>0</v>
      </c>
      <c r="G717" s="721"/>
      <c r="H717" s="726" t="s">
        <v>143</v>
      </c>
      <c r="I717" s="726"/>
      <c r="J717" s="727"/>
      <c r="K717" s="719"/>
      <c r="L717" s="719" t="s">
        <v>465</v>
      </c>
      <c r="M717" s="719"/>
      <c r="N717" s="726" t="s">
        <v>696</v>
      </c>
      <c r="O717" s="726" t="s">
        <v>695</v>
      </c>
      <c r="P717" s="726"/>
      <c r="Q717" s="719">
        <v>0</v>
      </c>
      <c r="R717" s="719">
        <v>0</v>
      </c>
      <c r="S717" s="724">
        <f>AG718-AG717</f>
        <v>1.4800000000032014</v>
      </c>
      <c r="T717" s="719">
        <v>-10</v>
      </c>
      <c r="U717" s="719">
        <v>-25</v>
      </c>
      <c r="V717" s="719"/>
      <c r="W717" s="719">
        <v>1.4</v>
      </c>
      <c r="X717" s="719">
        <v>1.8</v>
      </c>
      <c r="Y717" s="719"/>
      <c r="Z717" s="724"/>
      <c r="AA717" s="724"/>
      <c r="AB717" s="719"/>
      <c r="AC717" s="719" t="s">
        <v>3012</v>
      </c>
      <c r="AD717" s="719" t="s">
        <v>3024</v>
      </c>
      <c r="AE717" s="719"/>
      <c r="AF717" s="719">
        <v>200</v>
      </c>
      <c r="AG717" s="1341">
        <v>47857.68</v>
      </c>
      <c r="AH717" s="719">
        <v>2648</v>
      </c>
      <c r="AI717" s="719">
        <v>-5116</v>
      </c>
      <c r="AJ717" s="719"/>
      <c r="AK717" s="719"/>
      <c r="AL717" s="719"/>
      <c r="AM717" s="719" t="s">
        <v>2609</v>
      </c>
      <c r="AN717" s="719">
        <v>5.25</v>
      </c>
      <c r="AO717" s="719"/>
      <c r="AP717" s="719"/>
      <c r="AQ717" s="724"/>
      <c r="AR717" s="724"/>
      <c r="AS717" s="724"/>
      <c r="AT717" s="724">
        <f>+ab($T$717,$T$715,$T$719,$G$716,$G$718,-1*$F$717,1200)</f>
        <v>36.070891628589827</v>
      </c>
      <c r="AU717" s="724"/>
      <c r="AV717" s="724"/>
      <c r="AW717" s="719"/>
      <c r="AX717" s="719"/>
      <c r="AY717" s="719"/>
    </row>
    <row r="718" spans="1:51" ht="15.75" hidden="1" customHeight="1">
      <c r="A718" s="716"/>
      <c r="B718" s="741"/>
      <c r="C718" s="718"/>
      <c r="D718" s="719"/>
      <c r="E718" s="719"/>
      <c r="F718" s="720"/>
      <c r="G718" s="721">
        <v>43.5</v>
      </c>
      <c r="H718" s="726"/>
      <c r="I718" s="722" t="s">
        <v>2053</v>
      </c>
      <c r="J718" s="723">
        <f>C717+15</f>
        <v>47873.5</v>
      </c>
      <c r="K718" s="719" t="s">
        <v>1102</v>
      </c>
      <c r="L718" s="719"/>
      <c r="M718" s="719"/>
      <c r="N718" s="726"/>
      <c r="O718" s="719"/>
      <c r="P718" s="726"/>
      <c r="Q718" s="719">
        <v>0</v>
      </c>
      <c r="R718" s="719">
        <v>0</v>
      </c>
      <c r="S718" s="724">
        <f>AG719-AG718</f>
        <v>42.899999999994179</v>
      </c>
      <c r="T718" s="719"/>
      <c r="U718" s="719"/>
      <c r="V718" s="719"/>
      <c r="W718" s="719"/>
      <c r="X718" s="719"/>
      <c r="Y718" s="719"/>
      <c r="Z718" s="719"/>
      <c r="AA718" s="719"/>
      <c r="AB718" s="719"/>
      <c r="AC718" s="719"/>
      <c r="AD718" s="719"/>
      <c r="AE718" s="719"/>
      <c r="AF718" s="719">
        <v>200</v>
      </c>
      <c r="AG718" s="1341">
        <v>47859.16</v>
      </c>
      <c r="AH718" s="719">
        <v>2729</v>
      </c>
      <c r="AI718" s="719">
        <v>-5056</v>
      </c>
      <c r="AJ718" s="719"/>
      <c r="AK718" s="719"/>
      <c r="AL718" s="719"/>
      <c r="AM718" s="719"/>
      <c r="AN718" s="719"/>
      <c r="AO718" s="719"/>
      <c r="AP718" s="719"/>
      <c r="AQ718" s="724">
        <f>+FL_2($T$719,$U$717,$G$718,1200,9.28,-1*$F$719)</f>
        <v>-0.45877170501149422</v>
      </c>
      <c r="AR718" s="724"/>
      <c r="AS718" s="724"/>
      <c r="AT718" s="724"/>
      <c r="AU718" s="724"/>
      <c r="AV718" s="724"/>
      <c r="AW718" s="719"/>
      <c r="AX718" s="719"/>
      <c r="AY718" s="719"/>
    </row>
    <row r="719" spans="1:51" ht="15.75" hidden="1" customHeight="1">
      <c r="A719" s="716"/>
      <c r="B719" s="741" t="s">
        <v>1652</v>
      </c>
      <c r="C719" s="718">
        <f>+$C$717+$G$718</f>
        <v>47902</v>
      </c>
      <c r="D719" s="719"/>
      <c r="E719" s="719"/>
      <c r="F719" s="720">
        <v>0</v>
      </c>
      <c r="G719" s="721"/>
      <c r="H719" s="726"/>
      <c r="I719" s="726"/>
      <c r="J719" s="727"/>
      <c r="K719" s="719"/>
      <c r="L719" s="719" t="s">
        <v>241</v>
      </c>
      <c r="M719" s="719"/>
      <c r="N719" s="726" t="s">
        <v>695</v>
      </c>
      <c r="O719" s="726"/>
      <c r="P719" s="726"/>
      <c r="Q719" s="719">
        <v>8</v>
      </c>
      <c r="R719" s="719">
        <v>-1375</v>
      </c>
      <c r="S719" s="719"/>
      <c r="T719" s="719">
        <v>-30</v>
      </c>
      <c r="U719" s="719"/>
      <c r="V719" s="719"/>
      <c r="W719" s="719">
        <v>1.4</v>
      </c>
      <c r="X719" s="719"/>
      <c r="Y719" s="719"/>
      <c r="Z719" s="719"/>
      <c r="AA719" s="719"/>
      <c r="AB719" s="719"/>
      <c r="AC719" s="719" t="s">
        <v>2978</v>
      </c>
      <c r="AD719" s="719"/>
      <c r="AE719" s="719"/>
      <c r="AF719" s="719">
        <v>200</v>
      </c>
      <c r="AG719" s="1341">
        <v>47902.06</v>
      </c>
      <c r="AH719" s="719">
        <v>1503</v>
      </c>
      <c r="AI719" s="719">
        <v>-4911</v>
      </c>
      <c r="AJ719" s="719"/>
      <c r="AK719" s="719"/>
      <c r="AL719" s="719"/>
      <c r="AM719" s="719" t="s">
        <v>2609</v>
      </c>
      <c r="AN719" s="719">
        <v>5.25</v>
      </c>
      <c r="AO719" s="719"/>
      <c r="AP719" s="719"/>
      <c r="AQ719" s="724"/>
      <c r="AR719" s="724"/>
      <c r="AS719" s="724"/>
      <c r="AT719" s="724">
        <f>+ab($T$719,$T$717,$T$721,$G$718,$G$720,-1*$F$719,1200)</f>
        <v>-36.071372015620156</v>
      </c>
      <c r="AU719" s="724"/>
      <c r="AV719" s="724"/>
      <c r="AW719" s="719"/>
      <c r="AX719" s="719"/>
      <c r="AY719" s="719"/>
    </row>
    <row r="720" spans="1:51" ht="15.75" hidden="1" customHeight="1">
      <c r="A720" s="716"/>
      <c r="B720" s="741"/>
      <c r="C720" s="718"/>
      <c r="D720" s="719"/>
      <c r="E720" s="719"/>
      <c r="F720" s="720"/>
      <c r="G720" s="721">
        <v>32</v>
      </c>
      <c r="H720" s="726"/>
      <c r="I720" s="726"/>
      <c r="J720" s="727"/>
      <c r="K720" s="719"/>
      <c r="L720" s="719"/>
      <c r="M720" s="719"/>
      <c r="N720" s="726"/>
      <c r="O720" s="726"/>
      <c r="P720" s="726"/>
      <c r="Q720" s="719"/>
      <c r="R720" s="719"/>
      <c r="S720" s="724">
        <f>AG721-AG719</f>
        <v>32.30000000000291</v>
      </c>
      <c r="T720" s="719"/>
      <c r="U720" s="719"/>
      <c r="V720" s="719"/>
      <c r="W720" s="719"/>
      <c r="X720" s="719"/>
      <c r="Y720" s="719"/>
      <c r="Z720" s="719"/>
      <c r="AA720" s="719"/>
      <c r="AB720" s="719"/>
      <c r="AC720" s="719"/>
      <c r="AD720" s="719"/>
      <c r="AE720" s="719"/>
      <c r="AF720" s="719"/>
      <c r="AG720" s="1341"/>
      <c r="AH720" s="719"/>
      <c r="AI720" s="719"/>
      <c r="AJ720" s="719"/>
      <c r="AK720" s="719"/>
      <c r="AL720" s="719"/>
      <c r="AM720" s="719"/>
      <c r="AN720" s="719"/>
      <c r="AO720" s="719"/>
      <c r="AP720" s="719"/>
      <c r="AQ720" s="724">
        <f>+FL_2($T$721,$T$719,$G$720,1200,9.28,-1*$F$721)</f>
        <v>-0.71911476916917483</v>
      </c>
      <c r="AR720" s="724"/>
      <c r="AS720" s="724"/>
      <c r="AT720" s="724"/>
      <c r="AU720" s="724"/>
      <c r="AV720" s="724"/>
      <c r="AW720" s="719"/>
      <c r="AX720" s="719"/>
      <c r="AY720" s="719"/>
    </row>
    <row r="721" spans="1:51" ht="15.75" hidden="1" customHeight="1">
      <c r="A721" s="716"/>
      <c r="B721" s="741" t="s">
        <v>1653</v>
      </c>
      <c r="C721" s="718">
        <f>+$C$719+$G$720</f>
        <v>47934</v>
      </c>
      <c r="D721" s="719"/>
      <c r="E721" s="719">
        <v>-20</v>
      </c>
      <c r="F721" s="720">
        <v>-400</v>
      </c>
      <c r="G721" s="721"/>
      <c r="H721" s="726" t="s">
        <v>138</v>
      </c>
      <c r="I721" s="726" t="s">
        <v>2827</v>
      </c>
      <c r="J721" s="727"/>
      <c r="K721" s="719"/>
      <c r="L721" s="719" t="s">
        <v>241</v>
      </c>
      <c r="M721" s="719"/>
      <c r="N721" s="726" t="s">
        <v>695</v>
      </c>
      <c r="O721" s="726"/>
      <c r="P721" s="726"/>
      <c r="Q721" s="719">
        <v>17</v>
      </c>
      <c r="R721" s="719">
        <v>-400</v>
      </c>
      <c r="S721" s="719"/>
      <c r="T721" s="719">
        <v>-30</v>
      </c>
      <c r="U721" s="719"/>
      <c r="V721" s="719"/>
      <c r="W721" s="719">
        <v>1.4</v>
      </c>
      <c r="X721" s="719"/>
      <c r="Y721" s="719"/>
      <c r="Z721" s="719"/>
      <c r="AA721" s="719"/>
      <c r="AB721" s="719"/>
      <c r="AC721" s="719" t="s">
        <v>3003</v>
      </c>
      <c r="AD721" s="719"/>
      <c r="AE721" s="719"/>
      <c r="AF721" s="719">
        <v>200</v>
      </c>
      <c r="AG721" s="1341">
        <v>47934.36</v>
      </c>
      <c r="AH721" s="719">
        <v>1438</v>
      </c>
      <c r="AI721" s="719">
        <v>-4832</v>
      </c>
      <c r="AJ721" s="719"/>
      <c r="AK721" s="719"/>
      <c r="AL721" s="719"/>
      <c r="AM721" s="719" t="s">
        <v>2609</v>
      </c>
      <c r="AN721" s="719">
        <v>5.25</v>
      </c>
      <c r="AO721" s="719"/>
      <c r="AP721" s="719"/>
      <c r="AQ721" s="724"/>
      <c r="AR721" s="724"/>
      <c r="AS721" s="724"/>
      <c r="AT721" s="724">
        <f>+ab($T$721,$T$719,$T$723,$G$720,$G$722,-1*$F$721,1200)</f>
        <v>3.0673489076901475</v>
      </c>
      <c r="AU721" s="724"/>
      <c r="AV721" s="724"/>
      <c r="AW721" s="719"/>
      <c r="AX721" s="719"/>
      <c r="AY721" s="719"/>
    </row>
    <row r="722" spans="1:51" ht="15.75" hidden="1" customHeight="1">
      <c r="A722" s="716"/>
      <c r="B722" s="741"/>
      <c r="C722" s="718"/>
      <c r="D722" s="719"/>
      <c r="E722" s="719"/>
      <c r="F722" s="720"/>
      <c r="G722" s="721">
        <v>30</v>
      </c>
      <c r="H722" s="726"/>
      <c r="I722" s="726"/>
      <c r="J722" s="727">
        <f>C721+10</f>
        <v>47944</v>
      </c>
      <c r="K722" s="719" t="s">
        <v>2587</v>
      </c>
      <c r="L722" s="719"/>
      <c r="M722" s="719"/>
      <c r="N722" s="726"/>
      <c r="O722" s="726"/>
      <c r="P722" s="726"/>
      <c r="Q722" s="719"/>
      <c r="R722" s="719"/>
      <c r="S722" s="724">
        <f>AG723-AG721</f>
        <v>28.620000000002619</v>
      </c>
      <c r="T722" s="719"/>
      <c r="U722" s="719"/>
      <c r="V722" s="719"/>
      <c r="W722" s="719"/>
      <c r="X722" s="719"/>
      <c r="Y722" s="719"/>
      <c r="Z722" s="719"/>
      <c r="AA722" s="719"/>
      <c r="AB722" s="719"/>
      <c r="AC722" s="719"/>
      <c r="AD722" s="719"/>
      <c r="AE722" s="719"/>
      <c r="AF722" s="719"/>
      <c r="AG722" s="1341"/>
      <c r="AH722" s="719"/>
      <c r="AI722" s="719"/>
      <c r="AJ722" s="719"/>
      <c r="AK722" s="719"/>
      <c r="AL722" s="719"/>
      <c r="AM722" s="719"/>
      <c r="AN722" s="719"/>
      <c r="AO722" s="719"/>
      <c r="AP722" s="719"/>
      <c r="AQ722" s="724">
        <f>+FL_2($U$723,$T$721,$G$722,1200,9.28,-1*$F$723)</f>
        <v>-0.66834894653715038</v>
      </c>
      <c r="AR722" s="724"/>
      <c r="AS722" s="724"/>
      <c r="AT722" s="724"/>
      <c r="AU722" s="724"/>
      <c r="AV722" s="724"/>
      <c r="AW722" s="719"/>
      <c r="AX722" s="719"/>
      <c r="AY722" s="719"/>
    </row>
    <row r="723" spans="1:51" ht="15.75" hidden="1" customHeight="1">
      <c r="A723" s="716"/>
      <c r="B723" s="741" t="s">
        <v>2703</v>
      </c>
      <c r="C723" s="718">
        <f>+$C$721+$G$722</f>
        <v>47964</v>
      </c>
      <c r="D723" s="719"/>
      <c r="E723" s="719">
        <v>-20</v>
      </c>
      <c r="F723" s="720">
        <v>-400</v>
      </c>
      <c r="G723" s="721"/>
      <c r="H723" s="726" t="s">
        <v>668</v>
      </c>
      <c r="I723" s="722"/>
      <c r="J723" s="727"/>
      <c r="K723" s="719"/>
      <c r="L723" s="719" t="s">
        <v>465</v>
      </c>
      <c r="M723" s="719"/>
      <c r="N723" s="726" t="s">
        <v>697</v>
      </c>
      <c r="O723" s="726" t="s">
        <v>695</v>
      </c>
      <c r="P723" s="726"/>
      <c r="Q723" s="719">
        <v>21</v>
      </c>
      <c r="R723" s="719">
        <v>-400</v>
      </c>
      <c r="S723" s="724">
        <f>AG724-AG723</f>
        <v>1.4199999999982538</v>
      </c>
      <c r="T723" s="719">
        <v>15</v>
      </c>
      <c r="U723" s="719">
        <v>-30</v>
      </c>
      <c r="V723" s="719"/>
      <c r="W723" s="719">
        <v>1.4</v>
      </c>
      <c r="X723" s="719">
        <v>2.2999999999999998</v>
      </c>
      <c r="Y723" s="719"/>
      <c r="Z723" s="724">
        <v>0.5</v>
      </c>
      <c r="AA723" s="719"/>
      <c r="AB723" s="719"/>
      <c r="AC723" s="719"/>
      <c r="AD723" s="719" t="s">
        <v>3004</v>
      </c>
      <c r="AE723" s="719"/>
      <c r="AF723" s="719">
        <v>200</v>
      </c>
      <c r="AG723" s="1341">
        <v>47962.98</v>
      </c>
      <c r="AH723" s="719">
        <v>1401</v>
      </c>
      <c r="AI723" s="719">
        <v>-4894</v>
      </c>
      <c r="AJ723" s="719"/>
      <c r="AK723" s="719"/>
      <c r="AL723" s="719"/>
      <c r="AM723" s="719" t="s">
        <v>2609</v>
      </c>
      <c r="AN723" s="719">
        <v>5.25</v>
      </c>
      <c r="AO723" s="719"/>
      <c r="AP723" s="719"/>
      <c r="AQ723" s="724"/>
      <c r="AR723" s="724"/>
      <c r="AS723" s="724"/>
      <c r="AT723" s="724">
        <f>+ab($U$723,$T$721,$U$725,$G$722,$G$724,-1*$F$723,1200)</f>
        <v>2.474494761718895</v>
      </c>
      <c r="AU723" s="724"/>
      <c r="AV723" s="724"/>
      <c r="AW723" s="719"/>
      <c r="AX723" s="719"/>
      <c r="AY723" s="719"/>
    </row>
    <row r="724" spans="1:51" ht="15.75" hidden="1" customHeight="1">
      <c r="A724" s="716"/>
      <c r="B724" s="741"/>
      <c r="C724" s="718"/>
      <c r="D724" s="719"/>
      <c r="E724" s="719"/>
      <c r="F724" s="720"/>
      <c r="G724" s="721">
        <v>32</v>
      </c>
      <c r="H724" s="726"/>
      <c r="I724" s="722"/>
      <c r="J724" s="727"/>
      <c r="K724" s="719"/>
      <c r="L724" s="719"/>
      <c r="M724" s="719"/>
      <c r="N724" s="726"/>
      <c r="O724" s="726"/>
      <c r="P724" s="726"/>
      <c r="Q724" s="719">
        <v>19</v>
      </c>
      <c r="R724" s="719">
        <v>-400</v>
      </c>
      <c r="S724" s="724">
        <f t="shared" ref="S724:S727" si="93">AG725-AG724</f>
        <v>30.809999999997672</v>
      </c>
      <c r="T724" s="719"/>
      <c r="U724" s="719"/>
      <c r="V724" s="719"/>
      <c r="W724" s="719"/>
      <c r="X724" s="719"/>
      <c r="Y724" s="719"/>
      <c r="Z724" s="719"/>
      <c r="AA724" s="719"/>
      <c r="AB724" s="719"/>
      <c r="AC724" s="719"/>
      <c r="AD724" s="719"/>
      <c r="AE724" s="719"/>
      <c r="AF724" s="719">
        <v>200</v>
      </c>
      <c r="AG724" s="1341">
        <v>47964.4</v>
      </c>
      <c r="AH724" s="719">
        <v>1355</v>
      </c>
      <c r="AI724" s="719">
        <v>-4795</v>
      </c>
      <c r="AJ724" s="719"/>
      <c r="AK724" s="719"/>
      <c r="AL724" s="720"/>
      <c r="AM724" s="719"/>
      <c r="AN724" s="719"/>
      <c r="AO724" s="719"/>
      <c r="AP724" s="719"/>
      <c r="AQ724" s="724">
        <f>+FL_2($U$725,$U$723,$G$724,1200,9.28,-1*$F$725)</f>
        <v>-0.71911476916917483</v>
      </c>
      <c r="AR724" s="724"/>
      <c r="AS724" s="724"/>
      <c r="AT724" s="724"/>
      <c r="AU724" s="724"/>
      <c r="AV724" s="724"/>
      <c r="AW724" s="720"/>
      <c r="AX724" s="720"/>
      <c r="AY724" s="720"/>
    </row>
    <row r="725" spans="1:51" ht="15.75" hidden="1" customHeight="1">
      <c r="A725" s="716"/>
      <c r="B725" s="741" t="s">
        <v>2704</v>
      </c>
      <c r="C725" s="718">
        <f>+$C$723+$G$724</f>
        <v>47996</v>
      </c>
      <c r="D725" s="719"/>
      <c r="E725" s="719">
        <v>-20</v>
      </c>
      <c r="F725" s="720">
        <v>-400</v>
      </c>
      <c r="G725" s="721"/>
      <c r="H725" s="726" t="s">
        <v>668</v>
      </c>
      <c r="I725" s="726"/>
      <c r="J725" s="727"/>
      <c r="K725" s="719"/>
      <c r="L725" s="719" t="s">
        <v>465</v>
      </c>
      <c r="M725" s="719"/>
      <c r="N725" s="726" t="s">
        <v>695</v>
      </c>
      <c r="O725" s="726" t="s">
        <v>695</v>
      </c>
      <c r="P725" s="726"/>
      <c r="Q725" s="719">
        <v>18</v>
      </c>
      <c r="R725" s="719">
        <v>-400</v>
      </c>
      <c r="S725" s="724">
        <f t="shared" si="93"/>
        <v>1.5500000000029104</v>
      </c>
      <c r="T725" s="719">
        <v>15</v>
      </c>
      <c r="U725" s="719">
        <v>-30</v>
      </c>
      <c r="V725" s="719"/>
      <c r="W725" s="719">
        <v>1.4</v>
      </c>
      <c r="X725" s="719">
        <v>2.2999999999999998</v>
      </c>
      <c r="Y725" s="719"/>
      <c r="Z725" s="724">
        <v>0.1</v>
      </c>
      <c r="AA725" s="719"/>
      <c r="AB725" s="719"/>
      <c r="AC725" s="719" t="s">
        <v>492</v>
      </c>
      <c r="AD725" s="719" t="s">
        <v>3004</v>
      </c>
      <c r="AE725" s="719"/>
      <c r="AF725" s="719">
        <v>200</v>
      </c>
      <c r="AG725" s="1341">
        <v>47995.21</v>
      </c>
      <c r="AH725" s="719">
        <v>1435</v>
      </c>
      <c r="AI725" s="719">
        <v>-4927</v>
      </c>
      <c r="AJ725" s="719"/>
      <c r="AK725" s="719"/>
      <c r="AL725" s="720"/>
      <c r="AM725" s="719" t="s">
        <v>2609</v>
      </c>
      <c r="AN725" s="719">
        <v>5.25</v>
      </c>
      <c r="AO725" s="719"/>
      <c r="AP725" s="719"/>
      <c r="AQ725" s="724"/>
      <c r="AR725" s="724"/>
      <c r="AS725" s="724"/>
      <c r="AT725" s="724">
        <f>+ab($U$725,$U$723,$U$727,$G$724,$G$726,-1*$F$725,1200)</f>
        <v>2.351386026608465</v>
      </c>
      <c r="AU725" s="724"/>
      <c r="AV725" s="724"/>
      <c r="AW725" s="720"/>
      <c r="AX725" s="720"/>
      <c r="AY725" s="720"/>
    </row>
    <row r="726" spans="1:51" ht="15.75" hidden="1" customHeight="1">
      <c r="A726" s="716"/>
      <c r="B726" s="741"/>
      <c r="C726" s="718"/>
      <c r="D726" s="719"/>
      <c r="E726" s="719"/>
      <c r="F726" s="720"/>
      <c r="G726" s="721">
        <v>32</v>
      </c>
      <c r="H726" s="726"/>
      <c r="I726" s="726"/>
      <c r="J726" s="727"/>
      <c r="K726" s="719"/>
      <c r="L726" s="719"/>
      <c r="M726" s="719"/>
      <c r="N726" s="726"/>
      <c r="O726" s="726"/>
      <c r="P726" s="726"/>
      <c r="Q726" s="719">
        <v>19</v>
      </c>
      <c r="R726" s="719">
        <v>-400</v>
      </c>
      <c r="S726" s="724">
        <f t="shared" si="93"/>
        <v>30.509999999994761</v>
      </c>
      <c r="T726" s="719"/>
      <c r="U726" s="719"/>
      <c r="V726" s="719"/>
      <c r="W726" s="719"/>
      <c r="X726" s="719"/>
      <c r="Y726" s="719"/>
      <c r="Z726" s="719"/>
      <c r="AA726" s="719"/>
      <c r="AB726" s="719"/>
      <c r="AC726" s="719"/>
      <c r="AD726" s="719"/>
      <c r="AE726" s="719"/>
      <c r="AF726" s="719">
        <v>200</v>
      </c>
      <c r="AG726" s="1341">
        <v>47996.76</v>
      </c>
      <c r="AH726" s="719">
        <v>1480</v>
      </c>
      <c r="AI726" s="719">
        <v>-4900</v>
      </c>
      <c r="AJ726" s="719"/>
      <c r="AK726" s="719"/>
      <c r="AL726" s="720"/>
      <c r="AM726" s="719"/>
      <c r="AN726" s="719"/>
      <c r="AO726" s="719"/>
      <c r="AP726" s="719"/>
      <c r="AQ726" s="724">
        <f>+FL_2($T$727,$U$725,$G$726,1200,9.28,-1*$F$727)</f>
        <v>-0.54296768144417262</v>
      </c>
      <c r="AR726" s="724"/>
      <c r="AS726" s="724"/>
      <c r="AT726" s="724"/>
      <c r="AU726" s="724"/>
      <c r="AV726" s="724"/>
      <c r="AW726" s="720"/>
      <c r="AX726" s="720"/>
      <c r="AY726" s="720"/>
    </row>
    <row r="727" spans="1:51" ht="15.75" hidden="1" customHeight="1">
      <c r="A727" s="716"/>
      <c r="B727" s="741" t="s">
        <v>2705</v>
      </c>
      <c r="C727" s="718">
        <f>+$C$725+$G$726</f>
        <v>48028</v>
      </c>
      <c r="D727" s="719"/>
      <c r="E727" s="719">
        <v>-20</v>
      </c>
      <c r="F727" s="720">
        <v>-400</v>
      </c>
      <c r="G727" s="721"/>
      <c r="H727" s="726" t="s">
        <v>668</v>
      </c>
      <c r="I727" s="726"/>
      <c r="J727" s="727"/>
      <c r="K727" s="719"/>
      <c r="L727" s="719" t="s">
        <v>465</v>
      </c>
      <c r="M727" s="719"/>
      <c r="N727" s="726" t="s">
        <v>695</v>
      </c>
      <c r="O727" s="726" t="s">
        <v>695</v>
      </c>
      <c r="P727" s="726"/>
      <c r="Q727" s="719">
        <v>20</v>
      </c>
      <c r="R727" s="719">
        <v>-400</v>
      </c>
      <c r="S727" s="724">
        <f t="shared" si="93"/>
        <v>1.5100000000020373</v>
      </c>
      <c r="T727" s="719">
        <v>10</v>
      </c>
      <c r="U727" s="719">
        <v>-35</v>
      </c>
      <c r="V727" s="719"/>
      <c r="W727" s="719">
        <v>1.4</v>
      </c>
      <c r="X727" s="719">
        <v>2.2999999999999998</v>
      </c>
      <c r="Y727" s="719"/>
      <c r="Z727" s="719"/>
      <c r="AA727" s="724">
        <v>0.1</v>
      </c>
      <c r="AB727" s="719"/>
      <c r="AC727" s="719" t="s">
        <v>3148</v>
      </c>
      <c r="AD727" s="719" t="s">
        <v>3003</v>
      </c>
      <c r="AE727" s="719"/>
      <c r="AF727" s="719">
        <v>200</v>
      </c>
      <c r="AG727" s="1341">
        <v>48027.27</v>
      </c>
      <c r="AH727" s="719">
        <v>1446</v>
      </c>
      <c r="AI727" s="719">
        <v>-4938</v>
      </c>
      <c r="AJ727" s="719"/>
      <c r="AK727" s="719"/>
      <c r="AL727" s="720"/>
      <c r="AM727" s="719" t="s">
        <v>2609</v>
      </c>
      <c r="AN727" s="719">
        <v>5.25</v>
      </c>
      <c r="AO727" s="719"/>
      <c r="AP727" s="719"/>
      <c r="AQ727" s="724"/>
      <c r="AR727" s="724"/>
      <c r="AS727" s="724"/>
      <c r="AT727" s="724">
        <f>+ab($T$727,$T$725,$T$729,$G$726,$G$728,-1*$F$727,1200)</f>
        <v>2.351386026608465</v>
      </c>
      <c r="AU727" s="724"/>
      <c r="AV727" s="724"/>
      <c r="AW727" s="720"/>
      <c r="AX727" s="720"/>
      <c r="AY727" s="720"/>
    </row>
    <row r="728" spans="1:51" ht="15.75" hidden="1" customHeight="1">
      <c r="A728" s="716"/>
      <c r="B728" s="741"/>
      <c r="C728" s="718"/>
      <c r="D728" s="719"/>
      <c r="E728" s="719"/>
      <c r="F728" s="720"/>
      <c r="G728" s="721">
        <v>32</v>
      </c>
      <c r="H728" s="726"/>
      <c r="I728" s="722"/>
      <c r="J728" s="727"/>
      <c r="K728" s="719"/>
      <c r="L728" s="719"/>
      <c r="M728" s="719"/>
      <c r="N728" s="726"/>
      <c r="O728" s="726"/>
      <c r="P728" s="726"/>
      <c r="Q728" s="719">
        <v>20</v>
      </c>
      <c r="R728" s="719">
        <v>-400</v>
      </c>
      <c r="S728" s="724">
        <f>AG729-AG728</f>
        <v>30.489999999997963</v>
      </c>
      <c r="T728" s="719"/>
      <c r="U728" s="719"/>
      <c r="V728" s="719"/>
      <c r="W728" s="719"/>
      <c r="X728" s="719"/>
      <c r="Y728" s="719"/>
      <c r="Z728" s="719"/>
      <c r="AA728" s="719"/>
      <c r="AB728" s="719"/>
      <c r="AC728" s="719"/>
      <c r="AD728" s="719"/>
      <c r="AE728" s="719"/>
      <c r="AF728" s="719">
        <v>200</v>
      </c>
      <c r="AG728" s="1341">
        <v>48028.78</v>
      </c>
      <c r="AH728" s="719">
        <v>1465</v>
      </c>
      <c r="AI728" s="719">
        <v>-4924</v>
      </c>
      <c r="AJ728" s="719"/>
      <c r="AK728" s="719"/>
      <c r="AL728" s="720"/>
      <c r="AM728" s="719"/>
      <c r="AN728" s="719"/>
      <c r="AO728" s="719"/>
      <c r="AP728" s="719"/>
      <c r="AQ728" s="724">
        <f>+FL_2($T$729,$T$727,$G$728,1200,9.28,-1*$F$729)</f>
        <v>-0.37060552551275028</v>
      </c>
      <c r="AR728" s="724"/>
      <c r="AS728" s="724"/>
      <c r="AT728" s="724"/>
      <c r="AU728" s="724"/>
      <c r="AV728" s="724"/>
      <c r="AW728" s="720"/>
      <c r="AX728" s="720"/>
      <c r="AY728" s="720"/>
    </row>
    <row r="729" spans="1:51" ht="15.75" hidden="1" customHeight="1">
      <c r="A729" s="716" t="s">
        <v>2965</v>
      </c>
      <c r="B729" s="741" t="s">
        <v>1654</v>
      </c>
      <c r="C729" s="718">
        <f>+$C$727+$G$728</f>
        <v>48060</v>
      </c>
      <c r="D729" s="719"/>
      <c r="E729" s="719">
        <v>-20</v>
      </c>
      <c r="F729" s="720">
        <v>-400</v>
      </c>
      <c r="G729" s="721"/>
      <c r="H729" s="726" t="s">
        <v>668</v>
      </c>
      <c r="I729" s="722" t="s">
        <v>2645</v>
      </c>
      <c r="J729" s="727"/>
      <c r="K729" s="719"/>
      <c r="L729" s="719" t="s">
        <v>465</v>
      </c>
      <c r="M729" s="719"/>
      <c r="N729" s="726" t="s">
        <v>695</v>
      </c>
      <c r="O729" s="726" t="s">
        <v>697</v>
      </c>
      <c r="P729" s="726"/>
      <c r="Q729" s="719">
        <v>21</v>
      </c>
      <c r="R729" s="719">
        <v>-400</v>
      </c>
      <c r="S729" s="724">
        <f>AG730-AG729</f>
        <v>1.5400000000008731</v>
      </c>
      <c r="T729" s="719">
        <v>0</v>
      </c>
      <c r="U729" s="719">
        <v>-45</v>
      </c>
      <c r="V729" s="719"/>
      <c r="W729" s="719">
        <v>1.4</v>
      </c>
      <c r="X729" s="719">
        <v>2.2999999999999998</v>
      </c>
      <c r="Y729" s="719"/>
      <c r="Z729" s="719"/>
      <c r="AA729" s="724">
        <v>0.5</v>
      </c>
      <c r="AB729" s="719"/>
      <c r="AC729" s="719" t="s">
        <v>3004</v>
      </c>
      <c r="AD729" s="719"/>
      <c r="AE729" s="719"/>
      <c r="AF729" s="719">
        <v>200</v>
      </c>
      <c r="AG729" s="1341">
        <v>48059.27</v>
      </c>
      <c r="AH729" s="719">
        <v>1498</v>
      </c>
      <c r="AI729" s="719">
        <v>-4858</v>
      </c>
      <c r="AJ729" s="719" t="s">
        <v>2943</v>
      </c>
      <c r="AK729" s="719"/>
      <c r="AL729" s="720"/>
      <c r="AM729" s="719" t="s">
        <v>2609</v>
      </c>
      <c r="AN729" s="719">
        <v>5.25</v>
      </c>
      <c r="AO729" s="719"/>
      <c r="AP729" s="719"/>
      <c r="AQ729" s="724"/>
      <c r="AR729" s="724"/>
      <c r="AS729" s="724"/>
      <c r="AT729" s="724">
        <f>+ab($T$729,$T$727,$T$731,$G$728,$G$730,-1*$F$729,1200)</f>
        <v>2.2237252811126269</v>
      </c>
      <c r="AU729" s="724"/>
      <c r="AV729" s="724"/>
      <c r="AW729" s="720"/>
      <c r="AX729" s="720"/>
      <c r="AY729" s="720"/>
    </row>
    <row r="730" spans="1:51" ht="15.75" hidden="1" customHeight="1">
      <c r="A730" s="716"/>
      <c r="B730" s="741"/>
      <c r="C730" s="718"/>
      <c r="D730" s="719"/>
      <c r="E730" s="719"/>
      <c r="F730" s="720"/>
      <c r="G730" s="721">
        <v>32</v>
      </c>
      <c r="H730" s="726"/>
      <c r="I730" s="726"/>
      <c r="J730" s="727">
        <f>C731-10</f>
        <v>48082</v>
      </c>
      <c r="K730" s="719" t="s">
        <v>2587</v>
      </c>
      <c r="L730" s="719"/>
      <c r="M730" s="719"/>
      <c r="N730" s="726"/>
      <c r="O730" s="726"/>
      <c r="P730" s="726"/>
      <c r="Q730" s="719">
        <v>19</v>
      </c>
      <c r="R730" s="719">
        <v>-400</v>
      </c>
      <c r="S730" s="724">
        <f>AG731-AG730</f>
        <v>30.889999999999418</v>
      </c>
      <c r="T730" s="719"/>
      <c r="U730" s="719"/>
      <c r="V730" s="719"/>
      <c r="W730" s="719"/>
      <c r="X730" s="719"/>
      <c r="Y730" s="719"/>
      <c r="Z730" s="719"/>
      <c r="AA730" s="719"/>
      <c r="AB730" s="719"/>
      <c r="AC730" s="719"/>
      <c r="AD730" s="719"/>
      <c r="AE730" s="719"/>
      <c r="AF730" s="719">
        <v>200</v>
      </c>
      <c r="AG730" s="1341">
        <v>48060.81</v>
      </c>
      <c r="AH730" s="719">
        <v>1515</v>
      </c>
      <c r="AI730" s="719">
        <v>-4866</v>
      </c>
      <c r="AJ730" s="719"/>
      <c r="AK730" s="719"/>
      <c r="AL730" s="720"/>
      <c r="AM730" s="719"/>
      <c r="AN730" s="719"/>
      <c r="AO730" s="719"/>
      <c r="AP730" s="719"/>
      <c r="AQ730" s="724">
        <f>+FL_2($T$731,$T$729,$G$730,1200,9.28,-1*$F$731)</f>
        <v>-0.58253193206028386</v>
      </c>
      <c r="AR730" s="724"/>
      <c r="AS730" s="724"/>
      <c r="AT730" s="724"/>
      <c r="AU730" s="724"/>
      <c r="AV730" s="724"/>
      <c r="AW730" s="720"/>
      <c r="AX730" s="720"/>
      <c r="AY730" s="720"/>
    </row>
    <row r="731" spans="1:51" ht="15.75" hidden="1" customHeight="1">
      <c r="A731" s="716"/>
      <c r="B731" s="741" t="s">
        <v>1655</v>
      </c>
      <c r="C731" s="718">
        <f>+$C$729+$G$730</f>
        <v>48092</v>
      </c>
      <c r="D731" s="719"/>
      <c r="E731" s="719">
        <v>-20</v>
      </c>
      <c r="F731" s="720">
        <v>-400</v>
      </c>
      <c r="G731" s="721"/>
      <c r="H731" s="726" t="s">
        <v>138</v>
      </c>
      <c r="I731" s="726" t="s">
        <v>2827</v>
      </c>
      <c r="J731" s="727"/>
      <c r="K731" s="719"/>
      <c r="L731" s="719" t="s">
        <v>241</v>
      </c>
      <c r="M731" s="719"/>
      <c r="N731" s="726" t="s">
        <v>695</v>
      </c>
      <c r="O731" s="726"/>
      <c r="P731" s="726"/>
      <c r="Q731" s="719">
        <v>19</v>
      </c>
      <c r="R731" s="719">
        <v>-400</v>
      </c>
      <c r="S731" s="719"/>
      <c r="T731" s="719">
        <v>-30</v>
      </c>
      <c r="U731" s="719"/>
      <c r="V731" s="719"/>
      <c r="W731" s="719">
        <v>1.4</v>
      </c>
      <c r="X731" s="719"/>
      <c r="Y731" s="719"/>
      <c r="Z731" s="719"/>
      <c r="AA731" s="719"/>
      <c r="AB731" s="719"/>
      <c r="AC731" s="719" t="s">
        <v>3003</v>
      </c>
      <c r="AD731" s="719"/>
      <c r="AE731" s="719"/>
      <c r="AF731" s="719">
        <v>200</v>
      </c>
      <c r="AG731" s="1341">
        <v>48091.7</v>
      </c>
      <c r="AH731" s="719">
        <v>1495</v>
      </c>
      <c r="AI731" s="719">
        <v>-4800</v>
      </c>
      <c r="AJ731" s="719"/>
      <c r="AK731" s="719"/>
      <c r="AL731" s="720"/>
      <c r="AM731" s="719" t="s">
        <v>2609</v>
      </c>
      <c r="AN731" s="719">
        <v>5.25</v>
      </c>
      <c r="AO731" s="719"/>
      <c r="AP731" s="719"/>
      <c r="AQ731" s="724"/>
      <c r="AR731" s="724"/>
      <c r="AS731" s="724"/>
      <c r="AT731" s="724">
        <f>+ab($T$731,$T$729,$T$733,$G$730,$G$732,-1*$F$731,1200)</f>
        <v>3.8083970953661579</v>
      </c>
      <c r="AU731" s="724"/>
      <c r="AV731" s="724"/>
      <c r="AW731" s="720"/>
      <c r="AX731" s="720"/>
      <c r="AY731" s="720"/>
    </row>
    <row r="732" spans="1:51" ht="15.75" customHeight="1">
      <c r="A732" s="716"/>
      <c r="B732" s="741"/>
      <c r="C732" s="718"/>
      <c r="D732" s="719"/>
      <c r="E732" s="719"/>
      <c r="F732" s="720"/>
      <c r="G732" s="721">
        <v>32</v>
      </c>
      <c r="H732" s="719" t="s">
        <v>1101</v>
      </c>
      <c r="I732" s="722">
        <f>+SUM(G722:G732)</f>
        <v>190</v>
      </c>
      <c r="J732" s="727">
        <f>C731+1</f>
        <v>48093</v>
      </c>
      <c r="K732" s="719" t="s">
        <v>1102</v>
      </c>
      <c r="L732" s="719"/>
      <c r="M732" s="719"/>
      <c r="N732" s="726"/>
      <c r="O732" s="726"/>
      <c r="P732" s="726"/>
      <c r="Q732" s="719"/>
      <c r="R732" s="719"/>
      <c r="S732" s="719">
        <f t="shared" si="90"/>
        <v>32.260000000002037</v>
      </c>
      <c r="T732" s="719"/>
      <c r="U732" s="719"/>
      <c r="V732" s="719"/>
      <c r="W732" s="719"/>
      <c r="X732" s="719"/>
      <c r="Y732" s="719"/>
      <c r="Z732" s="719"/>
      <c r="AA732" s="719"/>
      <c r="AB732" s="719"/>
      <c r="AC732" s="719"/>
      <c r="AD732" s="719"/>
      <c r="AE732" s="719"/>
      <c r="AF732" s="719"/>
      <c r="AG732" s="1341"/>
      <c r="AH732" s="719"/>
      <c r="AI732" s="719"/>
      <c r="AJ732" s="719"/>
      <c r="AK732" s="719"/>
      <c r="AL732" s="720"/>
      <c r="AM732" s="719"/>
      <c r="AN732" s="719"/>
      <c r="AO732" s="719"/>
      <c r="AP732" s="719"/>
      <c r="AQ732" s="724">
        <f>+FL_1($T$733,$T$731,$G$732,1200,9.28,-1*$F$733)</f>
        <v>0.35</v>
      </c>
      <c r="AR732" s="724"/>
      <c r="AS732" s="724"/>
      <c r="AT732" s="724"/>
      <c r="AU732" s="724"/>
      <c r="AV732" s="724"/>
      <c r="AW732" s="720"/>
      <c r="AX732" s="720"/>
      <c r="AY732" s="720"/>
    </row>
    <row r="733" spans="1:51" ht="15.75" customHeight="1">
      <c r="A733" s="716"/>
      <c r="B733" s="741" t="s">
        <v>1656</v>
      </c>
      <c r="C733" s="718">
        <f>+$C$731+$G$732</f>
        <v>48124</v>
      </c>
      <c r="D733" s="719"/>
      <c r="E733" s="719"/>
      <c r="F733" s="720">
        <v>0</v>
      </c>
      <c r="G733" s="721"/>
      <c r="H733" s="719" t="s">
        <v>997</v>
      </c>
      <c r="I733" s="726"/>
      <c r="J733" s="727"/>
      <c r="K733" s="719"/>
      <c r="L733" s="719" t="s">
        <v>241</v>
      </c>
      <c r="M733" s="719"/>
      <c r="N733" s="726" t="s">
        <v>696</v>
      </c>
      <c r="O733" s="726"/>
      <c r="P733" s="726"/>
      <c r="Q733" s="719">
        <v>0</v>
      </c>
      <c r="R733" s="719">
        <v>0</v>
      </c>
      <c r="S733" s="719"/>
      <c r="T733" s="719">
        <v>35</v>
      </c>
      <c r="U733" s="719"/>
      <c r="V733" s="719"/>
      <c r="W733" s="719">
        <v>1.4</v>
      </c>
      <c r="X733" s="719"/>
      <c r="Y733" s="719"/>
      <c r="Z733" s="719"/>
      <c r="AA733" s="719"/>
      <c r="AB733" s="719"/>
      <c r="AC733" s="719" t="s">
        <v>2978</v>
      </c>
      <c r="AD733" s="719"/>
      <c r="AE733" s="719"/>
      <c r="AF733" s="719">
        <v>200</v>
      </c>
      <c r="AG733" s="1341">
        <v>48123.96</v>
      </c>
      <c r="AH733" s="719">
        <v>1416</v>
      </c>
      <c r="AI733" s="719">
        <v>-4915</v>
      </c>
      <c r="AJ733" s="719"/>
      <c r="AK733" s="719"/>
      <c r="AL733" s="720"/>
      <c r="AM733" s="719" t="s">
        <v>2609</v>
      </c>
      <c r="AN733" s="719">
        <v>5.25</v>
      </c>
      <c r="AO733" s="719"/>
      <c r="AP733" s="719"/>
      <c r="AQ733" s="724"/>
      <c r="AR733" s="724"/>
      <c r="AS733" s="724"/>
      <c r="AT733" s="724">
        <f>+ab($T$733,$T$731,$T$735,$G$732,$G$734,-1*$F$733,1200)</f>
        <v>5.0025752247203048</v>
      </c>
      <c r="AU733" s="724"/>
      <c r="AV733" s="724"/>
      <c r="AW733" s="720"/>
      <c r="AX733" s="720"/>
      <c r="AY733" s="720"/>
    </row>
    <row r="734" spans="1:51" ht="15.75" hidden="1" customHeight="1">
      <c r="A734" s="716"/>
      <c r="B734" s="735"/>
      <c r="C734" s="718"/>
      <c r="D734" s="719"/>
      <c r="E734" s="719"/>
      <c r="F734" s="720"/>
      <c r="G734" s="721">
        <v>39</v>
      </c>
      <c r="H734" s="719"/>
      <c r="I734" s="722">
        <f>SUM(G734:G750)</f>
        <v>424</v>
      </c>
      <c r="J734" s="727">
        <f>C735-1</f>
        <v>48162</v>
      </c>
      <c r="K734" s="719" t="s">
        <v>1102</v>
      </c>
      <c r="L734" s="719"/>
      <c r="M734" s="719"/>
      <c r="N734" s="726"/>
      <c r="O734" s="726"/>
      <c r="P734" s="726"/>
      <c r="Q734" s="719"/>
      <c r="R734" s="719"/>
      <c r="S734" s="719">
        <f t="shared" si="90"/>
        <v>39.020000000004075</v>
      </c>
      <c r="T734" s="719"/>
      <c r="U734" s="719"/>
      <c r="V734" s="719"/>
      <c r="W734" s="719"/>
      <c r="X734" s="719"/>
      <c r="Y734" s="719"/>
      <c r="Z734" s="719"/>
      <c r="AA734" s="719"/>
      <c r="AB734" s="719"/>
      <c r="AC734" s="719"/>
      <c r="AD734" s="719"/>
      <c r="AE734" s="719"/>
      <c r="AF734" s="719"/>
      <c r="AG734" s="1341"/>
      <c r="AH734" s="719"/>
      <c r="AI734" s="719"/>
      <c r="AJ734" s="719"/>
      <c r="AK734" s="719"/>
      <c r="AL734" s="720"/>
      <c r="AM734" s="719"/>
      <c r="AN734" s="719"/>
      <c r="AO734" s="719"/>
      <c r="AP734" s="719"/>
      <c r="AQ734" s="724">
        <f>+FL_1($T$735,$T$733,$G$734,1200,9.28,-1*$F$735)</f>
        <v>0.35000000000000225</v>
      </c>
      <c r="AR734" s="724"/>
      <c r="AS734" s="724"/>
      <c r="AT734" s="724"/>
      <c r="AU734" s="724"/>
      <c r="AV734" s="724"/>
      <c r="AW734" s="720"/>
      <c r="AX734" s="720"/>
      <c r="AY734" s="720"/>
    </row>
    <row r="735" spans="1:51" ht="15.75" customHeight="1">
      <c r="A735" s="716"/>
      <c r="B735" s="741" t="s">
        <v>1657</v>
      </c>
      <c r="C735" s="718">
        <f>+$C$733+$G$734</f>
        <v>48163</v>
      </c>
      <c r="D735" s="719"/>
      <c r="E735" s="719"/>
      <c r="F735" s="720">
        <v>0</v>
      </c>
      <c r="G735" s="721"/>
      <c r="H735" s="719" t="s">
        <v>1101</v>
      </c>
      <c r="I735" s="722"/>
      <c r="J735" s="723"/>
      <c r="K735" s="719"/>
      <c r="L735" s="719" t="s">
        <v>241</v>
      </c>
      <c r="M735" s="719"/>
      <c r="N735" s="726" t="s">
        <v>695</v>
      </c>
      <c r="O735" s="726"/>
      <c r="P735" s="726"/>
      <c r="Q735" s="719">
        <v>0</v>
      </c>
      <c r="R735" s="719">
        <v>0</v>
      </c>
      <c r="S735" s="719"/>
      <c r="T735" s="719">
        <v>-35</v>
      </c>
      <c r="U735" s="719"/>
      <c r="V735" s="719"/>
      <c r="W735" s="719">
        <v>1.4</v>
      </c>
      <c r="X735" s="719"/>
      <c r="Y735" s="719"/>
      <c r="Z735" s="719"/>
      <c r="AA735" s="719"/>
      <c r="AB735" s="719"/>
      <c r="AC735" s="719" t="s">
        <v>2978</v>
      </c>
      <c r="AD735" s="719"/>
      <c r="AE735" s="719"/>
      <c r="AF735" s="719">
        <v>200</v>
      </c>
      <c r="AG735" s="1341">
        <v>48162.98</v>
      </c>
      <c r="AH735" s="719">
        <v>1483</v>
      </c>
      <c r="AI735" s="719">
        <v>-4962</v>
      </c>
      <c r="AJ735" s="719"/>
      <c r="AK735" s="719"/>
      <c r="AL735" s="720"/>
      <c r="AM735" s="719" t="s">
        <v>2609</v>
      </c>
      <c r="AN735" s="719">
        <v>5.25</v>
      </c>
      <c r="AO735" s="719"/>
      <c r="AP735" s="719"/>
      <c r="AQ735" s="724"/>
      <c r="AR735" s="724"/>
      <c r="AS735" s="724"/>
      <c r="AT735" s="724">
        <f>+ab($T$735,$T$733,$T$737,$G$734,$G$736,-1*$F$735,1200)</f>
        <v>-5.526370563143594</v>
      </c>
      <c r="AU735" s="724"/>
      <c r="AV735" s="724"/>
      <c r="AW735" s="720"/>
      <c r="AX735" s="720"/>
      <c r="AY735" s="720"/>
    </row>
    <row r="736" spans="1:51" ht="15.75" hidden="1" customHeight="1">
      <c r="A736" s="716"/>
      <c r="B736" s="735"/>
      <c r="C736" s="718"/>
      <c r="D736" s="719"/>
      <c r="E736" s="719"/>
      <c r="F736" s="720"/>
      <c r="G736" s="721">
        <v>42</v>
      </c>
      <c r="H736" s="726"/>
      <c r="I736" s="722"/>
      <c r="J736" s="723"/>
      <c r="K736" s="719"/>
      <c r="L736" s="719"/>
      <c r="M736" s="719"/>
      <c r="N736" s="726"/>
      <c r="O736" s="726"/>
      <c r="P736" s="726"/>
      <c r="Q736" s="719"/>
      <c r="R736" s="719"/>
      <c r="S736" s="719">
        <f t="shared" si="90"/>
        <v>41.839999999996508</v>
      </c>
      <c r="T736" s="719"/>
      <c r="U736" s="719"/>
      <c r="V736" s="719"/>
      <c r="W736" s="719"/>
      <c r="X736" s="719"/>
      <c r="Y736" s="719"/>
      <c r="Z736" s="719"/>
      <c r="AA736" s="719"/>
      <c r="AB736" s="719"/>
      <c r="AC736" s="719"/>
      <c r="AD736" s="719"/>
      <c r="AE736" s="719"/>
      <c r="AF736" s="719"/>
      <c r="AG736" s="1341"/>
      <c r="AH736" s="719"/>
      <c r="AI736" s="719"/>
      <c r="AJ736" s="719"/>
      <c r="AK736" s="719"/>
      <c r="AL736" s="720"/>
      <c r="AM736" s="719"/>
      <c r="AN736" s="719"/>
      <c r="AO736" s="719"/>
      <c r="AP736" s="719"/>
      <c r="AQ736" s="724">
        <f>+FL_2($T$737,$T$735,$G$736,1200,9.28,-1*$F$737)</f>
        <v>-0.35</v>
      </c>
      <c r="AR736" s="724"/>
      <c r="AS736" s="724"/>
      <c r="AT736" s="724"/>
      <c r="AU736" s="724"/>
      <c r="AV736" s="724"/>
      <c r="AW736" s="720"/>
      <c r="AX736" s="720"/>
      <c r="AY736" s="720"/>
    </row>
    <row r="737" spans="1:51" ht="15.75" hidden="1" customHeight="1">
      <c r="A737" s="716"/>
      <c r="B737" s="741" t="s">
        <v>1658</v>
      </c>
      <c r="C737" s="718">
        <f>+$C$735+$G$736</f>
        <v>48205</v>
      </c>
      <c r="D737" s="719"/>
      <c r="E737" s="719"/>
      <c r="F737" s="720">
        <v>0</v>
      </c>
      <c r="G737" s="721"/>
      <c r="H737" s="726"/>
      <c r="I737" s="722" t="s">
        <v>2053</v>
      </c>
      <c r="J737" s="723">
        <f>C737</f>
        <v>48205</v>
      </c>
      <c r="K737" s="719" t="s">
        <v>1102</v>
      </c>
      <c r="L737" s="719" t="s">
        <v>2999</v>
      </c>
      <c r="M737" s="719"/>
      <c r="N737" s="726" t="s">
        <v>696</v>
      </c>
      <c r="O737" s="726"/>
      <c r="P737" s="726"/>
      <c r="Q737" s="719">
        <v>0</v>
      </c>
      <c r="R737" s="719">
        <v>0</v>
      </c>
      <c r="S737" s="719"/>
      <c r="T737" s="719">
        <v>35</v>
      </c>
      <c r="U737" s="719"/>
      <c r="V737" s="719"/>
      <c r="W737" s="721">
        <v>1</v>
      </c>
      <c r="X737" s="719"/>
      <c r="Y737" s="719"/>
      <c r="Z737" s="719"/>
      <c r="AA737" s="719"/>
      <c r="AB737" s="719"/>
      <c r="AC737" s="719" t="s">
        <v>2977</v>
      </c>
      <c r="AD737" s="719"/>
      <c r="AE737" s="719"/>
      <c r="AF737" s="719">
        <v>400</v>
      </c>
      <c r="AG737" s="1341">
        <v>48204.82</v>
      </c>
      <c r="AH737" s="719">
        <v>2227</v>
      </c>
      <c r="AI737" s="719">
        <v>-4817</v>
      </c>
      <c r="AJ737" s="719"/>
      <c r="AK737" s="719"/>
      <c r="AL737" s="719"/>
      <c r="AM737" s="719" t="s">
        <v>2610</v>
      </c>
      <c r="AN737" s="719">
        <v>5.25</v>
      </c>
      <c r="AO737" s="719"/>
      <c r="AP737" s="719"/>
      <c r="AQ737" s="724"/>
      <c r="AR737" s="724"/>
      <c r="AS737" s="724"/>
      <c r="AT737" s="724">
        <f>+ab($T$737,$T$735,$T$739,$G$736,$G$738,-1*$F$737,1200)</f>
        <v>6.2326590642158086</v>
      </c>
      <c r="AU737" s="724"/>
      <c r="AV737" s="724"/>
      <c r="AW737" s="719"/>
      <c r="AX737" s="719"/>
      <c r="AY737" s="719"/>
    </row>
    <row r="738" spans="1:51" ht="15.75" hidden="1" customHeight="1">
      <c r="A738" s="716"/>
      <c r="B738" s="735"/>
      <c r="C738" s="718"/>
      <c r="D738" s="719"/>
      <c r="E738" s="719"/>
      <c r="F738" s="720"/>
      <c r="G738" s="721">
        <v>50</v>
      </c>
      <c r="H738" s="726"/>
      <c r="I738" s="726"/>
      <c r="J738" s="762"/>
      <c r="K738" s="719"/>
      <c r="L738" s="719"/>
      <c r="M738" s="719"/>
      <c r="N738" s="726"/>
      <c r="O738" s="726"/>
      <c r="P738" s="726"/>
      <c r="Q738" s="719"/>
      <c r="R738" s="719"/>
      <c r="S738" s="719">
        <f t="shared" si="90"/>
        <v>50.160000000003492</v>
      </c>
      <c r="T738" s="719"/>
      <c r="U738" s="719"/>
      <c r="V738" s="719"/>
      <c r="W738" s="721"/>
      <c r="X738" s="719"/>
      <c r="Y738" s="719"/>
      <c r="Z738" s="719"/>
      <c r="AA738" s="719"/>
      <c r="AB738" s="719"/>
      <c r="AC738" s="719"/>
      <c r="AD738" s="719"/>
      <c r="AE738" s="719"/>
      <c r="AF738" s="719"/>
      <c r="AG738" s="1341"/>
      <c r="AH738" s="719"/>
      <c r="AI738" s="719"/>
      <c r="AJ738" s="719"/>
      <c r="AK738" s="719"/>
      <c r="AL738" s="719"/>
      <c r="AM738" s="719"/>
      <c r="AN738" s="719"/>
      <c r="AO738" s="719"/>
      <c r="AP738" s="719"/>
      <c r="AQ738" s="724">
        <f>+FL_2($T$739,$T$737,$G$738,1200,9.28,-1*$F$739)</f>
        <v>-0.36839079999999996</v>
      </c>
      <c r="AR738" s="724"/>
      <c r="AS738" s="724"/>
      <c r="AT738" s="724"/>
      <c r="AU738" s="724"/>
      <c r="AV738" s="724"/>
      <c r="AW738" s="719"/>
      <c r="AX738" s="719"/>
      <c r="AY738" s="719"/>
    </row>
    <row r="739" spans="1:51" ht="15.75" hidden="1" customHeight="1">
      <c r="A739" s="716"/>
      <c r="B739" s="741" t="s">
        <v>1659</v>
      </c>
      <c r="C739" s="718">
        <f>+$C$737+$G$738</f>
        <v>48255</v>
      </c>
      <c r="D739" s="719"/>
      <c r="E739" s="719"/>
      <c r="F739" s="720">
        <v>0</v>
      </c>
      <c r="G739" s="721"/>
      <c r="H739" s="726"/>
      <c r="I739" s="722"/>
      <c r="J739" s="727"/>
      <c r="K739" s="719"/>
      <c r="L739" s="719" t="s">
        <v>2999</v>
      </c>
      <c r="M739" s="719"/>
      <c r="N739" s="726" t="s">
        <v>695</v>
      </c>
      <c r="O739" s="726"/>
      <c r="P739" s="726"/>
      <c r="Q739" s="719">
        <v>0</v>
      </c>
      <c r="R739" s="719">
        <v>0</v>
      </c>
      <c r="S739" s="719"/>
      <c r="T739" s="719">
        <v>-35</v>
      </c>
      <c r="U739" s="719"/>
      <c r="V739" s="719"/>
      <c r="W739" s="721">
        <v>1</v>
      </c>
      <c r="X739" s="719"/>
      <c r="Y739" s="719"/>
      <c r="Z739" s="719"/>
      <c r="AA739" s="719"/>
      <c r="AB739" s="719"/>
      <c r="AC739" s="719" t="s">
        <v>2979</v>
      </c>
      <c r="AD739" s="719"/>
      <c r="AE739" s="719"/>
      <c r="AF739" s="719">
        <v>400</v>
      </c>
      <c r="AG739" s="1341">
        <v>48254.98</v>
      </c>
      <c r="AH739" s="719">
        <v>2229</v>
      </c>
      <c r="AI739" s="719">
        <v>-4812</v>
      </c>
      <c r="AJ739" s="719"/>
      <c r="AK739" s="719"/>
      <c r="AL739" s="719"/>
      <c r="AM739" s="719" t="s">
        <v>2610</v>
      </c>
      <c r="AN739" s="719">
        <v>5.25</v>
      </c>
      <c r="AO739" s="719"/>
      <c r="AP739" s="719"/>
      <c r="AQ739" s="724"/>
      <c r="AR739" s="724"/>
      <c r="AS739" s="724"/>
      <c r="AT739" s="724">
        <f>+ab($T$739,$T$737,$T$741,$G$738,$G$740,-1*$F$739,1200)</f>
        <v>-6.647604976805912</v>
      </c>
      <c r="AU739" s="724"/>
      <c r="AV739" s="724"/>
      <c r="AW739" s="719"/>
      <c r="AX739" s="719"/>
      <c r="AY739" s="719"/>
    </row>
    <row r="740" spans="1:51" ht="15.75" hidden="1" customHeight="1">
      <c r="A740" s="716"/>
      <c r="B740" s="735"/>
      <c r="C740" s="718"/>
      <c r="D740" s="719"/>
      <c r="E740" s="719"/>
      <c r="F740" s="720"/>
      <c r="G740" s="721">
        <v>47.5</v>
      </c>
      <c r="H740" s="726"/>
      <c r="I740" s="726"/>
      <c r="J740" s="727"/>
      <c r="K740" s="719"/>
      <c r="L740" s="719"/>
      <c r="M740" s="719"/>
      <c r="N740" s="726"/>
      <c r="O740" s="726"/>
      <c r="P740" s="726"/>
      <c r="Q740" s="719"/>
      <c r="R740" s="719"/>
      <c r="S740" s="719">
        <f t="shared" si="90"/>
        <v>47.739999999997963</v>
      </c>
      <c r="T740" s="719"/>
      <c r="U740" s="719"/>
      <c r="V740" s="719"/>
      <c r="W740" s="721"/>
      <c r="X740" s="719"/>
      <c r="Y740" s="719"/>
      <c r="Z740" s="719"/>
      <c r="AA740" s="719"/>
      <c r="AB740" s="719"/>
      <c r="AC740" s="719"/>
      <c r="AD740" s="719"/>
      <c r="AE740" s="719"/>
      <c r="AF740" s="719"/>
      <c r="AG740" s="1341"/>
      <c r="AH740" s="719"/>
      <c r="AI740" s="719"/>
      <c r="AJ740" s="719"/>
      <c r="AK740" s="719"/>
      <c r="AL740" s="719"/>
      <c r="AM740" s="719"/>
      <c r="AN740" s="719"/>
      <c r="AO740" s="719"/>
      <c r="AP740" s="719"/>
      <c r="AQ740" s="724">
        <f>+FL_1($T$741,$T$739,$G$740,1200,9.28,-1*$F$741)</f>
        <v>0.35851871852631578</v>
      </c>
      <c r="AR740" s="724"/>
      <c r="AS740" s="724"/>
      <c r="AT740" s="724"/>
      <c r="AU740" s="724"/>
      <c r="AV740" s="724"/>
      <c r="AW740" s="719"/>
      <c r="AX740" s="719"/>
      <c r="AY740" s="719"/>
    </row>
    <row r="741" spans="1:51" ht="15.75" hidden="1" customHeight="1">
      <c r="A741" s="716"/>
      <c r="B741" s="741" t="s">
        <v>1660</v>
      </c>
      <c r="C741" s="718">
        <f>+$C$739+$G$740</f>
        <v>48302.5</v>
      </c>
      <c r="D741" s="719"/>
      <c r="E741" s="719"/>
      <c r="F741" s="720">
        <v>0</v>
      </c>
      <c r="G741" s="721"/>
      <c r="H741" s="726"/>
      <c r="I741" s="722"/>
      <c r="J741" s="727"/>
      <c r="K741" s="719"/>
      <c r="L741" s="719" t="s">
        <v>2999</v>
      </c>
      <c r="M741" s="719"/>
      <c r="N741" s="726" t="s">
        <v>696</v>
      </c>
      <c r="O741" s="726"/>
      <c r="P741" s="726"/>
      <c r="Q741" s="719">
        <v>0</v>
      </c>
      <c r="R741" s="719">
        <v>0</v>
      </c>
      <c r="S741" s="719"/>
      <c r="T741" s="719">
        <v>35</v>
      </c>
      <c r="U741" s="719"/>
      <c r="V741" s="719"/>
      <c r="W741" s="721">
        <v>1</v>
      </c>
      <c r="X741" s="719"/>
      <c r="Y741" s="719"/>
      <c r="Z741" s="719"/>
      <c r="AA741" s="719"/>
      <c r="AB741" s="719"/>
      <c r="AC741" s="719" t="s">
        <v>2977</v>
      </c>
      <c r="AD741" s="719"/>
      <c r="AE741" s="719"/>
      <c r="AF741" s="719">
        <v>400</v>
      </c>
      <c r="AG741" s="1341">
        <v>48302.720000000001</v>
      </c>
      <c r="AH741" s="719">
        <v>2255</v>
      </c>
      <c r="AI741" s="719">
        <v>-4819</v>
      </c>
      <c r="AJ741" s="719"/>
      <c r="AK741" s="719"/>
      <c r="AL741" s="719"/>
      <c r="AM741" s="719" t="s">
        <v>2610</v>
      </c>
      <c r="AN741" s="719">
        <v>5.25</v>
      </c>
      <c r="AO741" s="719"/>
      <c r="AP741" s="719"/>
      <c r="AQ741" s="724"/>
      <c r="AR741" s="724"/>
      <c r="AS741" s="724"/>
      <c r="AT741" s="724">
        <f>+ab($T$741,$T$739,$T$743,$G$740,$G$742,-1*$F$741,1200)</f>
        <v>6.0875294718843636</v>
      </c>
      <c r="AU741" s="724"/>
      <c r="AV741" s="724"/>
      <c r="AW741" s="719"/>
      <c r="AX741" s="719"/>
      <c r="AY741" s="719"/>
    </row>
    <row r="742" spans="1:51" ht="15.75" hidden="1" customHeight="1">
      <c r="A742" s="716"/>
      <c r="B742" s="735"/>
      <c r="C742" s="718"/>
      <c r="D742" s="719"/>
      <c r="E742" s="719"/>
      <c r="F742" s="720"/>
      <c r="G742" s="721">
        <v>42</v>
      </c>
      <c r="H742" s="726"/>
      <c r="I742" s="726"/>
      <c r="J742" s="727"/>
      <c r="K742" s="719"/>
      <c r="L742" s="719"/>
      <c r="M742" s="719"/>
      <c r="N742" s="726"/>
      <c r="O742" s="726"/>
      <c r="P742" s="726"/>
      <c r="Q742" s="719"/>
      <c r="R742" s="719"/>
      <c r="S742" s="719">
        <f t="shared" si="90"/>
        <v>41.610000000000582</v>
      </c>
      <c r="T742" s="719"/>
      <c r="U742" s="719"/>
      <c r="V742" s="719"/>
      <c r="W742" s="721"/>
      <c r="X742" s="719"/>
      <c r="Y742" s="719"/>
      <c r="Z742" s="719"/>
      <c r="AA742" s="719"/>
      <c r="AB742" s="719"/>
      <c r="AC742" s="719"/>
      <c r="AD742" s="719"/>
      <c r="AE742" s="719"/>
      <c r="AF742" s="719"/>
      <c r="AG742" s="1341"/>
      <c r="AH742" s="719"/>
      <c r="AI742" s="719"/>
      <c r="AJ742" s="719"/>
      <c r="AK742" s="719"/>
      <c r="AL742" s="720"/>
      <c r="AM742" s="719"/>
      <c r="AN742" s="719"/>
      <c r="AO742" s="719"/>
      <c r="AP742" s="719"/>
      <c r="AQ742" s="724">
        <f>+FL_1($T$743,$T$741,$G$742,1200,9.28,-1*$F$743)</f>
        <v>0.35</v>
      </c>
      <c r="AR742" s="724"/>
      <c r="AS742" s="724"/>
      <c r="AT742" s="724"/>
      <c r="AU742" s="724"/>
      <c r="AV742" s="724"/>
      <c r="AW742" s="720"/>
      <c r="AX742" s="720"/>
      <c r="AY742" s="720"/>
    </row>
    <row r="743" spans="1:51" ht="15.75" hidden="1" customHeight="1">
      <c r="A743" s="716"/>
      <c r="B743" s="741" t="s">
        <v>1661</v>
      </c>
      <c r="C743" s="718">
        <f>+$C$741+$G$742</f>
        <v>48344.5</v>
      </c>
      <c r="D743" s="719"/>
      <c r="E743" s="719"/>
      <c r="F743" s="720">
        <v>0</v>
      </c>
      <c r="G743" s="721"/>
      <c r="H743" s="726"/>
      <c r="I743" s="726"/>
      <c r="J743" s="727"/>
      <c r="K743" s="719"/>
      <c r="L743" s="719" t="s">
        <v>2999</v>
      </c>
      <c r="M743" s="719"/>
      <c r="N743" s="726" t="s">
        <v>695</v>
      </c>
      <c r="O743" s="726"/>
      <c r="P743" s="726"/>
      <c r="Q743" s="719">
        <v>0</v>
      </c>
      <c r="R743" s="719">
        <v>0</v>
      </c>
      <c r="S743" s="719"/>
      <c r="T743" s="719">
        <v>-35</v>
      </c>
      <c r="U743" s="719"/>
      <c r="V743" s="719"/>
      <c r="W743" s="721">
        <v>1</v>
      </c>
      <c r="X743" s="719"/>
      <c r="Y743" s="719"/>
      <c r="Z743" s="719"/>
      <c r="AA743" s="719"/>
      <c r="AB743" s="719"/>
      <c r="AC743" s="719" t="s">
        <v>2978</v>
      </c>
      <c r="AD743" s="719"/>
      <c r="AE743" s="719"/>
      <c r="AF743" s="719">
        <v>400</v>
      </c>
      <c r="AG743" s="1341">
        <v>48344.33</v>
      </c>
      <c r="AH743" s="719">
        <v>2242</v>
      </c>
      <c r="AI743" s="719">
        <v>-4808</v>
      </c>
      <c r="AJ743" s="719"/>
      <c r="AK743" s="719"/>
      <c r="AL743" s="720"/>
      <c r="AM743" s="719" t="s">
        <v>2610</v>
      </c>
      <c r="AN743" s="719">
        <v>5.25</v>
      </c>
      <c r="AO743" s="719"/>
      <c r="AP743" s="719"/>
      <c r="AQ743" s="724"/>
      <c r="AR743" s="724"/>
      <c r="AS743" s="724"/>
      <c r="AT743" s="724">
        <f>+ab($T$743,$T$741,$T$745,$G$742,$G$744,-1*$F$743,1200)</f>
        <v>-6.3700557329590746</v>
      </c>
      <c r="AU743" s="724"/>
      <c r="AV743" s="724"/>
      <c r="AW743" s="720"/>
      <c r="AX743" s="720"/>
      <c r="AY743" s="720"/>
    </row>
    <row r="744" spans="1:51" ht="15.75" hidden="1" customHeight="1">
      <c r="A744" s="716"/>
      <c r="B744" s="735"/>
      <c r="C744" s="718"/>
      <c r="D744" s="719"/>
      <c r="E744" s="719"/>
      <c r="F744" s="720"/>
      <c r="G744" s="721">
        <v>52.5</v>
      </c>
      <c r="H744" s="726"/>
      <c r="I744" s="726"/>
      <c r="J744" s="727"/>
      <c r="K744" s="719"/>
      <c r="L744" s="719"/>
      <c r="M744" s="719"/>
      <c r="N744" s="726"/>
      <c r="O744" s="726"/>
      <c r="P744" s="726"/>
      <c r="Q744" s="719"/>
      <c r="R744" s="719"/>
      <c r="S744" s="719">
        <f t="shared" si="90"/>
        <v>52.650000000001455</v>
      </c>
      <c r="T744" s="719"/>
      <c r="U744" s="719"/>
      <c r="V744" s="719"/>
      <c r="W744" s="721"/>
      <c r="X744" s="719"/>
      <c r="Y744" s="719"/>
      <c r="Z744" s="719"/>
      <c r="AA744" s="719"/>
      <c r="AB744" s="719"/>
      <c r="AC744" s="719"/>
      <c r="AD744" s="719"/>
      <c r="AE744" s="719"/>
      <c r="AF744" s="719"/>
      <c r="AG744" s="1341"/>
      <c r="AH744" s="719"/>
      <c r="AI744" s="719"/>
      <c r="AJ744" s="719"/>
      <c r="AK744" s="719"/>
      <c r="AL744" s="720"/>
      <c r="AM744" s="719"/>
      <c r="AN744" s="719"/>
      <c r="AO744" s="719"/>
      <c r="AP744" s="719"/>
      <c r="AQ744" s="724">
        <f>+FL_1($T$745,$T$743,$G$744,1200,9.28,-1*$F$745)</f>
        <v>0.38138002799999998</v>
      </c>
      <c r="AR744" s="724"/>
      <c r="AS744" s="724"/>
      <c r="AT744" s="724"/>
      <c r="AU744" s="724"/>
      <c r="AV744" s="724"/>
      <c r="AW744" s="720"/>
      <c r="AX744" s="720"/>
      <c r="AY744" s="720"/>
    </row>
    <row r="745" spans="1:51" ht="15.75" hidden="1" customHeight="1">
      <c r="A745" s="716"/>
      <c r="B745" s="741" t="s">
        <v>1662</v>
      </c>
      <c r="C745" s="718">
        <f>+$C$743+$G$744</f>
        <v>48397</v>
      </c>
      <c r="D745" s="719"/>
      <c r="E745" s="719"/>
      <c r="F745" s="720">
        <v>0</v>
      </c>
      <c r="G745" s="721"/>
      <c r="H745" s="726"/>
      <c r="I745" s="726"/>
      <c r="J745" s="727"/>
      <c r="K745" s="719"/>
      <c r="L745" s="719" t="s">
        <v>2999</v>
      </c>
      <c r="M745" s="719"/>
      <c r="N745" s="726" t="s">
        <v>696</v>
      </c>
      <c r="O745" s="726"/>
      <c r="P745" s="726"/>
      <c r="Q745" s="719">
        <v>0</v>
      </c>
      <c r="R745" s="719">
        <v>0</v>
      </c>
      <c r="S745" s="719"/>
      <c r="T745" s="719">
        <v>35</v>
      </c>
      <c r="U745" s="719"/>
      <c r="V745" s="719"/>
      <c r="W745" s="721">
        <v>1</v>
      </c>
      <c r="X745" s="719"/>
      <c r="Y745" s="719"/>
      <c r="Z745" s="719"/>
      <c r="AA745" s="719"/>
      <c r="AB745" s="719"/>
      <c r="AC745" s="719" t="s">
        <v>2977</v>
      </c>
      <c r="AD745" s="719"/>
      <c r="AE745" s="719"/>
      <c r="AF745" s="719">
        <v>400</v>
      </c>
      <c r="AG745" s="1341">
        <v>48396.98</v>
      </c>
      <c r="AH745" s="719">
        <v>2192</v>
      </c>
      <c r="AI745" s="719">
        <v>-4814</v>
      </c>
      <c r="AJ745" s="719"/>
      <c r="AK745" s="719"/>
      <c r="AL745" s="720"/>
      <c r="AM745" s="719" t="s">
        <v>2610</v>
      </c>
      <c r="AN745" s="719">
        <v>5.25</v>
      </c>
      <c r="AO745" s="719"/>
      <c r="AP745" s="719"/>
      <c r="AQ745" s="724"/>
      <c r="AR745" s="724"/>
      <c r="AS745" s="724"/>
      <c r="AT745" s="724">
        <f>+ab($T$745,$T$743,$T$747,$G$744,$G$746,-1*$F$745,1200)</f>
        <v>7.1245810506155385</v>
      </c>
      <c r="AU745" s="724"/>
      <c r="AV745" s="724"/>
      <c r="AW745" s="720"/>
      <c r="AX745" s="720"/>
      <c r="AY745" s="720"/>
    </row>
    <row r="746" spans="1:51" ht="15.75" hidden="1" customHeight="1">
      <c r="A746" s="716"/>
      <c r="B746" s="735"/>
      <c r="C746" s="718"/>
      <c r="D746" s="719"/>
      <c r="E746" s="719"/>
      <c r="F746" s="720"/>
      <c r="G746" s="721">
        <v>52</v>
      </c>
      <c r="H746" s="726"/>
      <c r="I746" s="726"/>
      <c r="J746" s="727"/>
      <c r="K746" s="719"/>
      <c r="L746" s="719"/>
      <c r="M746" s="719"/>
      <c r="N746" s="726"/>
      <c r="O746" s="726"/>
      <c r="P746" s="738"/>
      <c r="Q746" s="719"/>
      <c r="R746" s="719"/>
      <c r="S746" s="719">
        <f t="shared" si="90"/>
        <v>52.589999999996508</v>
      </c>
      <c r="T746" s="719"/>
      <c r="U746" s="719"/>
      <c r="V746" s="719"/>
      <c r="W746" s="721"/>
      <c r="X746" s="719"/>
      <c r="Y746" s="719"/>
      <c r="Z746" s="719"/>
      <c r="AA746" s="719"/>
      <c r="AB746" s="719"/>
      <c r="AC746" s="719"/>
      <c r="AD746" s="719"/>
      <c r="AE746" s="719"/>
      <c r="AF746" s="719"/>
      <c r="AG746" s="1341"/>
      <c r="AH746" s="719"/>
      <c r="AI746" s="719"/>
      <c r="AJ746" s="719"/>
      <c r="AK746" s="719"/>
      <c r="AL746" s="720"/>
      <c r="AM746" s="719"/>
      <c r="AN746" s="719"/>
      <c r="AO746" s="719"/>
      <c r="AP746" s="719"/>
      <c r="AQ746" s="724">
        <f>+FL_2($T$747,$T$745,$G$746,1200,9.28,-1*$F$747)</f>
        <v>-0.37855025261538461</v>
      </c>
      <c r="AR746" s="724"/>
      <c r="AS746" s="724"/>
      <c r="AT746" s="724"/>
      <c r="AU746" s="724"/>
      <c r="AV746" s="724"/>
      <c r="AW746" s="720"/>
      <c r="AX746" s="720"/>
      <c r="AY746" s="720"/>
    </row>
    <row r="747" spans="1:51" ht="15.75" hidden="1" customHeight="1">
      <c r="A747" s="716"/>
      <c r="B747" s="741" t="s">
        <v>1663</v>
      </c>
      <c r="C747" s="718">
        <f>+$C$745+$G$746</f>
        <v>48449</v>
      </c>
      <c r="D747" s="719"/>
      <c r="E747" s="719"/>
      <c r="F747" s="720">
        <v>0</v>
      </c>
      <c r="G747" s="721"/>
      <c r="H747" s="726"/>
      <c r="I747" s="726"/>
      <c r="J747" s="727"/>
      <c r="K747" s="719"/>
      <c r="L747" s="719" t="s">
        <v>2999</v>
      </c>
      <c r="M747" s="719"/>
      <c r="N747" s="726" t="s">
        <v>695</v>
      </c>
      <c r="O747" s="726"/>
      <c r="P747" s="738"/>
      <c r="Q747" s="719">
        <v>0</v>
      </c>
      <c r="R747" s="719">
        <v>0</v>
      </c>
      <c r="S747" s="719"/>
      <c r="T747" s="719">
        <v>-35</v>
      </c>
      <c r="U747" s="719"/>
      <c r="V747" s="719"/>
      <c r="W747" s="721">
        <v>1</v>
      </c>
      <c r="X747" s="719"/>
      <c r="Y747" s="719"/>
      <c r="Z747" s="719"/>
      <c r="AA747" s="719"/>
      <c r="AB747" s="719"/>
      <c r="AC747" s="719" t="s">
        <v>2979</v>
      </c>
      <c r="AD747" s="719"/>
      <c r="AE747" s="719"/>
      <c r="AF747" s="719">
        <v>400</v>
      </c>
      <c r="AG747" s="1341">
        <v>48449.57</v>
      </c>
      <c r="AH747" s="719">
        <v>2190</v>
      </c>
      <c r="AI747" s="719">
        <v>-4805</v>
      </c>
      <c r="AJ747" s="719"/>
      <c r="AK747" s="719"/>
      <c r="AL747" s="719"/>
      <c r="AM747" s="719" t="s">
        <v>2610</v>
      </c>
      <c r="AN747" s="719">
        <v>5.25</v>
      </c>
      <c r="AO747" s="719"/>
      <c r="AP747" s="719"/>
      <c r="AQ747" s="724"/>
      <c r="AR747" s="724"/>
      <c r="AS747" s="724"/>
      <c r="AT747" s="724">
        <f>+ab($T$747,$T$745,$T$749,$G$746,$G$748,-1*$F$747,1200)</f>
        <v>-6.988289981247652</v>
      </c>
      <c r="AU747" s="724"/>
      <c r="AV747" s="724"/>
      <c r="AW747" s="719"/>
      <c r="AX747" s="719"/>
      <c r="AY747" s="719"/>
    </row>
    <row r="748" spans="1:51" ht="15.75" hidden="1" customHeight="1">
      <c r="A748" s="716"/>
      <c r="B748" s="735"/>
      <c r="C748" s="718"/>
      <c r="D748" s="719"/>
      <c r="E748" s="719"/>
      <c r="F748" s="720"/>
      <c r="G748" s="721">
        <v>50.5</v>
      </c>
      <c r="H748" s="726"/>
      <c r="I748" s="726"/>
      <c r="J748" s="727"/>
      <c r="K748" s="719"/>
      <c r="L748" s="719"/>
      <c r="M748" s="719"/>
      <c r="N748" s="726"/>
      <c r="O748" s="726"/>
      <c r="P748" s="726"/>
      <c r="Q748" s="719"/>
      <c r="R748" s="719"/>
      <c r="S748" s="719">
        <f t="shared" si="90"/>
        <v>50.190000000002328</v>
      </c>
      <c r="T748" s="719"/>
      <c r="U748" s="719"/>
      <c r="V748" s="719"/>
      <c r="W748" s="721"/>
      <c r="X748" s="719"/>
      <c r="Y748" s="719"/>
      <c r="Z748" s="719"/>
      <c r="AA748" s="719"/>
      <c r="AB748" s="719"/>
      <c r="AC748" s="719"/>
      <c r="AD748" s="719"/>
      <c r="AE748" s="719"/>
      <c r="AF748" s="719"/>
      <c r="AG748" s="1341"/>
      <c r="AH748" s="719"/>
      <c r="AI748" s="719"/>
      <c r="AJ748" s="719"/>
      <c r="AK748" s="719"/>
      <c r="AL748" s="719"/>
      <c r="AM748" s="719"/>
      <c r="AN748" s="719"/>
      <c r="AO748" s="719"/>
      <c r="AP748" s="719"/>
      <c r="AQ748" s="724">
        <f>+FL_2($T$749,$T$747,$G$748,1200,9.28,-1*$F$749)</f>
        <v>-0.37075133160396045</v>
      </c>
      <c r="AR748" s="724"/>
      <c r="AS748" s="724"/>
      <c r="AT748" s="724"/>
      <c r="AU748" s="724"/>
      <c r="AV748" s="724"/>
      <c r="AW748" s="719"/>
      <c r="AX748" s="719"/>
      <c r="AY748" s="719"/>
    </row>
    <row r="749" spans="1:51" ht="15.75" hidden="1" customHeight="1">
      <c r="A749" s="716"/>
      <c r="B749" s="741" t="s">
        <v>1664</v>
      </c>
      <c r="C749" s="718">
        <f>+$C$747+$G$748</f>
        <v>48499.5</v>
      </c>
      <c r="D749" s="719"/>
      <c r="E749" s="719"/>
      <c r="F749" s="720">
        <v>0</v>
      </c>
      <c r="G749" s="721"/>
      <c r="H749" s="726"/>
      <c r="I749" s="726"/>
      <c r="J749" s="727"/>
      <c r="K749" s="719"/>
      <c r="L749" s="719" t="s">
        <v>2999</v>
      </c>
      <c r="M749" s="719"/>
      <c r="N749" s="726" t="s">
        <v>696</v>
      </c>
      <c r="O749" s="719"/>
      <c r="P749" s="726"/>
      <c r="Q749" s="719">
        <v>0</v>
      </c>
      <c r="R749" s="719">
        <v>0</v>
      </c>
      <c r="S749" s="719"/>
      <c r="T749" s="719">
        <v>35</v>
      </c>
      <c r="U749" s="719"/>
      <c r="V749" s="719"/>
      <c r="W749" s="721">
        <v>1</v>
      </c>
      <c r="X749" s="719"/>
      <c r="Y749" s="719"/>
      <c r="Z749" s="719"/>
      <c r="AA749" s="719"/>
      <c r="AB749" s="719"/>
      <c r="AC749" s="719" t="s">
        <v>2977</v>
      </c>
      <c r="AD749" s="719"/>
      <c r="AE749" s="719"/>
      <c r="AF749" s="719">
        <v>400</v>
      </c>
      <c r="AG749" s="1341">
        <v>48499.76</v>
      </c>
      <c r="AH749" s="719">
        <v>2192</v>
      </c>
      <c r="AI749" s="719">
        <v>-4809</v>
      </c>
      <c r="AJ749" s="719"/>
      <c r="AK749" s="719"/>
      <c r="AL749" s="719"/>
      <c r="AM749" s="719" t="s">
        <v>2610</v>
      </c>
      <c r="AN749" s="719">
        <v>5.25</v>
      </c>
      <c r="AO749" s="719"/>
      <c r="AP749" s="719"/>
      <c r="AQ749" s="724"/>
      <c r="AR749" s="724"/>
      <c r="AS749" s="724"/>
      <c r="AT749" s="724">
        <f>+ab($T$749,$T$747,$T$751,$G$748,$G$750,-1*$F$749,1200)</f>
        <v>9.0284842554423523</v>
      </c>
      <c r="AU749" s="724"/>
      <c r="AV749" s="724"/>
      <c r="AW749" s="719"/>
      <c r="AX749" s="719"/>
      <c r="AY749" s="719"/>
    </row>
    <row r="750" spans="1:51" ht="15.75" hidden="1" customHeight="1">
      <c r="A750" s="716" t="s">
        <v>2970</v>
      </c>
      <c r="B750" s="735"/>
      <c r="C750" s="718"/>
      <c r="D750" s="719"/>
      <c r="E750" s="719"/>
      <c r="F750" s="720"/>
      <c r="G750" s="721">
        <v>48.5</v>
      </c>
      <c r="H750" s="726"/>
      <c r="I750" s="726"/>
      <c r="J750" s="727"/>
      <c r="K750" s="719"/>
      <c r="L750" s="719"/>
      <c r="M750" s="719"/>
      <c r="N750" s="726"/>
      <c r="O750" s="726"/>
      <c r="P750" s="726"/>
      <c r="Q750" s="719"/>
      <c r="R750" s="719"/>
      <c r="S750" s="719"/>
      <c r="T750" s="719"/>
      <c r="U750" s="719"/>
      <c r="V750" s="719"/>
      <c r="W750" s="721"/>
      <c r="X750" s="719"/>
      <c r="Y750" s="719"/>
      <c r="Z750" s="719"/>
      <c r="AA750" s="719"/>
      <c r="AB750" s="719"/>
      <c r="AC750" s="719"/>
      <c r="AD750" s="719"/>
      <c r="AE750" s="719"/>
      <c r="AF750" s="719"/>
      <c r="AG750" s="1341"/>
      <c r="AH750" s="719"/>
      <c r="AI750" s="719"/>
      <c r="AJ750" s="719" t="s">
        <v>2665</v>
      </c>
      <c r="AK750" s="719"/>
      <c r="AL750" s="720"/>
      <c r="AM750" s="719"/>
      <c r="AN750" s="719"/>
      <c r="AO750" s="719"/>
      <c r="AP750" s="719"/>
      <c r="AQ750" s="724"/>
      <c r="AR750" s="724"/>
      <c r="AS750" s="724"/>
      <c r="AT750" s="724"/>
      <c r="AU750" s="724"/>
      <c r="AV750" s="724"/>
      <c r="AW750" s="720"/>
      <c r="AX750" s="720"/>
      <c r="AY750" s="720"/>
    </row>
    <row r="751" spans="1:51" ht="15.75" hidden="1" customHeight="1">
      <c r="A751" s="716" t="s">
        <v>466</v>
      </c>
      <c r="B751" s="741" t="s">
        <v>1665</v>
      </c>
      <c r="C751" s="718">
        <f>+$C$749+$G$750</f>
        <v>48548</v>
      </c>
      <c r="D751" s="719"/>
      <c r="E751" s="719"/>
      <c r="F751" s="720">
        <v>0</v>
      </c>
      <c r="G751" s="721"/>
      <c r="H751" s="726" t="s">
        <v>138</v>
      </c>
      <c r="I751" s="726" t="s">
        <v>2831</v>
      </c>
      <c r="J751" s="727">
        <f>C751</f>
        <v>48548</v>
      </c>
      <c r="K751" s="719" t="s">
        <v>2587</v>
      </c>
      <c r="L751" s="719" t="s">
        <v>2999</v>
      </c>
      <c r="M751" s="719"/>
      <c r="N751" s="726"/>
      <c r="O751" s="726"/>
      <c r="P751" s="726"/>
      <c r="Q751" s="719"/>
      <c r="R751" s="719"/>
      <c r="S751" s="719"/>
      <c r="T751" s="719"/>
      <c r="U751" s="719"/>
      <c r="V751" s="719"/>
      <c r="W751" s="721"/>
      <c r="X751" s="719"/>
      <c r="Y751" s="719"/>
      <c r="Z751" s="719"/>
      <c r="AA751" s="719"/>
      <c r="AB751" s="719"/>
      <c r="AC751" s="719"/>
      <c r="AD751" s="719"/>
      <c r="AE751" s="719"/>
      <c r="AF751" s="719"/>
      <c r="AG751" s="1341"/>
      <c r="AH751" s="719"/>
      <c r="AI751" s="719"/>
      <c r="AJ751" s="719" t="s">
        <v>2456</v>
      </c>
      <c r="AK751" s="719"/>
      <c r="AL751" s="720"/>
      <c r="AM751" s="719"/>
      <c r="AN751" s="719"/>
      <c r="AO751" s="719"/>
      <c r="AP751" s="719"/>
      <c r="AQ751" s="724"/>
      <c r="AR751" s="724"/>
      <c r="AS751" s="724"/>
      <c r="AT751" s="724"/>
      <c r="AU751" s="724"/>
      <c r="AV751" s="724"/>
      <c r="AW751" s="720"/>
      <c r="AX751" s="720"/>
      <c r="AY751" s="720"/>
    </row>
    <row r="752" spans="1:51" ht="15.75" hidden="1" customHeight="1">
      <c r="A752" s="716" t="s">
        <v>1136</v>
      </c>
      <c r="B752" s="735"/>
      <c r="C752" s="718"/>
      <c r="D752" s="719"/>
      <c r="E752" s="719"/>
      <c r="F752" s="720"/>
      <c r="G752" s="721"/>
      <c r="H752" s="726"/>
      <c r="I752" s="726"/>
      <c r="J752" s="727"/>
      <c r="K752" s="719"/>
      <c r="L752" s="719"/>
      <c r="M752" s="719"/>
      <c r="N752" s="726"/>
      <c r="O752" s="726"/>
      <c r="P752" s="726"/>
      <c r="Q752" s="719"/>
      <c r="R752" s="719"/>
      <c r="S752" s="719"/>
      <c r="T752" s="719"/>
      <c r="U752" s="719"/>
      <c r="V752" s="719"/>
      <c r="W752" s="719"/>
      <c r="X752" s="719"/>
      <c r="Y752" s="719"/>
      <c r="Z752" s="719"/>
      <c r="AA752" s="719"/>
      <c r="AB752" s="719"/>
      <c r="AC752" s="719"/>
      <c r="AD752" s="719"/>
      <c r="AE752" s="719"/>
      <c r="AF752" s="719"/>
      <c r="AG752" s="1341"/>
      <c r="AH752" s="719"/>
      <c r="AI752" s="719"/>
      <c r="AJ752" s="719"/>
      <c r="AK752" s="719"/>
      <c r="AL752" s="720"/>
      <c r="AM752" s="719"/>
      <c r="AN752" s="719"/>
      <c r="AO752" s="719"/>
      <c r="AP752" s="719"/>
      <c r="AQ752" s="724"/>
      <c r="AR752" s="724"/>
      <c r="AS752" s="724"/>
      <c r="AT752" s="724"/>
      <c r="AU752" s="724"/>
      <c r="AV752" s="724"/>
      <c r="AW752" s="720"/>
      <c r="AX752" s="720"/>
      <c r="AY752" s="720"/>
    </row>
    <row r="753" spans="1:51" ht="15.75" customHeight="1">
      <c r="A753" s="500"/>
      <c r="B753" s="680"/>
      <c r="C753" s="481"/>
      <c r="D753" s="47"/>
      <c r="E753" s="47"/>
      <c r="F753" s="478"/>
      <c r="G753" s="479"/>
      <c r="H753" s="9"/>
      <c r="I753" s="9"/>
      <c r="J753" s="503"/>
      <c r="K753" s="47"/>
      <c r="L753" s="47"/>
      <c r="M753" s="47"/>
      <c r="N753" s="9"/>
      <c r="O753" s="9"/>
      <c r="P753" s="9"/>
      <c r="Q753" s="47"/>
      <c r="R753" s="47"/>
      <c r="S753" s="47"/>
      <c r="T753" s="47"/>
      <c r="U753" s="47"/>
      <c r="V753" s="47"/>
      <c r="W753" s="47"/>
      <c r="X753" s="47"/>
      <c r="Y753" s="47"/>
      <c r="Z753" s="47"/>
      <c r="AA753" s="47"/>
      <c r="AB753" s="47"/>
      <c r="AC753" s="47"/>
      <c r="AD753" s="47"/>
      <c r="AE753" s="47"/>
      <c r="AF753" s="47"/>
      <c r="AG753" s="1345"/>
      <c r="AH753" s="47"/>
      <c r="AI753" s="47"/>
      <c r="AJ753" s="47"/>
      <c r="AK753" s="47"/>
      <c r="AL753" s="478"/>
      <c r="AM753" s="47"/>
      <c r="AN753" s="47"/>
      <c r="AO753" s="47"/>
      <c r="AP753" s="47"/>
      <c r="AQ753" s="478"/>
      <c r="AR753" s="478"/>
      <c r="AS753" s="478"/>
      <c r="AT753" s="478"/>
      <c r="AU753" s="478"/>
      <c r="AV753" s="478"/>
      <c r="AW753" s="478"/>
      <c r="AX753" s="478"/>
      <c r="AY753" s="478"/>
    </row>
    <row r="754" spans="1:51" ht="15.75" customHeight="1">
      <c r="A754" s="500"/>
      <c r="B754" s="477"/>
      <c r="C754" s="481"/>
      <c r="D754" s="47"/>
      <c r="E754" s="47"/>
      <c r="F754" s="478"/>
      <c r="G754" s="479"/>
      <c r="H754" s="9"/>
      <c r="I754" s="9"/>
      <c r="J754" s="503"/>
      <c r="K754" s="47"/>
      <c r="L754" s="47"/>
      <c r="M754" s="47"/>
      <c r="N754" s="9"/>
      <c r="O754" s="9"/>
      <c r="P754" s="9"/>
      <c r="Q754" s="47"/>
      <c r="R754" s="47"/>
      <c r="S754" s="47"/>
      <c r="T754" s="47"/>
      <c r="U754" s="47"/>
      <c r="V754" s="47"/>
      <c r="W754" s="47"/>
      <c r="X754" s="47"/>
      <c r="Y754" s="47"/>
      <c r="Z754" s="47"/>
      <c r="AA754" s="47"/>
      <c r="AB754" s="47"/>
      <c r="AC754" s="47"/>
      <c r="AD754" s="47"/>
      <c r="AE754" s="47"/>
      <c r="AF754" s="47"/>
      <c r="AG754" s="1345"/>
      <c r="AH754" s="47"/>
      <c r="AI754" s="47"/>
      <c r="AJ754" s="47"/>
      <c r="AK754" s="47"/>
      <c r="AL754" s="478"/>
      <c r="AM754" s="47"/>
      <c r="AN754" s="47"/>
      <c r="AO754" s="47"/>
      <c r="AP754" s="47"/>
      <c r="AQ754" s="478"/>
      <c r="AR754" s="478"/>
      <c r="AS754" s="478"/>
      <c r="AT754" s="478"/>
      <c r="AU754" s="478"/>
      <c r="AV754" s="478"/>
      <c r="AW754" s="478"/>
      <c r="AX754" s="478"/>
      <c r="AY754" s="478"/>
    </row>
    <row r="755" spans="1:51" ht="15.75" customHeight="1">
      <c r="A755" s="500"/>
      <c r="B755" s="477"/>
      <c r="C755" s="481"/>
      <c r="D755" s="47"/>
      <c r="E755" s="47"/>
      <c r="F755" s="478"/>
      <c r="G755" s="479"/>
      <c r="H755" s="9"/>
      <c r="I755" s="9"/>
      <c r="J755" s="503"/>
      <c r="K755" s="47"/>
      <c r="L755" s="47"/>
      <c r="M755" s="47"/>
      <c r="N755" s="9"/>
      <c r="O755" s="9"/>
      <c r="P755" s="9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1345"/>
      <c r="AH755" s="47"/>
      <c r="AI755" s="47"/>
      <c r="AJ755" s="47"/>
      <c r="AK755" s="47"/>
      <c r="AL755" s="47"/>
      <c r="AM755" s="47"/>
      <c r="AN755" s="47"/>
      <c r="AO755" s="47"/>
      <c r="AP755" s="47"/>
      <c r="AQ755" s="47"/>
      <c r="AR755" s="47"/>
      <c r="AS755" s="47"/>
      <c r="AT755" s="47"/>
      <c r="AU755" s="47"/>
      <c r="AV755" s="47"/>
      <c r="AW755" s="47"/>
      <c r="AX755" s="47"/>
      <c r="AY755" s="47"/>
    </row>
    <row r="756" spans="1:51" ht="15.75" customHeight="1">
      <c r="A756" s="500"/>
      <c r="B756" s="477"/>
      <c r="C756" s="481"/>
      <c r="D756" s="47"/>
      <c r="E756" s="47"/>
      <c r="F756" s="478"/>
      <c r="G756" s="479"/>
      <c r="H756" s="9"/>
      <c r="I756" s="9"/>
      <c r="J756" s="503"/>
      <c r="K756" s="47"/>
      <c r="L756" s="47"/>
      <c r="M756" s="47"/>
      <c r="N756" s="9"/>
      <c r="O756" s="9"/>
      <c r="P756" s="9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  <c r="AB756" s="47"/>
      <c r="AC756" s="47"/>
      <c r="AD756" s="47"/>
      <c r="AE756" s="47"/>
      <c r="AF756" s="47"/>
      <c r="AG756" s="1345"/>
      <c r="AH756" s="47"/>
      <c r="AI756" s="47"/>
      <c r="AJ756" s="47"/>
      <c r="AK756" s="47"/>
      <c r="AL756" s="47"/>
      <c r="AM756" s="47"/>
      <c r="AN756" s="47"/>
      <c r="AO756" s="47"/>
      <c r="AP756" s="47"/>
      <c r="AQ756" s="47"/>
      <c r="AR756" s="47"/>
      <c r="AS756" s="47"/>
      <c r="AT756" s="47"/>
      <c r="AU756" s="47"/>
      <c r="AV756" s="47"/>
      <c r="AW756" s="47"/>
      <c r="AX756" s="47"/>
      <c r="AY756" s="47"/>
    </row>
    <row r="757" spans="1:51" ht="15.75" customHeight="1">
      <c r="A757" s="500"/>
      <c r="B757" s="477"/>
      <c r="C757" s="481"/>
      <c r="D757" s="47"/>
      <c r="E757" s="47"/>
      <c r="F757" s="478"/>
      <c r="G757" s="479"/>
      <c r="H757" s="9"/>
      <c r="I757" s="9"/>
      <c r="J757" s="503"/>
      <c r="K757" s="47"/>
      <c r="L757" s="47"/>
      <c r="M757" s="47"/>
      <c r="N757" s="9"/>
      <c r="O757" s="9"/>
      <c r="P757" s="9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  <c r="AB757" s="47"/>
      <c r="AC757" s="47"/>
      <c r="AD757" s="47"/>
      <c r="AE757" s="47"/>
      <c r="AF757" s="47"/>
      <c r="AG757" s="1345"/>
      <c r="AH757" s="47"/>
      <c r="AI757" s="47"/>
      <c r="AJ757" s="47"/>
      <c r="AK757" s="47"/>
      <c r="AL757" s="47"/>
      <c r="AM757" s="47"/>
      <c r="AN757" s="47"/>
      <c r="AO757" s="47"/>
      <c r="AP757" s="47"/>
      <c r="AQ757" s="47"/>
      <c r="AR757" s="47"/>
      <c r="AS757" s="47"/>
      <c r="AT757" s="47"/>
      <c r="AU757" s="47"/>
      <c r="AV757" s="47"/>
      <c r="AW757" s="47"/>
      <c r="AX757" s="47"/>
      <c r="AY757" s="47"/>
    </row>
    <row r="758" spans="1:51" ht="15.75" customHeight="1">
      <c r="A758" s="47"/>
      <c r="B758" s="47"/>
      <c r="C758" s="47"/>
      <c r="D758" s="47"/>
      <c r="E758" s="47"/>
      <c r="F758" s="47"/>
      <c r="G758" s="47"/>
      <c r="H758" s="47"/>
      <c r="I758" s="47"/>
      <c r="J758" s="47"/>
      <c r="K758" s="47"/>
      <c r="L758" s="47"/>
      <c r="M758" s="47"/>
      <c r="N758" s="9"/>
      <c r="O758" s="9"/>
      <c r="P758" s="9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7"/>
      <c r="AE758" s="47"/>
      <c r="AF758" s="47"/>
      <c r="AG758" s="1345"/>
      <c r="AH758" s="47"/>
      <c r="AI758" s="47"/>
      <c r="AJ758" s="47"/>
      <c r="AK758" s="47"/>
      <c r="AL758" s="47"/>
      <c r="AM758" s="47"/>
      <c r="AN758" s="47"/>
      <c r="AO758" s="47"/>
      <c r="AP758" s="47"/>
      <c r="AQ758" s="47"/>
      <c r="AR758" s="47"/>
      <c r="AS758" s="47"/>
      <c r="AT758" s="47"/>
      <c r="AU758" s="47"/>
      <c r="AV758" s="47"/>
      <c r="AW758" s="47"/>
      <c r="AX758" s="47"/>
      <c r="AY758" s="47"/>
    </row>
    <row r="759" spans="1:51" ht="15.75" customHeight="1">
      <c r="A759" s="47"/>
      <c r="B759" s="47"/>
      <c r="C759" s="47"/>
      <c r="D759" s="47"/>
      <c r="E759" s="47"/>
      <c r="F759" s="47"/>
      <c r="G759" s="47"/>
      <c r="H759" s="47"/>
      <c r="I759" s="47"/>
      <c r="J759" s="47"/>
      <c r="K759" s="47"/>
      <c r="L759" s="47"/>
      <c r="M759" s="47"/>
      <c r="N759" s="9"/>
      <c r="O759" s="9"/>
      <c r="P759" s="9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  <c r="AB759" s="47"/>
      <c r="AC759" s="47"/>
      <c r="AD759" s="47"/>
      <c r="AE759" s="47"/>
      <c r="AF759" s="47"/>
      <c r="AG759" s="1345"/>
      <c r="AH759" s="47"/>
      <c r="AI759" s="47"/>
      <c r="AJ759" s="47"/>
      <c r="AK759" s="47"/>
      <c r="AL759" s="47"/>
      <c r="AM759" s="47"/>
      <c r="AN759" s="47"/>
      <c r="AO759" s="47"/>
      <c r="AP759" s="47"/>
      <c r="AQ759" s="47"/>
      <c r="AR759" s="47"/>
      <c r="AS759" s="47"/>
      <c r="AT759" s="47"/>
      <c r="AU759" s="47"/>
      <c r="AV759" s="47"/>
      <c r="AW759" s="47"/>
      <c r="AX759" s="47"/>
      <c r="AY759" s="47"/>
    </row>
    <row r="760" spans="1:51" ht="15.75" customHeight="1">
      <c r="A760" s="47"/>
      <c r="B760" s="47"/>
      <c r="C760" s="47"/>
      <c r="D760" s="47"/>
      <c r="E760" s="47"/>
      <c r="F760" s="47"/>
      <c r="G760" s="47"/>
      <c r="H760" s="47"/>
      <c r="I760" s="47"/>
      <c r="J760" s="47"/>
      <c r="K760" s="47"/>
      <c r="L760" s="47"/>
      <c r="M760" s="47"/>
      <c r="N760" s="9"/>
      <c r="O760" s="9"/>
      <c r="P760" s="9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7"/>
      <c r="AE760" s="47"/>
      <c r="AF760" s="47"/>
      <c r="AG760" s="1345"/>
      <c r="AH760" s="47"/>
      <c r="AI760" s="47"/>
      <c r="AJ760" s="47"/>
      <c r="AK760" s="47"/>
      <c r="AL760" s="47"/>
      <c r="AM760" s="47"/>
      <c r="AN760" s="47"/>
      <c r="AO760" s="47"/>
      <c r="AP760" s="47"/>
      <c r="AQ760" s="47"/>
      <c r="AR760" s="47"/>
      <c r="AS760" s="47"/>
      <c r="AT760" s="47"/>
      <c r="AU760" s="47"/>
      <c r="AV760" s="47"/>
      <c r="AW760" s="47"/>
      <c r="AX760" s="47"/>
      <c r="AY760" s="47"/>
    </row>
    <row r="761" spans="1:51" ht="15.75" customHeight="1">
      <c r="A761" s="47"/>
      <c r="B761" s="47"/>
      <c r="C761" s="47"/>
      <c r="D761" s="47"/>
      <c r="E761" s="47"/>
      <c r="F761" s="47"/>
      <c r="G761" s="47"/>
      <c r="H761" s="47"/>
      <c r="I761" s="47"/>
      <c r="J761" s="47"/>
      <c r="K761" s="47"/>
      <c r="L761" s="47"/>
      <c r="M761" s="47"/>
      <c r="N761" s="9"/>
      <c r="O761" s="9"/>
      <c r="P761" s="9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7"/>
      <c r="AE761" s="47"/>
      <c r="AF761" s="47"/>
      <c r="AG761" s="1345"/>
      <c r="AH761" s="47"/>
      <c r="AI761" s="47"/>
      <c r="AJ761" s="47"/>
      <c r="AK761" s="47"/>
      <c r="AL761" s="47"/>
      <c r="AM761" s="47"/>
      <c r="AN761" s="47"/>
      <c r="AO761" s="47"/>
      <c r="AP761" s="47"/>
      <c r="AQ761" s="47"/>
      <c r="AR761" s="47"/>
      <c r="AS761" s="47"/>
      <c r="AT761" s="47"/>
      <c r="AU761" s="47"/>
      <c r="AV761" s="47"/>
      <c r="AW761" s="47"/>
      <c r="AX761" s="47"/>
      <c r="AY761" s="47"/>
    </row>
    <row r="762" spans="1:51" ht="15.75" customHeight="1">
      <c r="A762" s="47"/>
      <c r="B762" s="47"/>
      <c r="C762" s="47"/>
      <c r="D762" s="47"/>
      <c r="E762" s="47"/>
      <c r="F762" s="47"/>
      <c r="G762" s="47"/>
      <c r="H762" s="47"/>
      <c r="I762" s="47"/>
      <c r="J762" s="47"/>
      <c r="K762" s="47"/>
      <c r="L762" s="47"/>
      <c r="M762" s="47"/>
      <c r="N762" s="9"/>
      <c r="O762" s="9"/>
      <c r="P762" s="9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7"/>
      <c r="AE762" s="47"/>
      <c r="AF762" s="47"/>
      <c r="AG762" s="1345"/>
      <c r="AH762" s="47"/>
      <c r="AI762" s="47"/>
      <c r="AJ762" s="47"/>
      <c r="AK762" s="47"/>
      <c r="AL762" s="47"/>
      <c r="AM762" s="47"/>
      <c r="AN762" s="47"/>
      <c r="AO762" s="47"/>
      <c r="AP762" s="47"/>
      <c r="AQ762" s="47"/>
      <c r="AR762" s="47"/>
      <c r="AS762" s="47"/>
      <c r="AT762" s="47"/>
      <c r="AU762" s="47"/>
      <c r="AV762" s="47"/>
      <c r="AW762" s="47"/>
      <c r="AX762" s="47"/>
      <c r="AY762" s="47"/>
    </row>
    <row r="763" spans="1:51" ht="15.75" customHeight="1">
      <c r="A763" s="47"/>
      <c r="B763" s="47"/>
      <c r="C763" s="47"/>
      <c r="D763" s="47"/>
      <c r="E763" s="47"/>
      <c r="F763" s="47"/>
      <c r="G763" s="47"/>
      <c r="H763" s="47"/>
      <c r="I763" s="47"/>
      <c r="J763" s="47"/>
      <c r="K763" s="47"/>
      <c r="L763" s="47"/>
      <c r="M763" s="47"/>
      <c r="N763" s="9"/>
      <c r="O763" s="9"/>
      <c r="P763" s="9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7"/>
      <c r="AE763" s="47"/>
      <c r="AF763" s="47"/>
      <c r="AG763" s="1345"/>
      <c r="AH763" s="47"/>
      <c r="AI763" s="47"/>
      <c r="AJ763" s="47"/>
      <c r="AK763" s="47"/>
      <c r="AL763" s="47"/>
      <c r="AM763" s="47"/>
      <c r="AN763" s="47"/>
      <c r="AO763" s="47"/>
      <c r="AP763" s="47"/>
      <c r="AQ763" s="47"/>
      <c r="AR763" s="47"/>
      <c r="AS763" s="47"/>
      <c r="AT763" s="47"/>
      <c r="AU763" s="47"/>
      <c r="AV763" s="47"/>
      <c r="AW763" s="47"/>
      <c r="AX763" s="47"/>
      <c r="AY763" s="47"/>
    </row>
    <row r="764" spans="1:51" ht="15.75" customHeight="1">
      <c r="A764" s="47"/>
      <c r="B764" s="47"/>
      <c r="C764" s="47"/>
      <c r="D764" s="47"/>
      <c r="E764" s="47"/>
      <c r="F764" s="47"/>
      <c r="G764" s="47"/>
      <c r="H764" s="47"/>
      <c r="I764" s="47"/>
      <c r="J764" s="47"/>
      <c r="K764" s="47"/>
      <c r="L764" s="47"/>
      <c r="M764" s="47"/>
      <c r="N764" s="9"/>
      <c r="O764" s="9"/>
      <c r="P764" s="9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7"/>
      <c r="AE764" s="47"/>
      <c r="AF764" s="47"/>
      <c r="AG764" s="1345"/>
      <c r="AH764" s="47"/>
      <c r="AI764" s="47"/>
      <c r="AJ764" s="47"/>
      <c r="AK764" s="47"/>
      <c r="AL764" s="47"/>
      <c r="AM764" s="47"/>
      <c r="AN764" s="47"/>
      <c r="AO764" s="47"/>
      <c r="AP764" s="47"/>
      <c r="AQ764" s="47"/>
      <c r="AR764" s="47"/>
      <c r="AS764" s="47"/>
      <c r="AT764" s="47"/>
      <c r="AU764" s="47"/>
      <c r="AV764" s="47"/>
      <c r="AW764" s="47"/>
      <c r="AX764" s="47"/>
      <c r="AY764" s="47"/>
    </row>
    <row r="765" spans="1:51" ht="15.75" customHeight="1">
      <c r="A765" s="47"/>
      <c r="B765" s="47"/>
      <c r="C765" s="47"/>
      <c r="D765" s="47"/>
      <c r="E765" s="47"/>
      <c r="F765" s="47"/>
      <c r="G765" s="47"/>
      <c r="H765" s="47"/>
      <c r="I765" s="47"/>
      <c r="J765" s="47"/>
      <c r="K765" s="47"/>
      <c r="L765" s="47"/>
      <c r="M765" s="47"/>
      <c r="N765" s="9"/>
      <c r="O765" s="9"/>
      <c r="P765" s="9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7"/>
      <c r="AE765" s="47"/>
      <c r="AF765" s="47"/>
      <c r="AG765" s="1345"/>
      <c r="AH765" s="47"/>
      <c r="AI765" s="47"/>
      <c r="AJ765" s="47"/>
      <c r="AK765" s="47"/>
      <c r="AL765" s="47"/>
      <c r="AM765" s="47"/>
      <c r="AN765" s="47"/>
      <c r="AO765" s="47"/>
      <c r="AP765" s="47"/>
      <c r="AQ765" s="47"/>
      <c r="AR765" s="47"/>
      <c r="AS765" s="47"/>
      <c r="AT765" s="47"/>
      <c r="AU765" s="47"/>
      <c r="AV765" s="47"/>
      <c r="AW765" s="47"/>
      <c r="AX765" s="47"/>
      <c r="AY765" s="47"/>
    </row>
    <row r="766" spans="1:51" ht="15.75" customHeight="1">
      <c r="A766" s="47"/>
      <c r="B766" s="47"/>
      <c r="C766" s="47"/>
      <c r="D766" s="47"/>
      <c r="E766" s="47"/>
      <c r="F766" s="47"/>
      <c r="G766" s="47"/>
      <c r="H766" s="47"/>
      <c r="I766" s="47"/>
      <c r="J766" s="47"/>
      <c r="K766" s="47"/>
      <c r="L766" s="47"/>
      <c r="M766" s="47"/>
      <c r="N766" s="9"/>
      <c r="O766" s="9"/>
      <c r="P766" s="9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7"/>
      <c r="AE766" s="47"/>
      <c r="AF766" s="47"/>
      <c r="AG766" s="1345"/>
      <c r="AH766" s="47"/>
      <c r="AI766" s="47"/>
      <c r="AJ766" s="47"/>
      <c r="AK766" s="47"/>
      <c r="AL766" s="47"/>
      <c r="AM766" s="47"/>
      <c r="AN766" s="47"/>
      <c r="AO766" s="47"/>
      <c r="AP766" s="47"/>
      <c r="AQ766" s="47"/>
      <c r="AR766" s="47"/>
      <c r="AS766" s="47"/>
      <c r="AT766" s="47"/>
      <c r="AU766" s="47"/>
      <c r="AV766" s="47"/>
      <c r="AW766" s="47"/>
      <c r="AX766" s="47"/>
      <c r="AY766" s="47"/>
    </row>
    <row r="767" spans="1:51" ht="15.75" customHeight="1">
      <c r="A767" s="47"/>
      <c r="B767" s="47"/>
      <c r="C767" s="47"/>
      <c r="D767" s="47"/>
      <c r="E767" s="47"/>
      <c r="F767" s="47"/>
      <c r="G767" s="47"/>
      <c r="H767" s="47"/>
      <c r="I767" s="47"/>
      <c r="J767" s="47"/>
      <c r="K767" s="47"/>
      <c r="L767" s="47"/>
      <c r="M767" s="47"/>
      <c r="N767" s="9"/>
      <c r="O767" s="9"/>
      <c r="P767" s="9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7"/>
      <c r="AE767" s="47"/>
      <c r="AF767" s="47"/>
      <c r="AG767" s="1345"/>
      <c r="AH767" s="47"/>
      <c r="AI767" s="47"/>
      <c r="AJ767" s="47"/>
      <c r="AK767" s="47"/>
      <c r="AL767" s="47"/>
      <c r="AM767" s="47"/>
      <c r="AN767" s="47"/>
      <c r="AO767" s="47"/>
      <c r="AP767" s="47"/>
      <c r="AQ767" s="47"/>
      <c r="AR767" s="47"/>
      <c r="AS767" s="47"/>
      <c r="AT767" s="47"/>
      <c r="AU767" s="47"/>
      <c r="AV767" s="47"/>
      <c r="AW767" s="47"/>
      <c r="AX767" s="47"/>
      <c r="AY767" s="47"/>
    </row>
    <row r="768" spans="1:51" ht="15.75" customHeight="1">
      <c r="A768" s="47"/>
      <c r="B768" s="47"/>
      <c r="C768" s="47"/>
      <c r="D768" s="47"/>
      <c r="E768" s="47"/>
      <c r="F768" s="47"/>
      <c r="G768" s="47"/>
      <c r="H768" s="47"/>
      <c r="I768" s="47"/>
      <c r="J768" s="47"/>
      <c r="K768" s="47"/>
      <c r="L768" s="47"/>
      <c r="M768" s="47"/>
      <c r="N768" s="9"/>
      <c r="O768" s="9"/>
      <c r="P768" s="9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7"/>
      <c r="AE768" s="47"/>
      <c r="AF768" s="47"/>
      <c r="AG768" s="1345"/>
      <c r="AH768" s="47"/>
      <c r="AI768" s="47"/>
      <c r="AJ768" s="47"/>
      <c r="AK768" s="47"/>
      <c r="AL768" s="47"/>
      <c r="AM768" s="47"/>
      <c r="AN768" s="47"/>
      <c r="AO768" s="47"/>
      <c r="AP768" s="47"/>
      <c r="AQ768" s="47"/>
      <c r="AR768" s="47"/>
      <c r="AS768" s="47"/>
      <c r="AT768" s="47"/>
      <c r="AU768" s="47"/>
      <c r="AV768" s="47"/>
      <c r="AW768" s="47"/>
      <c r="AX768" s="47"/>
      <c r="AY768" s="47"/>
    </row>
    <row r="769" spans="1:51" ht="15.75" customHeight="1">
      <c r="A769" s="47"/>
      <c r="B769" s="47"/>
      <c r="C769" s="47"/>
      <c r="D769" s="47"/>
      <c r="E769" s="47"/>
      <c r="F769" s="47"/>
      <c r="G769" s="47"/>
      <c r="H769" s="47"/>
      <c r="I769" s="47"/>
      <c r="J769" s="47"/>
      <c r="K769" s="47"/>
      <c r="L769" s="47"/>
      <c r="M769" s="47"/>
      <c r="N769" s="9"/>
      <c r="O769" s="9"/>
      <c r="P769" s="9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7"/>
      <c r="AE769" s="47"/>
      <c r="AF769" s="47"/>
      <c r="AG769" s="1345"/>
      <c r="AH769" s="47"/>
      <c r="AI769" s="47"/>
      <c r="AJ769" s="47"/>
      <c r="AK769" s="47"/>
      <c r="AL769" s="47"/>
      <c r="AM769" s="47"/>
      <c r="AN769" s="47"/>
      <c r="AO769" s="47"/>
      <c r="AP769" s="47"/>
      <c r="AQ769" s="47"/>
      <c r="AR769" s="47"/>
      <c r="AS769" s="47"/>
      <c r="AT769" s="47"/>
      <c r="AU769" s="47"/>
      <c r="AV769" s="47"/>
      <c r="AW769" s="47"/>
      <c r="AX769" s="47"/>
      <c r="AY769" s="47"/>
    </row>
    <row r="770" spans="1:51" ht="15.75" customHeight="1">
      <c r="A770" s="47"/>
      <c r="B770" s="47"/>
      <c r="C770" s="47"/>
      <c r="D770" s="47"/>
      <c r="E770" s="47"/>
      <c r="F770" s="47"/>
      <c r="G770" s="47"/>
      <c r="H770" s="47"/>
      <c r="I770" s="47"/>
      <c r="J770" s="47"/>
      <c r="K770" s="47"/>
      <c r="L770" s="47"/>
      <c r="M770" s="47"/>
      <c r="N770" s="9"/>
      <c r="O770" s="9"/>
      <c r="P770" s="9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7"/>
      <c r="AE770" s="47"/>
      <c r="AF770" s="47"/>
      <c r="AG770" s="1345"/>
      <c r="AH770" s="47"/>
      <c r="AI770" s="47"/>
      <c r="AJ770" s="47"/>
      <c r="AK770" s="47"/>
      <c r="AL770" s="47"/>
      <c r="AM770" s="47"/>
      <c r="AN770" s="47"/>
      <c r="AO770" s="47"/>
      <c r="AP770" s="47"/>
      <c r="AQ770" s="47"/>
      <c r="AR770" s="47"/>
      <c r="AS770" s="47"/>
      <c r="AT770" s="47"/>
      <c r="AU770" s="47"/>
      <c r="AV770" s="47"/>
      <c r="AW770" s="47"/>
      <c r="AX770" s="47"/>
      <c r="AY770" s="47"/>
    </row>
    <row r="771" spans="1:51" ht="15.75" customHeight="1">
      <c r="A771" s="47"/>
      <c r="B771" s="47"/>
      <c r="C771" s="47"/>
      <c r="D771" s="47"/>
      <c r="E771" s="47"/>
      <c r="F771" s="47"/>
      <c r="G771" s="47"/>
      <c r="H771" s="47"/>
      <c r="I771" s="47"/>
      <c r="J771" s="47"/>
      <c r="K771" s="47"/>
      <c r="L771" s="47"/>
      <c r="M771" s="47"/>
      <c r="N771" s="9"/>
      <c r="O771" s="9"/>
      <c r="P771" s="9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7"/>
      <c r="AE771" s="47"/>
      <c r="AF771" s="47"/>
      <c r="AG771" s="1345"/>
      <c r="AH771" s="47"/>
      <c r="AI771" s="47"/>
      <c r="AJ771" s="47"/>
      <c r="AK771" s="47"/>
      <c r="AL771" s="47"/>
      <c r="AM771" s="47"/>
      <c r="AN771" s="47"/>
      <c r="AO771" s="47"/>
      <c r="AP771" s="47"/>
      <c r="AQ771" s="47"/>
      <c r="AR771" s="47"/>
      <c r="AS771" s="47"/>
      <c r="AT771" s="47"/>
      <c r="AU771" s="47"/>
      <c r="AV771" s="47"/>
      <c r="AW771" s="47"/>
      <c r="AX771" s="47"/>
      <c r="AY771" s="47"/>
    </row>
    <row r="772" spans="1:51" ht="15.75" customHeight="1">
      <c r="A772" s="47"/>
      <c r="B772" s="47"/>
      <c r="C772" s="47"/>
      <c r="D772" s="47"/>
      <c r="E772" s="47"/>
      <c r="F772" s="47"/>
      <c r="G772" s="47"/>
      <c r="H772" s="47"/>
      <c r="I772" s="47"/>
      <c r="J772" s="47"/>
      <c r="K772" s="47"/>
      <c r="L772" s="47"/>
      <c r="M772" s="47"/>
      <c r="N772" s="9"/>
      <c r="O772" s="9"/>
      <c r="P772" s="9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7"/>
      <c r="AE772" s="47"/>
      <c r="AF772" s="47"/>
      <c r="AG772" s="1345"/>
      <c r="AH772" s="47"/>
      <c r="AI772" s="47"/>
      <c r="AJ772" s="47"/>
      <c r="AK772" s="47"/>
      <c r="AL772" s="47"/>
      <c r="AM772" s="47"/>
      <c r="AN772" s="47"/>
      <c r="AO772" s="47"/>
      <c r="AP772" s="47"/>
      <c r="AQ772" s="47"/>
      <c r="AR772" s="47"/>
      <c r="AS772" s="47"/>
      <c r="AT772" s="47"/>
      <c r="AU772" s="47"/>
      <c r="AV772" s="47"/>
      <c r="AW772" s="47"/>
      <c r="AX772" s="47"/>
      <c r="AY772" s="47"/>
    </row>
    <row r="773" spans="1:51" ht="15.75" customHeight="1">
      <c r="A773" s="47"/>
      <c r="B773" s="47"/>
      <c r="C773" s="47"/>
      <c r="D773" s="47"/>
      <c r="E773" s="47"/>
      <c r="F773" s="47"/>
      <c r="G773" s="47"/>
      <c r="H773" s="47"/>
      <c r="I773" s="47"/>
      <c r="J773" s="47"/>
      <c r="K773" s="47"/>
      <c r="L773" s="47"/>
      <c r="M773" s="47"/>
      <c r="N773" s="9"/>
      <c r="O773" s="9"/>
      <c r="P773" s="9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7"/>
      <c r="AE773" s="47"/>
      <c r="AF773" s="47"/>
      <c r="AG773" s="1345"/>
      <c r="AH773" s="47"/>
      <c r="AI773" s="47"/>
      <c r="AJ773" s="47"/>
      <c r="AK773" s="47"/>
      <c r="AL773" s="47"/>
      <c r="AM773" s="47"/>
      <c r="AN773" s="47"/>
      <c r="AO773" s="47"/>
      <c r="AP773" s="47"/>
      <c r="AQ773" s="47"/>
      <c r="AR773" s="47"/>
      <c r="AS773" s="47"/>
      <c r="AT773" s="47"/>
      <c r="AU773" s="47"/>
      <c r="AV773" s="47"/>
      <c r="AW773" s="47"/>
      <c r="AX773" s="47"/>
      <c r="AY773" s="47"/>
    </row>
    <row r="774" spans="1:51" ht="15.75" customHeight="1">
      <c r="A774" s="47"/>
      <c r="B774" s="47"/>
      <c r="C774" s="47"/>
      <c r="D774" s="47"/>
      <c r="E774" s="47"/>
      <c r="F774" s="47"/>
      <c r="G774" s="47"/>
      <c r="H774" s="47"/>
      <c r="I774" s="47"/>
      <c r="J774" s="47"/>
      <c r="K774" s="47"/>
      <c r="L774" s="47"/>
      <c r="M774" s="47"/>
      <c r="N774" s="9"/>
      <c r="O774" s="9"/>
      <c r="P774" s="9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7"/>
      <c r="AE774" s="47"/>
      <c r="AF774" s="47"/>
      <c r="AG774" s="1345"/>
      <c r="AH774" s="47"/>
      <c r="AI774" s="47"/>
      <c r="AJ774" s="47"/>
      <c r="AK774" s="47"/>
      <c r="AL774" s="47"/>
      <c r="AM774" s="47"/>
      <c r="AN774" s="47"/>
      <c r="AO774" s="47"/>
      <c r="AP774" s="47"/>
      <c r="AQ774" s="47"/>
      <c r="AR774" s="47"/>
      <c r="AS774" s="47"/>
      <c r="AT774" s="47"/>
      <c r="AU774" s="47"/>
      <c r="AV774" s="47"/>
      <c r="AW774" s="47"/>
      <c r="AX774" s="47"/>
      <c r="AY774" s="47"/>
    </row>
    <row r="775" spans="1:51" ht="15.75" customHeight="1">
      <c r="A775" s="47"/>
      <c r="B775" s="47"/>
      <c r="C775" s="47"/>
      <c r="D775" s="47"/>
      <c r="E775" s="47"/>
      <c r="F775" s="47"/>
      <c r="G775" s="47"/>
      <c r="H775" s="47"/>
      <c r="I775" s="47"/>
      <c r="J775" s="47"/>
      <c r="K775" s="47"/>
      <c r="L775" s="47"/>
      <c r="M775" s="47"/>
      <c r="N775" s="9"/>
      <c r="O775" s="9"/>
      <c r="P775" s="9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7"/>
      <c r="AF775" s="47"/>
      <c r="AG775" s="1345"/>
      <c r="AH775" s="47"/>
      <c r="AI775" s="47"/>
      <c r="AJ775" s="47"/>
      <c r="AK775" s="47"/>
      <c r="AL775" s="47"/>
      <c r="AM775" s="47"/>
      <c r="AN775" s="47"/>
      <c r="AO775" s="47"/>
      <c r="AP775" s="47"/>
      <c r="AQ775" s="47"/>
      <c r="AR775" s="47"/>
      <c r="AS775" s="47"/>
      <c r="AT775" s="47"/>
      <c r="AU775" s="47"/>
      <c r="AV775" s="47"/>
      <c r="AW775" s="47"/>
      <c r="AX775" s="47"/>
      <c r="AY775" s="47"/>
    </row>
    <row r="776" spans="1:51" ht="15.75" customHeight="1">
      <c r="A776" s="47"/>
      <c r="B776" s="47"/>
      <c r="C776" s="47"/>
      <c r="D776" s="47"/>
      <c r="E776" s="47"/>
      <c r="F776" s="47"/>
      <c r="G776" s="47"/>
      <c r="H776" s="47"/>
      <c r="I776" s="47"/>
      <c r="J776" s="47"/>
      <c r="K776" s="47"/>
      <c r="L776" s="47"/>
      <c r="M776" s="47"/>
      <c r="N776" s="9"/>
      <c r="O776" s="9"/>
      <c r="P776" s="9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7"/>
      <c r="AE776" s="47"/>
      <c r="AF776" s="47"/>
      <c r="AG776" s="1345"/>
      <c r="AH776" s="47"/>
      <c r="AI776" s="47"/>
      <c r="AJ776" s="47"/>
      <c r="AK776" s="47"/>
      <c r="AL776" s="47"/>
      <c r="AM776" s="47"/>
      <c r="AN776" s="47"/>
      <c r="AO776" s="47"/>
      <c r="AP776" s="47"/>
      <c r="AQ776" s="47"/>
      <c r="AR776" s="47"/>
      <c r="AS776" s="47"/>
      <c r="AT776" s="47"/>
      <c r="AU776" s="47"/>
      <c r="AV776" s="47"/>
      <c r="AW776" s="47"/>
      <c r="AX776" s="47"/>
      <c r="AY776" s="47"/>
    </row>
    <row r="777" spans="1:51" ht="15.75" customHeight="1">
      <c r="A777" s="47"/>
      <c r="B777" s="47"/>
      <c r="C777" s="47"/>
      <c r="D777" s="47"/>
      <c r="E777" s="47"/>
      <c r="F777" s="47"/>
      <c r="G777" s="47"/>
      <c r="H777" s="47"/>
      <c r="I777" s="47"/>
      <c r="J777" s="47"/>
      <c r="K777" s="47"/>
      <c r="L777" s="47"/>
      <c r="M777" s="47"/>
      <c r="N777" s="9"/>
      <c r="O777" s="9"/>
      <c r="P777" s="9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7"/>
      <c r="AE777" s="47"/>
      <c r="AF777" s="47"/>
      <c r="AG777" s="1345"/>
      <c r="AH777" s="47"/>
      <c r="AI777" s="47"/>
      <c r="AJ777" s="47"/>
      <c r="AK777" s="47"/>
      <c r="AL777" s="47"/>
      <c r="AM777" s="47"/>
      <c r="AN777" s="47"/>
      <c r="AO777" s="47"/>
      <c r="AP777" s="47"/>
      <c r="AQ777" s="47"/>
      <c r="AR777" s="47"/>
      <c r="AS777" s="47"/>
      <c r="AT777" s="47"/>
      <c r="AU777" s="47"/>
      <c r="AV777" s="47"/>
      <c r="AW777" s="47"/>
      <c r="AX777" s="47"/>
      <c r="AY777" s="47"/>
    </row>
    <row r="778" spans="1:51" ht="15.75" customHeight="1">
      <c r="A778" s="47"/>
      <c r="B778" s="47"/>
      <c r="C778" s="47"/>
      <c r="D778" s="47"/>
      <c r="E778" s="47"/>
      <c r="F778" s="47"/>
      <c r="G778" s="47"/>
      <c r="H778" s="47"/>
      <c r="I778" s="47"/>
      <c r="J778" s="47"/>
      <c r="K778" s="47"/>
      <c r="L778" s="47"/>
      <c r="M778" s="47"/>
      <c r="N778" s="9"/>
      <c r="O778" s="9"/>
      <c r="P778" s="9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7"/>
      <c r="AE778" s="47"/>
      <c r="AF778" s="47"/>
      <c r="AG778" s="1345"/>
      <c r="AH778" s="47"/>
      <c r="AI778" s="47"/>
      <c r="AJ778" s="47"/>
      <c r="AK778" s="47"/>
      <c r="AL778" s="47"/>
      <c r="AM778" s="47"/>
      <c r="AN778" s="47"/>
      <c r="AO778" s="47"/>
      <c r="AP778" s="47"/>
      <c r="AQ778" s="47"/>
      <c r="AR778" s="47"/>
      <c r="AS778" s="47"/>
      <c r="AT778" s="47"/>
      <c r="AU778" s="47"/>
      <c r="AV778" s="47"/>
      <c r="AW778" s="47"/>
      <c r="AX778" s="47"/>
      <c r="AY778" s="47"/>
    </row>
    <row r="779" spans="1:51" ht="15.75" customHeight="1">
      <c r="A779" s="47"/>
      <c r="B779" s="47"/>
      <c r="C779" s="47"/>
      <c r="D779" s="47"/>
      <c r="E779" s="47"/>
      <c r="F779" s="47"/>
      <c r="G779" s="47"/>
      <c r="H779" s="47"/>
      <c r="I779" s="47"/>
      <c r="J779" s="47"/>
      <c r="K779" s="47"/>
      <c r="L779" s="47"/>
      <c r="M779" s="47"/>
      <c r="N779" s="9"/>
      <c r="O779" s="9"/>
      <c r="P779" s="9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7"/>
      <c r="AE779" s="47"/>
      <c r="AF779" s="47"/>
      <c r="AG779" s="1345"/>
      <c r="AH779" s="47"/>
      <c r="AI779" s="47"/>
      <c r="AJ779" s="47"/>
      <c r="AK779" s="47"/>
      <c r="AL779" s="47"/>
      <c r="AM779" s="47"/>
      <c r="AN779" s="47"/>
      <c r="AO779" s="47"/>
      <c r="AP779" s="47"/>
      <c r="AQ779" s="47"/>
      <c r="AR779" s="47"/>
      <c r="AS779" s="47"/>
      <c r="AT779" s="47"/>
      <c r="AU779" s="47"/>
      <c r="AV779" s="47"/>
      <c r="AW779" s="47"/>
      <c r="AX779" s="47"/>
      <c r="AY779" s="47"/>
    </row>
    <row r="780" spans="1:51" ht="15.75" customHeight="1">
      <c r="A780" s="47"/>
      <c r="B780" s="47"/>
      <c r="C780" s="47"/>
      <c r="D780" s="47"/>
      <c r="E780" s="47"/>
      <c r="F780" s="47"/>
      <c r="G780" s="47"/>
      <c r="H780" s="47"/>
      <c r="I780" s="47"/>
      <c r="J780" s="47"/>
      <c r="K780" s="47"/>
      <c r="L780" s="47"/>
      <c r="M780" s="47"/>
      <c r="N780" s="9"/>
      <c r="O780" s="9"/>
      <c r="P780" s="9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7"/>
      <c r="AE780" s="47"/>
      <c r="AF780" s="47"/>
      <c r="AG780" s="1345"/>
      <c r="AH780" s="47"/>
      <c r="AI780" s="47"/>
      <c r="AJ780" s="47"/>
      <c r="AK780" s="47"/>
      <c r="AL780" s="47"/>
      <c r="AM780" s="47"/>
      <c r="AN780" s="47"/>
      <c r="AO780" s="47"/>
      <c r="AP780" s="47"/>
      <c r="AQ780" s="47"/>
      <c r="AR780" s="47"/>
      <c r="AS780" s="47"/>
      <c r="AT780" s="47"/>
      <c r="AU780" s="47"/>
      <c r="AV780" s="47"/>
      <c r="AW780" s="47"/>
      <c r="AX780" s="47"/>
      <c r="AY780" s="47"/>
    </row>
    <row r="781" spans="1:51" ht="15.75" customHeight="1">
      <c r="A781" s="47"/>
      <c r="B781" s="47"/>
      <c r="C781" s="47"/>
      <c r="D781" s="47"/>
      <c r="E781" s="47"/>
      <c r="F781" s="47"/>
      <c r="G781" s="47"/>
      <c r="H781" s="47"/>
      <c r="I781" s="47"/>
      <c r="J781" s="47"/>
      <c r="K781" s="47"/>
      <c r="L781" s="47"/>
      <c r="M781" s="47"/>
      <c r="N781" s="9"/>
      <c r="O781" s="9"/>
      <c r="P781" s="9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7"/>
      <c r="AE781" s="47"/>
      <c r="AF781" s="47"/>
      <c r="AG781" s="1345"/>
      <c r="AH781" s="47"/>
      <c r="AI781" s="47"/>
      <c r="AJ781" s="47"/>
      <c r="AK781" s="47"/>
      <c r="AL781" s="47"/>
      <c r="AM781" s="47"/>
      <c r="AN781" s="47"/>
      <c r="AO781" s="47"/>
      <c r="AP781" s="47"/>
      <c r="AQ781" s="47"/>
      <c r="AR781" s="47"/>
      <c r="AS781" s="47"/>
      <c r="AT781" s="47"/>
      <c r="AU781" s="47"/>
      <c r="AV781" s="47"/>
      <c r="AW781" s="47"/>
      <c r="AX781" s="47"/>
      <c r="AY781" s="47"/>
    </row>
    <row r="782" spans="1:51" ht="15.75" customHeight="1">
      <c r="A782" s="47"/>
      <c r="B782" s="47"/>
      <c r="C782" s="47"/>
      <c r="D782" s="47"/>
      <c r="E782" s="47"/>
      <c r="F782" s="47"/>
      <c r="G782" s="47"/>
      <c r="H782" s="47"/>
      <c r="I782" s="47"/>
      <c r="J782" s="47"/>
      <c r="K782" s="47"/>
      <c r="L782" s="47"/>
      <c r="M782" s="47"/>
      <c r="N782" s="9"/>
      <c r="O782" s="9"/>
      <c r="P782" s="9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7"/>
      <c r="AE782" s="47"/>
      <c r="AF782" s="47"/>
      <c r="AG782" s="1345"/>
      <c r="AH782" s="47"/>
      <c r="AI782" s="47"/>
      <c r="AJ782" s="47"/>
      <c r="AK782" s="47"/>
      <c r="AL782" s="47"/>
      <c r="AM782" s="47"/>
      <c r="AN782" s="47"/>
      <c r="AO782" s="47"/>
      <c r="AP782" s="47"/>
      <c r="AQ782" s="47"/>
      <c r="AR782" s="47"/>
      <c r="AS782" s="47"/>
      <c r="AT782" s="47"/>
      <c r="AU782" s="47"/>
      <c r="AV782" s="47"/>
      <c r="AW782" s="47"/>
      <c r="AX782" s="47"/>
      <c r="AY782" s="47"/>
    </row>
    <row r="783" spans="1:51" ht="15.75" customHeight="1">
      <c r="A783" s="47"/>
      <c r="B783" s="47"/>
      <c r="C783" s="47"/>
      <c r="D783" s="47"/>
      <c r="E783" s="47"/>
      <c r="F783" s="47"/>
      <c r="G783" s="47"/>
      <c r="H783" s="47"/>
      <c r="I783" s="47"/>
      <c r="J783" s="47"/>
      <c r="K783" s="47"/>
      <c r="L783" s="47"/>
      <c r="M783" s="47"/>
      <c r="N783" s="9"/>
      <c r="O783" s="9"/>
      <c r="P783" s="9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1345"/>
      <c r="AH783" s="47"/>
      <c r="AI783" s="47"/>
      <c r="AJ783" s="47"/>
      <c r="AK783" s="47"/>
      <c r="AL783" s="47"/>
      <c r="AM783" s="47"/>
      <c r="AN783" s="47"/>
      <c r="AO783" s="47"/>
      <c r="AP783" s="47"/>
      <c r="AQ783" s="47"/>
      <c r="AR783" s="47"/>
      <c r="AS783" s="47"/>
      <c r="AT783" s="47"/>
      <c r="AU783" s="47"/>
      <c r="AV783" s="47"/>
      <c r="AW783" s="47"/>
      <c r="AX783" s="47"/>
      <c r="AY783" s="47"/>
    </row>
    <row r="784" spans="1:51" ht="15.75" customHeight="1">
      <c r="A784" s="47"/>
      <c r="B784" s="47"/>
      <c r="C784" s="47"/>
      <c r="D784" s="47"/>
      <c r="E784" s="47"/>
      <c r="F784" s="47"/>
      <c r="G784" s="47"/>
      <c r="H784" s="47"/>
      <c r="I784" s="47"/>
      <c r="J784" s="47"/>
      <c r="K784" s="47"/>
      <c r="L784" s="47"/>
      <c r="M784" s="47"/>
      <c r="N784" s="9"/>
      <c r="O784" s="9"/>
      <c r="P784" s="9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7"/>
      <c r="AE784" s="47"/>
      <c r="AF784" s="47"/>
      <c r="AG784" s="1345"/>
      <c r="AH784" s="47"/>
      <c r="AI784" s="47"/>
      <c r="AJ784" s="47"/>
      <c r="AK784" s="47"/>
      <c r="AL784" s="47"/>
      <c r="AM784" s="47"/>
      <c r="AN784" s="47"/>
      <c r="AO784" s="47"/>
      <c r="AP784" s="47"/>
      <c r="AQ784" s="47"/>
      <c r="AR784" s="47"/>
      <c r="AS784" s="47"/>
      <c r="AT784" s="47"/>
      <c r="AU784" s="47"/>
      <c r="AV784" s="47"/>
      <c r="AW784" s="47"/>
      <c r="AX784" s="47"/>
      <c r="AY784" s="47"/>
    </row>
    <row r="785" spans="1:51" ht="15.75" customHeight="1">
      <c r="A785" s="47"/>
      <c r="B785" s="47"/>
      <c r="C785" s="47"/>
      <c r="D785" s="47"/>
      <c r="E785" s="47"/>
      <c r="F785" s="47"/>
      <c r="G785" s="47"/>
      <c r="H785" s="47"/>
      <c r="I785" s="47"/>
      <c r="J785" s="47"/>
      <c r="K785" s="47"/>
      <c r="L785" s="47"/>
      <c r="M785" s="47"/>
      <c r="N785" s="9"/>
      <c r="O785" s="9"/>
      <c r="P785" s="9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7"/>
      <c r="AE785" s="47"/>
      <c r="AF785" s="47"/>
      <c r="AG785" s="1345"/>
      <c r="AH785" s="47"/>
      <c r="AI785" s="47"/>
      <c r="AJ785" s="47"/>
      <c r="AK785" s="47"/>
      <c r="AL785" s="47"/>
      <c r="AM785" s="47"/>
      <c r="AN785" s="47"/>
      <c r="AO785" s="47"/>
      <c r="AP785" s="47"/>
      <c r="AQ785" s="47"/>
      <c r="AR785" s="47"/>
      <c r="AS785" s="47"/>
      <c r="AT785" s="47"/>
      <c r="AU785" s="47"/>
      <c r="AV785" s="47"/>
      <c r="AW785" s="47"/>
      <c r="AX785" s="47"/>
      <c r="AY785" s="47"/>
    </row>
    <row r="786" spans="1:51" ht="15.75" customHeight="1">
      <c r="A786" s="47"/>
      <c r="B786" s="47"/>
      <c r="C786" s="47"/>
      <c r="D786" s="47"/>
      <c r="E786" s="47"/>
      <c r="F786" s="47"/>
      <c r="G786" s="47"/>
      <c r="H786" s="47"/>
      <c r="I786" s="47"/>
      <c r="J786" s="47"/>
      <c r="K786" s="47"/>
      <c r="L786" s="47"/>
      <c r="M786" s="47"/>
      <c r="N786" s="9"/>
      <c r="O786" s="9"/>
      <c r="P786" s="9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1345"/>
      <c r="AH786" s="47"/>
      <c r="AI786" s="47"/>
      <c r="AJ786" s="47"/>
      <c r="AK786" s="47"/>
      <c r="AL786" s="47"/>
      <c r="AM786" s="47"/>
      <c r="AN786" s="47"/>
      <c r="AO786" s="47"/>
      <c r="AP786" s="47"/>
      <c r="AQ786" s="47"/>
      <c r="AR786" s="47"/>
      <c r="AS786" s="47"/>
      <c r="AT786" s="47"/>
      <c r="AU786" s="47"/>
      <c r="AV786" s="47"/>
      <c r="AW786" s="47"/>
      <c r="AX786" s="47"/>
      <c r="AY786" s="47"/>
    </row>
    <row r="787" spans="1:51" ht="15.75" customHeight="1">
      <c r="A787" s="47"/>
      <c r="B787" s="47"/>
      <c r="C787" s="47"/>
      <c r="D787" s="47"/>
      <c r="E787" s="47"/>
      <c r="F787" s="47"/>
      <c r="G787" s="47"/>
      <c r="H787" s="47"/>
      <c r="I787" s="47"/>
      <c r="J787" s="47"/>
      <c r="K787" s="47"/>
      <c r="L787" s="47"/>
      <c r="M787" s="47"/>
      <c r="N787" s="9"/>
      <c r="O787" s="9"/>
      <c r="P787" s="9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1345"/>
      <c r="AH787" s="47"/>
      <c r="AI787" s="47"/>
      <c r="AJ787" s="47"/>
      <c r="AK787" s="47"/>
      <c r="AL787" s="47"/>
      <c r="AM787" s="47"/>
      <c r="AN787" s="47"/>
      <c r="AO787" s="47"/>
      <c r="AP787" s="47"/>
      <c r="AQ787" s="47"/>
      <c r="AR787" s="47"/>
      <c r="AS787" s="47"/>
      <c r="AT787" s="47"/>
      <c r="AU787" s="47"/>
      <c r="AV787" s="47"/>
      <c r="AW787" s="47"/>
      <c r="AX787" s="47"/>
      <c r="AY787" s="47"/>
    </row>
    <row r="788" spans="1:51" ht="15.75" customHeight="1">
      <c r="A788" s="47"/>
      <c r="B788" s="47"/>
      <c r="C788" s="47"/>
      <c r="D788" s="47"/>
      <c r="E788" s="47"/>
      <c r="F788" s="47"/>
      <c r="G788" s="47"/>
      <c r="H788" s="47"/>
      <c r="I788" s="47"/>
      <c r="J788" s="47"/>
      <c r="K788" s="47"/>
      <c r="L788" s="47"/>
      <c r="M788" s="47"/>
      <c r="N788" s="9"/>
      <c r="O788" s="9"/>
      <c r="P788" s="9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1345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</row>
    <row r="789" spans="1:51" ht="15.75" customHeight="1">
      <c r="A789" s="47"/>
      <c r="B789" s="47"/>
      <c r="C789" s="47"/>
      <c r="D789" s="47"/>
      <c r="E789" s="47"/>
      <c r="F789" s="47"/>
      <c r="G789" s="47"/>
      <c r="H789" s="47"/>
      <c r="I789" s="47"/>
      <c r="J789" s="47"/>
      <c r="K789" s="47"/>
      <c r="L789" s="47"/>
      <c r="M789" s="47"/>
      <c r="N789" s="9"/>
      <c r="O789" s="9"/>
      <c r="P789" s="9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1345"/>
      <c r="AH789" s="47"/>
      <c r="AI789" s="47"/>
      <c r="AJ789" s="47"/>
      <c r="AK789" s="47"/>
      <c r="AL789" s="47"/>
      <c r="AM789" s="47"/>
      <c r="AN789" s="47"/>
      <c r="AO789" s="47"/>
      <c r="AP789" s="47"/>
      <c r="AQ789" s="47"/>
      <c r="AR789" s="47"/>
      <c r="AS789" s="47"/>
      <c r="AT789" s="47"/>
      <c r="AU789" s="47"/>
      <c r="AV789" s="47"/>
      <c r="AW789" s="47"/>
      <c r="AX789" s="47"/>
      <c r="AY789" s="47"/>
    </row>
    <row r="790" spans="1:51" ht="15.75" customHeight="1">
      <c r="A790" s="47"/>
      <c r="B790" s="47"/>
      <c r="C790" s="47"/>
      <c r="D790" s="47"/>
      <c r="E790" s="47"/>
      <c r="F790" s="47"/>
      <c r="G790" s="47"/>
      <c r="H790" s="47"/>
      <c r="I790" s="47"/>
      <c r="J790" s="47"/>
      <c r="K790" s="47"/>
      <c r="L790" s="47"/>
      <c r="M790" s="47"/>
      <c r="N790" s="9"/>
      <c r="O790" s="9"/>
      <c r="P790" s="9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  <c r="AB790" s="47"/>
      <c r="AC790" s="47"/>
      <c r="AD790" s="47"/>
      <c r="AE790" s="47"/>
      <c r="AF790" s="47"/>
      <c r="AG790" s="1345"/>
      <c r="AH790" s="47"/>
      <c r="AI790" s="47"/>
      <c r="AJ790" s="47"/>
      <c r="AK790" s="47"/>
      <c r="AL790" s="47"/>
      <c r="AM790" s="47"/>
      <c r="AN790" s="47"/>
      <c r="AO790" s="47"/>
      <c r="AP790" s="47"/>
      <c r="AQ790" s="47"/>
      <c r="AR790" s="47"/>
      <c r="AS790" s="47"/>
      <c r="AT790" s="47"/>
      <c r="AU790" s="47"/>
      <c r="AV790" s="47"/>
      <c r="AW790" s="47"/>
      <c r="AX790" s="47"/>
      <c r="AY790" s="47"/>
    </row>
    <row r="791" spans="1:51" ht="15.75" customHeight="1">
      <c r="A791" s="47"/>
      <c r="B791" s="47"/>
      <c r="C791" s="47"/>
      <c r="D791" s="47"/>
      <c r="E791" s="47"/>
      <c r="F791" s="47"/>
      <c r="G791" s="47"/>
      <c r="H791" s="47"/>
      <c r="I791" s="47"/>
      <c r="J791" s="47"/>
      <c r="K791" s="47"/>
      <c r="L791" s="47"/>
      <c r="M791" s="47"/>
      <c r="N791" s="9"/>
      <c r="O791" s="9"/>
      <c r="P791" s="9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1345"/>
      <c r="AH791" s="47"/>
      <c r="AI791" s="47"/>
      <c r="AJ791" s="47"/>
      <c r="AK791" s="47"/>
      <c r="AL791" s="47"/>
      <c r="AM791" s="47"/>
      <c r="AN791" s="47"/>
      <c r="AO791" s="47"/>
      <c r="AP791" s="47"/>
      <c r="AQ791" s="47"/>
      <c r="AR791" s="47"/>
      <c r="AS791" s="47"/>
      <c r="AT791" s="47"/>
      <c r="AU791" s="47"/>
      <c r="AV791" s="47"/>
      <c r="AW791" s="47"/>
      <c r="AX791" s="47"/>
      <c r="AY791" s="47"/>
    </row>
    <row r="792" spans="1:51" ht="15.75" customHeight="1">
      <c r="A792" s="47"/>
      <c r="B792" s="47"/>
      <c r="C792" s="47"/>
      <c r="D792" s="47"/>
      <c r="E792" s="47"/>
      <c r="F792" s="47"/>
      <c r="G792" s="47"/>
      <c r="H792" s="47"/>
      <c r="I792" s="47"/>
      <c r="J792" s="47"/>
      <c r="K792" s="47"/>
      <c r="L792" s="47"/>
      <c r="M792" s="47"/>
      <c r="N792" s="9"/>
      <c r="O792" s="9"/>
      <c r="P792" s="9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1345"/>
      <c r="AH792" s="47"/>
      <c r="AI792" s="47"/>
      <c r="AJ792" s="47"/>
      <c r="AK792" s="47"/>
      <c r="AL792" s="47"/>
      <c r="AM792" s="47"/>
      <c r="AN792" s="47"/>
      <c r="AO792" s="47"/>
      <c r="AP792" s="47"/>
      <c r="AQ792" s="47"/>
      <c r="AR792" s="47"/>
      <c r="AS792" s="47"/>
      <c r="AT792" s="47"/>
      <c r="AU792" s="47"/>
      <c r="AV792" s="47"/>
      <c r="AW792" s="47"/>
      <c r="AX792" s="47"/>
      <c r="AY792" s="47"/>
    </row>
    <row r="793" spans="1:51" ht="15.75" customHeight="1">
      <c r="A793" s="47"/>
      <c r="B793" s="47"/>
      <c r="C793" s="47"/>
      <c r="D793" s="47"/>
      <c r="E793" s="47"/>
      <c r="F793" s="47"/>
      <c r="G793" s="47"/>
      <c r="H793" s="47"/>
      <c r="I793" s="47"/>
      <c r="J793" s="47"/>
      <c r="K793" s="47"/>
      <c r="L793" s="47"/>
      <c r="M793" s="47"/>
      <c r="N793" s="9"/>
      <c r="O793" s="9"/>
      <c r="P793" s="9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1345"/>
      <c r="AH793" s="47"/>
      <c r="AI793" s="47"/>
      <c r="AJ793" s="47"/>
      <c r="AK793" s="47"/>
      <c r="AL793" s="47"/>
      <c r="AM793" s="47"/>
      <c r="AN793" s="47"/>
      <c r="AO793" s="47"/>
      <c r="AP793" s="47"/>
      <c r="AQ793" s="47"/>
      <c r="AR793" s="47"/>
      <c r="AS793" s="47"/>
      <c r="AT793" s="47"/>
      <c r="AU793" s="47"/>
      <c r="AV793" s="47"/>
      <c r="AW793" s="47"/>
      <c r="AX793" s="47"/>
      <c r="AY793" s="47"/>
    </row>
    <row r="794" spans="1:51" ht="15.75" customHeight="1">
      <c r="A794" s="47"/>
      <c r="B794" s="47"/>
      <c r="C794" s="47"/>
      <c r="D794" s="47"/>
      <c r="E794" s="47"/>
      <c r="F794" s="47"/>
      <c r="G794" s="47"/>
      <c r="H794" s="47"/>
      <c r="I794" s="47"/>
      <c r="J794" s="47"/>
      <c r="K794" s="47"/>
      <c r="L794" s="47"/>
      <c r="M794" s="47"/>
      <c r="N794" s="9"/>
      <c r="O794" s="9"/>
      <c r="P794" s="9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1345"/>
      <c r="AH794" s="47"/>
      <c r="AI794" s="47"/>
      <c r="AJ794" s="47"/>
      <c r="AK794" s="47"/>
      <c r="AL794" s="47"/>
      <c r="AM794" s="47"/>
      <c r="AN794" s="47"/>
      <c r="AO794" s="47"/>
      <c r="AP794" s="47"/>
      <c r="AQ794" s="47"/>
      <c r="AR794" s="47"/>
      <c r="AS794" s="47"/>
      <c r="AT794" s="47"/>
      <c r="AU794" s="47"/>
      <c r="AV794" s="47"/>
      <c r="AW794" s="47"/>
      <c r="AX794" s="47"/>
      <c r="AY794" s="47"/>
    </row>
    <row r="795" spans="1:51" ht="15.75" customHeight="1">
      <c r="A795" s="47"/>
      <c r="B795" s="47"/>
      <c r="C795" s="47"/>
      <c r="D795" s="47"/>
      <c r="E795" s="47"/>
      <c r="F795" s="47"/>
      <c r="G795" s="47"/>
      <c r="H795" s="47"/>
      <c r="I795" s="47"/>
      <c r="J795" s="47"/>
      <c r="K795" s="47"/>
      <c r="L795" s="47"/>
      <c r="M795" s="47"/>
      <c r="N795" s="9"/>
      <c r="O795" s="9"/>
      <c r="P795" s="9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7"/>
      <c r="AE795" s="47"/>
      <c r="AF795" s="47"/>
      <c r="AG795" s="1345"/>
      <c r="AH795" s="47"/>
      <c r="AI795" s="47"/>
      <c r="AJ795" s="47"/>
      <c r="AK795" s="47"/>
      <c r="AL795" s="47"/>
      <c r="AM795" s="47"/>
      <c r="AN795" s="47"/>
      <c r="AO795" s="47"/>
      <c r="AP795" s="47"/>
      <c r="AQ795" s="47"/>
      <c r="AR795" s="47"/>
      <c r="AS795" s="47"/>
      <c r="AT795" s="47"/>
      <c r="AU795" s="47"/>
      <c r="AV795" s="47"/>
      <c r="AW795" s="47"/>
      <c r="AX795" s="47"/>
      <c r="AY795" s="47"/>
    </row>
    <row r="796" spans="1:51" ht="15.75" customHeight="1">
      <c r="A796" s="47"/>
      <c r="B796" s="47"/>
      <c r="C796" s="47"/>
      <c r="D796" s="47"/>
      <c r="E796" s="47"/>
      <c r="F796" s="47"/>
      <c r="G796" s="47"/>
      <c r="H796" s="47"/>
      <c r="I796" s="47"/>
      <c r="J796" s="47"/>
      <c r="K796" s="47"/>
      <c r="L796" s="47"/>
      <c r="M796" s="47"/>
      <c r="N796" s="9"/>
      <c r="O796" s="9"/>
      <c r="P796" s="9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7"/>
      <c r="AE796" s="47"/>
      <c r="AF796" s="47"/>
      <c r="AG796" s="1345"/>
      <c r="AH796" s="47"/>
      <c r="AI796" s="47"/>
      <c r="AJ796" s="47"/>
      <c r="AK796" s="47"/>
      <c r="AL796" s="47"/>
      <c r="AM796" s="47"/>
      <c r="AN796" s="47"/>
      <c r="AO796" s="47"/>
      <c r="AP796" s="47"/>
      <c r="AQ796" s="47"/>
      <c r="AR796" s="47"/>
      <c r="AS796" s="47"/>
      <c r="AT796" s="47"/>
      <c r="AU796" s="47"/>
      <c r="AV796" s="47"/>
      <c r="AW796" s="47"/>
      <c r="AX796" s="47"/>
      <c r="AY796" s="47"/>
    </row>
    <row r="797" spans="1:51" ht="15.75" customHeight="1">
      <c r="A797" s="47"/>
      <c r="B797" s="47"/>
      <c r="C797" s="47"/>
      <c r="D797" s="47"/>
      <c r="E797" s="47"/>
      <c r="F797" s="47"/>
      <c r="G797" s="47"/>
      <c r="H797" s="47"/>
      <c r="I797" s="47"/>
      <c r="J797" s="47"/>
      <c r="K797" s="47"/>
      <c r="L797" s="47"/>
      <c r="M797" s="47"/>
      <c r="N797" s="9"/>
      <c r="O797" s="9"/>
      <c r="P797" s="9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7"/>
      <c r="AE797" s="47"/>
      <c r="AF797" s="47"/>
      <c r="AG797" s="1345"/>
      <c r="AH797" s="47"/>
      <c r="AI797" s="47"/>
      <c r="AJ797" s="47"/>
      <c r="AK797" s="47"/>
      <c r="AL797" s="47"/>
      <c r="AM797" s="47"/>
      <c r="AN797" s="47"/>
      <c r="AO797" s="47"/>
      <c r="AP797" s="47"/>
      <c r="AQ797" s="47"/>
      <c r="AR797" s="47"/>
      <c r="AS797" s="47"/>
      <c r="AT797" s="47"/>
      <c r="AU797" s="47"/>
      <c r="AV797" s="47"/>
      <c r="AW797" s="47"/>
      <c r="AX797" s="47"/>
      <c r="AY797" s="47"/>
    </row>
    <row r="798" spans="1:51" ht="15.75" customHeight="1">
      <c r="A798" s="47"/>
      <c r="B798" s="47"/>
      <c r="C798" s="47"/>
      <c r="D798" s="47"/>
      <c r="E798" s="47"/>
      <c r="F798" s="47"/>
      <c r="G798" s="47"/>
      <c r="H798" s="47"/>
      <c r="I798" s="47"/>
      <c r="J798" s="47"/>
      <c r="K798" s="47"/>
      <c r="L798" s="47"/>
      <c r="M798" s="47"/>
      <c r="N798" s="9"/>
      <c r="O798" s="9"/>
      <c r="P798" s="9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7"/>
      <c r="AE798" s="47"/>
      <c r="AF798" s="47"/>
      <c r="AG798" s="1345"/>
      <c r="AH798" s="47"/>
      <c r="AI798" s="47"/>
      <c r="AJ798" s="47"/>
      <c r="AK798" s="47"/>
      <c r="AL798" s="47"/>
      <c r="AM798" s="47"/>
      <c r="AN798" s="47"/>
      <c r="AO798" s="47"/>
      <c r="AP798" s="47"/>
      <c r="AQ798" s="47"/>
      <c r="AR798" s="47"/>
      <c r="AS798" s="47"/>
      <c r="AT798" s="47"/>
      <c r="AU798" s="47"/>
      <c r="AV798" s="47"/>
      <c r="AW798" s="47"/>
      <c r="AX798" s="47"/>
      <c r="AY798" s="47"/>
    </row>
    <row r="799" spans="1:51" ht="15.75" customHeight="1">
      <c r="A799" s="47"/>
      <c r="B799" s="47"/>
      <c r="C799" s="47"/>
      <c r="D799" s="47"/>
      <c r="E799" s="47"/>
      <c r="F799" s="47"/>
      <c r="G799" s="47"/>
      <c r="H799" s="47"/>
      <c r="I799" s="47"/>
      <c r="J799" s="47"/>
      <c r="K799" s="47"/>
      <c r="L799" s="47"/>
      <c r="M799" s="47"/>
      <c r="N799" s="9"/>
      <c r="O799" s="9"/>
      <c r="P799" s="9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1345"/>
      <c r="AH799" s="47"/>
      <c r="AI799" s="47"/>
      <c r="AJ799" s="47"/>
      <c r="AK799" s="47"/>
      <c r="AL799" s="47"/>
      <c r="AM799" s="47"/>
      <c r="AN799" s="47"/>
      <c r="AO799" s="47"/>
      <c r="AP799" s="47"/>
      <c r="AQ799" s="47"/>
      <c r="AR799" s="47"/>
      <c r="AS799" s="47"/>
      <c r="AT799" s="47"/>
      <c r="AU799" s="47"/>
      <c r="AV799" s="47"/>
      <c r="AW799" s="47"/>
      <c r="AX799" s="47"/>
      <c r="AY799" s="47"/>
    </row>
    <row r="800" spans="1:51" ht="15.75" customHeight="1">
      <c r="A800" s="47"/>
      <c r="B800" s="47"/>
      <c r="C800" s="47"/>
      <c r="D800" s="47"/>
      <c r="E800" s="47"/>
      <c r="F800" s="47"/>
      <c r="G800" s="47"/>
      <c r="H800" s="47"/>
      <c r="I800" s="47"/>
      <c r="J800" s="47"/>
      <c r="K800" s="47"/>
      <c r="L800" s="47"/>
      <c r="M800" s="47"/>
      <c r="N800" s="9"/>
      <c r="O800" s="9"/>
      <c r="P800" s="9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1345"/>
      <c r="AH800" s="47"/>
      <c r="AI800" s="47"/>
      <c r="AJ800" s="47"/>
      <c r="AK800" s="47"/>
      <c r="AL800" s="47"/>
      <c r="AM800" s="47"/>
      <c r="AN800" s="47"/>
      <c r="AO800" s="47"/>
      <c r="AP800" s="47"/>
      <c r="AQ800" s="47"/>
      <c r="AR800" s="47"/>
      <c r="AS800" s="47"/>
      <c r="AT800" s="47"/>
      <c r="AU800" s="47"/>
      <c r="AV800" s="47"/>
      <c r="AW800" s="47"/>
      <c r="AX800" s="47"/>
      <c r="AY800" s="47"/>
    </row>
    <row r="801" spans="1:51" ht="15.75" customHeight="1">
      <c r="A801" s="47"/>
      <c r="B801" s="47"/>
      <c r="C801" s="47"/>
      <c r="D801" s="47"/>
      <c r="E801" s="47"/>
      <c r="F801" s="47"/>
      <c r="G801" s="47"/>
      <c r="H801" s="47"/>
      <c r="I801" s="47"/>
      <c r="J801" s="47"/>
      <c r="K801" s="47"/>
      <c r="L801" s="47"/>
      <c r="M801" s="47"/>
      <c r="N801" s="9"/>
      <c r="O801" s="9"/>
      <c r="P801" s="9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7"/>
      <c r="AE801" s="47"/>
      <c r="AF801" s="47"/>
      <c r="AG801" s="1345"/>
      <c r="AH801" s="47"/>
      <c r="AI801" s="47"/>
      <c r="AJ801" s="47"/>
      <c r="AK801" s="47"/>
      <c r="AL801" s="47"/>
      <c r="AM801" s="47"/>
      <c r="AN801" s="47"/>
      <c r="AO801" s="47"/>
      <c r="AP801" s="47"/>
      <c r="AQ801" s="47"/>
      <c r="AR801" s="47"/>
      <c r="AS801" s="47"/>
      <c r="AT801" s="47"/>
      <c r="AU801" s="47"/>
      <c r="AV801" s="47"/>
      <c r="AW801" s="47"/>
      <c r="AX801" s="47"/>
      <c r="AY801" s="47"/>
    </row>
    <row r="802" spans="1:51" ht="15.75" customHeight="1">
      <c r="A802" s="47"/>
      <c r="B802" s="47"/>
      <c r="C802" s="47"/>
      <c r="D802" s="47"/>
      <c r="E802" s="47"/>
      <c r="F802" s="47"/>
      <c r="G802" s="47"/>
      <c r="H802" s="47"/>
      <c r="I802" s="47"/>
      <c r="J802" s="47"/>
      <c r="K802" s="47"/>
      <c r="L802" s="47"/>
      <c r="M802" s="47"/>
      <c r="N802" s="9"/>
      <c r="O802" s="9"/>
      <c r="P802" s="9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7"/>
      <c r="AE802" s="47"/>
      <c r="AF802" s="47"/>
      <c r="AG802" s="1345"/>
      <c r="AH802" s="47"/>
      <c r="AI802" s="47"/>
      <c r="AJ802" s="47"/>
      <c r="AK802" s="47"/>
      <c r="AL802" s="47"/>
      <c r="AM802" s="47"/>
      <c r="AN802" s="47"/>
      <c r="AO802" s="47"/>
      <c r="AP802" s="47"/>
      <c r="AQ802" s="47"/>
      <c r="AR802" s="47"/>
      <c r="AS802" s="47"/>
      <c r="AT802" s="47"/>
      <c r="AU802" s="47"/>
      <c r="AV802" s="47"/>
      <c r="AW802" s="47"/>
      <c r="AX802" s="47"/>
      <c r="AY802" s="47"/>
    </row>
    <row r="803" spans="1:51" ht="15.75" customHeight="1">
      <c r="A803" s="47"/>
      <c r="B803" s="47"/>
      <c r="C803" s="47"/>
      <c r="D803" s="47"/>
      <c r="E803" s="47"/>
      <c r="F803" s="47"/>
      <c r="G803" s="47"/>
      <c r="H803" s="47"/>
      <c r="I803" s="47"/>
      <c r="J803" s="47"/>
      <c r="K803" s="47"/>
      <c r="L803" s="47"/>
      <c r="M803" s="47"/>
      <c r="N803" s="9"/>
      <c r="O803" s="9"/>
      <c r="P803" s="9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7"/>
      <c r="AE803" s="47"/>
      <c r="AF803" s="47"/>
      <c r="AG803" s="1345"/>
      <c r="AH803" s="47"/>
      <c r="AI803" s="47"/>
      <c r="AJ803" s="47"/>
      <c r="AK803" s="47"/>
      <c r="AL803" s="47"/>
      <c r="AM803" s="47"/>
      <c r="AN803" s="47"/>
      <c r="AO803" s="47"/>
      <c r="AP803" s="47"/>
      <c r="AQ803" s="47"/>
      <c r="AR803" s="47"/>
      <c r="AS803" s="47"/>
      <c r="AT803" s="47"/>
      <c r="AU803" s="47"/>
      <c r="AV803" s="47"/>
      <c r="AW803" s="47"/>
      <c r="AX803" s="47"/>
      <c r="AY803" s="47"/>
    </row>
    <row r="804" spans="1:51" ht="15.75" customHeight="1">
      <c r="A804" s="47"/>
      <c r="B804" s="47"/>
      <c r="C804" s="47"/>
      <c r="D804" s="47"/>
      <c r="E804" s="47"/>
      <c r="F804" s="47"/>
      <c r="G804" s="47"/>
      <c r="H804" s="47"/>
      <c r="I804" s="47"/>
      <c r="J804" s="47"/>
      <c r="K804" s="47"/>
      <c r="L804" s="47"/>
      <c r="M804" s="47"/>
      <c r="N804" s="9"/>
      <c r="O804" s="9"/>
      <c r="P804" s="9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1345"/>
      <c r="AH804" s="47"/>
      <c r="AI804" s="47"/>
      <c r="AJ804" s="47"/>
      <c r="AK804" s="47"/>
      <c r="AL804" s="47"/>
      <c r="AM804" s="47"/>
      <c r="AN804" s="47"/>
      <c r="AO804" s="47"/>
      <c r="AP804" s="47"/>
      <c r="AQ804" s="47"/>
      <c r="AR804" s="47"/>
      <c r="AS804" s="47"/>
      <c r="AT804" s="47"/>
      <c r="AU804" s="47"/>
      <c r="AV804" s="47"/>
      <c r="AW804" s="47"/>
      <c r="AX804" s="47"/>
      <c r="AY804" s="47"/>
    </row>
    <row r="805" spans="1:51" ht="15.75" customHeight="1">
      <c r="A805" s="47"/>
      <c r="B805" s="47"/>
      <c r="C805" s="47"/>
      <c r="D805" s="47"/>
      <c r="E805" s="47"/>
      <c r="F805" s="47"/>
      <c r="G805" s="47"/>
      <c r="H805" s="47"/>
      <c r="I805" s="47"/>
      <c r="J805" s="47"/>
      <c r="K805" s="47"/>
      <c r="L805" s="47"/>
      <c r="M805" s="47"/>
      <c r="N805" s="9"/>
      <c r="O805" s="9"/>
      <c r="P805" s="9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7"/>
      <c r="AE805" s="47"/>
      <c r="AF805" s="47"/>
      <c r="AG805" s="1345"/>
      <c r="AH805" s="47"/>
      <c r="AI805" s="47"/>
      <c r="AJ805" s="47"/>
      <c r="AK805" s="47"/>
      <c r="AL805" s="47"/>
      <c r="AM805" s="47"/>
      <c r="AN805" s="47"/>
      <c r="AO805" s="47"/>
      <c r="AP805" s="47"/>
      <c r="AQ805" s="47"/>
      <c r="AR805" s="47"/>
      <c r="AS805" s="47"/>
      <c r="AT805" s="47"/>
      <c r="AU805" s="47"/>
      <c r="AV805" s="47"/>
      <c r="AW805" s="47"/>
      <c r="AX805" s="47"/>
      <c r="AY805" s="47"/>
    </row>
    <row r="806" spans="1:51" ht="15.75" customHeight="1">
      <c r="A806" s="47"/>
      <c r="B806" s="47"/>
      <c r="C806" s="47"/>
      <c r="D806" s="47"/>
      <c r="E806" s="47"/>
      <c r="F806" s="47"/>
      <c r="G806" s="47"/>
      <c r="H806" s="47"/>
      <c r="I806" s="47"/>
      <c r="J806" s="47"/>
      <c r="K806" s="47"/>
      <c r="L806" s="47"/>
      <c r="M806" s="47"/>
      <c r="N806" s="9"/>
      <c r="O806" s="9"/>
      <c r="P806" s="9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1345"/>
      <c r="AH806" s="47"/>
      <c r="AI806" s="47"/>
      <c r="AJ806" s="47"/>
      <c r="AK806" s="47"/>
      <c r="AL806" s="47"/>
      <c r="AM806" s="47"/>
      <c r="AN806" s="47"/>
      <c r="AO806" s="47"/>
      <c r="AP806" s="47"/>
      <c r="AQ806" s="47"/>
      <c r="AR806" s="47"/>
      <c r="AS806" s="47"/>
      <c r="AT806" s="47"/>
      <c r="AU806" s="47"/>
      <c r="AV806" s="47"/>
      <c r="AW806" s="47"/>
      <c r="AX806" s="47"/>
      <c r="AY806" s="47"/>
    </row>
    <row r="807" spans="1:51" ht="15.75" customHeight="1">
      <c r="A807" s="47"/>
      <c r="B807" s="47"/>
      <c r="C807" s="47"/>
      <c r="D807" s="47"/>
      <c r="E807" s="47"/>
      <c r="F807" s="47"/>
      <c r="G807" s="47"/>
      <c r="H807" s="47"/>
      <c r="I807" s="47"/>
      <c r="J807" s="47"/>
      <c r="K807" s="47"/>
      <c r="L807" s="47"/>
      <c r="M807" s="47"/>
      <c r="N807" s="9"/>
      <c r="O807" s="9"/>
      <c r="P807" s="9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7"/>
      <c r="AE807" s="47"/>
      <c r="AF807" s="47"/>
      <c r="AG807" s="1345"/>
      <c r="AH807" s="47"/>
      <c r="AI807" s="47"/>
      <c r="AJ807" s="47"/>
      <c r="AK807" s="47"/>
      <c r="AL807" s="47"/>
      <c r="AM807" s="47"/>
      <c r="AN807" s="47"/>
      <c r="AO807" s="47"/>
      <c r="AP807" s="47"/>
      <c r="AQ807" s="47"/>
      <c r="AR807" s="47"/>
      <c r="AS807" s="47"/>
      <c r="AT807" s="47"/>
      <c r="AU807" s="47"/>
      <c r="AV807" s="47"/>
      <c r="AW807" s="47"/>
      <c r="AX807" s="47"/>
      <c r="AY807" s="47"/>
    </row>
    <row r="808" spans="1:51" ht="15.75" customHeight="1">
      <c r="A808" s="47"/>
      <c r="B808" s="47"/>
      <c r="C808" s="47"/>
      <c r="D808" s="47"/>
      <c r="E808" s="47"/>
      <c r="F808" s="47"/>
      <c r="G808" s="47"/>
      <c r="H808" s="47"/>
      <c r="I808" s="47"/>
      <c r="J808" s="47"/>
      <c r="K808" s="47"/>
      <c r="L808" s="47"/>
      <c r="M808" s="47"/>
      <c r="N808" s="9"/>
      <c r="O808" s="9"/>
      <c r="P808" s="9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1345"/>
      <c r="AH808" s="47"/>
      <c r="AI808" s="47"/>
      <c r="AJ808" s="47"/>
      <c r="AK808" s="47"/>
      <c r="AL808" s="47"/>
      <c r="AM808" s="47"/>
      <c r="AN808" s="47"/>
      <c r="AO808" s="47"/>
      <c r="AP808" s="47"/>
      <c r="AQ808" s="47"/>
      <c r="AR808" s="47"/>
      <c r="AS808" s="47"/>
      <c r="AT808" s="47"/>
      <c r="AU808" s="47"/>
      <c r="AV808" s="47"/>
      <c r="AW808" s="47"/>
      <c r="AX808" s="47"/>
      <c r="AY808" s="47"/>
    </row>
    <row r="809" spans="1:51" ht="15.75" customHeight="1">
      <c r="A809" s="47"/>
      <c r="B809" s="47"/>
      <c r="C809" s="47"/>
      <c r="D809" s="47"/>
      <c r="E809" s="47"/>
      <c r="F809" s="47"/>
      <c r="G809" s="47"/>
      <c r="H809" s="47"/>
      <c r="I809" s="47"/>
      <c r="J809" s="47"/>
      <c r="K809" s="47"/>
      <c r="L809" s="47"/>
      <c r="M809" s="47"/>
      <c r="N809" s="9"/>
      <c r="O809" s="9"/>
      <c r="P809" s="9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7"/>
      <c r="AE809" s="47"/>
      <c r="AF809" s="47"/>
      <c r="AG809" s="1345"/>
      <c r="AH809" s="47"/>
      <c r="AI809" s="47"/>
      <c r="AJ809" s="47"/>
      <c r="AK809" s="47"/>
      <c r="AL809" s="47"/>
      <c r="AM809" s="47"/>
      <c r="AN809" s="47"/>
      <c r="AO809" s="47"/>
      <c r="AP809" s="47"/>
      <c r="AQ809" s="47"/>
      <c r="AR809" s="47"/>
      <c r="AS809" s="47"/>
      <c r="AT809" s="47"/>
      <c r="AU809" s="47"/>
      <c r="AV809" s="47"/>
      <c r="AW809" s="47"/>
      <c r="AX809" s="47"/>
      <c r="AY809" s="47"/>
    </row>
    <row r="810" spans="1:51" ht="15.75" customHeight="1">
      <c r="A810" s="47"/>
      <c r="B810" s="47"/>
      <c r="C810" s="47"/>
      <c r="D810" s="47"/>
      <c r="E810" s="47"/>
      <c r="F810" s="47"/>
      <c r="G810" s="47"/>
      <c r="H810" s="47"/>
      <c r="I810" s="47"/>
      <c r="J810" s="47"/>
      <c r="K810" s="47"/>
      <c r="L810" s="47"/>
      <c r="M810" s="47"/>
      <c r="N810" s="9"/>
      <c r="O810" s="9"/>
      <c r="P810" s="9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7"/>
      <c r="AE810" s="47"/>
      <c r="AF810" s="47"/>
      <c r="AG810" s="1345"/>
      <c r="AH810" s="47"/>
      <c r="AI810" s="47"/>
      <c r="AJ810" s="47"/>
      <c r="AK810" s="47"/>
      <c r="AL810" s="47"/>
      <c r="AM810" s="47"/>
      <c r="AN810" s="47"/>
      <c r="AO810" s="47"/>
      <c r="AP810" s="47"/>
      <c r="AQ810" s="47"/>
      <c r="AR810" s="47"/>
      <c r="AS810" s="47"/>
      <c r="AT810" s="47"/>
      <c r="AU810" s="47"/>
      <c r="AV810" s="47"/>
      <c r="AW810" s="47"/>
      <c r="AX810" s="47"/>
      <c r="AY810" s="47"/>
    </row>
    <row r="811" spans="1:51" ht="15.75" customHeight="1">
      <c r="A811" s="47"/>
      <c r="B811" s="47"/>
      <c r="C811" s="47"/>
      <c r="D811" s="47"/>
      <c r="E811" s="47"/>
      <c r="F811" s="47"/>
      <c r="G811" s="47"/>
      <c r="H811" s="47"/>
      <c r="I811" s="47"/>
      <c r="J811" s="47"/>
      <c r="K811" s="47"/>
      <c r="L811" s="47"/>
      <c r="M811" s="47"/>
      <c r="N811" s="9"/>
      <c r="O811" s="9"/>
      <c r="P811" s="9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7"/>
      <c r="AE811" s="47"/>
      <c r="AF811" s="47"/>
      <c r="AG811" s="1345"/>
      <c r="AH811" s="47"/>
      <c r="AI811" s="47"/>
      <c r="AJ811" s="47"/>
      <c r="AK811" s="47"/>
      <c r="AL811" s="47"/>
      <c r="AM811" s="47"/>
      <c r="AN811" s="47"/>
      <c r="AO811" s="47"/>
      <c r="AP811" s="47"/>
      <c r="AQ811" s="47"/>
      <c r="AR811" s="47"/>
      <c r="AS811" s="47"/>
      <c r="AT811" s="47"/>
      <c r="AU811" s="47"/>
      <c r="AV811" s="47"/>
      <c r="AW811" s="47"/>
      <c r="AX811" s="47"/>
      <c r="AY811" s="47"/>
    </row>
    <row r="812" spans="1:51" ht="15.75" customHeight="1">
      <c r="A812" s="47"/>
      <c r="B812" s="47"/>
      <c r="C812" s="47"/>
      <c r="D812" s="47"/>
      <c r="E812" s="47"/>
      <c r="F812" s="47"/>
      <c r="G812" s="47"/>
      <c r="H812" s="47"/>
      <c r="I812" s="47"/>
      <c r="J812" s="47"/>
      <c r="K812" s="47"/>
      <c r="L812" s="47"/>
      <c r="M812" s="47"/>
      <c r="N812" s="9"/>
      <c r="O812" s="9"/>
      <c r="P812" s="9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1345"/>
      <c r="AH812" s="47"/>
      <c r="AI812" s="47"/>
      <c r="AJ812" s="47"/>
      <c r="AK812" s="47"/>
      <c r="AL812" s="47"/>
      <c r="AM812" s="47"/>
      <c r="AN812" s="47"/>
      <c r="AO812" s="47"/>
      <c r="AP812" s="47"/>
      <c r="AQ812" s="47"/>
      <c r="AR812" s="47"/>
      <c r="AS812" s="47"/>
      <c r="AT812" s="47"/>
      <c r="AU812" s="47"/>
      <c r="AV812" s="47"/>
      <c r="AW812" s="47"/>
      <c r="AX812" s="47"/>
      <c r="AY812" s="47"/>
    </row>
    <row r="813" spans="1:51" ht="15.75" customHeight="1">
      <c r="A813" s="47"/>
      <c r="B813" s="47"/>
      <c r="C813" s="47"/>
      <c r="D813" s="47"/>
      <c r="E813" s="47"/>
      <c r="F813" s="47"/>
      <c r="G813" s="47"/>
      <c r="H813" s="47"/>
      <c r="I813" s="47"/>
      <c r="J813" s="47"/>
      <c r="K813" s="47"/>
      <c r="L813" s="47"/>
      <c r="M813" s="47"/>
      <c r="N813" s="9"/>
      <c r="O813" s="9"/>
      <c r="P813" s="9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7"/>
      <c r="AE813" s="47"/>
      <c r="AF813" s="47"/>
      <c r="AG813" s="1345"/>
      <c r="AH813" s="47"/>
      <c r="AI813" s="47"/>
      <c r="AJ813" s="47"/>
      <c r="AK813" s="47"/>
      <c r="AL813" s="47"/>
      <c r="AM813" s="47"/>
      <c r="AN813" s="47"/>
      <c r="AO813" s="47"/>
      <c r="AP813" s="47"/>
      <c r="AQ813" s="47"/>
      <c r="AR813" s="47"/>
      <c r="AS813" s="47"/>
      <c r="AT813" s="47"/>
      <c r="AU813" s="47"/>
      <c r="AV813" s="47"/>
      <c r="AW813" s="47"/>
      <c r="AX813" s="47"/>
      <c r="AY813" s="47"/>
    </row>
    <row r="814" spans="1:51" ht="15.75" customHeight="1">
      <c r="A814" s="47"/>
      <c r="B814" s="47"/>
      <c r="C814" s="47"/>
      <c r="D814" s="47"/>
      <c r="E814" s="47"/>
      <c r="F814" s="47"/>
      <c r="G814" s="47"/>
      <c r="H814" s="47"/>
      <c r="I814" s="47"/>
      <c r="J814" s="47"/>
      <c r="K814" s="47"/>
      <c r="L814" s="47"/>
      <c r="M814" s="47"/>
      <c r="N814" s="9"/>
      <c r="O814" s="9"/>
      <c r="P814" s="9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1345"/>
      <c r="AH814" s="47"/>
      <c r="AI814" s="47"/>
      <c r="AJ814" s="47"/>
      <c r="AK814" s="47"/>
      <c r="AL814" s="47"/>
      <c r="AM814" s="47"/>
      <c r="AN814" s="47"/>
      <c r="AO814" s="47"/>
      <c r="AP814" s="47"/>
      <c r="AQ814" s="47"/>
      <c r="AR814" s="47"/>
      <c r="AS814" s="47"/>
      <c r="AT814" s="47"/>
      <c r="AU814" s="47"/>
      <c r="AV814" s="47"/>
      <c r="AW814" s="47"/>
      <c r="AX814" s="47"/>
      <c r="AY814" s="47"/>
    </row>
    <row r="815" spans="1:51" ht="15.75" customHeight="1">
      <c r="A815" s="500"/>
      <c r="B815" s="477"/>
      <c r="C815" s="481"/>
      <c r="D815" s="47"/>
      <c r="E815" s="47"/>
      <c r="F815" s="478"/>
      <c r="G815" s="479"/>
      <c r="H815" s="9"/>
      <c r="I815" s="9"/>
      <c r="J815" s="503"/>
      <c r="K815" s="47"/>
      <c r="L815" s="47"/>
      <c r="M815" s="47"/>
      <c r="N815" s="9"/>
      <c r="O815" s="9"/>
      <c r="P815" s="9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1345"/>
      <c r="AH815" s="47"/>
      <c r="AI815" s="47"/>
      <c r="AJ815" s="47"/>
      <c r="AK815" s="47"/>
      <c r="AL815" s="47"/>
      <c r="AM815" s="47"/>
      <c r="AN815" s="47"/>
      <c r="AO815" s="47"/>
      <c r="AP815" s="47"/>
      <c r="AQ815" s="47"/>
      <c r="AR815" s="47"/>
      <c r="AS815" s="47"/>
      <c r="AT815" s="47"/>
      <c r="AU815" s="47"/>
      <c r="AV815" s="47"/>
      <c r="AW815" s="47"/>
      <c r="AX815" s="47"/>
      <c r="AY815" s="47"/>
    </row>
    <row r="816" spans="1:51" ht="15.75" customHeight="1">
      <c r="A816" s="500"/>
      <c r="B816" s="477"/>
      <c r="C816" s="481"/>
      <c r="D816" s="47"/>
      <c r="E816" s="47"/>
      <c r="F816" s="478"/>
      <c r="G816" s="479"/>
      <c r="H816" s="9"/>
      <c r="I816" s="9"/>
      <c r="J816" s="503"/>
      <c r="K816" s="47"/>
      <c r="L816" s="47"/>
      <c r="M816" s="47"/>
      <c r="N816" s="9"/>
      <c r="O816" s="9"/>
      <c r="P816" s="9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1345"/>
      <c r="AH816" s="47"/>
      <c r="AI816" s="47"/>
      <c r="AJ816" s="47"/>
      <c r="AK816" s="47"/>
      <c r="AL816" s="47"/>
      <c r="AM816" s="47"/>
      <c r="AN816" s="47"/>
      <c r="AO816" s="47"/>
      <c r="AP816" s="47"/>
      <c r="AQ816" s="47"/>
      <c r="AR816" s="47"/>
      <c r="AS816" s="47"/>
      <c r="AT816" s="47"/>
      <c r="AU816" s="47"/>
      <c r="AV816" s="47"/>
      <c r="AW816" s="47"/>
      <c r="AX816" s="47"/>
      <c r="AY816" s="47"/>
    </row>
    <row r="817" spans="1:51" ht="15.75" customHeight="1">
      <c r="A817" s="500"/>
      <c r="B817" s="477"/>
      <c r="C817" s="481"/>
      <c r="D817" s="47"/>
      <c r="E817" s="47"/>
      <c r="F817" s="478"/>
      <c r="G817" s="479"/>
      <c r="H817" s="9"/>
      <c r="I817" s="9"/>
      <c r="J817" s="503"/>
      <c r="K817" s="47"/>
      <c r="L817" s="47"/>
      <c r="M817" s="47"/>
      <c r="N817" s="9"/>
      <c r="O817" s="9"/>
      <c r="P817" s="9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7"/>
      <c r="AE817" s="47"/>
      <c r="AF817" s="47"/>
      <c r="AG817" s="1345"/>
      <c r="AH817" s="47"/>
      <c r="AI817" s="47"/>
      <c r="AJ817" s="47"/>
      <c r="AK817" s="47"/>
      <c r="AL817" s="47"/>
      <c r="AM817" s="47"/>
      <c r="AN817" s="47"/>
      <c r="AO817" s="47"/>
      <c r="AP817" s="47"/>
      <c r="AQ817" s="47"/>
      <c r="AR817" s="47"/>
      <c r="AS817" s="47"/>
      <c r="AT817" s="47"/>
      <c r="AU817" s="47"/>
      <c r="AV817" s="47"/>
      <c r="AW817" s="47"/>
      <c r="AX817" s="47"/>
      <c r="AY817" s="47"/>
    </row>
    <row r="818" spans="1:51" ht="15.75" customHeight="1">
      <c r="A818" s="500"/>
      <c r="B818" s="477"/>
      <c r="C818" s="481"/>
      <c r="D818" s="47"/>
      <c r="E818" s="47"/>
      <c r="F818" s="478"/>
      <c r="G818" s="479"/>
      <c r="H818" s="9"/>
      <c r="I818" s="9"/>
      <c r="J818" s="503"/>
      <c r="K818" s="47"/>
      <c r="L818" s="47"/>
      <c r="M818" s="47"/>
      <c r="N818" s="9"/>
      <c r="O818" s="9"/>
      <c r="P818" s="9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1345"/>
      <c r="AH818" s="47"/>
      <c r="AI818" s="47"/>
      <c r="AJ818" s="47"/>
      <c r="AK818" s="47"/>
      <c r="AL818" s="47"/>
      <c r="AM818" s="47"/>
      <c r="AN818" s="47"/>
      <c r="AO818" s="47"/>
      <c r="AP818" s="47"/>
      <c r="AQ818" s="47"/>
      <c r="AR818" s="47"/>
      <c r="AS818" s="47"/>
      <c r="AT818" s="47"/>
      <c r="AU818" s="47"/>
      <c r="AV818" s="47"/>
      <c r="AW818" s="47"/>
      <c r="AX818" s="47"/>
      <c r="AY818" s="47"/>
    </row>
    <row r="819" spans="1:51" ht="15.75" customHeight="1">
      <c r="A819" s="500"/>
      <c r="B819" s="477"/>
      <c r="C819" s="481"/>
      <c r="D819" s="47"/>
      <c r="E819" s="47"/>
      <c r="F819" s="478"/>
      <c r="G819" s="479"/>
      <c r="H819" s="9"/>
      <c r="I819" s="9"/>
      <c r="J819" s="503"/>
      <c r="K819" s="47"/>
      <c r="L819" s="47"/>
      <c r="M819" s="47"/>
      <c r="N819" s="9"/>
      <c r="O819" s="9"/>
      <c r="P819" s="9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1345"/>
      <c r="AH819" s="47"/>
      <c r="AI819" s="47"/>
      <c r="AJ819" s="47"/>
      <c r="AK819" s="47"/>
      <c r="AL819" s="47"/>
      <c r="AM819" s="47"/>
      <c r="AN819" s="47"/>
      <c r="AO819" s="47"/>
      <c r="AP819" s="47"/>
      <c r="AQ819" s="47"/>
      <c r="AR819" s="47"/>
      <c r="AS819" s="47"/>
      <c r="AT819" s="47"/>
      <c r="AU819" s="47"/>
      <c r="AV819" s="47"/>
      <c r="AW819" s="47"/>
      <c r="AX819" s="47"/>
      <c r="AY819" s="47"/>
    </row>
    <row r="820" spans="1:51" ht="15.75" customHeight="1">
      <c r="A820" s="500"/>
      <c r="B820" s="477"/>
      <c r="C820" s="481"/>
      <c r="D820" s="47"/>
      <c r="E820" s="47"/>
      <c r="F820" s="478"/>
      <c r="G820" s="479"/>
      <c r="H820" s="9"/>
      <c r="I820" s="9"/>
      <c r="J820" s="503"/>
      <c r="K820" s="47"/>
      <c r="L820" s="47"/>
      <c r="M820" s="47"/>
      <c r="N820" s="9"/>
      <c r="O820" s="9"/>
      <c r="P820" s="9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7"/>
      <c r="AE820" s="47"/>
      <c r="AF820" s="47"/>
      <c r="AG820" s="1345"/>
      <c r="AH820" s="47"/>
      <c r="AI820" s="47"/>
      <c r="AJ820" s="47"/>
      <c r="AK820" s="47"/>
      <c r="AL820" s="47"/>
      <c r="AM820" s="47"/>
      <c r="AN820" s="47"/>
      <c r="AO820" s="47"/>
      <c r="AP820" s="47"/>
      <c r="AQ820" s="47"/>
      <c r="AR820" s="47"/>
      <c r="AS820" s="47"/>
      <c r="AT820" s="47"/>
      <c r="AU820" s="47"/>
      <c r="AV820" s="47"/>
      <c r="AW820" s="47"/>
      <c r="AX820" s="47"/>
      <c r="AY820" s="47"/>
    </row>
    <row r="821" spans="1:51" ht="15.75" customHeight="1">
      <c r="A821" s="500"/>
      <c r="B821" s="477"/>
      <c r="C821" s="481"/>
      <c r="D821" s="47"/>
      <c r="E821" s="47"/>
      <c r="F821" s="478"/>
      <c r="G821" s="479"/>
      <c r="H821" s="9"/>
      <c r="I821" s="9"/>
      <c r="J821" s="503"/>
      <c r="K821" s="47"/>
      <c r="L821" s="47"/>
      <c r="M821" s="47"/>
      <c r="N821" s="9"/>
      <c r="O821" s="9"/>
      <c r="P821" s="9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7"/>
      <c r="AE821" s="47"/>
      <c r="AF821" s="47"/>
      <c r="AG821" s="1345"/>
      <c r="AH821" s="47"/>
      <c r="AI821" s="47"/>
      <c r="AJ821" s="47"/>
      <c r="AK821" s="47"/>
      <c r="AL821" s="47"/>
      <c r="AM821" s="47"/>
      <c r="AN821" s="47"/>
      <c r="AO821" s="47"/>
      <c r="AP821" s="47"/>
      <c r="AQ821" s="47"/>
      <c r="AR821" s="47"/>
      <c r="AS821" s="47"/>
      <c r="AT821" s="47"/>
      <c r="AU821" s="47"/>
      <c r="AV821" s="47"/>
      <c r="AW821" s="47"/>
      <c r="AX821" s="47"/>
      <c r="AY821" s="47"/>
    </row>
    <row r="822" spans="1:51" ht="15.75" customHeight="1">
      <c r="A822" s="500"/>
      <c r="B822" s="477"/>
      <c r="C822" s="481"/>
      <c r="D822" s="47"/>
      <c r="E822" s="47"/>
      <c r="F822" s="478"/>
      <c r="G822" s="479"/>
      <c r="H822" s="9"/>
      <c r="I822" s="9"/>
      <c r="J822" s="503"/>
      <c r="K822" s="47"/>
      <c r="L822" s="47"/>
      <c r="M822" s="47"/>
      <c r="N822" s="9"/>
      <c r="O822" s="9"/>
      <c r="P822" s="9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7"/>
      <c r="AE822" s="47"/>
      <c r="AF822" s="47"/>
      <c r="AG822" s="1345"/>
      <c r="AH822" s="47"/>
      <c r="AI822" s="47"/>
      <c r="AJ822" s="47"/>
      <c r="AK822" s="47"/>
      <c r="AL822" s="47"/>
      <c r="AM822" s="47"/>
      <c r="AN822" s="47"/>
      <c r="AO822" s="47"/>
      <c r="AP822" s="47"/>
      <c r="AQ822" s="47"/>
      <c r="AR822" s="47"/>
      <c r="AS822" s="47"/>
      <c r="AT822" s="47"/>
      <c r="AU822" s="47"/>
      <c r="AV822" s="47"/>
      <c r="AW822" s="47"/>
      <c r="AX822" s="47"/>
      <c r="AY822" s="47"/>
    </row>
    <row r="823" spans="1:51" ht="15.75" customHeight="1">
      <c r="A823" s="500"/>
      <c r="B823" s="477"/>
      <c r="C823" s="481"/>
      <c r="D823" s="47"/>
      <c r="E823" s="47"/>
      <c r="F823" s="478"/>
      <c r="G823" s="479"/>
      <c r="H823" s="9"/>
      <c r="I823" s="9"/>
      <c r="J823" s="503"/>
      <c r="K823" s="47"/>
      <c r="L823" s="47"/>
      <c r="M823" s="47"/>
      <c r="N823" s="9"/>
      <c r="O823" s="9"/>
      <c r="P823" s="9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1345"/>
      <c r="AH823" s="47"/>
      <c r="AI823" s="47"/>
      <c r="AJ823" s="47"/>
      <c r="AK823" s="47"/>
      <c r="AL823" s="47"/>
      <c r="AM823" s="47"/>
      <c r="AN823" s="47"/>
      <c r="AO823" s="47"/>
      <c r="AP823" s="47"/>
      <c r="AQ823" s="47"/>
      <c r="AR823" s="47"/>
      <c r="AS823" s="47"/>
      <c r="AT823" s="47"/>
      <c r="AU823" s="47"/>
      <c r="AV823" s="47"/>
      <c r="AW823" s="47"/>
      <c r="AX823" s="47"/>
      <c r="AY823" s="47"/>
    </row>
    <row r="824" spans="1:51" ht="15.75" customHeight="1">
      <c r="A824" s="500"/>
      <c r="B824" s="477"/>
      <c r="C824" s="481"/>
      <c r="D824" s="47"/>
      <c r="E824" s="47"/>
      <c r="F824" s="478"/>
      <c r="G824" s="479"/>
      <c r="H824" s="9"/>
      <c r="I824" s="9"/>
      <c r="J824" s="503"/>
      <c r="K824" s="47"/>
      <c r="L824" s="47"/>
      <c r="M824" s="47"/>
      <c r="N824" s="9"/>
      <c r="O824" s="9"/>
      <c r="P824" s="9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7"/>
      <c r="AE824" s="47"/>
      <c r="AF824" s="47"/>
      <c r="AG824" s="1345"/>
      <c r="AH824" s="47"/>
      <c r="AI824" s="47"/>
      <c r="AJ824" s="47"/>
      <c r="AK824" s="47"/>
      <c r="AL824" s="47"/>
      <c r="AM824" s="47"/>
      <c r="AN824" s="47"/>
      <c r="AO824" s="47"/>
      <c r="AP824" s="47"/>
      <c r="AQ824" s="47"/>
      <c r="AR824" s="47"/>
      <c r="AS824" s="47"/>
      <c r="AT824" s="47"/>
      <c r="AU824" s="47"/>
      <c r="AV824" s="47"/>
      <c r="AW824" s="47"/>
      <c r="AX824" s="47"/>
      <c r="AY824" s="47"/>
    </row>
    <row r="825" spans="1:51" ht="15.75" customHeight="1">
      <c r="A825" s="500"/>
      <c r="B825" s="477"/>
      <c r="C825" s="481"/>
      <c r="D825" s="47"/>
      <c r="E825" s="47"/>
      <c r="F825" s="478"/>
      <c r="G825" s="479"/>
      <c r="H825" s="9"/>
      <c r="I825" s="9"/>
      <c r="J825" s="503"/>
      <c r="K825" s="47"/>
      <c r="L825" s="47"/>
      <c r="M825" s="47"/>
      <c r="N825" s="9"/>
      <c r="O825" s="9"/>
      <c r="P825" s="9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1345"/>
      <c r="AH825" s="47"/>
      <c r="AI825" s="47"/>
      <c r="AJ825" s="47"/>
      <c r="AK825" s="47"/>
      <c r="AL825" s="47"/>
      <c r="AM825" s="47"/>
      <c r="AN825" s="47"/>
      <c r="AO825" s="47"/>
      <c r="AP825" s="47"/>
      <c r="AQ825" s="47"/>
      <c r="AR825" s="47"/>
      <c r="AS825" s="47"/>
      <c r="AT825" s="47"/>
      <c r="AU825" s="47"/>
      <c r="AV825" s="47"/>
      <c r="AW825" s="47"/>
      <c r="AX825" s="47"/>
      <c r="AY825" s="47"/>
    </row>
    <row r="826" spans="1:51" ht="15.75" customHeight="1">
      <c r="A826" s="500"/>
      <c r="B826" s="477"/>
      <c r="C826" s="481"/>
      <c r="D826" s="47"/>
      <c r="E826" s="47"/>
      <c r="F826" s="478"/>
      <c r="G826" s="479"/>
      <c r="H826" s="9"/>
      <c r="I826" s="9"/>
      <c r="J826" s="503"/>
      <c r="K826" s="47"/>
      <c r="L826" s="47"/>
      <c r="M826" s="47"/>
      <c r="N826" s="9"/>
      <c r="O826" s="9"/>
      <c r="P826" s="9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7"/>
      <c r="AE826" s="47"/>
      <c r="AF826" s="47"/>
      <c r="AG826" s="1345"/>
      <c r="AH826" s="47"/>
      <c r="AI826" s="47"/>
      <c r="AJ826" s="47"/>
      <c r="AK826" s="47"/>
      <c r="AL826" s="47"/>
      <c r="AM826" s="47"/>
      <c r="AN826" s="47"/>
      <c r="AO826" s="47"/>
      <c r="AP826" s="47"/>
      <c r="AQ826" s="47"/>
      <c r="AR826" s="47"/>
      <c r="AS826" s="47"/>
      <c r="AT826" s="47"/>
      <c r="AU826" s="47"/>
      <c r="AV826" s="47"/>
      <c r="AW826" s="47"/>
      <c r="AX826" s="47"/>
      <c r="AY826" s="47"/>
    </row>
    <row r="827" spans="1:51" ht="15.75" customHeight="1">
      <c r="A827" s="500"/>
      <c r="B827" s="477"/>
      <c r="C827" s="481"/>
      <c r="D827" s="47"/>
      <c r="E827" s="47"/>
      <c r="F827" s="478"/>
      <c r="G827" s="479"/>
      <c r="H827" s="9"/>
      <c r="I827" s="10"/>
      <c r="J827" s="503"/>
      <c r="K827" s="47"/>
      <c r="L827" s="47"/>
      <c r="M827" s="47"/>
      <c r="N827" s="9"/>
      <c r="O827" s="9"/>
      <c r="P827" s="9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1345"/>
      <c r="AH827" s="47"/>
      <c r="AI827" s="47"/>
      <c r="AJ827" s="47"/>
      <c r="AK827" s="47"/>
      <c r="AL827" s="47"/>
      <c r="AM827" s="47"/>
      <c r="AN827" s="47"/>
      <c r="AO827" s="47"/>
      <c r="AP827" s="47"/>
      <c r="AQ827" s="47"/>
      <c r="AR827" s="47"/>
      <c r="AS827" s="47"/>
      <c r="AT827" s="47"/>
      <c r="AU827" s="47"/>
      <c r="AV827" s="47"/>
      <c r="AW827" s="47"/>
      <c r="AX827" s="47"/>
      <c r="AY827" s="47"/>
    </row>
    <row r="828" spans="1:51" ht="15.75" customHeight="1">
      <c r="A828" s="500"/>
      <c r="B828" s="477"/>
      <c r="C828" s="481"/>
      <c r="D828" s="47"/>
      <c r="E828" s="47"/>
      <c r="F828" s="478"/>
      <c r="G828" s="479"/>
      <c r="H828" s="9"/>
      <c r="I828" s="9"/>
      <c r="J828" s="503"/>
      <c r="K828" s="47"/>
      <c r="L828" s="47"/>
      <c r="M828" s="47"/>
      <c r="N828" s="9"/>
      <c r="O828" s="9"/>
      <c r="P828" s="9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  <c r="AB828" s="47"/>
      <c r="AC828" s="47"/>
      <c r="AD828" s="47"/>
      <c r="AE828" s="47"/>
      <c r="AF828" s="47"/>
      <c r="AG828" s="1345"/>
      <c r="AH828" s="47"/>
      <c r="AI828" s="47"/>
      <c r="AJ828" s="47"/>
      <c r="AK828" s="47"/>
      <c r="AL828" s="47"/>
      <c r="AM828" s="47"/>
      <c r="AN828" s="47"/>
      <c r="AO828" s="47"/>
      <c r="AP828" s="47"/>
      <c r="AQ828" s="47"/>
      <c r="AR828" s="47"/>
      <c r="AS828" s="47"/>
      <c r="AT828" s="47"/>
      <c r="AU828" s="47"/>
      <c r="AV828" s="47"/>
      <c r="AW828" s="47"/>
      <c r="AX828" s="47"/>
      <c r="AY828" s="47"/>
    </row>
    <row r="829" spans="1:51" ht="15.75" customHeight="1">
      <c r="A829" s="500"/>
      <c r="B829" s="477"/>
      <c r="C829" s="481"/>
      <c r="D829" s="47"/>
      <c r="E829" s="47"/>
      <c r="F829" s="478"/>
      <c r="G829" s="479"/>
      <c r="H829" s="9"/>
      <c r="I829" s="10"/>
      <c r="J829" s="503"/>
      <c r="K829" s="47"/>
      <c r="L829" s="47"/>
      <c r="M829" s="47"/>
      <c r="N829" s="9"/>
      <c r="O829" s="9"/>
      <c r="P829" s="9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1345"/>
      <c r="AH829" s="47"/>
      <c r="AI829" s="47"/>
      <c r="AJ829" s="47"/>
      <c r="AK829" s="47"/>
      <c r="AL829" s="47"/>
      <c r="AM829" s="47"/>
      <c r="AN829" s="47"/>
      <c r="AO829" s="47"/>
      <c r="AP829" s="47"/>
      <c r="AQ829" s="47"/>
      <c r="AR829" s="47"/>
      <c r="AS829" s="47"/>
      <c r="AT829" s="47"/>
      <c r="AU829" s="47"/>
      <c r="AV829" s="47"/>
      <c r="AW829" s="47"/>
      <c r="AX829" s="47"/>
      <c r="AY829" s="47"/>
    </row>
    <row r="830" spans="1:51" ht="15.75" customHeight="1">
      <c r="A830" s="500"/>
      <c r="B830" s="477"/>
      <c r="C830" s="481"/>
      <c r="D830" s="47"/>
      <c r="E830" s="47"/>
      <c r="F830" s="478"/>
      <c r="G830" s="479"/>
      <c r="H830" s="9"/>
      <c r="I830" s="9"/>
      <c r="J830" s="503"/>
      <c r="K830" s="47"/>
      <c r="L830" s="47"/>
      <c r="M830" s="47"/>
      <c r="N830" s="9"/>
      <c r="O830" s="9"/>
      <c r="P830" s="9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  <c r="AB830" s="47"/>
      <c r="AC830" s="47"/>
      <c r="AD830" s="47"/>
      <c r="AE830" s="47"/>
      <c r="AF830" s="47"/>
      <c r="AG830" s="1345"/>
      <c r="AH830" s="47"/>
      <c r="AI830" s="47"/>
      <c r="AJ830" s="47"/>
      <c r="AK830" s="47"/>
      <c r="AL830" s="47"/>
      <c r="AM830" s="47"/>
      <c r="AN830" s="47"/>
      <c r="AO830" s="47"/>
      <c r="AP830" s="47"/>
      <c r="AQ830" s="47"/>
      <c r="AR830" s="47"/>
      <c r="AS830" s="47"/>
      <c r="AT830" s="47"/>
      <c r="AU830" s="47"/>
      <c r="AV830" s="47"/>
      <c r="AW830" s="47"/>
      <c r="AX830" s="47"/>
      <c r="AY830" s="47"/>
    </row>
    <row r="831" spans="1:51" ht="15.75" customHeight="1">
      <c r="A831" s="500"/>
      <c r="B831" s="477"/>
      <c r="C831" s="481"/>
      <c r="D831" s="47"/>
      <c r="E831" s="47"/>
      <c r="F831" s="478"/>
      <c r="G831" s="479"/>
      <c r="H831" s="9"/>
      <c r="I831" s="9"/>
      <c r="J831" s="503"/>
      <c r="K831" s="47"/>
      <c r="L831" s="47"/>
      <c r="M831" s="47"/>
      <c r="N831" s="9"/>
      <c r="O831" s="9"/>
      <c r="P831" s="9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1345"/>
      <c r="AH831" s="47"/>
      <c r="AI831" s="47"/>
      <c r="AJ831" s="47"/>
      <c r="AK831" s="47"/>
      <c r="AL831" s="47"/>
      <c r="AM831" s="47"/>
      <c r="AN831" s="47"/>
      <c r="AO831" s="47"/>
      <c r="AP831" s="47"/>
      <c r="AQ831" s="47"/>
      <c r="AR831" s="47"/>
      <c r="AS831" s="47"/>
      <c r="AT831" s="47"/>
      <c r="AU831" s="47"/>
      <c r="AV831" s="47"/>
      <c r="AW831" s="47"/>
      <c r="AX831" s="47"/>
      <c r="AY831" s="47"/>
    </row>
    <row r="832" spans="1:51" ht="15.75" customHeight="1">
      <c r="A832" s="500"/>
      <c r="B832" s="477"/>
      <c r="C832" s="481"/>
      <c r="D832" s="47"/>
      <c r="E832" s="47"/>
      <c r="F832" s="478"/>
      <c r="G832" s="479"/>
      <c r="H832" s="9"/>
      <c r="I832" s="10"/>
      <c r="J832" s="503"/>
      <c r="K832" s="47"/>
      <c r="L832" s="47"/>
      <c r="M832" s="47"/>
      <c r="N832" s="9"/>
      <c r="O832" s="9"/>
      <c r="P832" s="9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1345"/>
      <c r="AH832" s="47"/>
      <c r="AI832" s="47"/>
      <c r="AJ832" s="47"/>
      <c r="AK832" s="47"/>
      <c r="AL832" s="47"/>
      <c r="AM832" s="47"/>
      <c r="AN832" s="47"/>
      <c r="AO832" s="47"/>
      <c r="AP832" s="47"/>
      <c r="AQ832" s="47"/>
      <c r="AR832" s="47"/>
      <c r="AS832" s="47"/>
      <c r="AT832" s="47"/>
      <c r="AU832" s="47"/>
      <c r="AV832" s="47"/>
      <c r="AW832" s="47"/>
      <c r="AX832" s="47"/>
      <c r="AY832" s="47"/>
    </row>
    <row r="833" spans="1:51" ht="15.75" customHeight="1">
      <c r="A833" s="500"/>
      <c r="B833" s="477"/>
      <c r="C833" s="481"/>
      <c r="D833" s="47"/>
      <c r="E833" s="47"/>
      <c r="F833" s="478"/>
      <c r="G833" s="479"/>
      <c r="H833" s="9"/>
      <c r="I833" s="9"/>
      <c r="J833" s="503"/>
      <c r="K833" s="47"/>
      <c r="L833" s="47"/>
      <c r="M833" s="47"/>
      <c r="N833" s="9"/>
      <c r="O833" s="9"/>
      <c r="P833" s="9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1345"/>
      <c r="AH833" s="47"/>
      <c r="AI833" s="47"/>
      <c r="AJ833" s="47"/>
      <c r="AK833" s="47"/>
      <c r="AL833" s="47"/>
      <c r="AM833" s="47"/>
      <c r="AN833" s="47"/>
      <c r="AO833" s="47"/>
      <c r="AP833" s="47"/>
      <c r="AQ833" s="47"/>
      <c r="AR833" s="47"/>
      <c r="AS833" s="47"/>
      <c r="AT833" s="47"/>
      <c r="AU833" s="47"/>
      <c r="AV833" s="47"/>
      <c r="AW833" s="47"/>
      <c r="AX833" s="47"/>
      <c r="AY833" s="47"/>
    </row>
    <row r="834" spans="1:51" ht="15.75" customHeight="1">
      <c r="A834" s="500"/>
      <c r="B834" s="477"/>
      <c r="C834" s="481"/>
      <c r="D834" s="47"/>
      <c r="E834" s="47"/>
      <c r="F834" s="478"/>
      <c r="G834" s="479"/>
      <c r="H834" s="9"/>
      <c r="I834" s="9"/>
      <c r="J834" s="503"/>
      <c r="K834" s="47"/>
      <c r="L834" s="47"/>
      <c r="M834" s="47"/>
      <c r="N834" s="9"/>
      <c r="O834" s="9"/>
      <c r="P834" s="9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  <c r="AB834" s="47"/>
      <c r="AC834" s="47"/>
      <c r="AD834" s="47"/>
      <c r="AE834" s="47"/>
      <c r="AF834" s="47"/>
      <c r="AG834" s="1345"/>
      <c r="AH834" s="47"/>
      <c r="AI834" s="47"/>
      <c r="AJ834" s="47"/>
      <c r="AK834" s="47"/>
      <c r="AL834" s="47"/>
      <c r="AM834" s="47"/>
      <c r="AN834" s="47"/>
      <c r="AO834" s="47"/>
      <c r="AP834" s="47"/>
      <c r="AQ834" s="47"/>
      <c r="AR834" s="47"/>
      <c r="AS834" s="47"/>
      <c r="AT834" s="47"/>
      <c r="AU834" s="47"/>
      <c r="AV834" s="47"/>
      <c r="AW834" s="47"/>
      <c r="AX834" s="47"/>
      <c r="AY834" s="47"/>
    </row>
    <row r="835" spans="1:51" ht="15.75" customHeight="1">
      <c r="A835" s="500"/>
      <c r="B835" s="477"/>
      <c r="C835" s="481"/>
      <c r="D835" s="47"/>
      <c r="E835" s="47"/>
      <c r="F835" s="478"/>
      <c r="G835" s="479"/>
      <c r="H835" s="9"/>
      <c r="I835" s="9"/>
      <c r="J835" s="503"/>
      <c r="K835" s="47"/>
      <c r="L835" s="47"/>
      <c r="M835" s="47"/>
      <c r="N835" s="9"/>
      <c r="O835" s="9"/>
      <c r="P835" s="9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  <c r="AB835" s="47"/>
      <c r="AC835" s="47"/>
      <c r="AD835" s="47"/>
      <c r="AE835" s="47"/>
      <c r="AF835" s="47"/>
      <c r="AG835" s="1345"/>
      <c r="AH835" s="47"/>
      <c r="AI835" s="47"/>
      <c r="AJ835" s="47"/>
      <c r="AK835" s="47"/>
      <c r="AL835" s="47"/>
      <c r="AM835" s="47"/>
      <c r="AN835" s="47"/>
      <c r="AO835" s="47"/>
      <c r="AP835" s="47"/>
      <c r="AQ835" s="47"/>
      <c r="AR835" s="47"/>
      <c r="AS835" s="47"/>
      <c r="AT835" s="47"/>
      <c r="AU835" s="47"/>
      <c r="AV835" s="47"/>
      <c r="AW835" s="47"/>
      <c r="AX835" s="47"/>
      <c r="AY835" s="47"/>
    </row>
    <row r="836" spans="1:51" ht="15.75" customHeight="1">
      <c r="A836" s="500"/>
      <c r="B836" s="477"/>
      <c r="C836" s="481"/>
      <c r="D836" s="47"/>
      <c r="E836" s="47"/>
      <c r="F836" s="478"/>
      <c r="G836" s="479"/>
      <c r="H836" s="9"/>
      <c r="I836" s="9"/>
      <c r="J836" s="503"/>
      <c r="K836" s="47"/>
      <c r="L836" s="47"/>
      <c r="M836" s="47"/>
      <c r="N836" s="9"/>
      <c r="O836" s="9"/>
      <c r="P836" s="9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  <c r="AB836" s="47"/>
      <c r="AC836" s="47"/>
      <c r="AD836" s="47"/>
      <c r="AE836" s="47"/>
      <c r="AF836" s="47"/>
      <c r="AG836" s="1345"/>
      <c r="AH836" s="47"/>
      <c r="AI836" s="47"/>
      <c r="AJ836" s="47"/>
      <c r="AK836" s="47"/>
      <c r="AL836" s="47"/>
      <c r="AM836" s="47"/>
      <c r="AN836" s="47"/>
      <c r="AO836" s="47"/>
      <c r="AP836" s="47"/>
      <c r="AQ836" s="47"/>
      <c r="AR836" s="47"/>
      <c r="AS836" s="47"/>
      <c r="AT836" s="47"/>
      <c r="AU836" s="47"/>
      <c r="AV836" s="47"/>
      <c r="AW836" s="47"/>
      <c r="AX836" s="47"/>
      <c r="AY836" s="47"/>
    </row>
    <row r="837" spans="1:51" ht="15.75" customHeight="1">
      <c r="A837" s="500"/>
      <c r="B837" s="477"/>
      <c r="C837" s="481"/>
      <c r="D837" s="47"/>
      <c r="E837" s="47"/>
      <c r="F837" s="478"/>
      <c r="G837" s="479"/>
      <c r="H837" s="9"/>
      <c r="I837" s="10"/>
      <c r="J837" s="503"/>
      <c r="K837" s="47"/>
      <c r="L837" s="47"/>
      <c r="M837" s="47"/>
      <c r="N837" s="9"/>
      <c r="O837" s="9"/>
      <c r="P837" s="9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1345"/>
      <c r="AH837" s="47"/>
      <c r="AI837" s="47"/>
      <c r="AJ837" s="47"/>
      <c r="AK837" s="47"/>
      <c r="AL837" s="47"/>
      <c r="AM837" s="47"/>
      <c r="AN837" s="47"/>
      <c r="AO837" s="47"/>
      <c r="AP837" s="47"/>
      <c r="AQ837" s="47"/>
      <c r="AR837" s="47"/>
      <c r="AS837" s="47"/>
      <c r="AT837" s="47"/>
      <c r="AU837" s="47"/>
      <c r="AV837" s="47"/>
      <c r="AW837" s="47"/>
      <c r="AX837" s="47"/>
      <c r="AY837" s="47"/>
    </row>
    <row r="838" spans="1:51" ht="15.75" customHeight="1">
      <c r="A838" s="500"/>
      <c r="B838" s="477"/>
      <c r="C838" s="481"/>
      <c r="D838" s="47"/>
      <c r="E838" s="47"/>
      <c r="F838" s="478"/>
      <c r="G838" s="479"/>
      <c r="H838" s="9"/>
      <c r="I838" s="9"/>
      <c r="J838" s="503"/>
      <c r="K838" s="47"/>
      <c r="L838" s="47"/>
      <c r="M838" s="47"/>
      <c r="N838" s="9"/>
      <c r="O838" s="9"/>
      <c r="P838" s="9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1345"/>
      <c r="AH838" s="47"/>
      <c r="AI838" s="47"/>
      <c r="AJ838" s="47"/>
      <c r="AK838" s="47"/>
      <c r="AL838" s="47"/>
      <c r="AM838" s="47"/>
      <c r="AN838" s="47"/>
      <c r="AO838" s="47"/>
      <c r="AP838" s="47"/>
      <c r="AQ838" s="47"/>
      <c r="AR838" s="47"/>
      <c r="AS838" s="47"/>
      <c r="AT838" s="47"/>
      <c r="AU838" s="47"/>
      <c r="AV838" s="47"/>
      <c r="AW838" s="47"/>
      <c r="AX838" s="47"/>
      <c r="AY838" s="47"/>
    </row>
    <row r="839" spans="1:51" ht="15.75" customHeight="1">
      <c r="A839" s="500"/>
      <c r="B839" s="477"/>
      <c r="C839" s="481"/>
      <c r="D839" s="47"/>
      <c r="E839" s="47"/>
      <c r="F839" s="478"/>
      <c r="G839" s="479"/>
      <c r="H839" s="9"/>
      <c r="I839" s="10"/>
      <c r="J839" s="503"/>
      <c r="K839" s="47"/>
      <c r="L839" s="47"/>
      <c r="M839" s="47"/>
      <c r="N839" s="9"/>
      <c r="O839" s="9"/>
      <c r="P839" s="9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1345"/>
      <c r="AH839" s="47"/>
      <c r="AI839" s="47"/>
      <c r="AJ839" s="47"/>
      <c r="AK839" s="47"/>
      <c r="AL839" s="47"/>
      <c r="AM839" s="47"/>
      <c r="AN839" s="47"/>
      <c r="AO839" s="47"/>
      <c r="AP839" s="47"/>
      <c r="AQ839" s="47"/>
      <c r="AR839" s="47"/>
      <c r="AS839" s="47"/>
      <c r="AT839" s="47"/>
      <c r="AU839" s="47"/>
      <c r="AV839" s="47"/>
      <c r="AW839" s="47"/>
      <c r="AX839" s="47"/>
      <c r="AY839" s="47"/>
    </row>
    <row r="840" spans="1:51" ht="15.75" customHeight="1">
      <c r="A840" s="500"/>
      <c r="B840" s="477"/>
      <c r="C840" s="481"/>
      <c r="D840" s="47"/>
      <c r="E840" s="47"/>
      <c r="F840" s="478"/>
      <c r="G840" s="479"/>
      <c r="H840" s="9"/>
      <c r="I840" s="9"/>
      <c r="J840" s="503"/>
      <c r="K840" s="47"/>
      <c r="L840" s="47"/>
      <c r="M840" s="47"/>
      <c r="N840" s="9"/>
      <c r="O840" s="9"/>
      <c r="P840" s="9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1345"/>
      <c r="AH840" s="47"/>
      <c r="AI840" s="47"/>
      <c r="AJ840" s="47"/>
      <c r="AK840" s="47"/>
      <c r="AL840" s="47"/>
      <c r="AM840" s="47"/>
      <c r="AN840" s="47"/>
      <c r="AO840" s="47"/>
      <c r="AP840" s="47"/>
      <c r="AQ840" s="47"/>
      <c r="AR840" s="47"/>
      <c r="AS840" s="47"/>
      <c r="AT840" s="47"/>
      <c r="AU840" s="47"/>
      <c r="AV840" s="47"/>
      <c r="AW840" s="47"/>
      <c r="AX840" s="47"/>
      <c r="AY840" s="47"/>
    </row>
    <row r="841" spans="1:51" ht="15.75" customHeight="1">
      <c r="A841" s="500"/>
      <c r="B841" s="477"/>
      <c r="C841" s="481"/>
      <c r="D841" s="47"/>
      <c r="E841" s="47"/>
      <c r="F841" s="478"/>
      <c r="G841" s="479"/>
      <c r="H841" s="9"/>
      <c r="I841" s="10"/>
      <c r="J841" s="503"/>
      <c r="K841" s="47"/>
      <c r="L841" s="47"/>
      <c r="M841" s="47"/>
      <c r="N841" s="9"/>
      <c r="O841" s="9"/>
      <c r="P841" s="9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1345"/>
      <c r="AH841" s="47"/>
      <c r="AI841" s="47"/>
      <c r="AJ841" s="47"/>
      <c r="AK841" s="47"/>
      <c r="AL841" s="47"/>
      <c r="AM841" s="47"/>
      <c r="AN841" s="47"/>
      <c r="AO841" s="47"/>
      <c r="AP841" s="47"/>
      <c r="AQ841" s="47"/>
      <c r="AR841" s="47"/>
      <c r="AS841" s="47"/>
      <c r="AT841" s="47"/>
      <c r="AU841" s="47"/>
      <c r="AV841" s="47"/>
      <c r="AW841" s="47"/>
      <c r="AX841" s="47"/>
      <c r="AY841" s="47"/>
    </row>
    <row r="842" spans="1:51" ht="15.75" customHeight="1">
      <c r="A842" s="500"/>
      <c r="B842" s="477"/>
      <c r="C842" s="481"/>
      <c r="D842" s="47"/>
      <c r="E842" s="47"/>
      <c r="F842" s="478"/>
      <c r="G842" s="479"/>
      <c r="H842" s="9"/>
      <c r="I842" s="9"/>
      <c r="J842" s="503"/>
      <c r="K842" s="47"/>
      <c r="L842" s="47"/>
      <c r="M842" s="47"/>
      <c r="N842" s="9"/>
      <c r="O842" s="9"/>
      <c r="P842" s="9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1345"/>
      <c r="AH842" s="47"/>
      <c r="AI842" s="47"/>
      <c r="AJ842" s="47"/>
      <c r="AK842" s="47"/>
      <c r="AL842" s="47"/>
      <c r="AM842" s="47"/>
      <c r="AN842" s="47"/>
      <c r="AO842" s="47"/>
      <c r="AP842" s="47"/>
      <c r="AQ842" s="47"/>
      <c r="AR842" s="47"/>
      <c r="AS842" s="47"/>
      <c r="AT842" s="47"/>
      <c r="AU842" s="47"/>
      <c r="AV842" s="47"/>
      <c r="AW842" s="47"/>
      <c r="AX842" s="47"/>
      <c r="AY842" s="47"/>
    </row>
    <row r="843" spans="1:51" ht="15.75" customHeight="1">
      <c r="A843" s="500"/>
      <c r="B843" s="477"/>
      <c r="C843" s="481"/>
      <c r="D843" s="47"/>
      <c r="E843" s="47"/>
      <c r="F843" s="478"/>
      <c r="G843" s="479"/>
      <c r="H843" s="9"/>
      <c r="I843" s="9"/>
      <c r="J843" s="503"/>
      <c r="K843" s="47"/>
      <c r="L843" s="47"/>
      <c r="M843" s="47"/>
      <c r="N843" s="9"/>
      <c r="O843" s="9"/>
      <c r="P843" s="9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1345"/>
      <c r="AH843" s="47"/>
      <c r="AI843" s="47"/>
      <c r="AJ843" s="47"/>
      <c r="AK843" s="47"/>
      <c r="AL843" s="47"/>
      <c r="AM843" s="47"/>
      <c r="AN843" s="47"/>
      <c r="AO843" s="47"/>
      <c r="AP843" s="47"/>
      <c r="AQ843" s="47"/>
      <c r="AR843" s="47"/>
      <c r="AS843" s="47"/>
      <c r="AT843" s="47"/>
      <c r="AU843" s="47"/>
      <c r="AV843" s="47"/>
      <c r="AW843" s="47"/>
      <c r="AX843" s="47"/>
      <c r="AY843" s="47"/>
    </row>
    <row r="844" spans="1:51" ht="15.75" customHeight="1">
      <c r="A844" s="500"/>
      <c r="B844" s="477"/>
      <c r="C844" s="481"/>
      <c r="D844" s="47"/>
      <c r="E844" s="47"/>
      <c r="F844" s="478"/>
      <c r="G844" s="479"/>
      <c r="H844" s="9"/>
      <c r="I844" s="9"/>
      <c r="J844" s="503"/>
      <c r="K844" s="47"/>
      <c r="L844" s="47"/>
      <c r="M844" s="47"/>
      <c r="N844" s="9"/>
      <c r="O844" s="9"/>
      <c r="P844" s="9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1345"/>
      <c r="AH844" s="47"/>
      <c r="AI844" s="47"/>
      <c r="AJ844" s="47"/>
      <c r="AK844" s="47"/>
      <c r="AL844" s="47"/>
      <c r="AM844" s="47"/>
      <c r="AN844" s="47"/>
      <c r="AO844" s="47"/>
      <c r="AP844" s="47"/>
      <c r="AQ844" s="47"/>
      <c r="AR844" s="47"/>
      <c r="AS844" s="47"/>
      <c r="AT844" s="47"/>
      <c r="AU844" s="47"/>
      <c r="AV844" s="47"/>
      <c r="AW844" s="47"/>
      <c r="AX844" s="47"/>
      <c r="AY844" s="47"/>
    </row>
    <row r="845" spans="1:51" ht="15.75" customHeight="1">
      <c r="A845" s="500"/>
      <c r="B845" s="477"/>
      <c r="C845" s="481"/>
      <c r="D845" s="47"/>
      <c r="E845" s="47"/>
      <c r="F845" s="478"/>
      <c r="G845" s="479"/>
      <c r="H845" s="9"/>
      <c r="I845" s="9"/>
      <c r="J845" s="503"/>
      <c r="K845" s="47"/>
      <c r="L845" s="47"/>
      <c r="M845" s="47"/>
      <c r="N845" s="9"/>
      <c r="O845" s="9"/>
      <c r="P845" s="9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1345"/>
      <c r="AH845" s="47"/>
      <c r="AI845" s="47"/>
      <c r="AJ845" s="47"/>
      <c r="AK845" s="47"/>
      <c r="AL845" s="47"/>
      <c r="AM845" s="47"/>
      <c r="AN845" s="47"/>
      <c r="AO845" s="47"/>
      <c r="AP845" s="47"/>
      <c r="AQ845" s="47"/>
      <c r="AR845" s="47"/>
      <c r="AS845" s="47"/>
      <c r="AT845" s="47"/>
      <c r="AU845" s="47"/>
      <c r="AV845" s="47"/>
      <c r="AW845" s="47"/>
      <c r="AX845" s="47"/>
      <c r="AY845" s="47"/>
    </row>
    <row r="846" spans="1:51" ht="15.75" customHeight="1">
      <c r="A846" s="500"/>
      <c r="B846" s="477"/>
      <c r="C846" s="481"/>
      <c r="D846" s="47"/>
      <c r="E846" s="47"/>
      <c r="F846" s="478"/>
      <c r="G846" s="479"/>
      <c r="H846" s="9"/>
      <c r="I846" s="9"/>
      <c r="J846" s="503"/>
      <c r="K846" s="47"/>
      <c r="L846" s="47"/>
      <c r="M846" s="47"/>
      <c r="N846" s="9"/>
      <c r="O846" s="9"/>
      <c r="P846" s="9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1345"/>
      <c r="AH846" s="47"/>
      <c r="AI846" s="47"/>
      <c r="AJ846" s="47"/>
      <c r="AK846" s="47"/>
      <c r="AL846" s="47"/>
      <c r="AM846" s="47"/>
      <c r="AN846" s="47"/>
      <c r="AO846" s="47"/>
      <c r="AP846" s="47"/>
      <c r="AQ846" s="47"/>
      <c r="AR846" s="47"/>
      <c r="AS846" s="47"/>
      <c r="AT846" s="47"/>
      <c r="AU846" s="47"/>
      <c r="AV846" s="47"/>
      <c r="AW846" s="47"/>
      <c r="AX846" s="47"/>
      <c r="AY846" s="47"/>
    </row>
    <row r="847" spans="1:51" ht="15.75" customHeight="1">
      <c r="A847" s="500"/>
      <c r="B847" s="477"/>
      <c r="C847" s="481"/>
      <c r="D847" s="47"/>
      <c r="E847" s="47"/>
      <c r="F847" s="478"/>
      <c r="G847" s="479"/>
      <c r="H847" s="9"/>
      <c r="I847" s="9"/>
      <c r="J847" s="503"/>
      <c r="K847" s="47"/>
      <c r="L847" s="47"/>
      <c r="M847" s="47"/>
      <c r="N847" s="9"/>
      <c r="O847" s="9"/>
      <c r="P847" s="9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1345"/>
      <c r="AH847" s="47"/>
      <c r="AI847" s="47"/>
      <c r="AJ847" s="47"/>
      <c r="AK847" s="47"/>
      <c r="AL847" s="47"/>
      <c r="AM847" s="47"/>
      <c r="AN847" s="47"/>
      <c r="AO847" s="47"/>
      <c r="AP847" s="47"/>
      <c r="AQ847" s="47"/>
      <c r="AR847" s="47"/>
      <c r="AS847" s="47"/>
      <c r="AT847" s="47"/>
      <c r="AU847" s="47"/>
      <c r="AV847" s="47"/>
      <c r="AW847" s="47"/>
      <c r="AX847" s="47"/>
      <c r="AY847" s="47"/>
    </row>
    <row r="848" spans="1:51" ht="15.75" customHeight="1">
      <c r="A848" s="500"/>
      <c r="B848" s="477"/>
      <c r="C848" s="481"/>
      <c r="D848" s="47"/>
      <c r="E848" s="47"/>
      <c r="F848" s="478"/>
      <c r="G848" s="479"/>
      <c r="H848" s="9"/>
      <c r="I848" s="9"/>
      <c r="J848" s="503"/>
      <c r="K848" s="47"/>
      <c r="L848" s="47"/>
      <c r="M848" s="47"/>
      <c r="N848" s="9"/>
      <c r="O848" s="9"/>
      <c r="P848" s="9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1345"/>
      <c r="AH848" s="47"/>
      <c r="AI848" s="47"/>
      <c r="AJ848" s="47"/>
      <c r="AK848" s="47"/>
      <c r="AL848" s="47"/>
      <c r="AM848" s="47"/>
      <c r="AN848" s="47"/>
      <c r="AO848" s="47"/>
      <c r="AP848" s="47"/>
      <c r="AQ848" s="47"/>
      <c r="AR848" s="47"/>
      <c r="AS848" s="47"/>
      <c r="AT848" s="47"/>
      <c r="AU848" s="47"/>
      <c r="AV848" s="47"/>
      <c r="AW848" s="47"/>
      <c r="AX848" s="47"/>
      <c r="AY848" s="47"/>
    </row>
    <row r="849" spans="1:51" ht="15.75" customHeight="1">
      <c r="A849" s="500"/>
      <c r="B849" s="477"/>
      <c r="C849" s="481"/>
      <c r="D849" s="47"/>
      <c r="E849" s="47"/>
      <c r="F849" s="478"/>
      <c r="G849" s="479"/>
      <c r="H849" s="9"/>
      <c r="I849" s="9"/>
      <c r="J849" s="503"/>
      <c r="K849" s="47"/>
      <c r="L849" s="47"/>
      <c r="M849" s="47"/>
      <c r="N849" s="9"/>
      <c r="O849" s="9"/>
      <c r="P849" s="9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1345"/>
      <c r="AH849" s="47"/>
      <c r="AI849" s="47"/>
      <c r="AJ849" s="47"/>
      <c r="AK849" s="47"/>
      <c r="AL849" s="47"/>
      <c r="AM849" s="47"/>
      <c r="AN849" s="47"/>
      <c r="AO849" s="47"/>
      <c r="AP849" s="47"/>
      <c r="AQ849" s="47"/>
      <c r="AR849" s="47"/>
      <c r="AS849" s="47"/>
      <c r="AT849" s="47"/>
      <c r="AU849" s="47"/>
      <c r="AV849" s="47"/>
      <c r="AW849" s="47"/>
      <c r="AX849" s="47"/>
      <c r="AY849" s="47"/>
    </row>
    <row r="850" spans="1:51" ht="15.75" customHeight="1">
      <c r="A850" s="500"/>
      <c r="B850" s="477"/>
      <c r="C850" s="481"/>
      <c r="D850" s="47"/>
      <c r="E850" s="47"/>
      <c r="F850" s="478"/>
      <c r="G850" s="479"/>
      <c r="H850" s="9"/>
      <c r="I850" s="9"/>
      <c r="J850" s="503"/>
      <c r="K850" s="47"/>
      <c r="L850" s="47"/>
      <c r="M850" s="47"/>
      <c r="N850" s="9"/>
      <c r="O850" s="9"/>
      <c r="P850" s="9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1345"/>
      <c r="AH850" s="47"/>
      <c r="AI850" s="47"/>
      <c r="AJ850" s="47"/>
      <c r="AK850" s="47"/>
      <c r="AL850" s="47"/>
      <c r="AM850" s="47"/>
      <c r="AN850" s="47"/>
      <c r="AO850" s="47"/>
      <c r="AP850" s="47"/>
      <c r="AQ850" s="47"/>
      <c r="AR850" s="47"/>
      <c r="AS850" s="47"/>
      <c r="AT850" s="47"/>
      <c r="AU850" s="47"/>
      <c r="AV850" s="47"/>
      <c r="AW850" s="47"/>
      <c r="AX850" s="47"/>
      <c r="AY850" s="47"/>
    </row>
    <row r="851" spans="1:51" ht="15.75" customHeight="1">
      <c r="A851" s="500"/>
      <c r="B851" s="477"/>
      <c r="C851" s="481"/>
      <c r="D851" s="47"/>
      <c r="E851" s="47"/>
      <c r="F851" s="478"/>
      <c r="G851" s="479"/>
      <c r="H851" s="9"/>
      <c r="I851" s="9"/>
      <c r="J851" s="503"/>
      <c r="K851" s="47"/>
      <c r="L851" s="47"/>
      <c r="M851" s="47"/>
      <c r="N851" s="9"/>
      <c r="O851" s="9"/>
      <c r="P851" s="9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1345"/>
      <c r="AH851" s="47"/>
      <c r="AI851" s="47"/>
      <c r="AJ851" s="47"/>
      <c r="AK851" s="47"/>
      <c r="AL851" s="47"/>
      <c r="AM851" s="47"/>
      <c r="AN851" s="47"/>
      <c r="AO851" s="47"/>
      <c r="AP851" s="47"/>
      <c r="AQ851" s="47"/>
      <c r="AR851" s="47"/>
      <c r="AS851" s="47"/>
      <c r="AT851" s="47"/>
      <c r="AU851" s="47"/>
      <c r="AV851" s="47"/>
      <c r="AW851" s="47"/>
      <c r="AX851" s="47"/>
      <c r="AY851" s="47"/>
    </row>
    <row r="852" spans="1:51" ht="15.75" customHeight="1">
      <c r="A852" s="500"/>
      <c r="B852" s="477"/>
      <c r="C852" s="481"/>
      <c r="D852" s="47"/>
      <c r="E852" s="47"/>
      <c r="F852" s="478"/>
      <c r="G852" s="479"/>
      <c r="H852" s="9"/>
      <c r="I852" s="9"/>
      <c r="J852" s="503"/>
      <c r="K852" s="47"/>
      <c r="L852" s="47"/>
      <c r="M852" s="47"/>
      <c r="N852" s="9"/>
      <c r="O852" s="9"/>
      <c r="P852" s="9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1345"/>
      <c r="AH852" s="47"/>
      <c r="AI852" s="47"/>
      <c r="AJ852" s="47"/>
      <c r="AK852" s="47"/>
      <c r="AL852" s="47"/>
      <c r="AM852" s="47"/>
      <c r="AN852" s="47"/>
      <c r="AO852" s="47"/>
      <c r="AP852" s="47"/>
      <c r="AQ852" s="47"/>
      <c r="AR852" s="47"/>
      <c r="AS852" s="47"/>
      <c r="AT852" s="47"/>
      <c r="AU852" s="47"/>
      <c r="AV852" s="47"/>
      <c r="AW852" s="47"/>
      <c r="AX852" s="47"/>
      <c r="AY852" s="47"/>
    </row>
    <row r="853" spans="1:51" ht="15.75" customHeight="1">
      <c r="A853" s="500"/>
      <c r="B853" s="477"/>
      <c r="C853" s="481"/>
      <c r="D853" s="47"/>
      <c r="E853" s="47"/>
      <c r="F853" s="478"/>
      <c r="G853" s="479"/>
      <c r="H853" s="9"/>
      <c r="I853" s="9"/>
      <c r="J853" s="503"/>
      <c r="K853" s="47"/>
      <c r="L853" s="47"/>
      <c r="M853" s="47"/>
      <c r="N853" s="9"/>
      <c r="O853" s="9"/>
      <c r="P853" s="9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1345"/>
      <c r="AH853" s="47"/>
      <c r="AI853" s="47"/>
      <c r="AJ853" s="47"/>
      <c r="AK853" s="47"/>
      <c r="AL853" s="47"/>
      <c r="AM853" s="47"/>
      <c r="AN853" s="47"/>
      <c r="AO853" s="47"/>
      <c r="AP853" s="47"/>
      <c r="AQ853" s="47"/>
      <c r="AR853" s="47"/>
      <c r="AS853" s="47"/>
      <c r="AT853" s="47"/>
      <c r="AU853" s="47"/>
      <c r="AV853" s="47"/>
      <c r="AW853" s="47"/>
      <c r="AX853" s="47"/>
      <c r="AY853" s="47"/>
    </row>
    <row r="854" spans="1:51" ht="15.75" customHeight="1">
      <c r="A854" s="500"/>
      <c r="B854" s="477"/>
      <c r="C854" s="481"/>
      <c r="D854" s="47"/>
      <c r="E854" s="47"/>
      <c r="F854" s="478"/>
      <c r="G854" s="479"/>
      <c r="H854" s="9"/>
      <c r="I854" s="9"/>
      <c r="J854" s="503"/>
      <c r="K854" s="47"/>
      <c r="L854" s="47"/>
      <c r="M854" s="47"/>
      <c r="N854" s="9"/>
      <c r="O854" s="9"/>
      <c r="P854" s="9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1345"/>
      <c r="AH854" s="47"/>
      <c r="AI854" s="47"/>
      <c r="AJ854" s="47"/>
      <c r="AK854" s="47"/>
      <c r="AL854" s="47"/>
      <c r="AM854" s="47"/>
      <c r="AN854" s="47"/>
      <c r="AO854" s="47"/>
      <c r="AP854" s="47"/>
      <c r="AQ854" s="47"/>
      <c r="AR854" s="47"/>
      <c r="AS854" s="47"/>
      <c r="AT854" s="47"/>
      <c r="AU854" s="47"/>
      <c r="AV854" s="47"/>
      <c r="AW854" s="47"/>
      <c r="AX854" s="47"/>
      <c r="AY854" s="47"/>
    </row>
    <row r="855" spans="1:51" ht="15.75" customHeight="1">
      <c r="A855" s="500"/>
      <c r="B855" s="477"/>
      <c r="C855" s="481"/>
      <c r="D855" s="47"/>
      <c r="E855" s="47"/>
      <c r="F855" s="478"/>
      <c r="G855" s="479"/>
      <c r="H855" s="9"/>
      <c r="I855" s="9"/>
      <c r="J855" s="503"/>
      <c r="K855" s="47"/>
      <c r="L855" s="47"/>
      <c r="M855" s="47"/>
      <c r="N855" s="9"/>
      <c r="O855" s="9"/>
      <c r="P855" s="9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  <c r="AB855" s="47"/>
      <c r="AC855" s="47"/>
      <c r="AD855" s="47"/>
      <c r="AE855" s="47"/>
      <c r="AF855" s="47"/>
      <c r="AG855" s="1345"/>
      <c r="AH855" s="47"/>
      <c r="AI855" s="47"/>
      <c r="AJ855" s="47"/>
      <c r="AK855" s="47"/>
      <c r="AL855" s="47"/>
      <c r="AM855" s="47"/>
      <c r="AN855" s="47"/>
      <c r="AO855" s="47"/>
      <c r="AP855" s="47"/>
      <c r="AQ855" s="47"/>
      <c r="AR855" s="47"/>
      <c r="AS855" s="47"/>
      <c r="AT855" s="47"/>
      <c r="AU855" s="47"/>
      <c r="AV855" s="47"/>
      <c r="AW855" s="47"/>
      <c r="AX855" s="47"/>
      <c r="AY855" s="47"/>
    </row>
    <row r="856" spans="1:51" ht="15.75" customHeight="1">
      <c r="A856" s="500"/>
      <c r="B856" s="477"/>
      <c r="C856" s="481"/>
      <c r="D856" s="47"/>
      <c r="E856" s="47"/>
      <c r="F856" s="478"/>
      <c r="G856" s="479"/>
      <c r="H856" s="9"/>
      <c r="I856" s="9"/>
      <c r="J856" s="503"/>
      <c r="K856" s="47"/>
      <c r="L856" s="47"/>
      <c r="M856" s="47"/>
      <c r="N856" s="9"/>
      <c r="O856" s="9"/>
      <c r="P856" s="9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1345"/>
      <c r="AH856" s="47"/>
      <c r="AI856" s="47"/>
      <c r="AJ856" s="47"/>
      <c r="AK856" s="47"/>
      <c r="AL856" s="47"/>
      <c r="AM856" s="47"/>
      <c r="AN856" s="47"/>
      <c r="AO856" s="47"/>
      <c r="AP856" s="47"/>
      <c r="AQ856" s="47"/>
      <c r="AR856" s="47"/>
      <c r="AS856" s="47"/>
      <c r="AT856" s="47"/>
      <c r="AU856" s="47"/>
      <c r="AV856" s="47"/>
      <c r="AW856" s="47"/>
      <c r="AX856" s="47"/>
      <c r="AY856" s="47"/>
    </row>
    <row r="857" spans="1:51" ht="15.75" customHeight="1">
      <c r="A857" s="500"/>
      <c r="B857" s="477"/>
      <c r="C857" s="481"/>
      <c r="D857" s="47"/>
      <c r="E857" s="47"/>
      <c r="F857" s="478"/>
      <c r="G857" s="479"/>
      <c r="H857" s="9"/>
      <c r="I857" s="9"/>
      <c r="J857" s="503"/>
      <c r="K857" s="47"/>
      <c r="L857" s="47"/>
      <c r="M857" s="47"/>
      <c r="N857" s="9"/>
      <c r="O857" s="9"/>
      <c r="P857" s="9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1345"/>
      <c r="AH857" s="47"/>
      <c r="AI857" s="47"/>
      <c r="AJ857" s="47"/>
      <c r="AK857" s="47"/>
      <c r="AL857" s="47"/>
      <c r="AM857" s="47"/>
      <c r="AN857" s="47"/>
      <c r="AO857" s="47"/>
      <c r="AP857" s="47"/>
      <c r="AQ857" s="47"/>
      <c r="AR857" s="47"/>
      <c r="AS857" s="47"/>
      <c r="AT857" s="47"/>
      <c r="AU857" s="47"/>
      <c r="AV857" s="47"/>
      <c r="AW857" s="47"/>
      <c r="AX857" s="47"/>
      <c r="AY857" s="47"/>
    </row>
    <row r="858" spans="1:51" ht="15.75" customHeight="1">
      <c r="A858" s="500"/>
      <c r="B858" s="477"/>
      <c r="C858" s="481"/>
      <c r="D858" s="47"/>
      <c r="E858" s="47"/>
      <c r="F858" s="478"/>
      <c r="G858" s="479"/>
      <c r="H858" s="9"/>
      <c r="I858" s="9"/>
      <c r="J858" s="503"/>
      <c r="K858" s="47"/>
      <c r="L858" s="47"/>
      <c r="M858" s="47"/>
      <c r="N858" s="9"/>
      <c r="O858" s="9"/>
      <c r="P858" s="9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1345"/>
      <c r="AH858" s="47"/>
      <c r="AI858" s="47"/>
      <c r="AJ858" s="47"/>
      <c r="AK858" s="47"/>
      <c r="AL858" s="47"/>
      <c r="AM858" s="47"/>
      <c r="AN858" s="47"/>
      <c r="AO858" s="47"/>
      <c r="AP858" s="47"/>
      <c r="AQ858" s="47"/>
      <c r="AR858" s="47"/>
      <c r="AS858" s="47"/>
      <c r="AT858" s="47"/>
      <c r="AU858" s="47"/>
      <c r="AV858" s="47"/>
      <c r="AW858" s="47"/>
      <c r="AX858" s="47"/>
      <c r="AY858" s="47"/>
    </row>
    <row r="859" spans="1:51" ht="15.75" customHeight="1">
      <c r="A859" s="500"/>
      <c r="B859" s="477"/>
      <c r="C859" s="481"/>
      <c r="D859" s="47"/>
      <c r="E859" s="47"/>
      <c r="F859" s="478"/>
      <c r="G859" s="479"/>
      <c r="H859" s="9"/>
      <c r="I859" s="9"/>
      <c r="J859" s="503"/>
      <c r="K859" s="47"/>
      <c r="L859" s="47"/>
      <c r="M859" s="47"/>
      <c r="N859" s="9"/>
      <c r="O859" s="9"/>
      <c r="P859" s="9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1345"/>
      <c r="AH859" s="47"/>
      <c r="AI859" s="47"/>
      <c r="AJ859" s="47"/>
      <c r="AK859" s="47"/>
      <c r="AL859" s="47"/>
      <c r="AM859" s="47"/>
      <c r="AN859" s="47"/>
      <c r="AO859" s="47"/>
      <c r="AP859" s="47"/>
      <c r="AQ859" s="47"/>
      <c r="AR859" s="47"/>
      <c r="AS859" s="47"/>
      <c r="AT859" s="47"/>
      <c r="AU859" s="47"/>
      <c r="AV859" s="47"/>
      <c r="AW859" s="47"/>
      <c r="AX859" s="47"/>
      <c r="AY859" s="47"/>
    </row>
    <row r="860" spans="1:51" ht="15.75" customHeight="1">
      <c r="A860" s="500"/>
      <c r="B860" s="477"/>
      <c r="C860" s="481"/>
      <c r="D860" s="47"/>
      <c r="E860" s="47"/>
      <c r="F860" s="478"/>
      <c r="G860" s="479"/>
      <c r="H860" s="9"/>
      <c r="I860" s="9"/>
      <c r="J860" s="503"/>
      <c r="K860" s="47"/>
      <c r="L860" s="47"/>
      <c r="M860" s="47"/>
      <c r="N860" s="9"/>
      <c r="O860" s="9"/>
      <c r="P860" s="9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  <c r="AB860" s="47"/>
      <c r="AC860" s="47"/>
      <c r="AD860" s="47"/>
      <c r="AE860" s="47"/>
      <c r="AF860" s="47"/>
      <c r="AG860" s="1345"/>
      <c r="AH860" s="47"/>
      <c r="AI860" s="47"/>
      <c r="AJ860" s="47"/>
      <c r="AK860" s="47"/>
      <c r="AL860" s="47"/>
      <c r="AM860" s="47"/>
      <c r="AN860" s="47"/>
      <c r="AO860" s="47"/>
      <c r="AP860" s="47"/>
      <c r="AQ860" s="47"/>
      <c r="AR860" s="47"/>
      <c r="AS860" s="47"/>
      <c r="AT860" s="47"/>
      <c r="AU860" s="47"/>
      <c r="AV860" s="47"/>
      <c r="AW860" s="47"/>
      <c r="AX860" s="47"/>
      <c r="AY860" s="47"/>
    </row>
    <row r="861" spans="1:51" ht="15.75" customHeight="1">
      <c r="A861" s="500"/>
      <c r="B861" s="477"/>
      <c r="C861" s="481"/>
      <c r="D861" s="47"/>
      <c r="E861" s="47"/>
      <c r="F861" s="478"/>
      <c r="G861" s="479"/>
      <c r="H861" s="9"/>
      <c r="I861" s="10"/>
      <c r="J861" s="503"/>
      <c r="K861" s="47"/>
      <c r="L861" s="47"/>
      <c r="M861" s="47"/>
      <c r="N861" s="9"/>
      <c r="O861" s="9"/>
      <c r="P861" s="9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1345"/>
      <c r="AH861" s="47"/>
      <c r="AI861" s="47"/>
      <c r="AJ861" s="47"/>
      <c r="AK861" s="47"/>
      <c r="AL861" s="47"/>
      <c r="AM861" s="47"/>
      <c r="AN861" s="47"/>
      <c r="AO861" s="47"/>
      <c r="AP861" s="47"/>
      <c r="AQ861" s="47"/>
      <c r="AR861" s="47"/>
      <c r="AS861" s="47"/>
      <c r="AT861" s="47"/>
      <c r="AU861" s="47"/>
      <c r="AV861" s="47"/>
      <c r="AW861" s="47"/>
      <c r="AX861" s="47"/>
      <c r="AY861" s="47"/>
    </row>
    <row r="862" spans="1:51" ht="15.75" customHeight="1">
      <c r="A862" s="500"/>
      <c r="B862" s="477"/>
      <c r="C862" s="481"/>
      <c r="D862" s="47"/>
      <c r="E862" s="47"/>
      <c r="F862" s="478"/>
      <c r="G862" s="479"/>
      <c r="H862" s="9"/>
      <c r="I862" s="9"/>
      <c r="J862" s="503"/>
      <c r="K862" s="47"/>
      <c r="L862" s="47"/>
      <c r="M862" s="47"/>
      <c r="N862" s="9"/>
      <c r="O862" s="9"/>
      <c r="P862" s="9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1345"/>
      <c r="AH862" s="47"/>
      <c r="AI862" s="47"/>
      <c r="AJ862" s="47"/>
      <c r="AK862" s="47"/>
      <c r="AL862" s="47"/>
      <c r="AM862" s="47"/>
      <c r="AN862" s="47"/>
      <c r="AO862" s="47"/>
      <c r="AP862" s="47"/>
      <c r="AQ862" s="47"/>
      <c r="AR862" s="47"/>
      <c r="AS862" s="47"/>
      <c r="AT862" s="47"/>
      <c r="AU862" s="47"/>
      <c r="AV862" s="47"/>
      <c r="AW862" s="47"/>
      <c r="AX862" s="47"/>
      <c r="AY862" s="47"/>
    </row>
    <row r="863" spans="1:51" ht="15.75" customHeight="1">
      <c r="A863" s="500"/>
      <c r="B863" s="477"/>
      <c r="C863" s="481"/>
      <c r="D863" s="47"/>
      <c r="E863" s="47"/>
      <c r="F863" s="478"/>
      <c r="G863" s="479"/>
      <c r="H863" s="9"/>
      <c r="I863" s="10"/>
      <c r="J863" s="503"/>
      <c r="K863" s="47"/>
      <c r="L863" s="47"/>
      <c r="M863" s="47"/>
      <c r="N863" s="9"/>
      <c r="O863" s="9"/>
      <c r="P863" s="9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1345"/>
      <c r="AH863" s="47"/>
      <c r="AI863" s="47"/>
      <c r="AJ863" s="47"/>
      <c r="AK863" s="47"/>
      <c r="AL863" s="47"/>
      <c r="AM863" s="47"/>
      <c r="AN863" s="47"/>
      <c r="AO863" s="47"/>
      <c r="AP863" s="47"/>
      <c r="AQ863" s="47"/>
      <c r="AR863" s="47"/>
      <c r="AS863" s="47"/>
      <c r="AT863" s="47"/>
      <c r="AU863" s="47"/>
      <c r="AV863" s="47"/>
      <c r="AW863" s="47"/>
      <c r="AX863" s="47"/>
      <c r="AY863" s="47"/>
    </row>
    <row r="864" spans="1:51" ht="15.75" customHeight="1">
      <c r="A864" s="500"/>
      <c r="B864" s="477"/>
      <c r="C864" s="481"/>
      <c r="D864" s="47"/>
      <c r="E864" s="47"/>
      <c r="F864" s="478"/>
      <c r="G864" s="479"/>
      <c r="H864" s="9"/>
      <c r="I864" s="9"/>
      <c r="J864" s="503"/>
      <c r="K864" s="47"/>
      <c r="L864" s="47"/>
      <c r="M864" s="47"/>
      <c r="N864" s="9"/>
      <c r="O864" s="9"/>
      <c r="P864" s="9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1345"/>
      <c r="AH864" s="47"/>
      <c r="AI864" s="47"/>
      <c r="AJ864" s="47"/>
      <c r="AK864" s="47"/>
      <c r="AL864" s="47"/>
      <c r="AM864" s="47"/>
      <c r="AN864" s="47"/>
      <c r="AO864" s="47"/>
      <c r="AP864" s="47"/>
      <c r="AQ864" s="47"/>
      <c r="AR864" s="47"/>
      <c r="AS864" s="47"/>
      <c r="AT864" s="47"/>
      <c r="AU864" s="47"/>
      <c r="AV864" s="47"/>
      <c r="AW864" s="47"/>
      <c r="AX864" s="47"/>
      <c r="AY864" s="47"/>
    </row>
    <row r="865" spans="1:51" ht="15.75" customHeight="1">
      <c r="A865" s="500"/>
      <c r="B865" s="477"/>
      <c r="C865" s="481"/>
      <c r="D865" s="47"/>
      <c r="E865" s="47"/>
      <c r="F865" s="478"/>
      <c r="G865" s="479"/>
      <c r="H865" s="9"/>
      <c r="I865" s="9"/>
      <c r="J865" s="503"/>
      <c r="K865" s="47"/>
      <c r="L865" s="47"/>
      <c r="M865" s="47"/>
      <c r="N865" s="9"/>
      <c r="O865" s="9"/>
      <c r="P865" s="9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1345"/>
      <c r="AH865" s="47"/>
      <c r="AI865" s="47"/>
      <c r="AJ865" s="47"/>
      <c r="AK865" s="47"/>
      <c r="AL865" s="47"/>
      <c r="AM865" s="47"/>
      <c r="AN865" s="47"/>
      <c r="AO865" s="47"/>
      <c r="AP865" s="47"/>
      <c r="AQ865" s="47"/>
      <c r="AR865" s="47"/>
      <c r="AS865" s="47"/>
      <c r="AT865" s="47"/>
      <c r="AU865" s="47"/>
      <c r="AV865" s="47"/>
      <c r="AW865" s="47"/>
      <c r="AX865" s="47"/>
      <c r="AY865" s="47"/>
    </row>
    <row r="866" spans="1:51" ht="15.75" customHeight="1">
      <c r="A866" s="500"/>
      <c r="B866" s="477"/>
      <c r="C866" s="481"/>
      <c r="D866" s="47"/>
      <c r="E866" s="47"/>
      <c r="F866" s="478"/>
      <c r="G866" s="479"/>
      <c r="H866" s="9"/>
      <c r="I866" s="10"/>
      <c r="J866" s="503"/>
      <c r="K866" s="47"/>
      <c r="L866" s="47"/>
      <c r="M866" s="47"/>
      <c r="N866" s="9"/>
      <c r="O866" s="9"/>
      <c r="P866" s="9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1345"/>
      <c r="AH866" s="47"/>
      <c r="AI866" s="47"/>
      <c r="AJ866" s="47"/>
      <c r="AK866" s="47"/>
      <c r="AL866" s="47"/>
      <c r="AM866" s="47"/>
      <c r="AN866" s="47"/>
      <c r="AO866" s="47"/>
      <c r="AP866" s="47"/>
      <c r="AQ866" s="47"/>
      <c r="AR866" s="47"/>
      <c r="AS866" s="47"/>
      <c r="AT866" s="47"/>
      <c r="AU866" s="47"/>
      <c r="AV866" s="47"/>
      <c r="AW866" s="47"/>
      <c r="AX866" s="47"/>
      <c r="AY866" s="47"/>
    </row>
    <row r="867" spans="1:51" ht="15.75" customHeight="1">
      <c r="A867" s="500"/>
      <c r="B867" s="477"/>
      <c r="C867" s="481"/>
      <c r="D867" s="47"/>
      <c r="E867" s="47"/>
      <c r="F867" s="478"/>
      <c r="G867" s="479"/>
      <c r="H867" s="9"/>
      <c r="I867" s="9"/>
      <c r="J867" s="503"/>
      <c r="K867" s="47"/>
      <c r="L867" s="47"/>
      <c r="M867" s="47"/>
      <c r="N867" s="9"/>
      <c r="O867" s="9"/>
      <c r="P867" s="9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  <c r="AB867" s="47"/>
      <c r="AC867" s="47"/>
      <c r="AD867" s="47"/>
      <c r="AE867" s="47"/>
      <c r="AF867" s="47"/>
      <c r="AG867" s="1345"/>
      <c r="AH867" s="47"/>
      <c r="AI867" s="47"/>
      <c r="AJ867" s="47"/>
      <c r="AK867" s="47"/>
      <c r="AL867" s="47"/>
      <c r="AM867" s="47"/>
      <c r="AN867" s="47"/>
      <c r="AO867" s="47"/>
      <c r="AP867" s="47"/>
      <c r="AQ867" s="47"/>
      <c r="AR867" s="47"/>
      <c r="AS867" s="47"/>
      <c r="AT867" s="47"/>
      <c r="AU867" s="47"/>
      <c r="AV867" s="47"/>
      <c r="AW867" s="47"/>
      <c r="AX867" s="47"/>
      <c r="AY867" s="47"/>
    </row>
    <row r="868" spans="1:51" ht="15.75" customHeight="1">
      <c r="A868" s="500"/>
      <c r="B868" s="477"/>
      <c r="C868" s="481"/>
      <c r="D868" s="47"/>
      <c r="E868" s="47"/>
      <c r="F868" s="478"/>
      <c r="G868" s="479"/>
      <c r="H868" s="9"/>
      <c r="I868" s="9"/>
      <c r="J868" s="503"/>
      <c r="K868" s="47"/>
      <c r="L868" s="47"/>
      <c r="M868" s="47"/>
      <c r="N868" s="9"/>
      <c r="O868" s="9"/>
      <c r="P868" s="9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7"/>
      <c r="AF868" s="47"/>
      <c r="AG868" s="1345"/>
      <c r="AH868" s="47"/>
      <c r="AI868" s="47"/>
      <c r="AJ868" s="47"/>
      <c r="AK868" s="47"/>
      <c r="AL868" s="47"/>
      <c r="AM868" s="47"/>
      <c r="AN868" s="47"/>
      <c r="AO868" s="47"/>
      <c r="AP868" s="47"/>
      <c r="AQ868" s="47"/>
      <c r="AR868" s="47"/>
      <c r="AS868" s="47"/>
      <c r="AT868" s="47"/>
      <c r="AU868" s="47"/>
      <c r="AV868" s="47"/>
      <c r="AW868" s="47"/>
      <c r="AX868" s="47"/>
      <c r="AY868" s="47"/>
    </row>
    <row r="869" spans="1:51" ht="15.75" customHeight="1">
      <c r="A869" s="500"/>
      <c r="B869" s="477"/>
      <c r="C869" s="481"/>
      <c r="D869" s="47"/>
      <c r="E869" s="47"/>
      <c r="F869" s="478"/>
      <c r="G869" s="479"/>
      <c r="H869" s="9"/>
      <c r="I869" s="9"/>
      <c r="J869" s="503"/>
      <c r="K869" s="47"/>
      <c r="L869" s="47"/>
      <c r="M869" s="47"/>
      <c r="N869" s="9"/>
      <c r="O869" s="9"/>
      <c r="P869" s="9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1345"/>
      <c r="AH869" s="47"/>
      <c r="AI869" s="47"/>
      <c r="AJ869" s="47"/>
      <c r="AK869" s="47"/>
      <c r="AL869" s="47"/>
      <c r="AM869" s="47"/>
      <c r="AN869" s="47"/>
      <c r="AO869" s="47"/>
      <c r="AP869" s="47"/>
      <c r="AQ869" s="47"/>
      <c r="AR869" s="47"/>
      <c r="AS869" s="47"/>
      <c r="AT869" s="47"/>
      <c r="AU869" s="47"/>
      <c r="AV869" s="47"/>
      <c r="AW869" s="47"/>
      <c r="AX869" s="47"/>
      <c r="AY869" s="47"/>
    </row>
    <row r="870" spans="1:51" ht="15.75" customHeight="1">
      <c r="A870" s="500"/>
      <c r="B870" s="477"/>
      <c r="C870" s="481"/>
      <c r="D870" s="47"/>
      <c r="E870" s="47"/>
      <c r="F870" s="478"/>
      <c r="G870" s="479"/>
      <c r="H870" s="9"/>
      <c r="I870" s="9"/>
      <c r="J870" s="503"/>
      <c r="K870" s="47"/>
      <c r="L870" s="47"/>
      <c r="M870" s="47"/>
      <c r="N870" s="9"/>
      <c r="O870" s="9"/>
      <c r="P870" s="9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  <c r="AB870" s="47"/>
      <c r="AC870" s="47"/>
      <c r="AD870" s="47"/>
      <c r="AE870" s="47"/>
      <c r="AF870" s="47"/>
      <c r="AG870" s="1345"/>
      <c r="AH870" s="47"/>
      <c r="AI870" s="47"/>
      <c r="AJ870" s="47"/>
      <c r="AK870" s="47"/>
      <c r="AL870" s="47"/>
      <c r="AM870" s="47"/>
      <c r="AN870" s="47"/>
      <c r="AO870" s="47"/>
      <c r="AP870" s="47"/>
      <c r="AQ870" s="47"/>
      <c r="AR870" s="47"/>
      <c r="AS870" s="47"/>
      <c r="AT870" s="47"/>
      <c r="AU870" s="47"/>
      <c r="AV870" s="47"/>
      <c r="AW870" s="47"/>
      <c r="AX870" s="47"/>
      <c r="AY870" s="47"/>
    </row>
    <row r="871" spans="1:51" ht="15.75" customHeight="1">
      <c r="A871" s="500"/>
      <c r="B871" s="477"/>
      <c r="C871" s="481"/>
      <c r="D871" s="47"/>
      <c r="E871" s="47"/>
      <c r="F871" s="478"/>
      <c r="G871" s="479"/>
      <c r="H871" s="9"/>
      <c r="I871" s="10"/>
      <c r="J871" s="503"/>
      <c r="K871" s="47"/>
      <c r="L871" s="47"/>
      <c r="M871" s="47"/>
      <c r="N871" s="9"/>
      <c r="O871" s="9"/>
      <c r="P871" s="9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1345"/>
      <c r="AH871" s="47"/>
      <c r="AI871" s="47"/>
      <c r="AJ871" s="47"/>
      <c r="AK871" s="47"/>
      <c r="AL871" s="47"/>
      <c r="AM871" s="47"/>
      <c r="AN871" s="47"/>
      <c r="AO871" s="47"/>
      <c r="AP871" s="47"/>
      <c r="AQ871" s="47"/>
      <c r="AR871" s="47"/>
      <c r="AS871" s="47"/>
      <c r="AT871" s="47"/>
      <c r="AU871" s="47"/>
      <c r="AV871" s="47"/>
      <c r="AW871" s="47"/>
      <c r="AX871" s="47"/>
      <c r="AY871" s="47"/>
    </row>
    <row r="872" spans="1:51" ht="15.75" customHeight="1">
      <c r="A872" s="500"/>
      <c r="B872" s="477"/>
      <c r="C872" s="481"/>
      <c r="D872" s="47"/>
      <c r="E872" s="47"/>
      <c r="F872" s="478"/>
      <c r="G872" s="479"/>
      <c r="H872" s="9"/>
      <c r="I872" s="9"/>
      <c r="J872" s="503"/>
      <c r="K872" s="47"/>
      <c r="L872" s="47"/>
      <c r="M872" s="47"/>
      <c r="N872" s="9"/>
      <c r="O872" s="9"/>
      <c r="P872" s="9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1345"/>
      <c r="AH872" s="47"/>
      <c r="AI872" s="47"/>
      <c r="AJ872" s="47"/>
      <c r="AK872" s="47"/>
      <c r="AL872" s="47"/>
      <c r="AM872" s="47"/>
      <c r="AN872" s="47"/>
      <c r="AO872" s="47"/>
      <c r="AP872" s="47"/>
      <c r="AQ872" s="47"/>
      <c r="AR872" s="47"/>
      <c r="AS872" s="47"/>
      <c r="AT872" s="47"/>
      <c r="AU872" s="47"/>
      <c r="AV872" s="47"/>
      <c r="AW872" s="47"/>
      <c r="AX872" s="47"/>
      <c r="AY872" s="47"/>
    </row>
    <row r="873" spans="1:51" ht="15.75" customHeight="1">
      <c r="A873" s="500"/>
      <c r="B873" s="477"/>
      <c r="C873" s="481"/>
      <c r="D873" s="47"/>
      <c r="E873" s="47"/>
      <c r="F873" s="478"/>
      <c r="G873" s="479"/>
      <c r="H873" s="9"/>
      <c r="I873" s="10"/>
      <c r="J873" s="503"/>
      <c r="K873" s="47"/>
      <c r="L873" s="47"/>
      <c r="M873" s="47"/>
      <c r="N873" s="9"/>
      <c r="O873" s="9"/>
      <c r="P873" s="9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1345"/>
      <c r="AH873" s="47"/>
      <c r="AI873" s="47"/>
      <c r="AJ873" s="47"/>
      <c r="AK873" s="47"/>
      <c r="AL873" s="47"/>
      <c r="AM873" s="47"/>
      <c r="AN873" s="47"/>
      <c r="AO873" s="47"/>
      <c r="AP873" s="47"/>
      <c r="AQ873" s="47"/>
      <c r="AR873" s="47"/>
      <c r="AS873" s="47"/>
      <c r="AT873" s="47"/>
      <c r="AU873" s="47"/>
      <c r="AV873" s="47"/>
      <c r="AW873" s="47"/>
      <c r="AX873" s="47"/>
      <c r="AY873" s="47"/>
    </row>
    <row r="874" spans="1:51" ht="15.75" customHeight="1">
      <c r="A874" s="500"/>
      <c r="B874" s="477"/>
      <c r="C874" s="481"/>
      <c r="D874" s="47"/>
      <c r="E874" s="47"/>
      <c r="F874" s="478"/>
      <c r="G874" s="479"/>
      <c r="H874" s="9"/>
      <c r="I874" s="9"/>
      <c r="J874" s="503"/>
      <c r="K874" s="47"/>
      <c r="L874" s="47"/>
      <c r="M874" s="47"/>
      <c r="N874" s="9"/>
      <c r="O874" s="9"/>
      <c r="P874" s="9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1345"/>
      <c r="AH874" s="47"/>
      <c r="AI874" s="47"/>
      <c r="AJ874" s="47"/>
      <c r="AK874" s="47"/>
      <c r="AL874" s="47"/>
      <c r="AM874" s="47"/>
      <c r="AN874" s="47"/>
      <c r="AO874" s="47"/>
      <c r="AP874" s="47"/>
      <c r="AQ874" s="47"/>
      <c r="AR874" s="47"/>
      <c r="AS874" s="47"/>
      <c r="AT874" s="47"/>
      <c r="AU874" s="47"/>
      <c r="AV874" s="47"/>
      <c r="AW874" s="47"/>
      <c r="AX874" s="47"/>
      <c r="AY874" s="47"/>
    </row>
    <row r="875" spans="1:51" ht="15.75" customHeight="1">
      <c r="A875" s="500"/>
      <c r="B875" s="477"/>
      <c r="C875" s="481"/>
      <c r="D875" s="47"/>
      <c r="E875" s="47"/>
      <c r="F875" s="478"/>
      <c r="G875" s="479"/>
      <c r="H875" s="9"/>
      <c r="I875" s="10"/>
      <c r="J875" s="503"/>
      <c r="K875" s="47"/>
      <c r="L875" s="47"/>
      <c r="M875" s="47"/>
      <c r="N875" s="9"/>
      <c r="O875" s="9"/>
      <c r="P875" s="8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1345"/>
      <c r="AH875" s="47"/>
      <c r="AI875" s="47"/>
      <c r="AJ875" s="47"/>
      <c r="AK875" s="47"/>
      <c r="AL875" s="47"/>
      <c r="AM875" s="47"/>
      <c r="AN875" s="47"/>
      <c r="AO875" s="47"/>
      <c r="AP875" s="47"/>
      <c r="AQ875" s="47"/>
      <c r="AR875" s="47"/>
      <c r="AS875" s="47"/>
      <c r="AT875" s="47"/>
      <c r="AU875" s="47"/>
      <c r="AV875" s="47"/>
      <c r="AW875" s="47"/>
      <c r="AX875" s="47"/>
      <c r="AY875" s="47"/>
    </row>
    <row r="876" spans="1:51" ht="15.75" customHeight="1">
      <c r="A876" s="500"/>
      <c r="B876" s="477"/>
      <c r="C876" s="481"/>
      <c r="D876" s="47"/>
      <c r="E876" s="47"/>
      <c r="F876" s="478"/>
      <c r="G876" s="479"/>
      <c r="H876" s="9"/>
      <c r="I876" s="9"/>
      <c r="J876" s="503"/>
      <c r="K876" s="47"/>
      <c r="L876" s="47"/>
      <c r="M876" s="47"/>
      <c r="N876" s="9"/>
      <c r="O876" s="9"/>
      <c r="P876" s="8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1345"/>
      <c r="AH876" s="47"/>
      <c r="AI876" s="47"/>
      <c r="AJ876" s="47"/>
      <c r="AK876" s="47"/>
      <c r="AL876" s="47"/>
      <c r="AM876" s="47"/>
      <c r="AN876" s="47"/>
      <c r="AO876" s="47"/>
      <c r="AP876" s="47"/>
      <c r="AQ876" s="47"/>
      <c r="AR876" s="47"/>
      <c r="AS876" s="47"/>
      <c r="AT876" s="47"/>
      <c r="AU876" s="47"/>
      <c r="AV876" s="47"/>
      <c r="AW876" s="47"/>
      <c r="AX876" s="47"/>
      <c r="AY876" s="47"/>
    </row>
    <row r="877" spans="1:51" ht="15.75" customHeight="1">
      <c r="A877" s="500"/>
      <c r="B877" s="477"/>
      <c r="C877" s="481"/>
      <c r="D877" s="47"/>
      <c r="E877" s="47"/>
      <c r="F877" s="478"/>
      <c r="G877" s="479"/>
      <c r="H877" s="9"/>
      <c r="I877" s="9"/>
      <c r="J877" s="503"/>
      <c r="K877" s="47"/>
      <c r="L877" s="47"/>
      <c r="M877" s="47"/>
      <c r="N877" s="9"/>
      <c r="O877" s="9"/>
      <c r="P877" s="8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1345"/>
      <c r="AH877" s="47"/>
      <c r="AI877" s="47"/>
      <c r="AJ877" s="47"/>
      <c r="AK877" s="47"/>
      <c r="AL877" s="47"/>
      <c r="AM877" s="47"/>
      <c r="AN877" s="47"/>
      <c r="AO877" s="47"/>
      <c r="AP877" s="47"/>
      <c r="AQ877" s="47"/>
      <c r="AR877" s="47"/>
      <c r="AS877" s="47"/>
      <c r="AT877" s="47"/>
      <c r="AU877" s="47"/>
      <c r="AV877" s="47"/>
      <c r="AW877" s="47"/>
      <c r="AX877" s="47"/>
      <c r="AY877" s="47"/>
    </row>
    <row r="878" spans="1:51" ht="15.75" customHeight="1">
      <c r="A878" s="500"/>
      <c r="B878" s="477"/>
      <c r="C878" s="481"/>
      <c r="D878" s="47"/>
      <c r="E878" s="47"/>
      <c r="F878" s="478"/>
      <c r="G878" s="479"/>
      <c r="H878" s="9"/>
      <c r="I878" s="9"/>
      <c r="J878" s="503"/>
      <c r="K878" s="47"/>
      <c r="L878" s="47"/>
      <c r="M878" s="47"/>
      <c r="N878" s="9"/>
      <c r="O878" s="9"/>
      <c r="P878" s="9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1345"/>
      <c r="AH878" s="47"/>
      <c r="AI878" s="47"/>
      <c r="AJ878" s="47"/>
      <c r="AK878" s="47"/>
      <c r="AL878" s="47"/>
      <c r="AM878" s="47"/>
      <c r="AN878" s="47"/>
      <c r="AO878" s="47"/>
      <c r="AP878" s="47"/>
      <c r="AQ878" s="47"/>
      <c r="AR878" s="47"/>
      <c r="AS878" s="47"/>
      <c r="AT878" s="47"/>
      <c r="AU878" s="47"/>
      <c r="AV878" s="47"/>
      <c r="AW878" s="47"/>
      <c r="AX878" s="47"/>
      <c r="AY878" s="47"/>
    </row>
    <row r="879" spans="1:51" ht="15.75" customHeight="1">
      <c r="A879" s="500"/>
      <c r="B879" s="477"/>
      <c r="C879" s="481"/>
      <c r="D879" s="47"/>
      <c r="E879" s="47"/>
      <c r="F879" s="478"/>
      <c r="G879" s="479"/>
      <c r="H879" s="9"/>
      <c r="I879" s="9"/>
      <c r="J879" s="503"/>
      <c r="K879" s="47"/>
      <c r="L879" s="47"/>
      <c r="M879" s="47"/>
      <c r="N879" s="9"/>
      <c r="O879" s="9"/>
      <c r="P879" s="9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1345"/>
      <c r="AH879" s="47"/>
      <c r="AI879" s="47"/>
      <c r="AJ879" s="47"/>
      <c r="AK879" s="47"/>
      <c r="AL879" s="47"/>
      <c r="AM879" s="47"/>
      <c r="AN879" s="47"/>
      <c r="AO879" s="47"/>
      <c r="AP879" s="47"/>
      <c r="AQ879" s="47"/>
      <c r="AR879" s="47"/>
      <c r="AS879" s="47"/>
      <c r="AT879" s="47"/>
      <c r="AU879" s="47"/>
      <c r="AV879" s="47"/>
      <c r="AW879" s="47"/>
      <c r="AX879" s="47"/>
      <c r="AY879" s="47"/>
    </row>
    <row r="880" spans="1:51" ht="15.75" customHeight="1">
      <c r="A880" s="500"/>
      <c r="B880" s="477"/>
      <c r="C880" s="481"/>
      <c r="D880" s="47"/>
      <c r="E880" s="47"/>
      <c r="F880" s="478"/>
      <c r="G880" s="479"/>
      <c r="H880" s="9"/>
      <c r="I880" s="9"/>
      <c r="J880" s="503"/>
      <c r="K880" s="47"/>
      <c r="L880" s="47"/>
      <c r="M880" s="47"/>
      <c r="N880" s="9"/>
      <c r="O880" s="9"/>
      <c r="P880" s="9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1345"/>
      <c r="AH880" s="47"/>
      <c r="AI880" s="47"/>
      <c r="AJ880" s="47"/>
      <c r="AK880" s="47"/>
      <c r="AL880" s="47"/>
      <c r="AM880" s="47"/>
      <c r="AN880" s="47"/>
      <c r="AO880" s="47"/>
      <c r="AP880" s="47"/>
      <c r="AQ880" s="47"/>
      <c r="AR880" s="47"/>
      <c r="AS880" s="47"/>
      <c r="AT880" s="47"/>
      <c r="AU880" s="47"/>
      <c r="AV880" s="47"/>
      <c r="AW880" s="47"/>
      <c r="AX880" s="47"/>
      <c r="AY880" s="47"/>
    </row>
    <row r="881" spans="1:51" ht="15.75" customHeight="1">
      <c r="A881" s="500"/>
      <c r="B881" s="477"/>
      <c r="C881" s="481"/>
      <c r="D881" s="47"/>
      <c r="E881" s="47"/>
      <c r="F881" s="478"/>
      <c r="G881" s="479"/>
      <c r="H881" s="9"/>
      <c r="I881" s="9"/>
      <c r="J881" s="503"/>
      <c r="K881" s="47"/>
      <c r="L881" s="47"/>
      <c r="M881" s="47"/>
      <c r="N881" s="9"/>
      <c r="O881" s="9"/>
      <c r="P881" s="9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1345"/>
      <c r="AH881" s="47"/>
      <c r="AI881" s="47"/>
      <c r="AJ881" s="47"/>
      <c r="AK881" s="47"/>
      <c r="AL881" s="47"/>
      <c r="AM881" s="47"/>
      <c r="AN881" s="47"/>
      <c r="AO881" s="47"/>
      <c r="AP881" s="47"/>
      <c r="AQ881" s="47"/>
      <c r="AR881" s="47"/>
      <c r="AS881" s="47"/>
      <c r="AT881" s="47"/>
      <c r="AU881" s="47"/>
      <c r="AV881" s="47"/>
      <c r="AW881" s="47"/>
      <c r="AX881" s="47"/>
      <c r="AY881" s="47"/>
    </row>
    <row r="882" spans="1:51" ht="15.75" customHeight="1">
      <c r="A882" s="500"/>
      <c r="B882" s="477"/>
      <c r="C882" s="481"/>
      <c r="D882" s="47"/>
      <c r="E882" s="47"/>
      <c r="F882" s="478"/>
      <c r="G882" s="479"/>
      <c r="H882" s="9"/>
      <c r="I882" s="9"/>
      <c r="J882" s="503"/>
      <c r="K882" s="47"/>
      <c r="L882" s="47"/>
      <c r="M882" s="47"/>
      <c r="N882" s="9"/>
      <c r="O882" s="9"/>
      <c r="P882" s="9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1345"/>
      <c r="AH882" s="47"/>
      <c r="AI882" s="47"/>
      <c r="AJ882" s="47"/>
      <c r="AK882" s="47"/>
      <c r="AL882" s="47"/>
      <c r="AM882" s="47"/>
      <c r="AN882" s="47"/>
      <c r="AO882" s="47"/>
      <c r="AP882" s="47"/>
      <c r="AQ882" s="47"/>
      <c r="AR882" s="47"/>
      <c r="AS882" s="47"/>
      <c r="AT882" s="47"/>
      <c r="AU882" s="47"/>
      <c r="AV882" s="47"/>
      <c r="AW882" s="47"/>
      <c r="AX882" s="47"/>
      <c r="AY882" s="47"/>
    </row>
    <row r="883" spans="1:51" ht="15.75" customHeight="1">
      <c r="A883" s="500"/>
      <c r="B883" s="477"/>
      <c r="C883" s="481"/>
      <c r="D883" s="47"/>
      <c r="E883" s="47"/>
      <c r="F883" s="478"/>
      <c r="G883" s="479"/>
      <c r="H883" s="9"/>
      <c r="I883" s="9"/>
      <c r="J883" s="503"/>
      <c r="K883" s="47"/>
      <c r="L883" s="47"/>
      <c r="M883" s="47"/>
      <c r="N883" s="9"/>
      <c r="O883" s="9"/>
      <c r="P883" s="9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1345"/>
      <c r="AH883" s="47"/>
      <c r="AI883" s="47"/>
      <c r="AJ883" s="47"/>
      <c r="AK883" s="47"/>
      <c r="AL883" s="47"/>
      <c r="AM883" s="47"/>
      <c r="AN883" s="47"/>
      <c r="AO883" s="47"/>
      <c r="AP883" s="47"/>
      <c r="AQ883" s="47"/>
      <c r="AR883" s="47"/>
      <c r="AS883" s="47"/>
      <c r="AT883" s="47"/>
      <c r="AU883" s="47"/>
      <c r="AV883" s="47"/>
      <c r="AW883" s="47"/>
      <c r="AX883" s="47"/>
      <c r="AY883" s="47"/>
    </row>
    <row r="884" spans="1:51" ht="15.75" customHeight="1">
      <c r="A884" s="500"/>
      <c r="B884" s="477"/>
      <c r="C884" s="481"/>
      <c r="D884" s="47"/>
      <c r="E884" s="47"/>
      <c r="F884" s="478"/>
      <c r="G884" s="479"/>
      <c r="H884" s="9"/>
      <c r="I884" s="9"/>
      <c r="J884" s="503"/>
      <c r="K884" s="47"/>
      <c r="L884" s="47"/>
      <c r="M884" s="47"/>
      <c r="N884" s="9"/>
      <c r="O884" s="9"/>
      <c r="P884" s="9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1345"/>
      <c r="AH884" s="47"/>
      <c r="AI884" s="47"/>
      <c r="AJ884" s="47"/>
      <c r="AK884" s="47"/>
      <c r="AL884" s="47"/>
      <c r="AM884" s="47"/>
      <c r="AN884" s="47"/>
      <c r="AO884" s="47"/>
      <c r="AP884" s="47"/>
      <c r="AQ884" s="47"/>
      <c r="AR884" s="47"/>
      <c r="AS884" s="47"/>
      <c r="AT884" s="47"/>
      <c r="AU884" s="47"/>
      <c r="AV884" s="47"/>
      <c r="AW884" s="47"/>
      <c r="AX884" s="47"/>
      <c r="AY884" s="47"/>
    </row>
    <row r="885" spans="1:51" ht="15.75" customHeight="1">
      <c r="A885" s="500"/>
      <c r="B885" s="477"/>
      <c r="C885" s="481"/>
      <c r="D885" s="47"/>
      <c r="E885" s="47"/>
      <c r="F885" s="478"/>
      <c r="G885" s="479"/>
      <c r="H885" s="9"/>
      <c r="I885" s="9"/>
      <c r="J885" s="503"/>
      <c r="K885" s="47"/>
      <c r="L885" s="47"/>
      <c r="M885" s="47"/>
      <c r="N885" s="9"/>
      <c r="O885" s="9"/>
      <c r="P885" s="9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1345"/>
      <c r="AH885" s="47"/>
      <c r="AI885" s="47"/>
      <c r="AJ885" s="47"/>
      <c r="AK885" s="47"/>
      <c r="AL885" s="47"/>
      <c r="AM885" s="47"/>
      <c r="AN885" s="47"/>
      <c r="AO885" s="47"/>
      <c r="AP885" s="47"/>
      <c r="AQ885" s="47"/>
      <c r="AR885" s="47"/>
      <c r="AS885" s="47"/>
      <c r="AT885" s="47"/>
      <c r="AU885" s="47"/>
      <c r="AV885" s="47"/>
      <c r="AW885" s="47"/>
      <c r="AX885" s="47"/>
      <c r="AY885" s="47"/>
    </row>
    <row r="886" spans="1:51" ht="15.75" customHeight="1">
      <c r="A886" s="500"/>
      <c r="B886" s="477"/>
      <c r="C886" s="481"/>
      <c r="D886" s="47"/>
      <c r="E886" s="47"/>
      <c r="F886" s="478"/>
      <c r="G886" s="479"/>
      <c r="H886" s="9"/>
      <c r="I886" s="9"/>
      <c r="J886" s="503"/>
      <c r="K886" s="47"/>
      <c r="L886" s="47"/>
      <c r="M886" s="47"/>
      <c r="N886" s="9"/>
      <c r="O886" s="9"/>
      <c r="P886" s="9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  <c r="AB886" s="47"/>
      <c r="AC886" s="47"/>
      <c r="AD886" s="47"/>
      <c r="AE886" s="47"/>
      <c r="AF886" s="47"/>
      <c r="AG886" s="1345"/>
      <c r="AH886" s="47"/>
      <c r="AI886" s="47"/>
      <c r="AJ886" s="47"/>
      <c r="AK886" s="47"/>
      <c r="AL886" s="47"/>
      <c r="AM886" s="47"/>
      <c r="AN886" s="47"/>
      <c r="AO886" s="47"/>
      <c r="AP886" s="47"/>
      <c r="AQ886" s="47"/>
      <c r="AR886" s="47"/>
      <c r="AS886" s="47"/>
      <c r="AT886" s="47"/>
      <c r="AU886" s="47"/>
      <c r="AV886" s="47"/>
      <c r="AW886" s="47"/>
      <c r="AX886" s="47"/>
      <c r="AY886" s="47"/>
    </row>
    <row r="887" spans="1:51" ht="15.75" customHeight="1">
      <c r="A887" s="500"/>
      <c r="B887" s="477"/>
      <c r="C887" s="481"/>
      <c r="D887" s="47"/>
      <c r="E887" s="47"/>
      <c r="F887" s="478"/>
      <c r="G887" s="479"/>
      <c r="H887" s="9"/>
      <c r="I887" s="9"/>
      <c r="J887" s="503"/>
      <c r="K887" s="47"/>
      <c r="L887" s="47"/>
      <c r="M887" s="47"/>
      <c r="N887" s="9"/>
      <c r="O887" s="9"/>
      <c r="P887" s="9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  <c r="AB887" s="47"/>
      <c r="AC887" s="47"/>
      <c r="AD887" s="47"/>
      <c r="AE887" s="47"/>
      <c r="AF887" s="47"/>
      <c r="AG887" s="1345"/>
      <c r="AH887" s="47"/>
      <c r="AI887" s="47"/>
      <c r="AJ887" s="47"/>
      <c r="AK887" s="47"/>
      <c r="AL887" s="47"/>
      <c r="AM887" s="47"/>
      <c r="AN887" s="47"/>
      <c r="AO887" s="47"/>
      <c r="AP887" s="47"/>
      <c r="AQ887" s="47"/>
      <c r="AR887" s="47"/>
      <c r="AS887" s="47"/>
      <c r="AT887" s="47"/>
      <c r="AU887" s="47"/>
      <c r="AV887" s="47"/>
      <c r="AW887" s="47"/>
      <c r="AX887" s="47"/>
      <c r="AY887" s="47"/>
    </row>
    <row r="888" spans="1:51" ht="15.75" customHeight="1">
      <c r="A888" s="500"/>
      <c r="B888" s="477"/>
      <c r="C888" s="481"/>
      <c r="D888" s="47"/>
      <c r="E888" s="47"/>
      <c r="F888" s="478"/>
      <c r="G888" s="479"/>
      <c r="H888" s="9"/>
      <c r="I888" s="9"/>
      <c r="J888" s="503"/>
      <c r="K888" s="47"/>
      <c r="L888" s="47"/>
      <c r="M888" s="47"/>
      <c r="N888" s="9"/>
      <c r="O888" s="9"/>
      <c r="P888" s="9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  <c r="AB888" s="47"/>
      <c r="AC888" s="47"/>
      <c r="AD888" s="47"/>
      <c r="AE888" s="47"/>
      <c r="AF888" s="47"/>
      <c r="AG888" s="1345"/>
      <c r="AH888" s="47"/>
      <c r="AI888" s="47"/>
      <c r="AJ888" s="47"/>
      <c r="AK888" s="47"/>
      <c r="AL888" s="47"/>
      <c r="AM888" s="47"/>
      <c r="AN888" s="47"/>
      <c r="AO888" s="47"/>
      <c r="AP888" s="47"/>
      <c r="AQ888" s="47"/>
      <c r="AR888" s="47"/>
      <c r="AS888" s="47"/>
      <c r="AT888" s="47"/>
      <c r="AU888" s="47"/>
      <c r="AV888" s="47"/>
      <c r="AW888" s="47"/>
      <c r="AX888" s="47"/>
      <c r="AY888" s="47"/>
    </row>
    <row r="889" spans="1:51" ht="15.75" customHeight="1">
      <c r="A889" s="500"/>
      <c r="B889" s="477"/>
      <c r="C889" s="481"/>
      <c r="D889" s="47"/>
      <c r="E889" s="47"/>
      <c r="F889" s="478"/>
      <c r="G889" s="479"/>
      <c r="H889" s="9"/>
      <c r="I889" s="9"/>
      <c r="J889" s="503"/>
      <c r="K889" s="47"/>
      <c r="L889" s="47"/>
      <c r="M889" s="47"/>
      <c r="N889" s="9"/>
      <c r="O889" s="9"/>
      <c r="P889" s="9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  <c r="AB889" s="47"/>
      <c r="AC889" s="47"/>
      <c r="AD889" s="47"/>
      <c r="AE889" s="47"/>
      <c r="AF889" s="47"/>
      <c r="AG889" s="1345"/>
      <c r="AH889" s="47"/>
      <c r="AI889" s="47"/>
      <c r="AJ889" s="47"/>
      <c r="AK889" s="47"/>
      <c r="AL889" s="47"/>
      <c r="AM889" s="47"/>
      <c r="AN889" s="47"/>
      <c r="AO889" s="47"/>
      <c r="AP889" s="47"/>
      <c r="AQ889" s="47"/>
      <c r="AR889" s="47"/>
      <c r="AS889" s="47"/>
      <c r="AT889" s="47"/>
      <c r="AU889" s="47"/>
      <c r="AV889" s="47"/>
      <c r="AW889" s="47"/>
      <c r="AX889" s="47"/>
      <c r="AY889" s="47"/>
    </row>
    <row r="890" spans="1:51" ht="15.75" customHeight="1">
      <c r="A890" s="500"/>
      <c r="B890" s="477"/>
      <c r="C890" s="481"/>
      <c r="D890" s="47"/>
      <c r="E890" s="47"/>
      <c r="F890" s="478"/>
      <c r="G890" s="479"/>
      <c r="H890" s="9"/>
      <c r="I890" s="9"/>
      <c r="J890" s="503"/>
      <c r="K890" s="47"/>
      <c r="L890" s="47"/>
      <c r="M890" s="47"/>
      <c r="N890" s="9"/>
      <c r="O890" s="9"/>
      <c r="P890" s="9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  <c r="AB890" s="47"/>
      <c r="AC890" s="47"/>
      <c r="AD890" s="47"/>
      <c r="AE890" s="47"/>
      <c r="AF890" s="47"/>
      <c r="AG890" s="1345"/>
      <c r="AH890" s="47"/>
      <c r="AI890" s="47"/>
      <c r="AJ890" s="47"/>
      <c r="AK890" s="47"/>
      <c r="AL890" s="47"/>
      <c r="AM890" s="47"/>
      <c r="AN890" s="47"/>
      <c r="AO890" s="47"/>
      <c r="AP890" s="47"/>
      <c r="AQ890" s="47"/>
      <c r="AR890" s="47"/>
      <c r="AS890" s="47"/>
      <c r="AT890" s="47"/>
      <c r="AU890" s="47"/>
      <c r="AV890" s="47"/>
      <c r="AW890" s="47"/>
      <c r="AX890" s="47"/>
      <c r="AY890" s="47"/>
    </row>
    <row r="891" spans="1:51" ht="15.75" customHeight="1">
      <c r="A891" s="500"/>
      <c r="B891" s="477"/>
      <c r="C891" s="481"/>
      <c r="D891" s="47"/>
      <c r="E891" s="47"/>
      <c r="F891" s="478"/>
      <c r="G891" s="479"/>
      <c r="H891" s="9"/>
      <c r="I891" s="10"/>
      <c r="J891" s="503"/>
      <c r="K891" s="47"/>
      <c r="L891" s="47"/>
      <c r="M891" s="47"/>
      <c r="N891" s="9"/>
      <c r="O891" s="9"/>
      <c r="P891" s="9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  <c r="AB891" s="47"/>
      <c r="AC891" s="47"/>
      <c r="AD891" s="47"/>
      <c r="AE891" s="47"/>
      <c r="AF891" s="47"/>
      <c r="AG891" s="1345"/>
      <c r="AH891" s="47"/>
      <c r="AI891" s="47"/>
      <c r="AJ891" s="47"/>
      <c r="AK891" s="47"/>
      <c r="AL891" s="47"/>
      <c r="AM891" s="47"/>
      <c r="AN891" s="47"/>
      <c r="AO891" s="47"/>
      <c r="AP891" s="47"/>
      <c r="AQ891" s="47"/>
      <c r="AR891" s="47"/>
      <c r="AS891" s="47"/>
      <c r="AT891" s="47"/>
      <c r="AU891" s="47"/>
      <c r="AV891" s="47"/>
      <c r="AW891" s="47"/>
      <c r="AX891" s="47"/>
      <c r="AY891" s="47"/>
    </row>
    <row r="892" spans="1:51" ht="15.75" customHeight="1">
      <c r="A892" s="500"/>
      <c r="B892" s="477"/>
      <c r="C892" s="481"/>
      <c r="D892" s="47"/>
      <c r="E892" s="47"/>
      <c r="F892" s="478"/>
      <c r="G892" s="479"/>
      <c r="H892" s="9"/>
      <c r="I892" s="9"/>
      <c r="J892" s="503"/>
      <c r="K892" s="47"/>
      <c r="L892" s="47"/>
      <c r="M892" s="47"/>
      <c r="N892" s="9"/>
      <c r="O892" s="9"/>
      <c r="P892" s="9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  <c r="AB892" s="47"/>
      <c r="AC892" s="47"/>
      <c r="AD892" s="47"/>
      <c r="AE892" s="47"/>
      <c r="AF892" s="47"/>
      <c r="AG892" s="1345"/>
      <c r="AH892" s="47"/>
      <c r="AI892" s="47"/>
      <c r="AJ892" s="47"/>
      <c r="AK892" s="47"/>
      <c r="AL892" s="47"/>
      <c r="AM892" s="47"/>
      <c r="AN892" s="47"/>
      <c r="AO892" s="47"/>
      <c r="AP892" s="47"/>
      <c r="AQ892" s="47"/>
      <c r="AR892" s="47"/>
      <c r="AS892" s="47"/>
      <c r="AT892" s="47"/>
      <c r="AU892" s="47"/>
      <c r="AV892" s="47"/>
      <c r="AW892" s="47"/>
      <c r="AX892" s="47"/>
      <c r="AY892" s="47"/>
    </row>
    <row r="893" spans="1:51" ht="15.75" customHeight="1">
      <c r="A893" s="500"/>
      <c r="B893" s="477"/>
      <c r="C893" s="481"/>
      <c r="D893" s="47"/>
      <c r="E893" s="47"/>
      <c r="F893" s="478"/>
      <c r="G893" s="479"/>
      <c r="H893" s="9"/>
      <c r="I893" s="10"/>
      <c r="J893" s="503"/>
      <c r="K893" s="47"/>
      <c r="L893" s="47"/>
      <c r="M893" s="47"/>
      <c r="N893" s="9"/>
      <c r="O893" s="9"/>
      <c r="P893" s="9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  <c r="AB893" s="47"/>
      <c r="AC893" s="47"/>
      <c r="AD893" s="47"/>
      <c r="AE893" s="47"/>
      <c r="AF893" s="47"/>
      <c r="AG893" s="1345"/>
      <c r="AH893" s="47"/>
      <c r="AI893" s="47"/>
      <c r="AJ893" s="47"/>
      <c r="AK893" s="47"/>
      <c r="AL893" s="47"/>
      <c r="AM893" s="47"/>
      <c r="AN893" s="47"/>
      <c r="AO893" s="47"/>
      <c r="AP893" s="47"/>
      <c r="AQ893" s="47"/>
      <c r="AR893" s="47"/>
      <c r="AS893" s="47"/>
      <c r="AT893" s="47"/>
      <c r="AU893" s="47"/>
      <c r="AV893" s="47"/>
      <c r="AW893" s="47"/>
      <c r="AX893" s="47"/>
      <c r="AY893" s="47"/>
    </row>
    <row r="894" spans="1:51" ht="15.75" customHeight="1">
      <c r="A894" s="500"/>
      <c r="B894" s="477"/>
      <c r="C894" s="481"/>
      <c r="D894" s="47"/>
      <c r="E894" s="47"/>
      <c r="F894" s="478"/>
      <c r="G894" s="479"/>
      <c r="H894" s="9"/>
      <c r="I894" s="9"/>
      <c r="J894" s="503"/>
      <c r="K894" s="47"/>
      <c r="L894" s="47"/>
      <c r="M894" s="47"/>
      <c r="N894" s="9"/>
      <c r="O894" s="9"/>
      <c r="P894" s="9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  <c r="AB894" s="47"/>
      <c r="AC894" s="47"/>
      <c r="AD894" s="47"/>
      <c r="AE894" s="47"/>
      <c r="AF894" s="47"/>
      <c r="AG894" s="1345"/>
      <c r="AH894" s="47"/>
      <c r="AI894" s="47"/>
      <c r="AJ894" s="47"/>
      <c r="AK894" s="47"/>
      <c r="AL894" s="47"/>
      <c r="AM894" s="47"/>
      <c r="AN894" s="47"/>
      <c r="AO894" s="47"/>
      <c r="AP894" s="47"/>
      <c r="AQ894" s="47"/>
      <c r="AR894" s="47"/>
      <c r="AS894" s="47"/>
      <c r="AT894" s="47"/>
      <c r="AU894" s="47"/>
      <c r="AV894" s="47"/>
      <c r="AW894" s="47"/>
      <c r="AX894" s="47"/>
      <c r="AY894" s="47"/>
    </row>
    <row r="895" spans="1:51" ht="15.75" customHeight="1">
      <c r="A895" s="500"/>
      <c r="B895" s="477"/>
      <c r="C895" s="481"/>
      <c r="D895" s="47"/>
      <c r="E895" s="47"/>
      <c r="F895" s="478"/>
      <c r="G895" s="479"/>
      <c r="H895" s="9"/>
      <c r="I895" s="9"/>
      <c r="J895" s="503"/>
      <c r="K895" s="47"/>
      <c r="L895" s="47"/>
      <c r="M895" s="47"/>
      <c r="N895" s="9"/>
      <c r="O895" s="9"/>
      <c r="P895" s="9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  <c r="AB895" s="47"/>
      <c r="AC895" s="47"/>
      <c r="AD895" s="47"/>
      <c r="AE895" s="47"/>
      <c r="AF895" s="47"/>
      <c r="AG895" s="1345"/>
      <c r="AH895" s="47"/>
      <c r="AI895" s="47"/>
      <c r="AJ895" s="47"/>
      <c r="AK895" s="47"/>
      <c r="AL895" s="47"/>
      <c r="AM895" s="47"/>
      <c r="AN895" s="47"/>
      <c r="AO895" s="47"/>
      <c r="AP895" s="47"/>
      <c r="AQ895" s="47"/>
      <c r="AR895" s="47"/>
      <c r="AS895" s="47"/>
      <c r="AT895" s="47"/>
      <c r="AU895" s="47"/>
      <c r="AV895" s="47"/>
      <c r="AW895" s="47"/>
      <c r="AX895" s="47"/>
      <c r="AY895" s="47"/>
    </row>
    <row r="896" spans="1:51" ht="15.75" customHeight="1">
      <c r="A896" s="500"/>
      <c r="B896" s="477"/>
      <c r="C896" s="481"/>
      <c r="D896" s="47"/>
      <c r="E896" s="47"/>
      <c r="F896" s="478"/>
      <c r="G896" s="479"/>
      <c r="H896" s="9"/>
      <c r="I896" s="10"/>
      <c r="J896" s="503"/>
      <c r="K896" s="47"/>
      <c r="L896" s="47"/>
      <c r="M896" s="47"/>
      <c r="N896" s="9"/>
      <c r="O896" s="9"/>
      <c r="P896" s="9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  <c r="AB896" s="47"/>
      <c r="AC896" s="47"/>
      <c r="AD896" s="47"/>
      <c r="AE896" s="47"/>
      <c r="AF896" s="47"/>
      <c r="AG896" s="1345"/>
      <c r="AH896" s="47"/>
      <c r="AI896" s="47"/>
      <c r="AJ896" s="47"/>
      <c r="AK896" s="47"/>
      <c r="AL896" s="47"/>
      <c r="AM896" s="47"/>
      <c r="AN896" s="47"/>
      <c r="AO896" s="47"/>
      <c r="AP896" s="47"/>
      <c r="AQ896" s="47"/>
      <c r="AR896" s="47"/>
      <c r="AS896" s="47"/>
      <c r="AT896" s="47"/>
      <c r="AU896" s="47"/>
      <c r="AV896" s="47"/>
      <c r="AW896" s="47"/>
      <c r="AX896" s="47"/>
      <c r="AY896" s="47"/>
    </row>
    <row r="897" spans="1:51" ht="15.75" customHeight="1">
      <c r="A897" s="500"/>
      <c r="B897" s="477"/>
      <c r="C897" s="481"/>
      <c r="D897" s="47"/>
      <c r="E897" s="47"/>
      <c r="F897" s="478"/>
      <c r="G897" s="479"/>
      <c r="H897" s="9"/>
      <c r="I897" s="9"/>
      <c r="J897" s="503"/>
      <c r="K897" s="47"/>
      <c r="L897" s="47"/>
      <c r="M897" s="47"/>
      <c r="N897" s="9"/>
      <c r="O897" s="9"/>
      <c r="P897" s="9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  <c r="AB897" s="47"/>
      <c r="AC897" s="47"/>
      <c r="AD897" s="47"/>
      <c r="AE897" s="47"/>
      <c r="AF897" s="47"/>
      <c r="AG897" s="1345"/>
      <c r="AH897" s="47"/>
      <c r="AI897" s="47"/>
      <c r="AJ897" s="47"/>
      <c r="AK897" s="47"/>
      <c r="AL897" s="47"/>
      <c r="AM897" s="47"/>
      <c r="AN897" s="47"/>
      <c r="AO897" s="47"/>
      <c r="AP897" s="47"/>
      <c r="AQ897" s="47"/>
      <c r="AR897" s="47"/>
      <c r="AS897" s="47"/>
      <c r="AT897" s="47"/>
      <c r="AU897" s="47"/>
      <c r="AV897" s="47"/>
      <c r="AW897" s="47"/>
      <c r="AX897" s="47"/>
      <c r="AY897" s="47"/>
    </row>
    <row r="898" spans="1:51" ht="15.75" customHeight="1">
      <c r="A898" s="500"/>
      <c r="B898" s="477"/>
      <c r="C898" s="481"/>
      <c r="D898" s="47"/>
      <c r="E898" s="47"/>
      <c r="F898" s="478"/>
      <c r="G898" s="479"/>
      <c r="H898" s="9"/>
      <c r="I898" s="10"/>
      <c r="J898" s="503"/>
      <c r="K898" s="47"/>
      <c r="L898" s="47"/>
      <c r="M898" s="47"/>
      <c r="N898" s="9"/>
      <c r="O898" s="9"/>
      <c r="P898" s="9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  <c r="AB898" s="47"/>
      <c r="AC898" s="47"/>
      <c r="AD898" s="47"/>
      <c r="AE898" s="47"/>
      <c r="AF898" s="47"/>
      <c r="AG898" s="1345"/>
      <c r="AH898" s="47"/>
      <c r="AI898" s="47"/>
      <c r="AJ898" s="47"/>
      <c r="AK898" s="47"/>
      <c r="AL898" s="47"/>
      <c r="AM898" s="47"/>
      <c r="AN898" s="47"/>
      <c r="AO898" s="47"/>
      <c r="AP898" s="47"/>
      <c r="AQ898" s="47"/>
      <c r="AR898" s="47"/>
      <c r="AS898" s="47"/>
      <c r="AT898" s="47"/>
      <c r="AU898" s="47"/>
      <c r="AV898" s="47"/>
      <c r="AW898" s="47"/>
      <c r="AX898" s="47"/>
      <c r="AY898" s="47"/>
    </row>
    <row r="899" spans="1:51" ht="15.75" customHeight="1">
      <c r="A899" s="500"/>
      <c r="B899" s="477"/>
      <c r="C899" s="481"/>
      <c r="D899" s="47"/>
      <c r="E899" s="47"/>
      <c r="F899" s="478"/>
      <c r="G899" s="479"/>
      <c r="H899" s="9"/>
      <c r="I899" s="9"/>
      <c r="J899" s="503"/>
      <c r="K899" s="47"/>
      <c r="L899" s="47"/>
      <c r="M899" s="47"/>
      <c r="N899" s="9"/>
      <c r="O899" s="9"/>
      <c r="P899" s="9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7"/>
      <c r="AF899" s="47"/>
      <c r="AG899" s="1345"/>
      <c r="AH899" s="47"/>
      <c r="AI899" s="47"/>
      <c r="AJ899" s="47"/>
      <c r="AK899" s="47"/>
      <c r="AL899" s="47"/>
      <c r="AM899" s="47"/>
      <c r="AN899" s="47"/>
      <c r="AO899" s="47"/>
      <c r="AP899" s="47"/>
      <c r="AQ899" s="47"/>
      <c r="AR899" s="47"/>
      <c r="AS899" s="47"/>
      <c r="AT899" s="47"/>
      <c r="AU899" s="47"/>
      <c r="AV899" s="47"/>
      <c r="AW899" s="47"/>
      <c r="AX899" s="47"/>
      <c r="AY899" s="47"/>
    </row>
    <row r="900" spans="1:51" ht="15.75" customHeight="1">
      <c r="A900" s="500"/>
      <c r="B900" s="477"/>
      <c r="C900" s="481"/>
      <c r="D900" s="47"/>
      <c r="E900" s="47"/>
      <c r="F900" s="478"/>
      <c r="G900" s="479"/>
      <c r="H900" s="9"/>
      <c r="I900" s="9"/>
      <c r="J900" s="503"/>
      <c r="K900" s="47"/>
      <c r="L900" s="47"/>
      <c r="M900" s="47"/>
      <c r="N900" s="9"/>
      <c r="O900" s="9"/>
      <c r="P900" s="9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  <c r="AB900" s="47"/>
      <c r="AC900" s="47"/>
      <c r="AD900" s="47"/>
      <c r="AE900" s="47"/>
      <c r="AF900" s="47"/>
      <c r="AG900" s="1345"/>
      <c r="AH900" s="47"/>
      <c r="AI900" s="47"/>
      <c r="AJ900" s="47"/>
      <c r="AK900" s="47"/>
      <c r="AL900" s="47"/>
      <c r="AM900" s="47"/>
      <c r="AN900" s="47"/>
      <c r="AO900" s="47"/>
      <c r="AP900" s="47"/>
      <c r="AQ900" s="47"/>
      <c r="AR900" s="47"/>
      <c r="AS900" s="47"/>
      <c r="AT900" s="47"/>
      <c r="AU900" s="47"/>
      <c r="AV900" s="47"/>
      <c r="AW900" s="47"/>
      <c r="AX900" s="47"/>
      <c r="AY900" s="47"/>
    </row>
    <row r="901" spans="1:51" ht="15.75" customHeight="1">
      <c r="A901" s="500"/>
      <c r="B901" s="477"/>
      <c r="C901" s="481"/>
      <c r="D901" s="47"/>
      <c r="E901" s="47"/>
      <c r="F901" s="478"/>
      <c r="G901" s="479"/>
      <c r="H901" s="9"/>
      <c r="I901" s="9"/>
      <c r="J901" s="503"/>
      <c r="K901" s="47"/>
      <c r="L901" s="47"/>
      <c r="M901" s="47"/>
      <c r="N901" s="9"/>
      <c r="O901" s="9"/>
      <c r="P901" s="9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  <c r="AB901" s="47"/>
      <c r="AC901" s="47"/>
      <c r="AD901" s="47"/>
      <c r="AE901" s="47"/>
      <c r="AF901" s="47"/>
      <c r="AG901" s="1345"/>
      <c r="AH901" s="47"/>
      <c r="AI901" s="47"/>
      <c r="AJ901" s="47"/>
      <c r="AK901" s="47"/>
      <c r="AL901" s="47"/>
      <c r="AM901" s="47"/>
      <c r="AN901" s="47"/>
      <c r="AO901" s="47"/>
      <c r="AP901" s="47"/>
      <c r="AQ901" s="47"/>
      <c r="AR901" s="47"/>
      <c r="AS901" s="47"/>
      <c r="AT901" s="47"/>
      <c r="AU901" s="47"/>
      <c r="AV901" s="47"/>
      <c r="AW901" s="47"/>
      <c r="AX901" s="47"/>
      <c r="AY901" s="47"/>
    </row>
    <row r="902" spans="1:51" ht="15.75" customHeight="1">
      <c r="A902" s="500"/>
      <c r="B902" s="477"/>
      <c r="C902" s="481"/>
      <c r="D902" s="47"/>
      <c r="E902" s="47"/>
      <c r="F902" s="478"/>
      <c r="G902" s="479"/>
      <c r="H902" s="9"/>
      <c r="I902" s="9"/>
      <c r="J902" s="503"/>
      <c r="K902" s="47"/>
      <c r="L902" s="47"/>
      <c r="M902" s="47"/>
      <c r="N902" s="9"/>
      <c r="O902" s="9"/>
      <c r="P902" s="9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  <c r="AB902" s="47"/>
      <c r="AC902" s="47"/>
      <c r="AD902" s="47"/>
      <c r="AE902" s="47"/>
      <c r="AF902" s="47"/>
      <c r="AG902" s="1345"/>
      <c r="AH902" s="47"/>
      <c r="AI902" s="47"/>
      <c r="AJ902" s="47"/>
      <c r="AK902" s="47"/>
      <c r="AL902" s="47"/>
      <c r="AM902" s="47"/>
      <c r="AN902" s="47"/>
      <c r="AO902" s="47"/>
      <c r="AP902" s="47"/>
      <c r="AQ902" s="47"/>
      <c r="AR902" s="47"/>
      <c r="AS902" s="47"/>
      <c r="AT902" s="47"/>
      <c r="AU902" s="47"/>
      <c r="AV902" s="47"/>
      <c r="AW902" s="47"/>
      <c r="AX902" s="47"/>
      <c r="AY902" s="47"/>
    </row>
    <row r="903" spans="1:51" ht="15.75" customHeight="1">
      <c r="A903" s="500"/>
      <c r="B903" s="477"/>
      <c r="C903" s="481"/>
      <c r="D903" s="47"/>
      <c r="E903" s="47"/>
      <c r="F903" s="478"/>
      <c r="G903" s="479"/>
      <c r="H903" s="9"/>
      <c r="I903" s="9"/>
      <c r="J903" s="503"/>
      <c r="K903" s="47"/>
      <c r="L903" s="47"/>
      <c r="M903" s="47"/>
      <c r="N903" s="9"/>
      <c r="O903" s="9"/>
      <c r="P903" s="9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  <c r="AB903" s="47"/>
      <c r="AC903" s="47"/>
      <c r="AD903" s="47"/>
      <c r="AE903" s="47"/>
      <c r="AF903" s="47"/>
      <c r="AG903" s="1345"/>
      <c r="AH903" s="47"/>
      <c r="AI903" s="47"/>
      <c r="AJ903" s="47"/>
      <c r="AK903" s="47"/>
      <c r="AL903" s="47"/>
      <c r="AM903" s="47"/>
      <c r="AN903" s="47"/>
      <c r="AO903" s="47"/>
      <c r="AP903" s="47"/>
      <c r="AQ903" s="47"/>
      <c r="AR903" s="47"/>
      <c r="AS903" s="47"/>
      <c r="AT903" s="47"/>
      <c r="AU903" s="47"/>
      <c r="AV903" s="47"/>
      <c r="AW903" s="47"/>
      <c r="AX903" s="47"/>
      <c r="AY903" s="47"/>
    </row>
    <row r="904" spans="1:51" ht="15.75" customHeight="1">
      <c r="A904" s="500"/>
      <c r="B904" s="477"/>
      <c r="C904" s="481"/>
      <c r="D904" s="47"/>
      <c r="E904" s="47"/>
      <c r="F904" s="478"/>
      <c r="G904" s="479"/>
      <c r="H904" s="9"/>
      <c r="I904" s="9"/>
      <c r="J904" s="503"/>
      <c r="K904" s="47"/>
      <c r="L904" s="47"/>
      <c r="M904" s="47"/>
      <c r="N904" s="9"/>
      <c r="O904" s="9"/>
      <c r="P904" s="9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  <c r="AB904" s="47"/>
      <c r="AC904" s="47"/>
      <c r="AD904" s="47"/>
      <c r="AE904" s="47"/>
      <c r="AF904" s="47"/>
      <c r="AG904" s="1345"/>
      <c r="AH904" s="47"/>
      <c r="AI904" s="47"/>
      <c r="AJ904" s="47"/>
      <c r="AK904" s="47"/>
      <c r="AL904" s="47"/>
      <c r="AM904" s="47"/>
      <c r="AN904" s="47"/>
      <c r="AO904" s="47"/>
      <c r="AP904" s="47"/>
      <c r="AQ904" s="47"/>
      <c r="AR904" s="47"/>
      <c r="AS904" s="47"/>
      <c r="AT904" s="47"/>
      <c r="AU904" s="47"/>
      <c r="AV904" s="47"/>
      <c r="AW904" s="47"/>
      <c r="AX904" s="47"/>
      <c r="AY904" s="47"/>
    </row>
    <row r="905" spans="1:51" ht="15.75" customHeight="1">
      <c r="A905" s="500"/>
      <c r="B905" s="477"/>
      <c r="C905" s="481"/>
      <c r="D905" s="47"/>
      <c r="E905" s="47"/>
      <c r="F905" s="478"/>
      <c r="G905" s="479"/>
      <c r="H905" s="9"/>
      <c r="I905" s="9"/>
      <c r="J905" s="503"/>
      <c r="K905" s="47"/>
      <c r="L905" s="47"/>
      <c r="M905" s="47"/>
      <c r="N905" s="9"/>
      <c r="O905" s="9"/>
      <c r="P905" s="9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  <c r="AB905" s="47"/>
      <c r="AC905" s="47"/>
      <c r="AD905" s="47"/>
      <c r="AE905" s="47"/>
      <c r="AF905" s="47"/>
      <c r="AG905" s="1345"/>
      <c r="AH905" s="47"/>
      <c r="AI905" s="47"/>
      <c r="AJ905" s="47"/>
      <c r="AK905" s="47"/>
      <c r="AL905" s="47"/>
      <c r="AM905" s="47"/>
      <c r="AN905" s="47"/>
      <c r="AO905" s="47"/>
      <c r="AP905" s="47"/>
      <c r="AQ905" s="47"/>
      <c r="AR905" s="47"/>
      <c r="AS905" s="47"/>
      <c r="AT905" s="47"/>
      <c r="AU905" s="47"/>
      <c r="AV905" s="47"/>
      <c r="AW905" s="47"/>
      <c r="AX905" s="47"/>
      <c r="AY905" s="47"/>
    </row>
    <row r="906" spans="1:51" ht="15.75" customHeight="1">
      <c r="A906" s="500"/>
      <c r="B906" s="477"/>
      <c r="C906" s="481"/>
      <c r="D906" s="47"/>
      <c r="E906" s="47"/>
      <c r="F906" s="478"/>
      <c r="G906" s="479"/>
      <c r="H906" s="9"/>
      <c r="I906" s="9"/>
      <c r="J906" s="503"/>
      <c r="K906" s="47"/>
      <c r="L906" s="47"/>
      <c r="M906" s="47"/>
      <c r="N906" s="9"/>
      <c r="O906" s="9"/>
      <c r="P906" s="9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  <c r="AB906" s="47"/>
      <c r="AC906" s="47"/>
      <c r="AD906" s="47"/>
      <c r="AE906" s="47"/>
      <c r="AF906" s="47"/>
      <c r="AG906" s="1345"/>
      <c r="AH906" s="47"/>
      <c r="AI906" s="47"/>
      <c r="AJ906" s="47"/>
      <c r="AK906" s="47"/>
      <c r="AL906" s="47"/>
      <c r="AM906" s="47"/>
      <c r="AN906" s="47"/>
      <c r="AO906" s="47"/>
      <c r="AP906" s="47"/>
      <c r="AQ906" s="47"/>
      <c r="AR906" s="47"/>
      <c r="AS906" s="47"/>
      <c r="AT906" s="47"/>
      <c r="AU906" s="47"/>
      <c r="AV906" s="47"/>
      <c r="AW906" s="47"/>
      <c r="AX906" s="47"/>
      <c r="AY906" s="47"/>
    </row>
    <row r="907" spans="1:51" ht="15.75" customHeight="1">
      <c r="A907" s="500"/>
      <c r="B907" s="477"/>
      <c r="C907" s="481"/>
      <c r="D907" s="47"/>
      <c r="E907" s="47"/>
      <c r="F907" s="478"/>
      <c r="G907" s="479"/>
      <c r="H907" s="9"/>
      <c r="I907" s="9"/>
      <c r="J907" s="503"/>
      <c r="K907" s="47"/>
      <c r="L907" s="47"/>
      <c r="M907" s="47"/>
      <c r="N907" s="9"/>
      <c r="O907" s="9"/>
      <c r="P907" s="9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  <c r="AB907" s="47"/>
      <c r="AC907" s="47"/>
      <c r="AD907" s="47"/>
      <c r="AE907" s="47"/>
      <c r="AF907" s="47"/>
      <c r="AG907" s="1345"/>
      <c r="AH907" s="47"/>
      <c r="AI907" s="47"/>
      <c r="AJ907" s="47"/>
      <c r="AK907" s="47"/>
      <c r="AL907" s="47"/>
      <c r="AM907" s="47"/>
      <c r="AN907" s="47"/>
      <c r="AO907" s="47"/>
      <c r="AP907" s="47"/>
      <c r="AQ907" s="47"/>
      <c r="AR907" s="47"/>
      <c r="AS907" s="47"/>
      <c r="AT907" s="47"/>
      <c r="AU907" s="47"/>
      <c r="AV907" s="47"/>
      <c r="AW907" s="47"/>
      <c r="AX907" s="47"/>
      <c r="AY907" s="47"/>
    </row>
    <row r="908" spans="1:51" ht="15.75" customHeight="1">
      <c r="A908" s="500"/>
      <c r="B908" s="477"/>
      <c r="C908" s="481"/>
      <c r="D908" s="47"/>
      <c r="E908" s="47"/>
      <c r="F908" s="478"/>
      <c r="G908" s="479"/>
      <c r="H908" s="9"/>
      <c r="I908" s="9"/>
      <c r="J908" s="503"/>
      <c r="K908" s="47"/>
      <c r="L908" s="47"/>
      <c r="M908" s="47"/>
      <c r="N908" s="9"/>
      <c r="O908" s="9"/>
      <c r="P908" s="9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  <c r="AB908" s="47"/>
      <c r="AC908" s="47"/>
      <c r="AD908" s="47"/>
      <c r="AE908" s="47"/>
      <c r="AF908" s="47"/>
      <c r="AG908" s="1345"/>
      <c r="AH908" s="47"/>
      <c r="AI908" s="47"/>
      <c r="AJ908" s="47"/>
      <c r="AK908" s="47"/>
      <c r="AL908" s="47"/>
      <c r="AM908" s="47"/>
      <c r="AN908" s="47"/>
      <c r="AO908" s="47"/>
      <c r="AP908" s="47"/>
      <c r="AQ908" s="47"/>
      <c r="AR908" s="47"/>
      <c r="AS908" s="47"/>
      <c r="AT908" s="47"/>
      <c r="AU908" s="47"/>
      <c r="AV908" s="47"/>
      <c r="AW908" s="47"/>
      <c r="AX908" s="47"/>
      <c r="AY908" s="47"/>
    </row>
    <row r="909" spans="1:51" ht="15.75" customHeight="1">
      <c r="A909" s="500"/>
      <c r="B909" s="477"/>
      <c r="C909" s="481"/>
      <c r="D909" s="47"/>
      <c r="E909" s="47"/>
      <c r="F909" s="478"/>
      <c r="G909" s="479"/>
      <c r="H909" s="9"/>
      <c r="I909" s="10"/>
      <c r="J909" s="503"/>
      <c r="K909" s="47"/>
      <c r="L909" s="47"/>
      <c r="M909" s="47"/>
      <c r="N909" s="9"/>
      <c r="O909" s="9"/>
      <c r="P909" s="9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  <c r="AB909" s="47"/>
      <c r="AC909" s="47"/>
      <c r="AD909" s="47"/>
      <c r="AE909" s="47"/>
      <c r="AF909" s="47"/>
      <c r="AG909" s="1345"/>
      <c r="AH909" s="47"/>
      <c r="AI909" s="47"/>
      <c r="AJ909" s="47"/>
      <c r="AK909" s="47"/>
      <c r="AL909" s="47"/>
      <c r="AM909" s="47"/>
      <c r="AN909" s="47"/>
      <c r="AO909" s="47"/>
      <c r="AP909" s="47"/>
      <c r="AQ909" s="47"/>
      <c r="AR909" s="47"/>
      <c r="AS909" s="47"/>
      <c r="AT909" s="47"/>
      <c r="AU909" s="47"/>
      <c r="AV909" s="47"/>
      <c r="AW909" s="47"/>
      <c r="AX909" s="47"/>
      <c r="AY909" s="47"/>
    </row>
    <row r="910" spans="1:51" ht="15.75" customHeight="1">
      <c r="A910" s="500"/>
      <c r="B910" s="477"/>
      <c r="C910" s="481"/>
      <c r="D910" s="47"/>
      <c r="E910" s="47"/>
      <c r="F910" s="478"/>
      <c r="G910" s="479"/>
      <c r="H910" s="9"/>
      <c r="I910" s="9"/>
      <c r="J910" s="503"/>
      <c r="K910" s="47"/>
      <c r="L910" s="47"/>
      <c r="M910" s="47"/>
      <c r="N910" s="9"/>
      <c r="O910" s="9"/>
      <c r="P910" s="9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  <c r="AB910" s="47"/>
      <c r="AC910" s="47"/>
      <c r="AD910" s="47"/>
      <c r="AE910" s="47"/>
      <c r="AF910" s="47"/>
      <c r="AG910" s="1345"/>
      <c r="AH910" s="47"/>
      <c r="AI910" s="47"/>
      <c r="AJ910" s="47"/>
      <c r="AK910" s="47"/>
      <c r="AL910" s="47"/>
      <c r="AM910" s="47"/>
      <c r="AN910" s="47"/>
      <c r="AO910" s="47"/>
      <c r="AP910" s="47"/>
      <c r="AQ910" s="47"/>
      <c r="AR910" s="47"/>
      <c r="AS910" s="47"/>
      <c r="AT910" s="47"/>
      <c r="AU910" s="47"/>
      <c r="AV910" s="47"/>
      <c r="AW910" s="47"/>
      <c r="AX910" s="47"/>
      <c r="AY910" s="47"/>
    </row>
    <row r="911" spans="1:51" ht="15.75" customHeight="1">
      <c r="A911" s="500"/>
      <c r="B911" s="477"/>
      <c r="C911" s="481"/>
      <c r="D911" s="47"/>
      <c r="E911" s="47"/>
      <c r="F911" s="478"/>
      <c r="G911" s="479"/>
      <c r="H911" s="9"/>
      <c r="I911" s="9"/>
      <c r="J911" s="503"/>
      <c r="K911" s="47"/>
      <c r="L911" s="47"/>
      <c r="M911" s="47"/>
      <c r="N911" s="9"/>
      <c r="O911" s="9"/>
      <c r="P911" s="9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  <c r="AB911" s="47"/>
      <c r="AC911" s="47"/>
      <c r="AD911" s="47"/>
      <c r="AE911" s="47"/>
      <c r="AF911" s="47"/>
      <c r="AG911" s="1345"/>
      <c r="AH911" s="47"/>
      <c r="AI911" s="47"/>
      <c r="AJ911" s="47"/>
      <c r="AK911" s="47"/>
      <c r="AL911" s="47"/>
      <c r="AM911" s="47"/>
      <c r="AN911" s="47"/>
      <c r="AO911" s="47"/>
      <c r="AP911" s="47"/>
      <c r="AQ911" s="47"/>
      <c r="AR911" s="47"/>
      <c r="AS911" s="47"/>
      <c r="AT911" s="47"/>
      <c r="AU911" s="47"/>
      <c r="AV911" s="47"/>
      <c r="AW911" s="47"/>
      <c r="AX911" s="47"/>
      <c r="AY911" s="47"/>
    </row>
    <row r="912" spans="1:51" ht="15.75" customHeight="1">
      <c r="A912" s="500"/>
      <c r="B912" s="477"/>
      <c r="C912" s="481"/>
      <c r="D912" s="47"/>
      <c r="E912" s="47"/>
      <c r="F912" s="478"/>
      <c r="G912" s="479"/>
      <c r="H912" s="9"/>
      <c r="I912" s="9"/>
      <c r="J912" s="503"/>
      <c r="K912" s="47"/>
      <c r="L912" s="47"/>
      <c r="M912" s="47"/>
      <c r="N912" s="9"/>
      <c r="O912" s="9"/>
      <c r="P912" s="9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  <c r="AB912" s="47"/>
      <c r="AC912" s="47"/>
      <c r="AD912" s="47"/>
      <c r="AE912" s="47"/>
      <c r="AF912" s="47"/>
      <c r="AG912" s="1345"/>
      <c r="AH912" s="47"/>
      <c r="AI912" s="47"/>
      <c r="AJ912" s="47"/>
      <c r="AK912" s="47"/>
      <c r="AL912" s="47"/>
      <c r="AM912" s="47"/>
      <c r="AN912" s="47"/>
      <c r="AO912" s="47"/>
      <c r="AP912" s="47"/>
      <c r="AQ912" s="47"/>
      <c r="AR912" s="47"/>
      <c r="AS912" s="47"/>
      <c r="AT912" s="47"/>
      <c r="AU912" s="47"/>
      <c r="AV912" s="47"/>
      <c r="AW912" s="47"/>
      <c r="AX912" s="47"/>
      <c r="AY912" s="47"/>
    </row>
    <row r="913" spans="1:51" ht="15.75" customHeight="1">
      <c r="A913" s="500"/>
      <c r="B913" s="477"/>
      <c r="C913" s="481"/>
      <c r="D913" s="47"/>
      <c r="E913" s="47"/>
      <c r="F913" s="478"/>
      <c r="G913" s="479"/>
      <c r="H913" s="9"/>
      <c r="I913" s="9"/>
      <c r="J913" s="503"/>
      <c r="K913" s="47"/>
      <c r="L913" s="47"/>
      <c r="M913" s="47"/>
      <c r="N913" s="9"/>
      <c r="O913" s="9"/>
      <c r="P913" s="9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  <c r="AB913" s="47"/>
      <c r="AC913" s="47"/>
      <c r="AD913" s="47"/>
      <c r="AE913" s="47"/>
      <c r="AF913" s="47"/>
      <c r="AG913" s="1345"/>
      <c r="AH913" s="47"/>
      <c r="AI913" s="47"/>
      <c r="AJ913" s="47"/>
      <c r="AK913" s="47"/>
      <c r="AL913" s="47"/>
      <c r="AM913" s="47"/>
      <c r="AN913" s="47"/>
      <c r="AO913" s="47"/>
      <c r="AP913" s="47"/>
      <c r="AQ913" s="47"/>
      <c r="AR913" s="47"/>
      <c r="AS913" s="47"/>
      <c r="AT913" s="47"/>
      <c r="AU913" s="47"/>
      <c r="AV913" s="47"/>
      <c r="AW913" s="47"/>
      <c r="AX913" s="47"/>
      <c r="AY913" s="47"/>
    </row>
    <row r="914" spans="1:51" ht="15.75" customHeight="1">
      <c r="A914" s="500"/>
      <c r="B914" s="477"/>
      <c r="C914" s="481"/>
      <c r="D914" s="47"/>
      <c r="E914" s="47"/>
      <c r="F914" s="478"/>
      <c r="G914" s="479"/>
      <c r="H914" s="9"/>
      <c r="I914" s="9"/>
      <c r="J914" s="503"/>
      <c r="K914" s="47"/>
      <c r="L914" s="47"/>
      <c r="M914" s="47"/>
      <c r="N914" s="9"/>
      <c r="O914" s="9"/>
      <c r="P914" s="9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  <c r="AB914" s="47"/>
      <c r="AC914" s="47"/>
      <c r="AD914" s="47"/>
      <c r="AE914" s="47"/>
      <c r="AF914" s="47"/>
      <c r="AG914" s="1345"/>
      <c r="AH914" s="47"/>
      <c r="AI914" s="47"/>
      <c r="AJ914" s="47"/>
      <c r="AK914" s="47"/>
      <c r="AL914" s="47"/>
      <c r="AM914" s="47"/>
      <c r="AN914" s="47"/>
      <c r="AO914" s="47"/>
      <c r="AP914" s="47"/>
      <c r="AQ914" s="47"/>
      <c r="AR914" s="47"/>
      <c r="AS914" s="47"/>
      <c r="AT914" s="47"/>
      <c r="AU914" s="47"/>
      <c r="AV914" s="47"/>
      <c r="AW914" s="47"/>
      <c r="AX914" s="47"/>
      <c r="AY914" s="47"/>
    </row>
    <row r="915" spans="1:51" ht="15.75" customHeight="1">
      <c r="A915" s="500"/>
      <c r="B915" s="477"/>
      <c r="C915" s="481"/>
      <c r="D915" s="47"/>
      <c r="E915" s="47"/>
      <c r="F915" s="478"/>
      <c r="G915" s="479"/>
      <c r="H915" s="9"/>
      <c r="I915" s="9"/>
      <c r="J915" s="503"/>
      <c r="K915" s="47"/>
      <c r="L915" s="47"/>
      <c r="M915" s="47"/>
      <c r="N915" s="9"/>
      <c r="O915" s="9"/>
      <c r="P915" s="9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  <c r="AB915" s="47"/>
      <c r="AC915" s="47"/>
      <c r="AD915" s="47"/>
      <c r="AE915" s="47"/>
      <c r="AF915" s="47"/>
      <c r="AG915" s="1345"/>
      <c r="AH915" s="47"/>
      <c r="AI915" s="47"/>
      <c r="AJ915" s="47"/>
      <c r="AK915" s="47"/>
      <c r="AL915" s="47"/>
      <c r="AM915" s="47"/>
      <c r="AN915" s="47"/>
      <c r="AO915" s="47"/>
      <c r="AP915" s="47"/>
      <c r="AQ915" s="47"/>
      <c r="AR915" s="47"/>
      <c r="AS915" s="47"/>
      <c r="AT915" s="47"/>
      <c r="AU915" s="47"/>
      <c r="AV915" s="47"/>
      <c r="AW915" s="47"/>
      <c r="AX915" s="47"/>
      <c r="AY915" s="47"/>
    </row>
    <row r="916" spans="1:51" ht="15.75" customHeight="1">
      <c r="A916" s="500"/>
      <c r="B916" s="477"/>
      <c r="C916" s="481"/>
      <c r="D916" s="47"/>
      <c r="E916" s="47"/>
      <c r="F916" s="478"/>
      <c r="G916" s="479"/>
      <c r="H916" s="9"/>
      <c r="I916" s="9"/>
      <c r="J916" s="503"/>
      <c r="K916" s="47"/>
      <c r="L916" s="47"/>
      <c r="M916" s="47"/>
      <c r="N916" s="9"/>
      <c r="O916" s="9"/>
      <c r="P916" s="9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  <c r="AB916" s="47"/>
      <c r="AC916" s="47"/>
      <c r="AD916" s="47"/>
      <c r="AE916" s="47"/>
      <c r="AF916" s="47"/>
      <c r="AG916" s="1345"/>
      <c r="AH916" s="47"/>
      <c r="AI916" s="47"/>
      <c r="AJ916" s="47"/>
      <c r="AK916" s="47"/>
      <c r="AL916" s="47"/>
      <c r="AM916" s="47"/>
      <c r="AN916" s="47"/>
      <c r="AO916" s="47"/>
      <c r="AP916" s="47"/>
      <c r="AQ916" s="47"/>
      <c r="AR916" s="47"/>
      <c r="AS916" s="47"/>
      <c r="AT916" s="47"/>
      <c r="AU916" s="47"/>
      <c r="AV916" s="47"/>
      <c r="AW916" s="47"/>
      <c r="AX916" s="47"/>
      <c r="AY916" s="47"/>
    </row>
    <row r="917" spans="1:51" ht="15.75" customHeight="1">
      <c r="A917" s="500"/>
      <c r="B917" s="477"/>
      <c r="C917" s="481"/>
      <c r="D917" s="47"/>
      <c r="E917" s="47"/>
      <c r="F917" s="478"/>
      <c r="G917" s="479"/>
      <c r="H917" s="9"/>
      <c r="I917" s="9"/>
      <c r="J917" s="503"/>
      <c r="K917" s="47"/>
      <c r="L917" s="47"/>
      <c r="M917" s="47"/>
      <c r="N917" s="9"/>
      <c r="O917" s="9"/>
      <c r="P917" s="9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  <c r="AB917" s="47"/>
      <c r="AC917" s="47"/>
      <c r="AD917" s="47"/>
      <c r="AE917" s="47"/>
      <c r="AF917" s="47"/>
      <c r="AG917" s="1345"/>
      <c r="AH917" s="47"/>
      <c r="AI917" s="47"/>
      <c r="AJ917" s="47"/>
      <c r="AK917" s="47"/>
      <c r="AL917" s="47"/>
      <c r="AM917" s="47"/>
      <c r="AN917" s="47"/>
      <c r="AO917" s="47"/>
      <c r="AP917" s="47"/>
      <c r="AQ917" s="47"/>
      <c r="AR917" s="47"/>
      <c r="AS917" s="47"/>
      <c r="AT917" s="47"/>
      <c r="AU917" s="47"/>
      <c r="AV917" s="47"/>
      <c r="AW917" s="47"/>
      <c r="AX917" s="47"/>
      <c r="AY917" s="47"/>
    </row>
    <row r="918" spans="1:51" ht="15.75" customHeight="1">
      <c r="A918" s="500"/>
      <c r="B918" s="477"/>
      <c r="C918" s="481"/>
      <c r="D918" s="47"/>
      <c r="E918" s="47"/>
      <c r="F918" s="478"/>
      <c r="G918" s="479"/>
      <c r="H918" s="9"/>
      <c r="I918" s="9"/>
      <c r="J918" s="503"/>
      <c r="K918" s="47"/>
      <c r="L918" s="47"/>
      <c r="M918" s="47"/>
      <c r="N918" s="9"/>
      <c r="O918" s="9"/>
      <c r="P918" s="9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  <c r="AB918" s="47"/>
      <c r="AC918" s="47"/>
      <c r="AD918" s="47"/>
      <c r="AE918" s="47"/>
      <c r="AF918" s="47"/>
      <c r="AG918" s="1345"/>
      <c r="AH918" s="47"/>
      <c r="AI918" s="47"/>
      <c r="AJ918" s="47"/>
      <c r="AK918" s="47"/>
      <c r="AL918" s="47"/>
      <c r="AM918" s="47"/>
      <c r="AN918" s="47"/>
      <c r="AO918" s="47"/>
      <c r="AP918" s="47"/>
      <c r="AQ918" s="47"/>
      <c r="AR918" s="47"/>
      <c r="AS918" s="47"/>
      <c r="AT918" s="47"/>
      <c r="AU918" s="47"/>
      <c r="AV918" s="47"/>
      <c r="AW918" s="47"/>
      <c r="AX918" s="47"/>
      <c r="AY918" s="47"/>
    </row>
    <row r="919" spans="1:51" ht="15.75" customHeight="1">
      <c r="A919" s="500"/>
      <c r="B919" s="477"/>
      <c r="C919" s="481"/>
      <c r="D919" s="47"/>
      <c r="E919" s="47"/>
      <c r="F919" s="478"/>
      <c r="G919" s="479"/>
      <c r="H919" s="9"/>
      <c r="I919" s="9"/>
      <c r="J919" s="503"/>
      <c r="K919" s="47"/>
      <c r="L919" s="47"/>
      <c r="M919" s="47"/>
      <c r="N919" s="9"/>
      <c r="O919" s="9"/>
      <c r="P919" s="9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  <c r="AB919" s="47"/>
      <c r="AC919" s="47"/>
      <c r="AD919" s="47"/>
      <c r="AE919" s="47"/>
      <c r="AF919" s="47"/>
      <c r="AG919" s="1345"/>
      <c r="AH919" s="47"/>
      <c r="AI919" s="47"/>
      <c r="AJ919" s="47"/>
      <c r="AK919" s="47"/>
      <c r="AL919" s="47"/>
      <c r="AM919" s="47"/>
      <c r="AN919" s="47"/>
      <c r="AO919" s="47"/>
      <c r="AP919" s="47"/>
      <c r="AQ919" s="47"/>
      <c r="AR919" s="47"/>
      <c r="AS919" s="47"/>
      <c r="AT919" s="47"/>
      <c r="AU919" s="47"/>
      <c r="AV919" s="47"/>
      <c r="AW919" s="47"/>
      <c r="AX919" s="47"/>
      <c r="AY919" s="47"/>
    </row>
    <row r="920" spans="1:51" ht="15.75" customHeight="1">
      <c r="A920" s="500"/>
      <c r="B920" s="477"/>
      <c r="C920" s="481"/>
      <c r="D920" s="47"/>
      <c r="E920" s="47"/>
      <c r="F920" s="478"/>
      <c r="G920" s="479"/>
      <c r="H920" s="9"/>
      <c r="I920" s="9"/>
      <c r="J920" s="503"/>
      <c r="K920" s="47"/>
      <c r="L920" s="47"/>
      <c r="M920" s="47"/>
      <c r="N920" s="9"/>
      <c r="O920" s="9"/>
      <c r="P920" s="9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1345"/>
      <c r="AH920" s="47"/>
      <c r="AI920" s="47"/>
      <c r="AJ920" s="47"/>
      <c r="AK920" s="47"/>
      <c r="AL920" s="47"/>
      <c r="AM920" s="47"/>
      <c r="AN920" s="47"/>
      <c r="AO920" s="47"/>
      <c r="AP920" s="47"/>
      <c r="AQ920" s="47"/>
      <c r="AR920" s="47"/>
      <c r="AS920" s="47"/>
      <c r="AT920" s="47"/>
      <c r="AU920" s="47"/>
      <c r="AV920" s="47"/>
      <c r="AW920" s="47"/>
      <c r="AX920" s="47"/>
      <c r="AY920" s="47"/>
    </row>
    <row r="921" spans="1:51" ht="15.75" customHeight="1">
      <c r="A921" s="500"/>
      <c r="B921" s="477"/>
      <c r="C921" s="481"/>
      <c r="D921" s="47"/>
      <c r="E921" s="47"/>
      <c r="F921" s="478"/>
      <c r="G921" s="479"/>
      <c r="H921" s="9"/>
      <c r="I921" s="10"/>
      <c r="J921" s="503"/>
      <c r="K921" s="47"/>
      <c r="L921" s="47"/>
      <c r="M921" s="47"/>
      <c r="N921" s="9"/>
      <c r="O921" s="9"/>
      <c r="P921" s="9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1345"/>
      <c r="AH921" s="47"/>
      <c r="AI921" s="47"/>
      <c r="AJ921" s="47"/>
      <c r="AK921" s="47"/>
      <c r="AL921" s="47"/>
      <c r="AM921" s="47"/>
      <c r="AN921" s="47"/>
      <c r="AO921" s="47"/>
      <c r="AP921" s="47"/>
      <c r="AQ921" s="47"/>
      <c r="AR921" s="47"/>
      <c r="AS921" s="47"/>
      <c r="AT921" s="47"/>
      <c r="AU921" s="47"/>
      <c r="AV921" s="47"/>
      <c r="AW921" s="47"/>
      <c r="AX921" s="47"/>
      <c r="AY921" s="47"/>
    </row>
    <row r="922" spans="1:51" ht="15.75" customHeight="1">
      <c r="A922" s="500"/>
      <c r="B922" s="477"/>
      <c r="C922" s="481"/>
      <c r="D922" s="47"/>
      <c r="E922" s="47"/>
      <c r="F922" s="478"/>
      <c r="G922" s="479"/>
      <c r="H922" s="9"/>
      <c r="I922" s="9"/>
      <c r="J922" s="503"/>
      <c r="K922" s="47"/>
      <c r="L922" s="47"/>
      <c r="M922" s="47"/>
      <c r="N922" s="9"/>
      <c r="O922" s="9"/>
      <c r="P922" s="9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1345"/>
      <c r="AH922" s="47"/>
      <c r="AI922" s="47"/>
      <c r="AJ922" s="47"/>
      <c r="AK922" s="47"/>
      <c r="AL922" s="47"/>
      <c r="AM922" s="47"/>
      <c r="AN922" s="47"/>
      <c r="AO922" s="47"/>
      <c r="AP922" s="47"/>
      <c r="AQ922" s="47"/>
      <c r="AR922" s="47"/>
      <c r="AS922" s="47"/>
      <c r="AT922" s="47"/>
      <c r="AU922" s="47"/>
      <c r="AV922" s="47"/>
      <c r="AW922" s="47"/>
      <c r="AX922" s="47"/>
      <c r="AY922" s="47"/>
    </row>
    <row r="923" spans="1:51" ht="15.75" customHeight="1">
      <c r="A923" s="500"/>
      <c r="B923" s="477"/>
      <c r="C923" s="481"/>
      <c r="D923" s="47"/>
      <c r="E923" s="47"/>
      <c r="F923" s="478"/>
      <c r="G923" s="479"/>
      <c r="H923" s="9"/>
      <c r="I923" s="10"/>
      <c r="J923" s="503"/>
      <c r="K923" s="47"/>
      <c r="L923" s="47"/>
      <c r="M923" s="47"/>
      <c r="N923" s="9"/>
      <c r="O923" s="9"/>
      <c r="P923" s="9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1345"/>
      <c r="AH923" s="47"/>
      <c r="AI923" s="47"/>
      <c r="AJ923" s="47"/>
      <c r="AK923" s="47"/>
      <c r="AL923" s="47"/>
      <c r="AM923" s="47"/>
      <c r="AN923" s="47"/>
      <c r="AO923" s="47"/>
      <c r="AP923" s="47"/>
      <c r="AQ923" s="47"/>
      <c r="AR923" s="47"/>
      <c r="AS923" s="47"/>
      <c r="AT923" s="47"/>
      <c r="AU923" s="47"/>
      <c r="AV923" s="47"/>
      <c r="AW923" s="47"/>
      <c r="AX923" s="47"/>
      <c r="AY923" s="47"/>
    </row>
    <row r="924" spans="1:51" ht="15.75" customHeight="1">
      <c r="A924" s="500"/>
      <c r="B924" s="477"/>
      <c r="C924" s="481"/>
      <c r="D924" s="47"/>
      <c r="E924" s="47"/>
      <c r="F924" s="478"/>
      <c r="G924" s="479"/>
      <c r="H924" s="9"/>
      <c r="I924" s="9"/>
      <c r="J924" s="503"/>
      <c r="K924" s="47"/>
      <c r="L924" s="47"/>
      <c r="M924" s="47"/>
      <c r="N924" s="9"/>
      <c r="O924" s="9"/>
      <c r="P924" s="9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1345"/>
      <c r="AH924" s="47"/>
      <c r="AI924" s="47"/>
      <c r="AJ924" s="47"/>
      <c r="AK924" s="47"/>
      <c r="AL924" s="47"/>
      <c r="AM924" s="47"/>
      <c r="AN924" s="47"/>
      <c r="AO924" s="47"/>
      <c r="AP924" s="47"/>
      <c r="AQ924" s="47"/>
      <c r="AR924" s="47"/>
      <c r="AS924" s="47"/>
      <c r="AT924" s="47"/>
      <c r="AU924" s="47"/>
      <c r="AV924" s="47"/>
      <c r="AW924" s="47"/>
      <c r="AX924" s="47"/>
      <c r="AY924" s="47"/>
    </row>
    <row r="925" spans="1:51" ht="15.75" customHeight="1">
      <c r="A925" s="500"/>
      <c r="B925" s="477"/>
      <c r="C925" s="481"/>
      <c r="D925" s="47"/>
      <c r="E925" s="47"/>
      <c r="F925" s="478"/>
      <c r="G925" s="479"/>
      <c r="H925" s="9"/>
      <c r="I925" s="9"/>
      <c r="J925" s="503"/>
      <c r="K925" s="47"/>
      <c r="L925" s="47"/>
      <c r="M925" s="47"/>
      <c r="N925" s="9"/>
      <c r="O925" s="9"/>
      <c r="P925" s="9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  <c r="AB925" s="47"/>
      <c r="AC925" s="47"/>
      <c r="AD925" s="47"/>
      <c r="AE925" s="47"/>
      <c r="AF925" s="47"/>
      <c r="AG925" s="1345"/>
      <c r="AH925" s="47"/>
      <c r="AI925" s="47"/>
      <c r="AJ925" s="47"/>
      <c r="AK925" s="47"/>
      <c r="AL925" s="47"/>
      <c r="AM925" s="47"/>
      <c r="AN925" s="47"/>
      <c r="AO925" s="47"/>
      <c r="AP925" s="47"/>
      <c r="AQ925" s="47"/>
      <c r="AR925" s="47"/>
      <c r="AS925" s="47"/>
      <c r="AT925" s="47"/>
      <c r="AU925" s="47"/>
      <c r="AV925" s="47"/>
      <c r="AW925" s="47"/>
      <c r="AX925" s="47"/>
      <c r="AY925" s="47"/>
    </row>
    <row r="926" spans="1:51" ht="15.75" customHeight="1">
      <c r="A926" s="500"/>
      <c r="B926" s="477"/>
      <c r="C926" s="481"/>
      <c r="D926" s="47"/>
      <c r="E926" s="47"/>
      <c r="F926" s="478"/>
      <c r="G926" s="479"/>
      <c r="H926" s="9"/>
      <c r="I926" s="10"/>
      <c r="J926" s="503"/>
      <c r="K926" s="47"/>
      <c r="L926" s="47"/>
      <c r="M926" s="47"/>
      <c r="N926" s="9"/>
      <c r="O926" s="9"/>
      <c r="P926" s="9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  <c r="AB926" s="47"/>
      <c r="AC926" s="47"/>
      <c r="AD926" s="47"/>
      <c r="AE926" s="47"/>
      <c r="AF926" s="47"/>
      <c r="AG926" s="1345"/>
      <c r="AH926" s="47"/>
      <c r="AI926" s="47"/>
      <c r="AJ926" s="47"/>
      <c r="AK926" s="47"/>
      <c r="AL926" s="47"/>
      <c r="AM926" s="47"/>
      <c r="AN926" s="47"/>
      <c r="AO926" s="47"/>
      <c r="AP926" s="47"/>
      <c r="AQ926" s="47"/>
      <c r="AR926" s="47"/>
      <c r="AS926" s="47"/>
      <c r="AT926" s="47"/>
      <c r="AU926" s="47"/>
      <c r="AV926" s="47"/>
      <c r="AW926" s="47"/>
      <c r="AX926" s="47"/>
      <c r="AY926" s="47"/>
    </row>
    <row r="927" spans="1:51" ht="15.75" customHeight="1">
      <c r="A927" s="500"/>
      <c r="B927" s="477"/>
      <c r="C927" s="481"/>
      <c r="D927" s="47"/>
      <c r="E927" s="47"/>
      <c r="F927" s="478"/>
      <c r="G927" s="479"/>
      <c r="H927" s="9"/>
      <c r="I927" s="9"/>
      <c r="J927" s="503"/>
      <c r="K927" s="47"/>
      <c r="L927" s="47"/>
      <c r="M927" s="47"/>
      <c r="N927" s="9"/>
      <c r="O927" s="9"/>
      <c r="P927" s="9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  <c r="AB927" s="47"/>
      <c r="AC927" s="47"/>
      <c r="AD927" s="47"/>
      <c r="AE927" s="47"/>
      <c r="AF927" s="47"/>
      <c r="AG927" s="1345"/>
      <c r="AH927" s="47"/>
      <c r="AI927" s="47"/>
      <c r="AJ927" s="47"/>
      <c r="AK927" s="47"/>
      <c r="AL927" s="47"/>
      <c r="AM927" s="47"/>
      <c r="AN927" s="47"/>
      <c r="AO927" s="47"/>
      <c r="AP927" s="47"/>
      <c r="AQ927" s="47"/>
      <c r="AR927" s="47"/>
      <c r="AS927" s="47"/>
      <c r="AT927" s="47"/>
      <c r="AU927" s="47"/>
      <c r="AV927" s="47"/>
      <c r="AW927" s="47"/>
      <c r="AX927" s="47"/>
      <c r="AY927" s="47"/>
    </row>
    <row r="928" spans="1:51" ht="15.75" customHeight="1">
      <c r="A928" s="500"/>
      <c r="B928" s="477"/>
      <c r="C928" s="481"/>
      <c r="D928" s="47"/>
      <c r="E928" s="47"/>
      <c r="F928" s="478"/>
      <c r="G928" s="479"/>
      <c r="H928" s="9"/>
      <c r="I928" s="10"/>
      <c r="J928" s="503"/>
      <c r="K928" s="47"/>
      <c r="L928" s="47"/>
      <c r="M928" s="47"/>
      <c r="N928" s="9"/>
      <c r="O928" s="9"/>
      <c r="P928" s="9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  <c r="AB928" s="47"/>
      <c r="AC928" s="47"/>
      <c r="AD928" s="47"/>
      <c r="AE928" s="47"/>
      <c r="AF928" s="47"/>
      <c r="AG928" s="1345"/>
      <c r="AH928" s="47"/>
      <c r="AI928" s="47"/>
      <c r="AJ928" s="47"/>
      <c r="AK928" s="47"/>
      <c r="AL928" s="47"/>
      <c r="AM928" s="47"/>
      <c r="AN928" s="47"/>
      <c r="AO928" s="47"/>
      <c r="AP928" s="47"/>
      <c r="AQ928" s="47"/>
      <c r="AR928" s="47"/>
      <c r="AS928" s="47"/>
      <c r="AT928" s="47"/>
      <c r="AU928" s="47"/>
      <c r="AV928" s="47"/>
      <c r="AW928" s="47"/>
      <c r="AX928" s="47"/>
      <c r="AY928" s="47"/>
    </row>
    <row r="929" spans="1:51" ht="15.75" customHeight="1">
      <c r="A929" s="500"/>
      <c r="B929" s="477"/>
      <c r="C929" s="481"/>
      <c r="D929" s="47"/>
      <c r="E929" s="47"/>
      <c r="F929" s="478"/>
      <c r="G929" s="479"/>
      <c r="H929" s="9"/>
      <c r="I929" s="9"/>
      <c r="J929" s="503"/>
      <c r="K929" s="47"/>
      <c r="L929" s="47"/>
      <c r="M929" s="47"/>
      <c r="N929" s="9"/>
      <c r="O929" s="9"/>
      <c r="P929" s="9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  <c r="AB929" s="47"/>
      <c r="AC929" s="47"/>
      <c r="AD929" s="47"/>
      <c r="AE929" s="47"/>
      <c r="AF929" s="47"/>
      <c r="AG929" s="1345"/>
      <c r="AH929" s="47"/>
      <c r="AI929" s="47"/>
      <c r="AJ929" s="47"/>
      <c r="AK929" s="47"/>
      <c r="AL929" s="47"/>
      <c r="AM929" s="47"/>
      <c r="AN929" s="47"/>
      <c r="AO929" s="47"/>
      <c r="AP929" s="47"/>
      <c r="AQ929" s="47"/>
      <c r="AR929" s="47"/>
      <c r="AS929" s="47"/>
      <c r="AT929" s="47"/>
      <c r="AU929" s="47"/>
      <c r="AV929" s="47"/>
      <c r="AW929" s="47"/>
      <c r="AX929" s="47"/>
      <c r="AY929" s="47"/>
    </row>
    <row r="930" spans="1:51" ht="15.75" customHeight="1">
      <c r="A930" s="500"/>
      <c r="B930" s="477"/>
      <c r="C930" s="481"/>
      <c r="D930" s="47"/>
      <c r="E930" s="47"/>
      <c r="F930" s="478"/>
      <c r="G930" s="479"/>
      <c r="H930" s="9"/>
      <c r="I930" s="10"/>
      <c r="J930" s="503"/>
      <c r="K930" s="47"/>
      <c r="L930" s="47"/>
      <c r="M930" s="47"/>
      <c r="N930" s="9"/>
      <c r="O930" s="9"/>
      <c r="P930" s="9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7"/>
      <c r="AF930" s="47"/>
      <c r="AG930" s="1345"/>
      <c r="AH930" s="47"/>
      <c r="AI930" s="47"/>
      <c r="AJ930" s="47"/>
      <c r="AK930" s="47"/>
      <c r="AL930" s="47"/>
      <c r="AM930" s="47"/>
      <c r="AN930" s="47"/>
      <c r="AO930" s="47"/>
      <c r="AP930" s="47"/>
      <c r="AQ930" s="47"/>
      <c r="AR930" s="47"/>
      <c r="AS930" s="47"/>
      <c r="AT930" s="47"/>
      <c r="AU930" s="47"/>
      <c r="AV930" s="47"/>
      <c r="AW930" s="47"/>
      <c r="AX930" s="47"/>
      <c r="AY930" s="47"/>
    </row>
    <row r="931" spans="1:51" ht="15.75" customHeight="1">
      <c r="A931" s="500"/>
      <c r="B931" s="477"/>
      <c r="C931" s="481"/>
      <c r="D931" s="47"/>
      <c r="E931" s="47"/>
      <c r="F931" s="478"/>
      <c r="G931" s="479"/>
      <c r="H931" s="9"/>
      <c r="I931" s="9"/>
      <c r="J931" s="503"/>
      <c r="K931" s="47"/>
      <c r="L931" s="47"/>
      <c r="M931" s="47"/>
      <c r="N931" s="9"/>
      <c r="O931" s="9"/>
      <c r="P931" s="9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  <c r="AB931" s="47"/>
      <c r="AC931" s="47"/>
      <c r="AD931" s="47"/>
      <c r="AE931" s="47"/>
      <c r="AF931" s="47"/>
      <c r="AG931" s="1345"/>
      <c r="AH931" s="47"/>
      <c r="AI931" s="47"/>
      <c r="AJ931" s="47"/>
      <c r="AK931" s="47"/>
      <c r="AL931" s="47"/>
      <c r="AM931" s="47"/>
      <c r="AN931" s="47"/>
      <c r="AO931" s="47"/>
      <c r="AP931" s="47"/>
      <c r="AQ931" s="47"/>
      <c r="AR931" s="47"/>
      <c r="AS931" s="47"/>
      <c r="AT931" s="47"/>
      <c r="AU931" s="47"/>
      <c r="AV931" s="47"/>
      <c r="AW931" s="47"/>
      <c r="AX931" s="47"/>
      <c r="AY931" s="47"/>
    </row>
    <row r="932" spans="1:51" ht="15.75" customHeight="1">
      <c r="A932" s="500"/>
      <c r="B932" s="477"/>
      <c r="C932" s="481"/>
      <c r="D932" s="47"/>
      <c r="E932" s="47"/>
      <c r="F932" s="478"/>
      <c r="G932" s="479"/>
      <c r="H932" s="9"/>
      <c r="I932" s="9"/>
      <c r="J932" s="503"/>
      <c r="K932" s="47"/>
      <c r="L932" s="47"/>
      <c r="M932" s="47"/>
      <c r="N932" s="9"/>
      <c r="O932" s="9"/>
      <c r="P932" s="9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  <c r="AB932" s="47"/>
      <c r="AC932" s="47"/>
      <c r="AD932" s="47"/>
      <c r="AE932" s="47"/>
      <c r="AF932" s="47"/>
      <c r="AG932" s="1345"/>
      <c r="AH932" s="47"/>
      <c r="AI932" s="47"/>
      <c r="AJ932" s="47"/>
      <c r="AK932" s="47"/>
      <c r="AL932" s="47"/>
      <c r="AM932" s="47"/>
      <c r="AN932" s="47"/>
      <c r="AO932" s="47"/>
      <c r="AP932" s="47"/>
      <c r="AQ932" s="47"/>
      <c r="AR932" s="47"/>
      <c r="AS932" s="47"/>
      <c r="AT932" s="47"/>
      <c r="AU932" s="47"/>
      <c r="AV932" s="47"/>
      <c r="AW932" s="47"/>
      <c r="AX932" s="47"/>
      <c r="AY932" s="47"/>
    </row>
    <row r="933" spans="1:51" ht="15.75" customHeight="1">
      <c r="A933" s="500"/>
      <c r="B933" s="477"/>
      <c r="C933" s="481"/>
      <c r="D933" s="47"/>
      <c r="E933" s="47"/>
      <c r="F933" s="478"/>
      <c r="G933" s="479"/>
      <c r="H933" s="9"/>
      <c r="I933" s="10"/>
      <c r="J933" s="503"/>
      <c r="K933" s="47"/>
      <c r="L933" s="47"/>
      <c r="M933" s="47"/>
      <c r="N933" s="9"/>
      <c r="O933" s="9"/>
      <c r="P933" s="9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  <c r="AB933" s="47"/>
      <c r="AC933" s="47"/>
      <c r="AD933" s="47"/>
      <c r="AE933" s="47"/>
      <c r="AF933" s="47"/>
      <c r="AG933" s="1345"/>
      <c r="AH933" s="47"/>
      <c r="AI933" s="47"/>
      <c r="AJ933" s="47"/>
      <c r="AK933" s="47"/>
      <c r="AL933" s="47"/>
      <c r="AM933" s="47"/>
      <c r="AN933" s="47"/>
      <c r="AO933" s="47"/>
      <c r="AP933" s="47"/>
      <c r="AQ933" s="47"/>
      <c r="AR933" s="47"/>
      <c r="AS933" s="47"/>
      <c r="AT933" s="47"/>
      <c r="AU933" s="47"/>
      <c r="AV933" s="47"/>
      <c r="AW933" s="47"/>
      <c r="AX933" s="47"/>
      <c r="AY933" s="47"/>
    </row>
    <row r="934" spans="1:51" ht="15.75" customHeight="1">
      <c r="A934" s="500"/>
      <c r="B934" s="477"/>
      <c r="C934" s="481"/>
      <c r="D934" s="47"/>
      <c r="E934" s="47"/>
      <c r="F934" s="478"/>
      <c r="G934" s="479"/>
      <c r="H934" s="9"/>
      <c r="I934" s="9"/>
      <c r="J934" s="503"/>
      <c r="K934" s="47"/>
      <c r="L934" s="47"/>
      <c r="M934" s="47"/>
      <c r="N934" s="9"/>
      <c r="O934" s="9"/>
      <c r="P934" s="9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  <c r="AB934" s="47"/>
      <c r="AC934" s="47"/>
      <c r="AD934" s="47"/>
      <c r="AE934" s="47"/>
      <c r="AF934" s="47"/>
      <c r="AG934" s="1345"/>
      <c r="AH934" s="47"/>
      <c r="AI934" s="47"/>
      <c r="AJ934" s="47"/>
      <c r="AK934" s="47"/>
      <c r="AL934" s="47"/>
      <c r="AM934" s="47"/>
      <c r="AN934" s="47"/>
      <c r="AO934" s="47"/>
      <c r="AP934" s="47"/>
      <c r="AQ934" s="47"/>
      <c r="AR934" s="47"/>
      <c r="AS934" s="47"/>
      <c r="AT934" s="47"/>
      <c r="AU934" s="47"/>
      <c r="AV934" s="47"/>
      <c r="AW934" s="47"/>
      <c r="AX934" s="47"/>
      <c r="AY934" s="47"/>
    </row>
    <row r="935" spans="1:51" ht="15.75" customHeight="1">
      <c r="A935" s="500"/>
      <c r="B935" s="477"/>
      <c r="C935" s="481"/>
      <c r="D935" s="47"/>
      <c r="E935" s="47"/>
      <c r="F935" s="478"/>
      <c r="G935" s="479"/>
      <c r="H935" s="9"/>
      <c r="I935" s="10"/>
      <c r="J935" s="503"/>
      <c r="K935" s="47"/>
      <c r="L935" s="47"/>
      <c r="M935" s="47"/>
      <c r="N935" s="9"/>
      <c r="O935" s="9"/>
      <c r="P935" s="9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  <c r="AB935" s="47"/>
      <c r="AC935" s="47"/>
      <c r="AD935" s="47"/>
      <c r="AE935" s="47"/>
      <c r="AF935" s="47"/>
      <c r="AG935" s="1345"/>
      <c r="AH935" s="47"/>
      <c r="AI935" s="47"/>
      <c r="AJ935" s="47"/>
      <c r="AK935" s="47"/>
      <c r="AL935" s="47"/>
      <c r="AM935" s="47"/>
      <c r="AN935" s="47"/>
      <c r="AO935" s="47"/>
      <c r="AP935" s="47"/>
      <c r="AQ935" s="47"/>
      <c r="AR935" s="47"/>
      <c r="AS935" s="47"/>
      <c r="AT935" s="47"/>
      <c r="AU935" s="47"/>
      <c r="AV935" s="47"/>
      <c r="AW935" s="47"/>
      <c r="AX935" s="47"/>
      <c r="AY935" s="47"/>
    </row>
    <row r="936" spans="1:51" ht="15.75" customHeight="1">
      <c r="A936" s="500"/>
      <c r="B936" s="477"/>
      <c r="C936" s="481"/>
      <c r="D936" s="47"/>
      <c r="E936" s="47"/>
      <c r="F936" s="478"/>
      <c r="G936" s="479"/>
      <c r="H936" s="9"/>
      <c r="I936" s="9"/>
      <c r="J936" s="503"/>
      <c r="K936" s="47"/>
      <c r="L936" s="47"/>
      <c r="M936" s="47"/>
      <c r="N936" s="9"/>
      <c r="O936" s="9"/>
      <c r="P936" s="9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  <c r="AB936" s="47"/>
      <c r="AC936" s="47"/>
      <c r="AD936" s="47"/>
      <c r="AE936" s="47"/>
      <c r="AF936" s="47"/>
      <c r="AG936" s="1345"/>
      <c r="AH936" s="47"/>
      <c r="AI936" s="47"/>
      <c r="AJ936" s="47"/>
      <c r="AK936" s="47"/>
      <c r="AL936" s="47"/>
      <c r="AM936" s="47"/>
      <c r="AN936" s="47"/>
      <c r="AO936" s="47"/>
      <c r="AP936" s="47"/>
      <c r="AQ936" s="47"/>
      <c r="AR936" s="47"/>
      <c r="AS936" s="47"/>
      <c r="AT936" s="47"/>
      <c r="AU936" s="47"/>
      <c r="AV936" s="47"/>
      <c r="AW936" s="47"/>
      <c r="AX936" s="47"/>
      <c r="AY936" s="47"/>
    </row>
    <row r="937" spans="1:51" ht="15.75" customHeight="1">
      <c r="A937" s="500"/>
      <c r="B937" s="477"/>
      <c r="C937" s="481"/>
      <c r="D937" s="47"/>
      <c r="E937" s="47"/>
      <c r="F937" s="478"/>
      <c r="G937" s="479"/>
      <c r="H937" s="9"/>
      <c r="I937" s="9"/>
      <c r="J937" s="503"/>
      <c r="K937" s="47"/>
      <c r="L937" s="47"/>
      <c r="M937" s="47"/>
      <c r="N937" s="9"/>
      <c r="O937" s="9"/>
      <c r="P937" s="9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  <c r="AB937" s="47"/>
      <c r="AC937" s="47"/>
      <c r="AD937" s="47"/>
      <c r="AE937" s="47"/>
      <c r="AF937" s="47"/>
      <c r="AG937" s="1345"/>
      <c r="AH937" s="47"/>
      <c r="AI937" s="47"/>
      <c r="AJ937" s="47"/>
      <c r="AK937" s="47"/>
      <c r="AL937" s="47"/>
      <c r="AM937" s="47"/>
      <c r="AN937" s="47"/>
      <c r="AO937" s="47"/>
      <c r="AP937" s="47"/>
      <c r="AQ937" s="47"/>
      <c r="AR937" s="47"/>
      <c r="AS937" s="47"/>
      <c r="AT937" s="47"/>
      <c r="AU937" s="47"/>
      <c r="AV937" s="47"/>
      <c r="AW937" s="47"/>
      <c r="AX937" s="47"/>
      <c r="AY937" s="47"/>
    </row>
    <row r="938" spans="1:51" ht="15.75" customHeight="1">
      <c r="A938" s="500"/>
      <c r="B938" s="477"/>
      <c r="C938" s="481"/>
      <c r="D938" s="47"/>
      <c r="E938" s="47"/>
      <c r="F938" s="478"/>
      <c r="G938" s="479"/>
      <c r="H938" s="9"/>
      <c r="I938" s="9"/>
      <c r="J938" s="503"/>
      <c r="K938" s="47"/>
      <c r="L938" s="47"/>
      <c r="M938" s="47"/>
      <c r="N938" s="9"/>
      <c r="O938" s="9"/>
      <c r="P938" s="9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  <c r="AB938" s="47"/>
      <c r="AC938" s="47"/>
      <c r="AD938" s="47"/>
      <c r="AE938" s="47"/>
      <c r="AF938" s="47"/>
      <c r="AG938" s="1345"/>
      <c r="AH938" s="47"/>
      <c r="AI938" s="47"/>
      <c r="AJ938" s="47"/>
      <c r="AK938" s="47"/>
      <c r="AL938" s="47"/>
      <c r="AM938" s="47"/>
      <c r="AN938" s="47"/>
      <c r="AO938" s="47"/>
      <c r="AP938" s="47"/>
      <c r="AQ938" s="47"/>
      <c r="AR938" s="47"/>
      <c r="AS938" s="47"/>
      <c r="AT938" s="47"/>
      <c r="AU938" s="47"/>
      <c r="AV938" s="47"/>
      <c r="AW938" s="47"/>
      <c r="AX938" s="47"/>
      <c r="AY938" s="47"/>
    </row>
    <row r="939" spans="1:51" ht="15.75" customHeight="1">
      <c r="A939" s="500"/>
      <c r="B939" s="477"/>
      <c r="C939" s="481"/>
      <c r="D939" s="47"/>
      <c r="E939" s="47"/>
      <c r="F939" s="478"/>
      <c r="G939" s="479"/>
      <c r="H939" s="9"/>
      <c r="I939" s="9"/>
      <c r="J939" s="503"/>
      <c r="K939" s="47"/>
      <c r="L939" s="47"/>
      <c r="M939" s="47"/>
      <c r="N939" s="9"/>
      <c r="O939" s="9"/>
      <c r="P939" s="9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  <c r="AB939" s="47"/>
      <c r="AC939" s="47"/>
      <c r="AD939" s="47"/>
      <c r="AE939" s="47"/>
      <c r="AF939" s="47"/>
      <c r="AG939" s="1345"/>
      <c r="AH939" s="47"/>
      <c r="AI939" s="47"/>
      <c r="AJ939" s="47"/>
      <c r="AK939" s="47"/>
      <c r="AL939" s="47"/>
      <c r="AM939" s="47"/>
      <c r="AN939" s="47"/>
      <c r="AO939" s="47"/>
      <c r="AP939" s="47"/>
      <c r="AQ939" s="47"/>
      <c r="AR939" s="47"/>
      <c r="AS939" s="47"/>
      <c r="AT939" s="47"/>
      <c r="AU939" s="47"/>
      <c r="AV939" s="47"/>
      <c r="AW939" s="47"/>
      <c r="AX939" s="47"/>
      <c r="AY939" s="47"/>
    </row>
    <row r="940" spans="1:51" ht="15.75" customHeight="1">
      <c r="A940" s="500"/>
      <c r="B940" s="477"/>
      <c r="C940" s="481"/>
      <c r="D940" s="47"/>
      <c r="E940" s="47"/>
      <c r="F940" s="478"/>
      <c r="G940" s="479"/>
      <c r="H940" s="9"/>
      <c r="I940" s="9"/>
      <c r="J940" s="503"/>
      <c r="K940" s="47"/>
      <c r="L940" s="47"/>
      <c r="M940" s="47"/>
      <c r="N940" s="9"/>
      <c r="O940" s="9"/>
      <c r="P940" s="9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  <c r="AB940" s="47"/>
      <c r="AC940" s="47"/>
      <c r="AD940" s="47"/>
      <c r="AE940" s="47"/>
      <c r="AF940" s="47"/>
      <c r="AG940" s="1345"/>
      <c r="AH940" s="47"/>
      <c r="AI940" s="47"/>
      <c r="AJ940" s="47"/>
      <c r="AK940" s="47"/>
      <c r="AL940" s="47"/>
      <c r="AM940" s="47"/>
      <c r="AN940" s="47"/>
      <c r="AO940" s="47"/>
      <c r="AP940" s="47"/>
      <c r="AQ940" s="47"/>
      <c r="AR940" s="47"/>
      <c r="AS940" s="47"/>
      <c r="AT940" s="47"/>
      <c r="AU940" s="47"/>
      <c r="AV940" s="47"/>
      <c r="AW940" s="47"/>
      <c r="AX940" s="47"/>
      <c r="AY940" s="47"/>
    </row>
    <row r="941" spans="1:51" ht="15.75" customHeight="1">
      <c r="A941" s="500"/>
      <c r="B941" s="477"/>
      <c r="C941" s="481"/>
      <c r="D941" s="47"/>
      <c r="E941" s="47"/>
      <c r="F941" s="478"/>
      <c r="G941" s="479"/>
      <c r="H941" s="9"/>
      <c r="I941" s="9"/>
      <c r="J941" s="503"/>
      <c r="K941" s="47"/>
      <c r="L941" s="47"/>
      <c r="M941" s="47"/>
      <c r="N941" s="9"/>
      <c r="O941" s="9"/>
      <c r="P941" s="9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  <c r="AB941" s="47"/>
      <c r="AC941" s="47"/>
      <c r="AD941" s="47"/>
      <c r="AE941" s="47"/>
      <c r="AF941" s="47"/>
      <c r="AG941" s="1345"/>
      <c r="AH941" s="47"/>
      <c r="AI941" s="47"/>
      <c r="AJ941" s="47"/>
      <c r="AK941" s="47"/>
      <c r="AL941" s="47"/>
      <c r="AM941" s="47"/>
      <c r="AN941" s="47"/>
      <c r="AO941" s="47"/>
      <c r="AP941" s="47"/>
      <c r="AQ941" s="47"/>
      <c r="AR941" s="47"/>
      <c r="AS941" s="47"/>
      <c r="AT941" s="47"/>
      <c r="AU941" s="47"/>
      <c r="AV941" s="47"/>
      <c r="AW941" s="47"/>
      <c r="AX941" s="47"/>
      <c r="AY941" s="47"/>
    </row>
    <row r="942" spans="1:51" ht="15.75" customHeight="1">
      <c r="A942" s="500"/>
      <c r="B942" s="477"/>
      <c r="C942" s="481"/>
      <c r="D942" s="47"/>
      <c r="E942" s="47"/>
      <c r="F942" s="478"/>
      <c r="G942" s="479"/>
      <c r="H942" s="9"/>
      <c r="I942" s="9"/>
      <c r="J942" s="503"/>
      <c r="K942" s="47"/>
      <c r="L942" s="47"/>
      <c r="M942" s="47"/>
      <c r="N942" s="9"/>
      <c r="O942" s="9"/>
      <c r="P942" s="9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  <c r="AB942" s="47"/>
      <c r="AC942" s="47"/>
      <c r="AD942" s="47"/>
      <c r="AE942" s="47"/>
      <c r="AF942" s="47"/>
      <c r="AG942" s="1345"/>
      <c r="AH942" s="47"/>
      <c r="AI942" s="47"/>
      <c r="AJ942" s="47"/>
      <c r="AK942" s="47"/>
      <c r="AL942" s="47"/>
      <c r="AM942" s="47"/>
      <c r="AN942" s="47"/>
      <c r="AO942" s="47"/>
      <c r="AP942" s="47"/>
      <c r="AQ942" s="47"/>
      <c r="AR942" s="47"/>
      <c r="AS942" s="47"/>
      <c r="AT942" s="47"/>
      <c r="AU942" s="47"/>
      <c r="AV942" s="47"/>
      <c r="AW942" s="47"/>
      <c r="AX942" s="47"/>
      <c r="AY942" s="47"/>
    </row>
    <row r="943" spans="1:51" ht="15.75" customHeight="1">
      <c r="A943" s="500"/>
      <c r="B943" s="477"/>
      <c r="C943" s="481"/>
      <c r="D943" s="47"/>
      <c r="E943" s="47"/>
      <c r="F943" s="478"/>
      <c r="G943" s="479"/>
      <c r="H943" s="9"/>
      <c r="I943" s="9"/>
      <c r="J943" s="503"/>
      <c r="K943" s="47"/>
      <c r="L943" s="47"/>
      <c r="M943" s="47"/>
      <c r="N943" s="9"/>
      <c r="O943" s="9"/>
      <c r="P943" s="9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  <c r="AB943" s="47"/>
      <c r="AC943" s="47"/>
      <c r="AD943" s="47"/>
      <c r="AE943" s="47"/>
      <c r="AF943" s="47"/>
      <c r="AG943" s="1345"/>
      <c r="AH943" s="47"/>
      <c r="AI943" s="47"/>
      <c r="AJ943" s="47"/>
      <c r="AK943" s="47"/>
      <c r="AL943" s="47"/>
      <c r="AM943" s="47"/>
      <c r="AN943" s="47"/>
      <c r="AO943" s="47"/>
      <c r="AP943" s="47"/>
      <c r="AQ943" s="47"/>
      <c r="AR943" s="47"/>
      <c r="AS943" s="47"/>
      <c r="AT943" s="47"/>
      <c r="AU943" s="47"/>
      <c r="AV943" s="47"/>
      <c r="AW943" s="47"/>
      <c r="AX943" s="47"/>
      <c r="AY943" s="47"/>
    </row>
    <row r="944" spans="1:51" ht="15.75" customHeight="1">
      <c r="A944" s="500"/>
      <c r="B944" s="477"/>
      <c r="C944" s="481"/>
      <c r="D944" s="47"/>
      <c r="E944" s="47"/>
      <c r="F944" s="478"/>
      <c r="G944" s="479"/>
      <c r="H944" s="9"/>
      <c r="I944" s="9"/>
      <c r="J944" s="503"/>
      <c r="K944" s="47"/>
      <c r="L944" s="47"/>
      <c r="M944" s="47"/>
      <c r="N944" s="9"/>
      <c r="O944" s="9"/>
      <c r="P944" s="9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  <c r="AB944" s="47"/>
      <c r="AC944" s="47"/>
      <c r="AD944" s="47"/>
      <c r="AE944" s="47"/>
      <c r="AF944" s="47"/>
      <c r="AG944" s="1345"/>
      <c r="AH944" s="47"/>
      <c r="AI944" s="47"/>
      <c r="AJ944" s="47"/>
      <c r="AK944" s="47"/>
      <c r="AL944" s="47"/>
      <c r="AM944" s="47"/>
      <c r="AN944" s="47"/>
      <c r="AO944" s="47"/>
      <c r="AP944" s="47"/>
      <c r="AQ944" s="47"/>
      <c r="AR944" s="47"/>
      <c r="AS944" s="47"/>
      <c r="AT944" s="47"/>
      <c r="AU944" s="47"/>
      <c r="AV944" s="47"/>
      <c r="AW944" s="47"/>
      <c r="AX944" s="47"/>
      <c r="AY944" s="47"/>
    </row>
    <row r="945" spans="1:51" ht="15.75" customHeight="1">
      <c r="A945" s="500"/>
      <c r="B945" s="477"/>
      <c r="C945" s="481"/>
      <c r="D945" s="47"/>
      <c r="E945" s="47"/>
      <c r="F945" s="478"/>
      <c r="G945" s="479"/>
      <c r="H945" s="9"/>
      <c r="I945" s="9"/>
      <c r="J945" s="503"/>
      <c r="K945" s="47"/>
      <c r="L945" s="47"/>
      <c r="M945" s="47"/>
      <c r="N945" s="9"/>
      <c r="O945" s="9"/>
      <c r="P945" s="9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  <c r="AB945" s="47"/>
      <c r="AC945" s="47"/>
      <c r="AD945" s="47"/>
      <c r="AE945" s="47"/>
      <c r="AF945" s="47"/>
      <c r="AG945" s="1345"/>
      <c r="AH945" s="47"/>
      <c r="AI945" s="47"/>
      <c r="AJ945" s="47"/>
      <c r="AK945" s="47"/>
      <c r="AL945" s="47"/>
      <c r="AM945" s="47"/>
      <c r="AN945" s="47"/>
      <c r="AO945" s="47"/>
      <c r="AP945" s="47"/>
      <c r="AQ945" s="47"/>
      <c r="AR945" s="47"/>
      <c r="AS945" s="47"/>
      <c r="AT945" s="47"/>
      <c r="AU945" s="47"/>
      <c r="AV945" s="47"/>
      <c r="AW945" s="47"/>
      <c r="AX945" s="47"/>
      <c r="AY945" s="47"/>
    </row>
    <row r="946" spans="1:51" ht="15.75" customHeight="1">
      <c r="A946" s="500"/>
      <c r="B946" s="477"/>
      <c r="C946" s="481"/>
      <c r="D946" s="47"/>
      <c r="E946" s="47"/>
      <c r="F946" s="478"/>
      <c r="G946" s="479"/>
      <c r="H946" s="9"/>
      <c r="I946" s="9"/>
      <c r="J946" s="503"/>
      <c r="K946" s="47"/>
      <c r="L946" s="47"/>
      <c r="M946" s="47"/>
      <c r="N946" s="9"/>
      <c r="O946" s="9"/>
      <c r="P946" s="9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  <c r="AB946" s="47"/>
      <c r="AC946" s="47"/>
      <c r="AD946" s="47"/>
      <c r="AE946" s="47"/>
      <c r="AF946" s="47"/>
      <c r="AG946" s="1345"/>
      <c r="AH946" s="47"/>
      <c r="AI946" s="47"/>
      <c r="AJ946" s="47"/>
      <c r="AK946" s="47"/>
      <c r="AL946" s="47"/>
      <c r="AM946" s="47"/>
      <c r="AN946" s="47"/>
      <c r="AO946" s="47"/>
      <c r="AP946" s="47"/>
      <c r="AQ946" s="47"/>
      <c r="AR946" s="47"/>
      <c r="AS946" s="47"/>
      <c r="AT946" s="47"/>
      <c r="AU946" s="47"/>
      <c r="AV946" s="47"/>
      <c r="AW946" s="47"/>
      <c r="AX946" s="47"/>
      <c r="AY946" s="47"/>
    </row>
    <row r="947" spans="1:51" ht="15.75" customHeight="1">
      <c r="A947" s="500"/>
      <c r="B947" s="477"/>
      <c r="C947" s="481"/>
      <c r="D947" s="47"/>
      <c r="E947" s="47"/>
      <c r="F947" s="478"/>
      <c r="G947" s="479"/>
      <c r="H947" s="9"/>
      <c r="I947" s="9"/>
      <c r="J947" s="503"/>
      <c r="K947" s="47"/>
      <c r="L947" s="47"/>
      <c r="M947" s="47"/>
      <c r="N947" s="9"/>
      <c r="O947" s="9"/>
      <c r="P947" s="9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  <c r="AB947" s="47"/>
      <c r="AC947" s="47"/>
      <c r="AD947" s="47"/>
      <c r="AE947" s="47"/>
      <c r="AF947" s="47"/>
      <c r="AG947" s="1345"/>
      <c r="AH947" s="47"/>
      <c r="AI947" s="47"/>
      <c r="AJ947" s="47"/>
      <c r="AK947" s="47"/>
      <c r="AL947" s="47"/>
      <c r="AM947" s="47"/>
      <c r="AN947" s="47"/>
      <c r="AO947" s="47"/>
      <c r="AP947" s="47"/>
      <c r="AQ947" s="47"/>
      <c r="AR947" s="47"/>
      <c r="AS947" s="47"/>
      <c r="AT947" s="47"/>
      <c r="AU947" s="47"/>
      <c r="AV947" s="47"/>
      <c r="AW947" s="47"/>
      <c r="AX947" s="47"/>
      <c r="AY947" s="47"/>
    </row>
    <row r="948" spans="1:51" ht="15.75" customHeight="1">
      <c r="A948" s="500"/>
      <c r="B948" s="477"/>
      <c r="C948" s="481"/>
      <c r="D948" s="47"/>
      <c r="E948" s="47"/>
      <c r="F948" s="478"/>
      <c r="G948" s="479"/>
      <c r="H948" s="9"/>
      <c r="I948" s="9"/>
      <c r="J948" s="503"/>
      <c r="K948" s="47"/>
      <c r="L948" s="47"/>
      <c r="M948" s="47"/>
      <c r="N948" s="9"/>
      <c r="O948" s="9"/>
      <c r="P948" s="9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  <c r="AB948" s="47"/>
      <c r="AC948" s="47"/>
      <c r="AD948" s="47"/>
      <c r="AE948" s="47"/>
      <c r="AF948" s="47"/>
      <c r="AG948" s="1345"/>
      <c r="AH948" s="47"/>
      <c r="AI948" s="47"/>
      <c r="AJ948" s="47"/>
      <c r="AK948" s="47"/>
      <c r="AL948" s="47"/>
      <c r="AM948" s="47"/>
      <c r="AN948" s="47"/>
      <c r="AO948" s="47"/>
      <c r="AP948" s="47"/>
      <c r="AQ948" s="47"/>
      <c r="AR948" s="47"/>
      <c r="AS948" s="47"/>
      <c r="AT948" s="47"/>
      <c r="AU948" s="47"/>
      <c r="AV948" s="47"/>
      <c r="AW948" s="47"/>
      <c r="AX948" s="47"/>
      <c r="AY948" s="47"/>
    </row>
    <row r="949" spans="1:51" ht="15.75" customHeight="1">
      <c r="A949" s="500"/>
      <c r="B949" s="477"/>
      <c r="C949" s="481"/>
      <c r="D949" s="47"/>
      <c r="E949" s="47"/>
      <c r="F949" s="478"/>
      <c r="G949" s="479"/>
      <c r="H949" s="9"/>
      <c r="I949" s="9"/>
      <c r="J949" s="503"/>
      <c r="K949" s="47"/>
      <c r="L949" s="47"/>
      <c r="M949" s="47"/>
      <c r="N949" s="9"/>
      <c r="O949" s="9"/>
      <c r="P949" s="9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  <c r="AB949" s="47"/>
      <c r="AC949" s="47"/>
      <c r="AD949" s="47"/>
      <c r="AE949" s="47"/>
      <c r="AF949" s="47"/>
      <c r="AG949" s="1345"/>
      <c r="AH949" s="47"/>
      <c r="AI949" s="47"/>
      <c r="AJ949" s="47"/>
      <c r="AK949" s="47"/>
      <c r="AL949" s="47"/>
      <c r="AM949" s="47"/>
      <c r="AN949" s="47"/>
      <c r="AO949" s="47"/>
      <c r="AP949" s="47"/>
      <c r="AQ949" s="47"/>
      <c r="AR949" s="47"/>
      <c r="AS949" s="47"/>
      <c r="AT949" s="47"/>
      <c r="AU949" s="47"/>
      <c r="AV949" s="47"/>
      <c r="AW949" s="47"/>
      <c r="AX949" s="47"/>
      <c r="AY949" s="47"/>
    </row>
    <row r="950" spans="1:51" ht="15.75" customHeight="1">
      <c r="A950" s="500"/>
      <c r="B950" s="477"/>
      <c r="C950" s="481"/>
      <c r="D950" s="47"/>
      <c r="E950" s="47"/>
      <c r="F950" s="478"/>
      <c r="G950" s="479"/>
      <c r="H950" s="9"/>
      <c r="I950" s="9"/>
      <c r="J950" s="503"/>
      <c r="K950" s="47"/>
      <c r="L950" s="47"/>
      <c r="M950" s="47"/>
      <c r="N950" s="9"/>
      <c r="O950" s="9"/>
      <c r="P950" s="9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  <c r="AB950" s="47"/>
      <c r="AC950" s="47"/>
      <c r="AD950" s="47"/>
      <c r="AE950" s="47"/>
      <c r="AF950" s="47"/>
      <c r="AG950" s="1345"/>
      <c r="AH950" s="47"/>
      <c r="AI950" s="47"/>
      <c r="AJ950" s="47"/>
      <c r="AK950" s="47"/>
      <c r="AL950" s="47"/>
      <c r="AM950" s="47"/>
      <c r="AN950" s="47"/>
      <c r="AO950" s="47"/>
      <c r="AP950" s="47"/>
      <c r="AQ950" s="47"/>
      <c r="AR950" s="47"/>
      <c r="AS950" s="47"/>
      <c r="AT950" s="47"/>
      <c r="AU950" s="47"/>
      <c r="AV950" s="47"/>
      <c r="AW950" s="47"/>
      <c r="AX950" s="47"/>
      <c r="AY950" s="47"/>
    </row>
    <row r="951" spans="1:51" ht="15.75" customHeight="1">
      <c r="A951" s="500"/>
      <c r="B951" s="477"/>
      <c r="C951" s="481"/>
      <c r="D951" s="47"/>
      <c r="E951" s="47"/>
      <c r="F951" s="478"/>
      <c r="G951" s="479"/>
      <c r="H951" s="9"/>
      <c r="I951" s="9"/>
      <c r="J951" s="503"/>
      <c r="K951" s="47"/>
      <c r="L951" s="47"/>
      <c r="M951" s="47"/>
      <c r="N951" s="9"/>
      <c r="O951" s="9"/>
      <c r="P951" s="9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  <c r="AB951" s="47"/>
      <c r="AC951" s="47"/>
      <c r="AD951" s="47"/>
      <c r="AE951" s="47"/>
      <c r="AF951" s="47"/>
      <c r="AG951" s="1345"/>
      <c r="AH951" s="47"/>
      <c r="AI951" s="47"/>
      <c r="AJ951" s="47"/>
      <c r="AK951" s="47"/>
      <c r="AL951" s="47"/>
      <c r="AM951" s="47"/>
      <c r="AN951" s="47"/>
      <c r="AO951" s="47"/>
      <c r="AP951" s="47"/>
      <c r="AQ951" s="47"/>
      <c r="AR951" s="47"/>
      <c r="AS951" s="47"/>
      <c r="AT951" s="47"/>
      <c r="AU951" s="47"/>
      <c r="AV951" s="47"/>
      <c r="AW951" s="47"/>
      <c r="AX951" s="47"/>
      <c r="AY951" s="47"/>
    </row>
    <row r="952" spans="1:51" ht="15.75" customHeight="1">
      <c r="A952" s="500"/>
      <c r="B952" s="477"/>
      <c r="C952" s="481"/>
      <c r="D952" s="47"/>
      <c r="E952" s="47"/>
      <c r="F952" s="478"/>
      <c r="G952" s="479"/>
      <c r="H952" s="9"/>
      <c r="I952" s="9"/>
      <c r="J952" s="503"/>
      <c r="K952" s="47"/>
      <c r="L952" s="47"/>
      <c r="M952" s="47"/>
      <c r="N952" s="9"/>
      <c r="O952" s="9"/>
      <c r="P952" s="9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  <c r="AB952" s="47"/>
      <c r="AC952" s="47"/>
      <c r="AD952" s="47"/>
      <c r="AE952" s="47"/>
      <c r="AF952" s="47"/>
      <c r="AG952" s="1345"/>
      <c r="AH952" s="47"/>
      <c r="AI952" s="47"/>
      <c r="AJ952" s="47"/>
      <c r="AK952" s="47"/>
      <c r="AL952" s="47"/>
      <c r="AM952" s="47"/>
      <c r="AN952" s="47"/>
      <c r="AO952" s="47"/>
      <c r="AP952" s="47"/>
      <c r="AQ952" s="47"/>
      <c r="AR952" s="47"/>
      <c r="AS952" s="47"/>
      <c r="AT952" s="47"/>
      <c r="AU952" s="47"/>
      <c r="AV952" s="47"/>
      <c r="AW952" s="47"/>
      <c r="AX952" s="47"/>
      <c r="AY952" s="47"/>
    </row>
    <row r="953" spans="1:51" ht="15.75" customHeight="1">
      <c r="A953" s="500"/>
      <c r="B953" s="477"/>
      <c r="C953" s="481"/>
      <c r="D953" s="47"/>
      <c r="E953" s="47"/>
      <c r="F953" s="478"/>
      <c r="G953" s="479"/>
      <c r="H953" s="9"/>
      <c r="I953" s="9"/>
      <c r="J953" s="503"/>
      <c r="K953" s="47"/>
      <c r="L953" s="47"/>
      <c r="M953" s="47"/>
      <c r="N953" s="9"/>
      <c r="O953" s="9"/>
      <c r="P953" s="9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  <c r="AB953" s="47"/>
      <c r="AC953" s="47"/>
      <c r="AD953" s="47"/>
      <c r="AE953" s="47"/>
      <c r="AF953" s="47"/>
      <c r="AG953" s="1345"/>
      <c r="AH953" s="47"/>
      <c r="AI953" s="47"/>
      <c r="AJ953" s="47"/>
      <c r="AK953" s="47"/>
      <c r="AL953" s="47"/>
      <c r="AM953" s="47"/>
      <c r="AN953" s="47"/>
      <c r="AO953" s="47"/>
      <c r="AP953" s="47"/>
      <c r="AQ953" s="47"/>
      <c r="AR953" s="47"/>
      <c r="AS953" s="47"/>
      <c r="AT953" s="47"/>
      <c r="AU953" s="47"/>
      <c r="AV953" s="47"/>
      <c r="AW953" s="47"/>
      <c r="AX953" s="47"/>
      <c r="AY953" s="47"/>
    </row>
    <row r="954" spans="1:51" ht="15.75" customHeight="1">
      <c r="A954" s="500"/>
      <c r="B954" s="477"/>
      <c r="C954" s="481"/>
      <c r="D954" s="47"/>
      <c r="E954" s="47"/>
      <c r="F954" s="478"/>
      <c r="G954" s="479"/>
      <c r="H954" s="9"/>
      <c r="I954" s="9"/>
      <c r="J954" s="503"/>
      <c r="K954" s="47"/>
      <c r="L954" s="47"/>
      <c r="M954" s="47"/>
      <c r="N954" s="9"/>
      <c r="O954" s="9"/>
      <c r="P954" s="9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  <c r="AB954" s="47"/>
      <c r="AC954" s="47"/>
      <c r="AD954" s="47"/>
      <c r="AE954" s="47"/>
      <c r="AF954" s="47"/>
      <c r="AG954" s="1345"/>
      <c r="AH954" s="47"/>
      <c r="AI954" s="47"/>
      <c r="AJ954" s="47"/>
      <c r="AK954" s="47"/>
      <c r="AL954" s="47"/>
      <c r="AM954" s="47"/>
      <c r="AN954" s="47"/>
      <c r="AO954" s="47"/>
      <c r="AP954" s="47"/>
      <c r="AQ954" s="47"/>
      <c r="AR954" s="47"/>
      <c r="AS954" s="47"/>
      <c r="AT954" s="47"/>
      <c r="AU954" s="47"/>
      <c r="AV954" s="47"/>
      <c r="AW954" s="47"/>
      <c r="AX954" s="47"/>
      <c r="AY954" s="47"/>
    </row>
    <row r="955" spans="1:51" ht="15.75" customHeight="1">
      <c r="A955" s="500"/>
      <c r="B955" s="477"/>
      <c r="C955" s="481"/>
      <c r="D955" s="47"/>
      <c r="E955" s="47"/>
      <c r="F955" s="478"/>
      <c r="G955" s="479"/>
      <c r="H955" s="9"/>
      <c r="I955" s="10"/>
      <c r="J955" s="503"/>
      <c r="K955" s="47"/>
      <c r="L955" s="47"/>
      <c r="M955" s="47"/>
      <c r="N955" s="9"/>
      <c r="O955" s="9"/>
      <c r="P955" s="9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  <c r="AB955" s="47"/>
      <c r="AC955" s="47"/>
      <c r="AD955" s="47"/>
      <c r="AE955" s="47"/>
      <c r="AF955" s="47"/>
      <c r="AG955" s="1345"/>
      <c r="AH955" s="47"/>
      <c r="AI955" s="47"/>
      <c r="AJ955" s="47"/>
      <c r="AK955" s="47"/>
      <c r="AL955" s="47"/>
      <c r="AM955" s="47"/>
      <c r="AN955" s="47"/>
      <c r="AO955" s="47"/>
      <c r="AP955" s="47"/>
      <c r="AQ955" s="47"/>
      <c r="AR955" s="47"/>
      <c r="AS955" s="47"/>
      <c r="AT955" s="47"/>
      <c r="AU955" s="47"/>
      <c r="AV955" s="47"/>
      <c r="AW955" s="47"/>
      <c r="AX955" s="47"/>
      <c r="AY955" s="47"/>
    </row>
    <row r="956" spans="1:51" ht="15.75" customHeight="1">
      <c r="A956" s="500"/>
      <c r="B956" s="477"/>
      <c r="C956" s="481"/>
      <c r="D956" s="47"/>
      <c r="E956" s="47"/>
      <c r="F956" s="478"/>
      <c r="G956" s="479"/>
      <c r="H956" s="9"/>
      <c r="I956" s="9"/>
      <c r="J956" s="503"/>
      <c r="K956" s="47"/>
      <c r="L956" s="47"/>
      <c r="M956" s="47"/>
      <c r="N956" s="9"/>
      <c r="O956" s="9"/>
      <c r="P956" s="9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  <c r="AB956" s="47"/>
      <c r="AC956" s="47"/>
      <c r="AD956" s="47"/>
      <c r="AE956" s="47"/>
      <c r="AF956" s="47"/>
      <c r="AG956" s="1345"/>
      <c r="AH956" s="47"/>
      <c r="AI956" s="47"/>
      <c r="AJ956" s="47"/>
      <c r="AK956" s="47"/>
      <c r="AL956" s="47"/>
      <c r="AM956" s="47"/>
      <c r="AN956" s="47"/>
      <c r="AO956" s="47"/>
      <c r="AP956" s="47"/>
      <c r="AQ956" s="47"/>
      <c r="AR956" s="47"/>
      <c r="AS956" s="47"/>
      <c r="AT956" s="47"/>
      <c r="AU956" s="47"/>
      <c r="AV956" s="47"/>
      <c r="AW956" s="47"/>
      <c r="AX956" s="47"/>
      <c r="AY956" s="47"/>
    </row>
    <row r="957" spans="1:51" ht="15.75" customHeight="1">
      <c r="A957" s="500"/>
      <c r="B957" s="477"/>
      <c r="C957" s="481"/>
      <c r="D957" s="47"/>
      <c r="E957" s="47"/>
      <c r="F957" s="478"/>
      <c r="G957" s="479"/>
      <c r="H957" s="9"/>
      <c r="I957" s="10"/>
      <c r="J957" s="503"/>
      <c r="K957" s="47"/>
      <c r="L957" s="47"/>
      <c r="M957" s="47"/>
      <c r="N957" s="9"/>
      <c r="O957" s="9"/>
      <c r="P957" s="9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  <c r="AB957" s="47"/>
      <c r="AC957" s="47"/>
      <c r="AD957" s="47"/>
      <c r="AE957" s="47"/>
      <c r="AF957" s="47"/>
      <c r="AG957" s="1345"/>
      <c r="AH957" s="47"/>
      <c r="AI957" s="47"/>
      <c r="AJ957" s="47"/>
      <c r="AK957" s="47"/>
      <c r="AL957" s="47"/>
      <c r="AM957" s="47"/>
      <c r="AN957" s="47"/>
      <c r="AO957" s="47"/>
      <c r="AP957" s="47"/>
      <c r="AQ957" s="47"/>
      <c r="AR957" s="47"/>
      <c r="AS957" s="47"/>
      <c r="AT957" s="47"/>
      <c r="AU957" s="47"/>
      <c r="AV957" s="47"/>
      <c r="AW957" s="47"/>
      <c r="AX957" s="47"/>
      <c r="AY957" s="47"/>
    </row>
    <row r="958" spans="1:51" ht="15.75" customHeight="1">
      <c r="A958" s="500"/>
      <c r="B958" s="477"/>
      <c r="C958" s="481"/>
      <c r="D958" s="47"/>
      <c r="E958" s="47"/>
      <c r="F958" s="478"/>
      <c r="G958" s="479"/>
      <c r="H958" s="9"/>
      <c r="I958" s="9"/>
      <c r="J958" s="503"/>
      <c r="K958" s="47"/>
      <c r="L958" s="47"/>
      <c r="M958" s="47"/>
      <c r="N958" s="9"/>
      <c r="O958" s="9"/>
      <c r="P958" s="9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  <c r="AB958" s="47"/>
      <c r="AC958" s="47"/>
      <c r="AD958" s="47"/>
      <c r="AE958" s="47"/>
      <c r="AF958" s="47"/>
      <c r="AG958" s="1345"/>
      <c r="AH958" s="47"/>
      <c r="AI958" s="47"/>
      <c r="AJ958" s="47"/>
      <c r="AK958" s="47"/>
      <c r="AL958" s="47"/>
      <c r="AM958" s="47"/>
      <c r="AN958" s="47"/>
      <c r="AO958" s="47"/>
      <c r="AP958" s="47"/>
      <c r="AQ958" s="47"/>
      <c r="AR958" s="47"/>
      <c r="AS958" s="47"/>
      <c r="AT958" s="47"/>
      <c r="AU958" s="47"/>
      <c r="AV958" s="47"/>
      <c r="AW958" s="47"/>
      <c r="AX958" s="47"/>
      <c r="AY958" s="47"/>
    </row>
    <row r="959" spans="1:51" ht="15.75" customHeight="1">
      <c r="A959" s="500"/>
      <c r="B959" s="477"/>
      <c r="C959" s="481"/>
      <c r="D959" s="47"/>
      <c r="E959" s="47"/>
      <c r="F959" s="478"/>
      <c r="G959" s="479"/>
      <c r="H959" s="9"/>
      <c r="I959" s="9"/>
      <c r="J959" s="503"/>
      <c r="K959" s="47"/>
      <c r="L959" s="47"/>
      <c r="M959" s="47"/>
      <c r="N959" s="9"/>
      <c r="O959" s="9"/>
      <c r="P959" s="9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  <c r="AB959" s="47"/>
      <c r="AC959" s="47"/>
      <c r="AD959" s="47"/>
      <c r="AE959" s="47"/>
      <c r="AF959" s="47"/>
      <c r="AG959" s="1345"/>
      <c r="AH959" s="47"/>
      <c r="AI959" s="47"/>
      <c r="AJ959" s="47"/>
      <c r="AK959" s="47"/>
      <c r="AL959" s="47"/>
      <c r="AM959" s="47"/>
      <c r="AN959" s="47"/>
      <c r="AO959" s="47"/>
      <c r="AP959" s="47"/>
      <c r="AQ959" s="47"/>
      <c r="AR959" s="47"/>
      <c r="AS959" s="47"/>
      <c r="AT959" s="47"/>
      <c r="AU959" s="47"/>
      <c r="AV959" s="47"/>
      <c r="AW959" s="47"/>
      <c r="AX959" s="47"/>
      <c r="AY959" s="47"/>
    </row>
    <row r="960" spans="1:51" ht="15.75" customHeight="1">
      <c r="A960" s="500"/>
      <c r="B960" s="477"/>
      <c r="C960" s="481"/>
      <c r="D960" s="47"/>
      <c r="E960" s="47"/>
      <c r="F960" s="478"/>
      <c r="G960" s="479"/>
      <c r="H960" s="9"/>
      <c r="I960" s="10"/>
      <c r="J960" s="503"/>
      <c r="K960" s="47"/>
      <c r="L960" s="47"/>
      <c r="M960" s="47"/>
      <c r="N960" s="9"/>
      <c r="O960" s="9"/>
      <c r="P960" s="9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  <c r="AB960" s="47"/>
      <c r="AC960" s="47"/>
      <c r="AD960" s="47"/>
      <c r="AE960" s="47"/>
      <c r="AF960" s="47"/>
      <c r="AG960" s="1345"/>
      <c r="AH960" s="47"/>
      <c r="AI960" s="47"/>
      <c r="AJ960" s="47"/>
      <c r="AK960" s="47"/>
      <c r="AL960" s="47"/>
      <c r="AM960" s="47"/>
      <c r="AN960" s="47"/>
      <c r="AO960" s="47"/>
      <c r="AP960" s="47"/>
      <c r="AQ960" s="47"/>
      <c r="AR960" s="47"/>
      <c r="AS960" s="47"/>
      <c r="AT960" s="47"/>
      <c r="AU960" s="47"/>
      <c r="AV960" s="47"/>
      <c r="AW960" s="47"/>
      <c r="AX960" s="47"/>
      <c r="AY960" s="47"/>
    </row>
    <row r="961" spans="1:51" ht="15.75" customHeight="1">
      <c r="A961" s="500"/>
      <c r="B961" s="477"/>
      <c r="C961" s="481"/>
      <c r="D961" s="47"/>
      <c r="E961" s="47"/>
      <c r="F961" s="478"/>
      <c r="G961" s="479"/>
      <c r="H961" s="9"/>
      <c r="I961" s="9"/>
      <c r="J961" s="503"/>
      <c r="K961" s="47"/>
      <c r="L961" s="47"/>
      <c r="M961" s="47"/>
      <c r="N961" s="9"/>
      <c r="O961" s="9"/>
      <c r="P961" s="9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7"/>
      <c r="AF961" s="47"/>
      <c r="AG961" s="1345"/>
      <c r="AH961" s="47"/>
      <c r="AI961" s="47"/>
      <c r="AJ961" s="47"/>
      <c r="AK961" s="47"/>
      <c r="AL961" s="47"/>
      <c r="AM961" s="47"/>
      <c r="AN961" s="47"/>
      <c r="AO961" s="47"/>
      <c r="AP961" s="47"/>
      <c r="AQ961" s="47"/>
      <c r="AR961" s="47"/>
      <c r="AS961" s="47"/>
      <c r="AT961" s="47"/>
      <c r="AU961" s="47"/>
      <c r="AV961" s="47"/>
      <c r="AW961" s="47"/>
      <c r="AX961" s="47"/>
      <c r="AY961" s="47"/>
    </row>
    <row r="962" spans="1:51" ht="15.75" customHeight="1">
      <c r="A962" s="500"/>
      <c r="B962" s="477"/>
      <c r="C962" s="481"/>
      <c r="D962" s="47"/>
      <c r="E962" s="47"/>
      <c r="F962" s="478"/>
      <c r="G962" s="479"/>
      <c r="H962" s="9"/>
      <c r="I962" s="9"/>
      <c r="J962" s="503"/>
      <c r="K962" s="47"/>
      <c r="L962" s="47"/>
      <c r="M962" s="47"/>
      <c r="N962" s="9"/>
      <c r="O962" s="9"/>
      <c r="P962" s="9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  <c r="AB962" s="47"/>
      <c r="AC962" s="47"/>
      <c r="AD962" s="47"/>
      <c r="AE962" s="47"/>
      <c r="AF962" s="47"/>
      <c r="AG962" s="1345"/>
      <c r="AH962" s="47"/>
      <c r="AI962" s="47"/>
      <c r="AJ962" s="47"/>
      <c r="AK962" s="47"/>
      <c r="AL962" s="47"/>
      <c r="AM962" s="47"/>
      <c r="AN962" s="47"/>
      <c r="AO962" s="47"/>
      <c r="AP962" s="47"/>
      <c r="AQ962" s="47"/>
      <c r="AR962" s="47"/>
      <c r="AS962" s="47"/>
      <c r="AT962" s="47"/>
      <c r="AU962" s="47"/>
      <c r="AV962" s="47"/>
      <c r="AW962" s="47"/>
      <c r="AX962" s="47"/>
      <c r="AY962" s="47"/>
    </row>
    <row r="963" spans="1:51" ht="15.75" customHeight="1">
      <c r="A963" s="500"/>
      <c r="B963" s="477"/>
      <c r="C963" s="481"/>
      <c r="D963" s="47"/>
      <c r="E963" s="47"/>
      <c r="F963" s="478"/>
      <c r="G963" s="479"/>
      <c r="H963" s="9"/>
      <c r="I963" s="10"/>
      <c r="J963" s="503"/>
      <c r="K963" s="47"/>
      <c r="L963" s="47"/>
      <c r="M963" s="47"/>
      <c r="N963" s="9"/>
      <c r="O963" s="9"/>
      <c r="P963" s="9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  <c r="AB963" s="47"/>
      <c r="AC963" s="47"/>
      <c r="AD963" s="47"/>
      <c r="AE963" s="47"/>
      <c r="AF963" s="47"/>
      <c r="AG963" s="1345"/>
      <c r="AH963" s="47"/>
      <c r="AI963" s="47"/>
      <c r="AJ963" s="47"/>
      <c r="AK963" s="47"/>
      <c r="AL963" s="47"/>
      <c r="AM963" s="47"/>
      <c r="AN963" s="47"/>
      <c r="AO963" s="47"/>
      <c r="AP963" s="47"/>
      <c r="AQ963" s="47"/>
      <c r="AR963" s="47"/>
      <c r="AS963" s="47"/>
      <c r="AT963" s="47"/>
      <c r="AU963" s="47"/>
      <c r="AV963" s="47"/>
      <c r="AW963" s="47"/>
      <c r="AX963" s="47"/>
      <c r="AY963" s="47"/>
    </row>
    <row r="964" spans="1:51" ht="15.75" customHeight="1">
      <c r="A964" s="500"/>
      <c r="B964" s="477"/>
      <c r="C964" s="481"/>
      <c r="D964" s="47"/>
      <c r="E964" s="47"/>
      <c r="F964" s="478"/>
      <c r="G964" s="479"/>
      <c r="H964" s="9"/>
      <c r="I964" s="9"/>
      <c r="J964" s="503"/>
      <c r="K964" s="47"/>
      <c r="L964" s="47"/>
      <c r="M964" s="47"/>
      <c r="N964" s="9"/>
      <c r="O964" s="9"/>
      <c r="P964" s="9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  <c r="AB964" s="47"/>
      <c r="AC964" s="47"/>
      <c r="AD964" s="47"/>
      <c r="AE964" s="47"/>
      <c r="AF964" s="47"/>
      <c r="AG964" s="1345"/>
      <c r="AH964" s="47"/>
      <c r="AI964" s="47"/>
      <c r="AJ964" s="47"/>
      <c r="AK964" s="47"/>
      <c r="AL964" s="47"/>
      <c r="AM964" s="47"/>
      <c r="AN964" s="47"/>
      <c r="AO964" s="47"/>
      <c r="AP964" s="47"/>
      <c r="AQ964" s="47"/>
      <c r="AR964" s="47"/>
      <c r="AS964" s="47"/>
      <c r="AT964" s="47"/>
      <c r="AU964" s="47"/>
      <c r="AV964" s="47"/>
      <c r="AW964" s="47"/>
      <c r="AX964" s="47"/>
      <c r="AY964" s="47"/>
    </row>
    <row r="965" spans="1:51" ht="15.75" customHeight="1">
      <c r="A965" s="500"/>
      <c r="B965" s="477"/>
      <c r="C965" s="481"/>
      <c r="D965" s="47"/>
      <c r="E965" s="47"/>
      <c r="F965" s="478"/>
      <c r="G965" s="479"/>
      <c r="H965" s="9"/>
      <c r="I965" s="10"/>
      <c r="J965" s="503"/>
      <c r="K965" s="47"/>
      <c r="L965" s="47"/>
      <c r="M965" s="47"/>
      <c r="N965" s="9"/>
      <c r="O965" s="9"/>
      <c r="P965" s="9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  <c r="AB965" s="47"/>
      <c r="AC965" s="47"/>
      <c r="AD965" s="47"/>
      <c r="AE965" s="47"/>
      <c r="AF965" s="47"/>
      <c r="AG965" s="1345"/>
      <c r="AH965" s="47"/>
      <c r="AI965" s="47"/>
      <c r="AJ965" s="47"/>
      <c r="AK965" s="47"/>
      <c r="AL965" s="47"/>
      <c r="AM965" s="47"/>
      <c r="AN965" s="47"/>
      <c r="AO965" s="47"/>
      <c r="AP965" s="47"/>
      <c r="AQ965" s="47"/>
      <c r="AR965" s="47"/>
      <c r="AS965" s="47"/>
      <c r="AT965" s="47"/>
      <c r="AU965" s="47"/>
      <c r="AV965" s="47"/>
      <c r="AW965" s="47"/>
      <c r="AX965" s="47"/>
      <c r="AY965" s="47"/>
    </row>
    <row r="966" spans="1:51" ht="15.75" customHeight="1">
      <c r="A966" s="500"/>
      <c r="B966" s="477"/>
      <c r="C966" s="481"/>
      <c r="D966" s="47"/>
      <c r="E966" s="47"/>
      <c r="F966" s="478"/>
      <c r="G966" s="479"/>
      <c r="H966" s="47"/>
      <c r="I966" s="478"/>
      <c r="J966" s="503"/>
      <c r="K966" s="47"/>
      <c r="L966" s="47"/>
      <c r="M966" s="47"/>
      <c r="N966" s="9"/>
      <c r="O966" s="9"/>
      <c r="P966" s="9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  <c r="AB966" s="47"/>
      <c r="AC966" s="47"/>
      <c r="AD966" s="47"/>
      <c r="AE966" s="47"/>
      <c r="AF966" s="47"/>
      <c r="AG966" s="1345"/>
      <c r="AH966" s="47"/>
      <c r="AI966" s="47"/>
      <c r="AJ966" s="47"/>
      <c r="AK966" s="47"/>
      <c r="AL966" s="47"/>
      <c r="AM966" s="47"/>
      <c r="AN966" s="47"/>
      <c r="AO966" s="47"/>
      <c r="AP966" s="47"/>
      <c r="AQ966" s="47"/>
      <c r="AR966" s="47"/>
      <c r="AS966" s="47"/>
      <c r="AT966" s="47"/>
      <c r="AU966" s="47"/>
      <c r="AV966" s="47"/>
      <c r="AW966" s="47"/>
      <c r="AX966" s="47"/>
      <c r="AY966" s="47"/>
    </row>
    <row r="967" spans="1:51" ht="15.75" customHeight="1">
      <c r="A967" s="500"/>
      <c r="B967" s="477"/>
      <c r="C967" s="481"/>
      <c r="D967" s="47"/>
      <c r="E967" s="47"/>
      <c r="F967" s="478"/>
      <c r="G967" s="479"/>
      <c r="H967" s="47"/>
      <c r="I967" s="478"/>
      <c r="J967" s="503"/>
      <c r="K967" s="47"/>
      <c r="L967" s="47"/>
      <c r="M967" s="47"/>
      <c r="N967" s="9"/>
      <c r="O967" s="9"/>
      <c r="P967" s="9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  <c r="AB967" s="47"/>
      <c r="AC967" s="47"/>
      <c r="AD967" s="47"/>
      <c r="AE967" s="47"/>
      <c r="AF967" s="47"/>
      <c r="AG967" s="1345"/>
      <c r="AH967" s="47"/>
      <c r="AI967" s="47"/>
      <c r="AJ967" s="47"/>
      <c r="AK967" s="47"/>
      <c r="AL967" s="47"/>
      <c r="AM967" s="47"/>
      <c r="AN967" s="47"/>
      <c r="AO967" s="47"/>
      <c r="AP967" s="47"/>
      <c r="AQ967" s="47"/>
      <c r="AR967" s="47"/>
      <c r="AS967" s="47"/>
      <c r="AT967" s="47"/>
      <c r="AU967" s="47"/>
      <c r="AV967" s="47"/>
      <c r="AW967" s="47"/>
      <c r="AX967" s="47"/>
      <c r="AY967" s="47"/>
    </row>
    <row r="968" spans="1:51" ht="15.75" customHeight="1">
      <c r="A968" s="500"/>
      <c r="B968" s="477"/>
      <c r="C968" s="481"/>
      <c r="D968" s="47"/>
      <c r="E968" s="47"/>
      <c r="F968" s="478"/>
      <c r="G968" s="479"/>
      <c r="H968" s="9"/>
      <c r="I968" s="9"/>
      <c r="J968" s="503"/>
      <c r="K968" s="47"/>
      <c r="L968" s="47"/>
      <c r="M968" s="47"/>
      <c r="N968" s="9"/>
      <c r="O968" s="9"/>
      <c r="P968" s="9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  <c r="AB968" s="47"/>
      <c r="AC968" s="47"/>
      <c r="AD968" s="47"/>
      <c r="AE968" s="47"/>
      <c r="AF968" s="47"/>
      <c r="AG968" s="1345"/>
      <c r="AH968" s="47"/>
      <c r="AI968" s="47"/>
      <c r="AJ968" s="47"/>
      <c r="AK968" s="47"/>
      <c r="AL968" s="47"/>
      <c r="AM968" s="47"/>
      <c r="AN968" s="47"/>
      <c r="AO968" s="47"/>
      <c r="AP968" s="47"/>
      <c r="AQ968" s="47"/>
      <c r="AR968" s="47"/>
      <c r="AS968" s="47"/>
      <c r="AT968" s="47"/>
      <c r="AU968" s="47"/>
      <c r="AV968" s="47"/>
      <c r="AW968" s="47"/>
      <c r="AX968" s="47"/>
      <c r="AY968" s="47"/>
    </row>
    <row r="969" spans="1:51" ht="15.75" customHeight="1">
      <c r="A969" s="500"/>
      <c r="B969" s="477"/>
      <c r="C969" s="481"/>
      <c r="D969" s="47"/>
      <c r="E969" s="47"/>
      <c r="F969" s="478"/>
      <c r="G969" s="479"/>
      <c r="H969" s="9"/>
      <c r="I969" s="10"/>
      <c r="J969" s="503"/>
      <c r="K969" s="47"/>
      <c r="L969" s="47"/>
      <c r="M969" s="47"/>
      <c r="N969" s="9"/>
      <c r="O969" s="9"/>
      <c r="P969" s="9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  <c r="AB969" s="47"/>
      <c r="AC969" s="47"/>
      <c r="AD969" s="47"/>
      <c r="AE969" s="47"/>
      <c r="AF969" s="47"/>
      <c r="AG969" s="1345"/>
      <c r="AH969" s="47"/>
      <c r="AI969" s="47"/>
      <c r="AJ969" s="47"/>
      <c r="AK969" s="47"/>
      <c r="AL969" s="47"/>
      <c r="AM969" s="47"/>
      <c r="AN969" s="47"/>
      <c r="AO969" s="47"/>
      <c r="AP969" s="47"/>
      <c r="AQ969" s="47"/>
      <c r="AR969" s="47"/>
      <c r="AS969" s="47"/>
      <c r="AT969" s="47"/>
      <c r="AU969" s="47"/>
      <c r="AV969" s="47"/>
      <c r="AW969" s="47"/>
      <c r="AX969" s="47"/>
      <c r="AY969" s="47"/>
    </row>
    <row r="970" spans="1:51" ht="15.75" customHeight="1">
      <c r="A970" s="500"/>
      <c r="B970" s="477"/>
      <c r="C970" s="481"/>
      <c r="D970" s="47"/>
      <c r="E970" s="47"/>
      <c r="F970" s="478"/>
      <c r="G970" s="479"/>
      <c r="H970" s="9"/>
      <c r="I970" s="9"/>
      <c r="J970" s="503"/>
      <c r="K970" s="47"/>
      <c r="L970" s="47"/>
      <c r="M970" s="47"/>
      <c r="N970" s="9"/>
      <c r="O970" s="9"/>
      <c r="P970" s="9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  <c r="AB970" s="47"/>
      <c r="AC970" s="47"/>
      <c r="AD970" s="47"/>
      <c r="AE970" s="47"/>
      <c r="AF970" s="47"/>
      <c r="AG970" s="1345"/>
      <c r="AH970" s="47"/>
      <c r="AI970" s="47"/>
      <c r="AJ970" s="47"/>
      <c r="AK970" s="47"/>
      <c r="AL970" s="47"/>
      <c r="AM970" s="47"/>
      <c r="AN970" s="47"/>
      <c r="AO970" s="47"/>
      <c r="AP970" s="47"/>
      <c r="AQ970" s="47"/>
      <c r="AR970" s="47"/>
      <c r="AS970" s="47"/>
      <c r="AT970" s="47"/>
      <c r="AU970" s="47"/>
      <c r="AV970" s="47"/>
      <c r="AW970" s="47"/>
      <c r="AX970" s="47"/>
      <c r="AY970" s="47"/>
    </row>
    <row r="971" spans="1:51" ht="15.75" customHeight="1">
      <c r="A971" s="500"/>
      <c r="B971" s="477"/>
      <c r="C971" s="481"/>
      <c r="D971" s="47"/>
      <c r="E971" s="47"/>
      <c r="F971" s="478"/>
      <c r="G971" s="479"/>
      <c r="H971" s="9"/>
      <c r="I971" s="9"/>
      <c r="J971" s="503"/>
      <c r="K971" s="47"/>
      <c r="L971" s="47"/>
      <c r="M971" s="47"/>
      <c r="N971" s="9"/>
      <c r="O971" s="9"/>
      <c r="P971" s="9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  <c r="AB971" s="47"/>
      <c r="AC971" s="47"/>
      <c r="AD971" s="47"/>
      <c r="AE971" s="47"/>
      <c r="AF971" s="47"/>
      <c r="AG971" s="1345"/>
      <c r="AH971" s="47"/>
      <c r="AI971" s="47"/>
      <c r="AJ971" s="47"/>
      <c r="AK971" s="47"/>
      <c r="AL971" s="47"/>
      <c r="AM971" s="47"/>
      <c r="AN971" s="47"/>
      <c r="AO971" s="47"/>
      <c r="AP971" s="47"/>
      <c r="AQ971" s="47"/>
      <c r="AR971" s="47"/>
      <c r="AS971" s="47"/>
      <c r="AT971" s="47"/>
      <c r="AU971" s="47"/>
      <c r="AV971" s="47"/>
      <c r="AW971" s="47"/>
      <c r="AX971" s="47"/>
      <c r="AY971" s="47"/>
    </row>
    <row r="972" spans="1:51" ht="15.75" customHeight="1">
      <c r="A972" s="500"/>
      <c r="B972" s="477"/>
      <c r="C972" s="481"/>
      <c r="D972" s="47"/>
      <c r="E972" s="47"/>
      <c r="F972" s="478"/>
      <c r="G972" s="479"/>
      <c r="H972" s="9"/>
      <c r="I972" s="9"/>
      <c r="J972" s="503"/>
      <c r="K972" s="47"/>
      <c r="L972" s="47"/>
      <c r="M972" s="47"/>
      <c r="N972" s="9"/>
      <c r="O972" s="9"/>
      <c r="P972" s="9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  <c r="AB972" s="47"/>
      <c r="AC972" s="47"/>
      <c r="AD972" s="47"/>
      <c r="AE972" s="47"/>
      <c r="AF972" s="47"/>
      <c r="AG972" s="1345"/>
      <c r="AH972" s="47"/>
      <c r="AI972" s="47"/>
      <c r="AJ972" s="47"/>
      <c r="AK972" s="47"/>
      <c r="AL972" s="47"/>
      <c r="AM972" s="47"/>
      <c r="AN972" s="47"/>
      <c r="AO972" s="47"/>
      <c r="AP972" s="47"/>
      <c r="AQ972" s="47"/>
      <c r="AR972" s="47"/>
      <c r="AS972" s="47"/>
      <c r="AT972" s="47"/>
      <c r="AU972" s="47"/>
      <c r="AV972" s="47"/>
      <c r="AW972" s="47"/>
      <c r="AX972" s="47"/>
      <c r="AY972" s="47"/>
    </row>
    <row r="973" spans="1:51" ht="15.75" customHeight="1">
      <c r="A973" s="500"/>
      <c r="B973" s="477"/>
      <c r="C973" s="481"/>
      <c r="D973" s="47"/>
      <c r="E973" s="47"/>
      <c r="F973" s="478"/>
      <c r="G973" s="479"/>
      <c r="H973" s="9"/>
      <c r="I973" s="9"/>
      <c r="J973" s="503"/>
      <c r="K973" s="47"/>
      <c r="L973" s="47"/>
      <c r="M973" s="47"/>
      <c r="N973" s="9"/>
      <c r="O973" s="9"/>
      <c r="P973" s="9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  <c r="AB973" s="47"/>
      <c r="AC973" s="47"/>
      <c r="AD973" s="47"/>
      <c r="AE973" s="47"/>
      <c r="AF973" s="47"/>
      <c r="AG973" s="1345"/>
      <c r="AH973" s="47"/>
      <c r="AI973" s="47"/>
      <c r="AJ973" s="47"/>
      <c r="AK973" s="47"/>
      <c r="AL973" s="47"/>
      <c r="AM973" s="47"/>
      <c r="AN973" s="47"/>
      <c r="AO973" s="47"/>
      <c r="AP973" s="47"/>
      <c r="AQ973" s="47"/>
      <c r="AR973" s="47"/>
      <c r="AS973" s="47"/>
      <c r="AT973" s="47"/>
      <c r="AU973" s="47"/>
      <c r="AV973" s="47"/>
      <c r="AW973" s="47"/>
      <c r="AX973" s="47"/>
      <c r="AY973" s="47"/>
    </row>
    <row r="974" spans="1:51" ht="15.75" customHeight="1">
      <c r="A974" s="500"/>
      <c r="B974" s="477"/>
      <c r="C974" s="481"/>
      <c r="D974" s="47"/>
      <c r="E974" s="47"/>
      <c r="F974" s="478"/>
      <c r="G974" s="479"/>
      <c r="H974" s="9"/>
      <c r="I974" s="9"/>
      <c r="J974" s="503"/>
      <c r="K974" s="47"/>
      <c r="L974" s="47"/>
      <c r="M974" s="47"/>
      <c r="N974" s="9"/>
      <c r="O974" s="9"/>
      <c r="P974" s="9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  <c r="AB974" s="47"/>
      <c r="AC974" s="47"/>
      <c r="AD974" s="47"/>
      <c r="AE974" s="47"/>
      <c r="AF974" s="47"/>
      <c r="AG974" s="1345"/>
      <c r="AH974" s="47"/>
      <c r="AI974" s="47"/>
      <c r="AJ974" s="47"/>
      <c r="AK974" s="47"/>
      <c r="AL974" s="47"/>
      <c r="AM974" s="47"/>
      <c r="AN974" s="47"/>
      <c r="AO974" s="47"/>
      <c r="AP974" s="47"/>
      <c r="AQ974" s="47"/>
      <c r="AR974" s="47"/>
      <c r="AS974" s="47"/>
      <c r="AT974" s="47"/>
      <c r="AU974" s="47"/>
      <c r="AV974" s="47"/>
      <c r="AW974" s="47"/>
      <c r="AX974" s="47"/>
      <c r="AY974" s="47"/>
    </row>
    <row r="975" spans="1:51" ht="15.75" customHeight="1">
      <c r="A975" s="500"/>
      <c r="B975" s="477"/>
      <c r="C975" s="481"/>
      <c r="D975" s="47"/>
      <c r="E975" s="47"/>
      <c r="F975" s="478"/>
      <c r="G975" s="479"/>
      <c r="H975" s="9"/>
      <c r="I975" s="9"/>
      <c r="J975" s="503"/>
      <c r="K975" s="47"/>
      <c r="L975" s="47"/>
      <c r="M975" s="47"/>
      <c r="N975" s="9"/>
      <c r="O975" s="9"/>
      <c r="P975" s="9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  <c r="AB975" s="47"/>
      <c r="AC975" s="47"/>
      <c r="AD975" s="47"/>
      <c r="AE975" s="47"/>
      <c r="AF975" s="47"/>
      <c r="AG975" s="1345"/>
      <c r="AH975" s="47"/>
      <c r="AI975" s="47"/>
      <c r="AJ975" s="47"/>
      <c r="AK975" s="47"/>
      <c r="AL975" s="47"/>
      <c r="AM975" s="47"/>
      <c r="AN975" s="47"/>
      <c r="AO975" s="47"/>
      <c r="AP975" s="47"/>
      <c r="AQ975" s="47"/>
      <c r="AR975" s="47"/>
      <c r="AS975" s="47"/>
      <c r="AT975" s="47"/>
      <c r="AU975" s="47"/>
      <c r="AV975" s="47"/>
      <c r="AW975" s="47"/>
      <c r="AX975" s="47"/>
      <c r="AY975" s="47"/>
    </row>
    <row r="976" spans="1:51" ht="15.75" customHeight="1">
      <c r="A976" s="500"/>
      <c r="B976" s="477"/>
      <c r="C976" s="481"/>
      <c r="D976" s="47"/>
      <c r="E976" s="47"/>
      <c r="F976" s="478"/>
      <c r="G976" s="479"/>
      <c r="H976" s="9"/>
      <c r="I976" s="9"/>
      <c r="J976" s="503"/>
      <c r="K976" s="47"/>
      <c r="L976" s="47"/>
      <c r="M976" s="47"/>
      <c r="N976" s="9"/>
      <c r="O976" s="9"/>
      <c r="P976" s="9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  <c r="AB976" s="47"/>
      <c r="AC976" s="47"/>
      <c r="AD976" s="47"/>
      <c r="AE976" s="47"/>
      <c r="AF976" s="47"/>
      <c r="AG976" s="1345"/>
      <c r="AH976" s="47"/>
      <c r="AI976" s="47"/>
      <c r="AJ976" s="47"/>
      <c r="AK976" s="47"/>
      <c r="AL976" s="47"/>
      <c r="AM976" s="47"/>
      <c r="AN976" s="47"/>
      <c r="AO976" s="47"/>
      <c r="AP976" s="47"/>
      <c r="AQ976" s="47"/>
      <c r="AR976" s="47"/>
      <c r="AS976" s="47"/>
      <c r="AT976" s="47"/>
      <c r="AU976" s="47"/>
      <c r="AV976" s="47"/>
      <c r="AW976" s="47"/>
      <c r="AX976" s="47"/>
      <c r="AY976" s="47"/>
    </row>
    <row r="977" spans="1:51" ht="15.75" customHeight="1">
      <c r="A977" s="500"/>
      <c r="B977" s="477"/>
      <c r="C977" s="481"/>
      <c r="D977" s="47"/>
      <c r="E977" s="47"/>
      <c r="F977" s="478"/>
      <c r="G977" s="479"/>
      <c r="H977" s="9"/>
      <c r="I977" s="9"/>
      <c r="J977" s="503"/>
      <c r="K977" s="47"/>
      <c r="L977" s="47"/>
      <c r="M977" s="47"/>
      <c r="N977" s="9"/>
      <c r="O977" s="9"/>
      <c r="P977" s="9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  <c r="AB977" s="47"/>
      <c r="AC977" s="47"/>
      <c r="AD977" s="47"/>
      <c r="AE977" s="47"/>
      <c r="AF977" s="47"/>
      <c r="AG977" s="1345"/>
      <c r="AH977" s="47"/>
      <c r="AI977" s="47"/>
      <c r="AJ977" s="47"/>
      <c r="AK977" s="47"/>
      <c r="AL977" s="47"/>
      <c r="AM977" s="47"/>
      <c r="AN977" s="47"/>
      <c r="AO977" s="47"/>
      <c r="AP977" s="47"/>
      <c r="AQ977" s="47"/>
      <c r="AR977" s="47"/>
      <c r="AS977" s="47"/>
      <c r="AT977" s="47"/>
      <c r="AU977" s="47"/>
      <c r="AV977" s="47"/>
      <c r="AW977" s="47"/>
      <c r="AX977" s="47"/>
      <c r="AY977" s="47"/>
    </row>
    <row r="978" spans="1:51" ht="15.75" customHeight="1">
      <c r="A978" s="500"/>
      <c r="B978" s="477"/>
      <c r="C978" s="481"/>
      <c r="D978" s="47"/>
      <c r="E978" s="47"/>
      <c r="F978" s="478"/>
      <c r="G978" s="479"/>
      <c r="H978" s="9"/>
      <c r="I978" s="9"/>
      <c r="J978" s="503"/>
      <c r="K978" s="47"/>
      <c r="L978" s="47"/>
      <c r="M978" s="47"/>
      <c r="N978" s="9"/>
      <c r="O978" s="9"/>
      <c r="P978" s="9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1345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</row>
    <row r="979" spans="1:51" ht="15.75" customHeight="1">
      <c r="A979" s="500"/>
      <c r="B979" s="477"/>
      <c r="C979" s="481"/>
      <c r="D979" s="47"/>
      <c r="E979" s="47"/>
      <c r="F979" s="478"/>
      <c r="G979" s="479"/>
      <c r="H979" s="9"/>
      <c r="I979" s="9"/>
      <c r="J979" s="503"/>
      <c r="K979" s="47"/>
      <c r="L979" s="47"/>
      <c r="M979" s="47"/>
      <c r="N979" s="9"/>
      <c r="O979" s="9"/>
      <c r="P979" s="9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  <c r="AB979" s="47"/>
      <c r="AC979" s="47"/>
      <c r="AD979" s="47"/>
      <c r="AE979" s="47"/>
      <c r="AF979" s="47"/>
      <c r="AG979" s="1345"/>
      <c r="AH979" s="47"/>
      <c r="AI979" s="47"/>
      <c r="AJ979" s="47"/>
      <c r="AK979" s="47"/>
      <c r="AL979" s="47"/>
      <c r="AM979" s="47"/>
      <c r="AN979" s="47"/>
      <c r="AO979" s="47"/>
      <c r="AP979" s="47"/>
      <c r="AQ979" s="47"/>
      <c r="AR979" s="47"/>
      <c r="AS979" s="47"/>
      <c r="AT979" s="47"/>
      <c r="AU979" s="47"/>
      <c r="AV979" s="47"/>
      <c r="AW979" s="47"/>
      <c r="AX979" s="47"/>
      <c r="AY979" s="47"/>
    </row>
    <row r="980" spans="1:51" ht="15.75" customHeight="1">
      <c r="A980" s="500"/>
      <c r="B980" s="477"/>
      <c r="C980" s="481"/>
      <c r="D980" s="47"/>
      <c r="E980" s="47"/>
      <c r="F980" s="478"/>
      <c r="G980" s="479"/>
      <c r="H980" s="9"/>
      <c r="I980" s="9"/>
      <c r="J980" s="503"/>
      <c r="K980" s="47"/>
      <c r="L980" s="47"/>
      <c r="M980" s="47"/>
      <c r="N980" s="9"/>
      <c r="O980" s="9"/>
      <c r="P980" s="9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  <c r="AB980" s="47"/>
      <c r="AC980" s="47"/>
      <c r="AD980" s="47"/>
      <c r="AE980" s="47"/>
      <c r="AF980" s="47"/>
      <c r="AG980" s="1345"/>
      <c r="AH980" s="47"/>
      <c r="AI980" s="47"/>
      <c r="AJ980" s="47"/>
      <c r="AK980" s="47"/>
      <c r="AL980" s="47"/>
      <c r="AM980" s="47"/>
      <c r="AN980" s="47"/>
      <c r="AO980" s="47"/>
      <c r="AP980" s="47"/>
      <c r="AQ980" s="47"/>
      <c r="AR980" s="47"/>
      <c r="AS980" s="47"/>
      <c r="AT980" s="47"/>
      <c r="AU980" s="47"/>
      <c r="AV980" s="47"/>
      <c r="AW980" s="47"/>
      <c r="AX980" s="47"/>
      <c r="AY980" s="47"/>
    </row>
    <row r="981" spans="1:51" ht="15.75" customHeight="1">
      <c r="A981" s="500"/>
      <c r="B981" s="477"/>
      <c r="C981" s="481"/>
      <c r="D981" s="47"/>
      <c r="E981" s="47"/>
      <c r="F981" s="478"/>
      <c r="G981" s="479"/>
      <c r="H981" s="9"/>
      <c r="I981" s="9"/>
      <c r="J981" s="503"/>
      <c r="K981" s="47"/>
      <c r="L981" s="47"/>
      <c r="M981" s="47"/>
      <c r="N981" s="9"/>
      <c r="O981" s="9"/>
      <c r="P981" s="9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  <c r="AB981" s="47"/>
      <c r="AC981" s="47"/>
      <c r="AD981" s="47"/>
      <c r="AE981" s="47"/>
      <c r="AF981" s="47"/>
      <c r="AG981" s="1345"/>
      <c r="AH981" s="47"/>
      <c r="AI981" s="47"/>
      <c r="AJ981" s="47"/>
      <c r="AK981" s="47"/>
      <c r="AL981" s="47"/>
      <c r="AM981" s="47"/>
      <c r="AN981" s="47"/>
      <c r="AO981" s="47"/>
      <c r="AP981" s="47"/>
      <c r="AQ981" s="47"/>
      <c r="AR981" s="47"/>
      <c r="AS981" s="47"/>
      <c r="AT981" s="47"/>
      <c r="AU981" s="47"/>
      <c r="AV981" s="47"/>
      <c r="AW981" s="47"/>
      <c r="AX981" s="47"/>
      <c r="AY981" s="47"/>
    </row>
    <row r="982" spans="1:51" ht="15.75" customHeight="1">
      <c r="A982" s="500"/>
      <c r="B982" s="477"/>
      <c r="C982" s="481"/>
      <c r="D982" s="47"/>
      <c r="E982" s="47"/>
      <c r="F982" s="478"/>
      <c r="G982" s="479"/>
      <c r="H982" s="9"/>
      <c r="I982" s="9"/>
      <c r="J982" s="503"/>
      <c r="K982" s="47"/>
      <c r="L982" s="47"/>
      <c r="M982" s="47"/>
      <c r="N982" s="9"/>
      <c r="O982" s="9"/>
      <c r="P982" s="9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  <c r="AB982" s="47"/>
      <c r="AC982" s="47"/>
      <c r="AD982" s="47"/>
      <c r="AE982" s="47"/>
      <c r="AF982" s="47"/>
      <c r="AG982" s="1345"/>
      <c r="AH982" s="47"/>
      <c r="AI982" s="47"/>
      <c r="AJ982" s="47"/>
      <c r="AK982" s="47"/>
      <c r="AL982" s="47"/>
      <c r="AM982" s="47"/>
      <c r="AN982" s="47"/>
      <c r="AO982" s="47"/>
      <c r="AP982" s="47"/>
      <c r="AQ982" s="47"/>
      <c r="AR982" s="47"/>
      <c r="AS982" s="47"/>
      <c r="AT982" s="47"/>
      <c r="AU982" s="47"/>
      <c r="AV982" s="47"/>
      <c r="AW982" s="47"/>
      <c r="AX982" s="47"/>
      <c r="AY982" s="47"/>
    </row>
    <row r="983" spans="1:51" ht="15.75" customHeight="1">
      <c r="A983" s="500"/>
      <c r="B983" s="477"/>
      <c r="C983" s="481"/>
      <c r="D983" s="47"/>
      <c r="E983" s="47"/>
      <c r="F983" s="478"/>
      <c r="G983" s="479"/>
      <c r="H983" s="9"/>
      <c r="I983" s="9"/>
      <c r="J983" s="503"/>
      <c r="K983" s="47"/>
      <c r="L983" s="47"/>
      <c r="M983" s="47"/>
      <c r="N983" s="9"/>
      <c r="O983" s="9"/>
      <c r="P983" s="9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  <c r="AB983" s="47"/>
      <c r="AC983" s="47"/>
      <c r="AD983" s="47"/>
      <c r="AE983" s="47"/>
      <c r="AF983" s="47"/>
      <c r="AG983" s="1345"/>
      <c r="AH983" s="47"/>
      <c r="AI983" s="47"/>
      <c r="AJ983" s="47"/>
      <c r="AK983" s="47"/>
      <c r="AL983" s="47"/>
      <c r="AM983" s="47"/>
      <c r="AN983" s="47"/>
      <c r="AO983" s="47"/>
      <c r="AP983" s="47"/>
      <c r="AQ983" s="47"/>
      <c r="AR983" s="47"/>
      <c r="AS983" s="47"/>
      <c r="AT983" s="47"/>
      <c r="AU983" s="47"/>
      <c r="AV983" s="47"/>
      <c r="AW983" s="47"/>
      <c r="AX983" s="47"/>
      <c r="AY983" s="47"/>
    </row>
    <row r="984" spans="1:51" ht="15.75" customHeight="1">
      <c r="A984" s="500"/>
      <c r="B984" s="477"/>
      <c r="C984" s="481"/>
      <c r="D984" s="47"/>
      <c r="E984" s="47"/>
      <c r="F984" s="478"/>
      <c r="G984" s="479"/>
      <c r="H984" s="9"/>
      <c r="I984" s="9"/>
      <c r="J984" s="503"/>
      <c r="K984" s="47"/>
      <c r="L984" s="47"/>
      <c r="M984" s="47"/>
      <c r="N984" s="9"/>
      <c r="O984" s="9"/>
      <c r="P984" s="9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  <c r="AB984" s="47"/>
      <c r="AC984" s="47"/>
      <c r="AD984" s="47"/>
      <c r="AE984" s="47"/>
      <c r="AF984" s="47"/>
      <c r="AG984" s="1345"/>
      <c r="AH984" s="47"/>
      <c r="AI984" s="47"/>
      <c r="AJ984" s="47"/>
      <c r="AK984" s="47"/>
      <c r="AL984" s="47"/>
      <c r="AM984" s="47"/>
      <c r="AN984" s="47"/>
      <c r="AO984" s="47"/>
      <c r="AP984" s="47"/>
      <c r="AQ984" s="47"/>
      <c r="AR984" s="47"/>
      <c r="AS984" s="47"/>
      <c r="AT984" s="47"/>
      <c r="AU984" s="47"/>
      <c r="AV984" s="47"/>
      <c r="AW984" s="47"/>
      <c r="AX984" s="47"/>
      <c r="AY984" s="47"/>
    </row>
    <row r="985" spans="1:51" ht="15.75" customHeight="1">
      <c r="A985" s="500"/>
      <c r="B985" s="477"/>
      <c r="C985" s="481"/>
      <c r="D985" s="47"/>
      <c r="E985" s="47"/>
      <c r="F985" s="478"/>
      <c r="G985" s="479"/>
      <c r="H985" s="9"/>
      <c r="I985" s="9"/>
      <c r="J985" s="503"/>
      <c r="K985" s="47"/>
      <c r="L985" s="47"/>
      <c r="M985" s="47"/>
      <c r="N985" s="9"/>
      <c r="O985" s="9"/>
      <c r="P985" s="9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1345"/>
      <c r="AH985" s="47"/>
      <c r="AI985" s="47"/>
      <c r="AJ985" s="47"/>
      <c r="AK985" s="47"/>
      <c r="AL985" s="47"/>
      <c r="AM985" s="47"/>
      <c r="AN985" s="47"/>
      <c r="AO985" s="47"/>
      <c r="AP985" s="47"/>
      <c r="AQ985" s="47"/>
      <c r="AR985" s="47"/>
      <c r="AS985" s="47"/>
      <c r="AT985" s="47"/>
      <c r="AU985" s="47"/>
      <c r="AV985" s="47"/>
      <c r="AW985" s="47"/>
      <c r="AX985" s="47"/>
      <c r="AY985" s="47"/>
    </row>
    <row r="986" spans="1:51" ht="15.75" customHeight="1">
      <c r="A986" s="500"/>
      <c r="B986" s="477"/>
      <c r="C986" s="481"/>
      <c r="D986" s="47"/>
      <c r="E986" s="47"/>
      <c r="F986" s="478"/>
      <c r="G986" s="479"/>
      <c r="H986" s="9"/>
      <c r="I986" s="10"/>
      <c r="J986" s="503"/>
      <c r="K986" s="47"/>
      <c r="L986" s="47"/>
      <c r="M986" s="47"/>
      <c r="N986" s="9"/>
      <c r="O986" s="9"/>
      <c r="P986" s="9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  <c r="AB986" s="47"/>
      <c r="AC986" s="47"/>
      <c r="AD986" s="47"/>
      <c r="AE986" s="47"/>
      <c r="AF986" s="47"/>
      <c r="AG986" s="1345"/>
      <c r="AH986" s="47"/>
      <c r="AI986" s="47"/>
      <c r="AJ986" s="47"/>
      <c r="AK986" s="47"/>
      <c r="AL986" s="47"/>
      <c r="AM986" s="47"/>
      <c r="AN986" s="47"/>
      <c r="AO986" s="47"/>
      <c r="AP986" s="47"/>
      <c r="AQ986" s="47"/>
      <c r="AR986" s="47"/>
      <c r="AS986" s="47"/>
      <c r="AT986" s="47"/>
      <c r="AU986" s="47"/>
      <c r="AV986" s="47"/>
      <c r="AW986" s="47"/>
      <c r="AX986" s="47"/>
      <c r="AY986" s="47"/>
    </row>
    <row r="987" spans="1:51" ht="15.75" customHeight="1">
      <c r="A987" s="500"/>
      <c r="B987" s="477"/>
      <c r="C987" s="481"/>
      <c r="D987" s="47"/>
      <c r="E987" s="47"/>
      <c r="F987" s="478"/>
      <c r="G987" s="479"/>
      <c r="H987" s="9"/>
      <c r="I987" s="9"/>
      <c r="J987" s="503"/>
      <c r="K987" s="47"/>
      <c r="L987" s="47"/>
      <c r="M987" s="47"/>
      <c r="N987" s="9"/>
      <c r="O987" s="9"/>
      <c r="P987" s="9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  <c r="AB987" s="47"/>
      <c r="AC987" s="47"/>
      <c r="AD987" s="47"/>
      <c r="AE987" s="47"/>
      <c r="AF987" s="47"/>
      <c r="AG987" s="1345"/>
      <c r="AH987" s="47"/>
      <c r="AI987" s="47"/>
      <c r="AJ987" s="47"/>
      <c r="AK987" s="47"/>
      <c r="AL987" s="47"/>
      <c r="AM987" s="47"/>
      <c r="AN987" s="47"/>
      <c r="AO987" s="47"/>
      <c r="AP987" s="47"/>
      <c r="AQ987" s="47"/>
      <c r="AR987" s="47"/>
      <c r="AS987" s="47"/>
      <c r="AT987" s="47"/>
      <c r="AU987" s="47"/>
      <c r="AV987" s="47"/>
      <c r="AW987" s="47"/>
      <c r="AX987" s="47"/>
      <c r="AY987" s="47"/>
    </row>
    <row r="988" spans="1:51" ht="15.75" customHeight="1">
      <c r="A988" s="500"/>
      <c r="B988" s="477"/>
      <c r="C988" s="481"/>
      <c r="D988" s="47"/>
      <c r="E988" s="47"/>
      <c r="F988" s="478"/>
      <c r="G988" s="479"/>
      <c r="H988" s="9"/>
      <c r="I988" s="9"/>
      <c r="J988" s="503"/>
      <c r="K988" s="47"/>
      <c r="L988" s="47"/>
      <c r="M988" s="47"/>
      <c r="N988" s="9"/>
      <c r="O988" s="9"/>
      <c r="P988" s="9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  <c r="AB988" s="47"/>
      <c r="AC988" s="47"/>
      <c r="AD988" s="47"/>
      <c r="AE988" s="47"/>
      <c r="AF988" s="47"/>
      <c r="AG988" s="1345"/>
      <c r="AH988" s="47"/>
      <c r="AI988" s="47"/>
      <c r="AJ988" s="47"/>
      <c r="AK988" s="47"/>
      <c r="AL988" s="47"/>
      <c r="AM988" s="47"/>
      <c r="AN988" s="47"/>
      <c r="AO988" s="47"/>
      <c r="AP988" s="47"/>
      <c r="AQ988" s="47"/>
      <c r="AR988" s="47"/>
      <c r="AS988" s="47"/>
      <c r="AT988" s="47"/>
      <c r="AU988" s="47"/>
      <c r="AV988" s="47"/>
      <c r="AW988" s="47"/>
      <c r="AX988" s="47"/>
      <c r="AY988" s="47"/>
    </row>
    <row r="989" spans="1:51" ht="15.75" customHeight="1">
      <c r="A989" s="500"/>
      <c r="B989" s="477"/>
      <c r="C989" s="481"/>
      <c r="D989" s="47"/>
      <c r="E989" s="47"/>
      <c r="F989" s="478"/>
      <c r="G989" s="479"/>
      <c r="H989" s="9"/>
      <c r="I989" s="10"/>
      <c r="J989" s="503"/>
      <c r="K989" s="47"/>
      <c r="L989" s="47"/>
      <c r="M989" s="47"/>
      <c r="N989" s="9"/>
      <c r="O989" s="9"/>
      <c r="P989" s="8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  <c r="AB989" s="47"/>
      <c r="AC989" s="47"/>
      <c r="AD989" s="47"/>
      <c r="AE989" s="47"/>
      <c r="AF989" s="47"/>
      <c r="AG989" s="1345"/>
      <c r="AH989" s="47"/>
      <c r="AI989" s="47"/>
      <c r="AJ989" s="47"/>
      <c r="AK989" s="47"/>
      <c r="AL989" s="47"/>
      <c r="AM989" s="47"/>
      <c r="AN989" s="47"/>
      <c r="AO989" s="47"/>
      <c r="AP989" s="47"/>
      <c r="AQ989" s="47"/>
      <c r="AR989" s="47"/>
      <c r="AS989" s="47"/>
      <c r="AT989" s="47"/>
      <c r="AU989" s="47"/>
      <c r="AV989" s="47"/>
      <c r="AW989" s="47"/>
      <c r="AX989" s="47"/>
      <c r="AY989" s="47"/>
    </row>
    <row r="990" spans="1:51" ht="15.75" customHeight="1">
      <c r="A990" s="500"/>
      <c r="B990" s="477"/>
      <c r="C990" s="481"/>
      <c r="D990" s="47"/>
      <c r="E990" s="47"/>
      <c r="F990" s="478"/>
      <c r="G990" s="479"/>
      <c r="H990" s="9"/>
      <c r="I990" s="9"/>
      <c r="J990" s="503"/>
      <c r="K990" s="47"/>
      <c r="L990" s="47"/>
      <c r="M990" s="47"/>
      <c r="N990" s="9"/>
      <c r="O990" s="9"/>
      <c r="P990" s="8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  <c r="AB990" s="47"/>
      <c r="AC990" s="47"/>
      <c r="AD990" s="47"/>
      <c r="AE990" s="47"/>
      <c r="AF990" s="47"/>
      <c r="AG990" s="1345"/>
      <c r="AH990" s="47"/>
      <c r="AI990" s="47"/>
      <c r="AJ990" s="47"/>
      <c r="AK990" s="47"/>
      <c r="AL990" s="47"/>
      <c r="AM990" s="47"/>
      <c r="AN990" s="47"/>
      <c r="AO990" s="47"/>
      <c r="AP990" s="47"/>
      <c r="AQ990" s="47"/>
      <c r="AR990" s="47"/>
      <c r="AS990" s="47"/>
      <c r="AT990" s="47"/>
      <c r="AU990" s="47"/>
      <c r="AV990" s="47"/>
      <c r="AW990" s="47"/>
      <c r="AX990" s="47"/>
      <c r="AY990" s="47"/>
    </row>
    <row r="991" spans="1:51" ht="15.75" customHeight="1">
      <c r="A991" s="500"/>
      <c r="B991" s="477"/>
      <c r="C991" s="481"/>
      <c r="D991" s="47"/>
      <c r="E991" s="47"/>
      <c r="F991" s="478"/>
      <c r="G991" s="479"/>
      <c r="H991" s="9"/>
      <c r="I991" s="10"/>
      <c r="J991" s="503"/>
      <c r="K991" s="47"/>
      <c r="L991" s="47"/>
      <c r="M991" s="47"/>
      <c r="N991" s="9"/>
      <c r="O991" s="9"/>
      <c r="P991" s="8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  <c r="AB991" s="47"/>
      <c r="AC991" s="47"/>
      <c r="AD991" s="47"/>
      <c r="AE991" s="47"/>
      <c r="AF991" s="47"/>
      <c r="AG991" s="1345"/>
      <c r="AH991" s="47"/>
      <c r="AI991" s="47"/>
      <c r="AJ991" s="47"/>
      <c r="AK991" s="47"/>
      <c r="AL991" s="47"/>
      <c r="AM991" s="47"/>
      <c r="AN991" s="47"/>
      <c r="AO991" s="47"/>
      <c r="AP991" s="47"/>
      <c r="AQ991" s="47"/>
      <c r="AR991" s="47"/>
      <c r="AS991" s="47"/>
      <c r="AT991" s="47"/>
      <c r="AU991" s="47"/>
      <c r="AV991" s="47"/>
      <c r="AW991" s="47"/>
      <c r="AX991" s="47"/>
      <c r="AY991" s="47"/>
    </row>
    <row r="992" spans="1:51" ht="15.75" customHeight="1">
      <c r="A992" s="500"/>
      <c r="B992" s="477"/>
      <c r="C992" s="481"/>
      <c r="D992" s="47"/>
      <c r="E992" s="47"/>
      <c r="F992" s="478"/>
      <c r="G992" s="479"/>
      <c r="H992" s="9"/>
      <c r="I992" s="9"/>
      <c r="J992" s="503"/>
      <c r="K992" s="47"/>
      <c r="L992" s="47"/>
      <c r="M992" s="47"/>
      <c r="N992" s="9"/>
      <c r="O992" s="9"/>
      <c r="P992" s="9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7"/>
      <c r="AF992" s="47"/>
      <c r="AG992" s="1345"/>
      <c r="AH992" s="47"/>
      <c r="AI992" s="47"/>
      <c r="AJ992" s="47"/>
      <c r="AK992" s="47"/>
      <c r="AL992" s="47"/>
      <c r="AM992" s="47"/>
      <c r="AN992" s="47"/>
      <c r="AO992" s="47"/>
      <c r="AP992" s="47"/>
      <c r="AQ992" s="47"/>
      <c r="AR992" s="47"/>
      <c r="AS992" s="47"/>
      <c r="AT992" s="47"/>
      <c r="AU992" s="47"/>
      <c r="AV992" s="47"/>
      <c r="AW992" s="47"/>
      <c r="AX992" s="47"/>
      <c r="AY992" s="47"/>
    </row>
    <row r="993" spans="1:51" ht="15.75" customHeight="1">
      <c r="A993" s="500"/>
      <c r="B993" s="477"/>
      <c r="C993" s="481"/>
      <c r="D993" s="47"/>
      <c r="E993" s="47"/>
      <c r="F993" s="478"/>
      <c r="G993" s="479"/>
      <c r="H993" s="9"/>
      <c r="I993" s="10"/>
      <c r="J993" s="503"/>
      <c r="K993" s="47"/>
      <c r="L993" s="47"/>
      <c r="M993" s="47"/>
      <c r="N993" s="9"/>
      <c r="O993" s="9"/>
      <c r="P993" s="9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  <c r="AB993" s="47"/>
      <c r="AC993" s="47"/>
      <c r="AD993" s="47"/>
      <c r="AE993" s="47"/>
      <c r="AF993" s="47"/>
      <c r="AG993" s="1345"/>
      <c r="AH993" s="47"/>
      <c r="AI993" s="47"/>
      <c r="AJ993" s="47"/>
      <c r="AK993" s="47"/>
      <c r="AL993" s="47"/>
      <c r="AM993" s="47"/>
      <c r="AN993" s="47"/>
      <c r="AO993" s="47"/>
      <c r="AP993" s="47"/>
      <c r="AQ993" s="47"/>
      <c r="AR993" s="47"/>
      <c r="AS993" s="47"/>
      <c r="AT993" s="47"/>
      <c r="AU993" s="47"/>
      <c r="AV993" s="47"/>
      <c r="AW993" s="47"/>
      <c r="AX993" s="47"/>
      <c r="AY993" s="47"/>
    </row>
    <row r="994" spans="1:51" ht="15.75" customHeight="1">
      <c r="A994" s="500"/>
      <c r="B994" s="477"/>
      <c r="C994" s="481"/>
      <c r="D994" s="47"/>
      <c r="E994" s="47"/>
      <c r="F994" s="478"/>
      <c r="G994" s="479"/>
      <c r="H994" s="9"/>
      <c r="I994" s="9"/>
      <c r="J994" s="503"/>
      <c r="K994" s="47"/>
      <c r="L994" s="47"/>
      <c r="M994" s="47"/>
      <c r="N994" s="9"/>
      <c r="O994" s="9"/>
      <c r="P994" s="9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  <c r="AB994" s="47"/>
      <c r="AC994" s="47"/>
      <c r="AD994" s="47"/>
      <c r="AE994" s="47"/>
      <c r="AF994" s="47"/>
      <c r="AG994" s="1345"/>
      <c r="AH994" s="47"/>
      <c r="AI994" s="47"/>
      <c r="AJ994" s="47"/>
      <c r="AK994" s="47"/>
      <c r="AL994" s="47"/>
      <c r="AM994" s="47"/>
      <c r="AN994" s="47"/>
      <c r="AO994" s="47"/>
      <c r="AP994" s="47"/>
      <c r="AQ994" s="47"/>
      <c r="AR994" s="47"/>
      <c r="AS994" s="47"/>
      <c r="AT994" s="47"/>
      <c r="AU994" s="47"/>
      <c r="AV994" s="47"/>
      <c r="AW994" s="47"/>
      <c r="AX994" s="47"/>
      <c r="AY994" s="47"/>
    </row>
    <row r="995" spans="1:51" ht="15.75" customHeight="1">
      <c r="A995" s="500"/>
      <c r="B995" s="477"/>
      <c r="C995" s="481"/>
      <c r="D995" s="47"/>
      <c r="E995" s="47"/>
      <c r="F995" s="478"/>
      <c r="G995" s="479"/>
      <c r="H995" s="9"/>
      <c r="I995" s="10"/>
      <c r="J995" s="503"/>
      <c r="K995" s="47"/>
      <c r="L995" s="47"/>
      <c r="M995" s="47"/>
      <c r="N995" s="9"/>
      <c r="O995" s="9"/>
      <c r="P995" s="9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  <c r="AB995" s="47"/>
      <c r="AC995" s="47"/>
      <c r="AD995" s="47"/>
      <c r="AE995" s="47"/>
      <c r="AF995" s="47"/>
      <c r="AG995" s="1345"/>
      <c r="AH995" s="47"/>
      <c r="AI995" s="47"/>
      <c r="AJ995" s="47"/>
      <c r="AK995" s="47"/>
      <c r="AL995" s="47"/>
      <c r="AM995" s="47"/>
      <c r="AN995" s="47"/>
      <c r="AO995" s="47"/>
      <c r="AP995" s="47"/>
      <c r="AQ995" s="47"/>
      <c r="AR995" s="47"/>
      <c r="AS995" s="47"/>
      <c r="AT995" s="47"/>
      <c r="AU995" s="47"/>
      <c r="AV995" s="47"/>
      <c r="AW995" s="47"/>
      <c r="AX995" s="47"/>
      <c r="AY995" s="47"/>
    </row>
    <row r="996" spans="1:51" ht="15.75" customHeight="1">
      <c r="A996" s="500"/>
      <c r="B996" s="477"/>
      <c r="C996" s="481"/>
      <c r="D996" s="47"/>
      <c r="E996" s="47"/>
      <c r="F996" s="478"/>
      <c r="G996" s="479"/>
      <c r="H996" s="47"/>
      <c r="I996" s="478"/>
      <c r="J996" s="503"/>
      <c r="K996" s="47"/>
      <c r="L996" s="47"/>
      <c r="M996" s="47"/>
      <c r="N996" s="9"/>
      <c r="O996" s="9"/>
      <c r="P996" s="9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  <c r="AB996" s="47"/>
      <c r="AC996" s="47"/>
      <c r="AD996" s="47"/>
      <c r="AE996" s="47"/>
      <c r="AF996" s="47"/>
      <c r="AG996" s="1345"/>
      <c r="AH996" s="47"/>
      <c r="AI996" s="47"/>
      <c r="AJ996" s="47"/>
      <c r="AK996" s="47"/>
      <c r="AL996" s="47"/>
      <c r="AM996" s="47"/>
      <c r="AN996" s="47"/>
      <c r="AO996" s="47"/>
      <c r="AP996" s="47"/>
      <c r="AQ996" s="47"/>
      <c r="AR996" s="47"/>
      <c r="AS996" s="47"/>
      <c r="AT996" s="47"/>
      <c r="AU996" s="47"/>
      <c r="AV996" s="47"/>
      <c r="AW996" s="47"/>
      <c r="AX996" s="47"/>
      <c r="AY996" s="47"/>
    </row>
    <row r="997" spans="1:51" ht="15.75" customHeight="1">
      <c r="A997" s="500"/>
      <c r="B997" s="477"/>
      <c r="C997" s="481"/>
      <c r="D997" s="47"/>
      <c r="E997" s="47"/>
      <c r="F997" s="478"/>
      <c r="G997" s="479"/>
      <c r="H997" s="47"/>
      <c r="I997" s="478"/>
      <c r="J997" s="503"/>
      <c r="K997" s="47"/>
      <c r="L997" s="47"/>
      <c r="M997" s="47"/>
      <c r="N997" s="9"/>
      <c r="O997" s="9"/>
      <c r="P997" s="9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  <c r="AB997" s="47"/>
      <c r="AC997" s="47"/>
      <c r="AD997" s="47"/>
      <c r="AE997" s="47"/>
      <c r="AF997" s="47"/>
      <c r="AG997" s="1345"/>
      <c r="AH997" s="47"/>
      <c r="AI997" s="47"/>
      <c r="AJ997" s="47"/>
      <c r="AK997" s="47"/>
      <c r="AL997" s="47"/>
      <c r="AM997" s="47"/>
      <c r="AN997" s="47"/>
      <c r="AO997" s="47"/>
      <c r="AP997" s="47"/>
      <c r="AQ997" s="47"/>
      <c r="AR997" s="47"/>
      <c r="AS997" s="47"/>
      <c r="AT997" s="47"/>
      <c r="AU997" s="47"/>
      <c r="AV997" s="47"/>
      <c r="AW997" s="47"/>
      <c r="AX997" s="47"/>
      <c r="AY997" s="47"/>
    </row>
    <row r="998" spans="1:51" ht="15.75" customHeight="1">
      <c r="A998" s="500"/>
      <c r="B998" s="477"/>
      <c r="C998" s="481"/>
      <c r="D998" s="47"/>
      <c r="E998" s="47"/>
      <c r="F998" s="478"/>
      <c r="G998" s="479"/>
      <c r="H998" s="9"/>
      <c r="I998" s="9"/>
      <c r="J998" s="503"/>
      <c r="K998" s="47"/>
      <c r="L998" s="47"/>
      <c r="M998" s="47"/>
      <c r="N998" s="9"/>
      <c r="O998" s="9"/>
      <c r="P998" s="9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  <c r="AB998" s="47"/>
      <c r="AC998" s="47"/>
      <c r="AD998" s="47"/>
      <c r="AE998" s="47"/>
      <c r="AF998" s="47"/>
      <c r="AG998" s="1345"/>
      <c r="AH998" s="47"/>
      <c r="AI998" s="47"/>
      <c r="AJ998" s="47"/>
      <c r="AK998" s="47"/>
      <c r="AL998" s="47"/>
      <c r="AM998" s="47"/>
      <c r="AN998" s="47"/>
      <c r="AO998" s="47"/>
      <c r="AP998" s="47"/>
      <c r="AQ998" s="47"/>
      <c r="AR998" s="47"/>
      <c r="AS998" s="47"/>
      <c r="AT998" s="47"/>
      <c r="AU998" s="47"/>
      <c r="AV998" s="47"/>
      <c r="AW998" s="47"/>
      <c r="AX998" s="47"/>
      <c r="AY998" s="47"/>
    </row>
    <row r="999" spans="1:51" ht="15.75" customHeight="1">
      <c r="A999" s="500"/>
      <c r="B999" s="477"/>
      <c r="C999" s="481"/>
      <c r="D999" s="47"/>
      <c r="E999" s="47"/>
      <c r="F999" s="478"/>
      <c r="G999" s="479"/>
      <c r="H999" s="9"/>
      <c r="I999" s="10"/>
      <c r="J999" s="503"/>
      <c r="K999" s="47"/>
      <c r="L999" s="47"/>
      <c r="M999" s="47"/>
      <c r="N999" s="9"/>
      <c r="O999" s="9"/>
      <c r="P999" s="9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  <c r="AB999" s="47"/>
      <c r="AC999" s="47"/>
      <c r="AD999" s="47"/>
      <c r="AE999" s="47"/>
      <c r="AF999" s="47"/>
      <c r="AG999" s="1345"/>
      <c r="AH999" s="47"/>
      <c r="AI999" s="47"/>
      <c r="AJ999" s="47"/>
      <c r="AK999" s="47"/>
      <c r="AL999" s="47"/>
      <c r="AM999" s="47"/>
      <c r="AN999" s="47"/>
      <c r="AO999" s="47"/>
      <c r="AP999" s="47"/>
      <c r="AQ999" s="47"/>
      <c r="AR999" s="47"/>
      <c r="AS999" s="47"/>
      <c r="AT999" s="47"/>
      <c r="AU999" s="47"/>
      <c r="AV999" s="47"/>
      <c r="AW999" s="47"/>
      <c r="AX999" s="47"/>
      <c r="AY999" s="47"/>
    </row>
    <row r="1000" spans="1:51" ht="15.75" customHeight="1">
      <c r="A1000" s="500"/>
      <c r="B1000" s="477"/>
      <c r="C1000" s="481"/>
      <c r="D1000" s="47"/>
      <c r="E1000" s="47"/>
      <c r="F1000" s="478"/>
      <c r="G1000" s="479"/>
      <c r="H1000" s="9"/>
      <c r="I1000" s="9"/>
      <c r="J1000" s="503"/>
      <c r="K1000" s="47"/>
      <c r="L1000" s="47"/>
      <c r="M1000" s="47"/>
      <c r="N1000" s="9"/>
      <c r="O1000" s="9"/>
      <c r="P1000" s="9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  <c r="AB1000" s="47"/>
      <c r="AC1000" s="47"/>
      <c r="AD1000" s="47"/>
      <c r="AE1000" s="47"/>
      <c r="AF1000" s="47"/>
      <c r="AG1000" s="1345"/>
      <c r="AH1000" s="47"/>
      <c r="AI1000" s="47"/>
      <c r="AJ1000" s="47"/>
      <c r="AK1000" s="47"/>
      <c r="AL1000" s="47"/>
      <c r="AM1000" s="47"/>
      <c r="AN1000" s="47"/>
      <c r="AO1000" s="47"/>
      <c r="AP1000" s="47"/>
      <c r="AQ1000" s="47"/>
      <c r="AR1000" s="47"/>
      <c r="AS1000" s="47"/>
      <c r="AT1000" s="47"/>
      <c r="AU1000" s="47"/>
      <c r="AV1000" s="47"/>
      <c r="AW1000" s="47"/>
      <c r="AX1000" s="47"/>
      <c r="AY1000" s="47"/>
    </row>
    <row r="1001" spans="1:51" ht="15.75" customHeight="1">
      <c r="A1001" s="500"/>
      <c r="B1001" s="477"/>
      <c r="C1001" s="481"/>
      <c r="D1001" s="47"/>
      <c r="E1001" s="47"/>
      <c r="F1001" s="478"/>
      <c r="G1001" s="479"/>
      <c r="H1001" s="9"/>
      <c r="I1001" s="9"/>
      <c r="J1001" s="503"/>
      <c r="K1001" s="47"/>
      <c r="L1001" s="47"/>
      <c r="M1001" s="47"/>
      <c r="N1001" s="9"/>
      <c r="O1001" s="9"/>
      <c r="P1001" s="9"/>
      <c r="Q1001" s="47"/>
      <c r="R1001" s="47"/>
      <c r="S1001" s="47"/>
      <c r="T1001" s="47"/>
      <c r="U1001" s="47"/>
      <c r="V1001" s="47"/>
      <c r="W1001" s="47"/>
      <c r="X1001" s="47"/>
      <c r="Y1001" s="47"/>
      <c r="Z1001" s="47"/>
      <c r="AA1001" s="47"/>
      <c r="AB1001" s="47"/>
      <c r="AC1001" s="47"/>
      <c r="AD1001" s="47"/>
      <c r="AE1001" s="47"/>
      <c r="AF1001" s="47"/>
      <c r="AG1001" s="1345"/>
      <c r="AH1001" s="47"/>
      <c r="AI1001" s="47"/>
      <c r="AJ1001" s="47"/>
      <c r="AK1001" s="47"/>
      <c r="AL1001" s="47"/>
      <c r="AM1001" s="47"/>
      <c r="AN1001" s="47"/>
      <c r="AO1001" s="47"/>
      <c r="AP1001" s="47"/>
      <c r="AQ1001" s="47"/>
      <c r="AR1001" s="47"/>
      <c r="AS1001" s="47"/>
      <c r="AT1001" s="47"/>
      <c r="AU1001" s="47"/>
      <c r="AV1001" s="47"/>
      <c r="AW1001" s="47"/>
      <c r="AX1001" s="47"/>
      <c r="AY1001" s="47"/>
    </row>
    <row r="1002" spans="1:51" ht="15.75" customHeight="1">
      <c r="A1002" s="500"/>
      <c r="B1002" s="477"/>
      <c r="C1002" s="481"/>
      <c r="D1002" s="47"/>
      <c r="E1002" s="47"/>
      <c r="F1002" s="478"/>
      <c r="G1002" s="479"/>
      <c r="H1002" s="9"/>
      <c r="I1002" s="9"/>
      <c r="J1002" s="503"/>
      <c r="K1002" s="47"/>
      <c r="L1002" s="47"/>
      <c r="M1002" s="47"/>
      <c r="N1002" s="9"/>
      <c r="O1002" s="9"/>
      <c r="P1002" s="9"/>
      <c r="Q1002" s="47"/>
      <c r="R1002" s="47"/>
      <c r="S1002" s="47"/>
      <c r="T1002" s="47"/>
      <c r="U1002" s="47"/>
      <c r="V1002" s="47"/>
      <c r="W1002" s="47"/>
      <c r="X1002" s="47"/>
      <c r="Y1002" s="47"/>
      <c r="Z1002" s="47"/>
      <c r="AA1002" s="47"/>
      <c r="AB1002" s="47"/>
      <c r="AC1002" s="47"/>
      <c r="AD1002" s="47"/>
      <c r="AE1002" s="47"/>
      <c r="AF1002" s="47"/>
      <c r="AG1002" s="1345"/>
      <c r="AH1002" s="47"/>
      <c r="AI1002" s="47"/>
      <c r="AJ1002" s="47"/>
      <c r="AK1002" s="47"/>
      <c r="AL1002" s="47"/>
      <c r="AM1002" s="47"/>
      <c r="AN1002" s="47"/>
      <c r="AO1002" s="47"/>
      <c r="AP1002" s="47"/>
      <c r="AQ1002" s="47"/>
      <c r="AR1002" s="47"/>
      <c r="AS1002" s="47"/>
      <c r="AT1002" s="47"/>
      <c r="AU1002" s="47"/>
      <c r="AV1002" s="47"/>
      <c r="AW1002" s="47"/>
      <c r="AX1002" s="47"/>
      <c r="AY1002" s="47"/>
    </row>
    <row r="1003" spans="1:51" ht="15.75" customHeight="1">
      <c r="A1003" s="500"/>
      <c r="B1003" s="477"/>
      <c r="C1003" s="481"/>
      <c r="D1003" s="47"/>
      <c r="E1003" s="47"/>
      <c r="F1003" s="478"/>
      <c r="G1003" s="479"/>
      <c r="H1003" s="9"/>
      <c r="I1003" s="9"/>
      <c r="J1003" s="503"/>
      <c r="K1003" s="47"/>
      <c r="L1003" s="47"/>
      <c r="M1003" s="47"/>
      <c r="N1003" s="9"/>
      <c r="O1003" s="9"/>
      <c r="P1003" s="9"/>
      <c r="Q1003" s="47"/>
      <c r="R1003" s="47"/>
      <c r="S1003" s="47"/>
      <c r="T1003" s="47"/>
      <c r="U1003" s="47"/>
      <c r="V1003" s="47"/>
      <c r="W1003" s="47"/>
      <c r="X1003" s="47"/>
      <c r="Y1003" s="47"/>
      <c r="Z1003" s="47"/>
      <c r="AA1003" s="47"/>
      <c r="AB1003" s="47"/>
      <c r="AC1003" s="47"/>
      <c r="AD1003" s="47"/>
      <c r="AE1003" s="47"/>
      <c r="AF1003" s="47"/>
      <c r="AG1003" s="1345"/>
      <c r="AH1003" s="47"/>
      <c r="AI1003" s="47"/>
      <c r="AJ1003" s="47"/>
      <c r="AK1003" s="47"/>
      <c r="AL1003" s="47"/>
      <c r="AM1003" s="47"/>
      <c r="AN1003" s="47"/>
      <c r="AO1003" s="47"/>
      <c r="AP1003" s="47"/>
      <c r="AQ1003" s="47"/>
      <c r="AR1003" s="47"/>
      <c r="AS1003" s="47"/>
      <c r="AT1003" s="47"/>
      <c r="AU1003" s="47"/>
      <c r="AV1003" s="47"/>
      <c r="AW1003" s="47"/>
      <c r="AX1003" s="47"/>
      <c r="AY1003" s="47"/>
    </row>
    <row r="1004" spans="1:51" ht="15.75" customHeight="1">
      <c r="A1004" s="500"/>
      <c r="B1004" s="477"/>
      <c r="C1004" s="481"/>
      <c r="D1004" s="47"/>
      <c r="E1004" s="47"/>
      <c r="F1004" s="478"/>
      <c r="G1004" s="479"/>
      <c r="H1004" s="9"/>
      <c r="I1004" s="9"/>
      <c r="J1004" s="503"/>
      <c r="K1004" s="47"/>
      <c r="L1004" s="47"/>
      <c r="M1004" s="47"/>
      <c r="N1004" s="9"/>
      <c r="O1004" s="9"/>
      <c r="P1004" s="9"/>
      <c r="Q1004" s="47"/>
      <c r="R1004" s="47"/>
      <c r="S1004" s="47"/>
      <c r="T1004" s="47"/>
      <c r="U1004" s="47"/>
      <c r="V1004" s="47"/>
      <c r="W1004" s="47"/>
      <c r="X1004" s="47"/>
      <c r="Y1004" s="47"/>
      <c r="Z1004" s="47"/>
      <c r="AA1004" s="47"/>
      <c r="AB1004" s="47"/>
      <c r="AC1004" s="47"/>
      <c r="AD1004" s="47"/>
      <c r="AE1004" s="47"/>
      <c r="AF1004" s="47"/>
      <c r="AG1004" s="1345"/>
      <c r="AH1004" s="47"/>
      <c r="AI1004" s="47"/>
      <c r="AJ1004" s="47"/>
      <c r="AK1004" s="47"/>
      <c r="AL1004" s="47"/>
      <c r="AM1004" s="47"/>
      <c r="AN1004" s="47"/>
      <c r="AO1004" s="47"/>
      <c r="AP1004" s="47"/>
      <c r="AQ1004" s="47"/>
      <c r="AR1004" s="47"/>
      <c r="AS1004" s="47"/>
      <c r="AT1004" s="47"/>
      <c r="AU1004" s="47"/>
      <c r="AV1004" s="47"/>
      <c r="AW1004" s="47"/>
      <c r="AX1004" s="47"/>
      <c r="AY1004" s="47"/>
    </row>
    <row r="1005" spans="1:51" ht="15.75" customHeight="1">
      <c r="A1005" s="500"/>
      <c r="B1005" s="477"/>
      <c r="C1005" s="481"/>
      <c r="D1005" s="47"/>
      <c r="E1005" s="47"/>
      <c r="F1005" s="478"/>
      <c r="G1005" s="479"/>
      <c r="H1005" s="9"/>
      <c r="I1005" s="9"/>
      <c r="J1005" s="503"/>
      <c r="K1005" s="47"/>
      <c r="L1005" s="47"/>
      <c r="M1005" s="47"/>
      <c r="N1005" s="9"/>
      <c r="O1005" s="9"/>
      <c r="P1005" s="9"/>
      <c r="Q1005" s="47"/>
      <c r="R1005" s="47"/>
      <c r="S1005" s="47"/>
      <c r="T1005" s="47"/>
      <c r="U1005" s="47"/>
      <c r="V1005" s="47"/>
      <c r="W1005" s="47"/>
      <c r="X1005" s="47"/>
      <c r="Y1005" s="47"/>
      <c r="Z1005" s="47"/>
      <c r="AA1005" s="47"/>
      <c r="AB1005" s="47"/>
      <c r="AC1005" s="47"/>
      <c r="AD1005" s="47"/>
      <c r="AE1005" s="47"/>
      <c r="AF1005" s="47"/>
      <c r="AG1005" s="1345"/>
      <c r="AH1005" s="47"/>
      <c r="AI1005" s="47"/>
      <c r="AJ1005" s="47"/>
      <c r="AK1005" s="47"/>
      <c r="AL1005" s="47"/>
      <c r="AM1005" s="47"/>
      <c r="AN1005" s="47"/>
      <c r="AO1005" s="47"/>
      <c r="AP1005" s="47"/>
      <c r="AQ1005" s="47"/>
      <c r="AR1005" s="47"/>
      <c r="AS1005" s="47"/>
      <c r="AT1005" s="47"/>
      <c r="AU1005" s="47"/>
      <c r="AV1005" s="47"/>
      <c r="AW1005" s="47"/>
      <c r="AX1005" s="47"/>
      <c r="AY1005" s="47"/>
    </row>
    <row r="1006" spans="1:51" ht="15.75" customHeight="1">
      <c r="A1006" s="500"/>
      <c r="B1006" s="477"/>
      <c r="C1006" s="481"/>
      <c r="D1006" s="47"/>
      <c r="E1006" s="47"/>
      <c r="F1006" s="478"/>
      <c r="G1006" s="479"/>
      <c r="H1006" s="9"/>
      <c r="I1006" s="9"/>
      <c r="J1006" s="503"/>
      <c r="K1006" s="47"/>
      <c r="L1006" s="47"/>
      <c r="M1006" s="47"/>
      <c r="N1006" s="9"/>
      <c r="O1006" s="9"/>
      <c r="P1006" s="9"/>
      <c r="Q1006" s="47"/>
      <c r="R1006" s="47"/>
      <c r="S1006" s="47"/>
      <c r="T1006" s="47"/>
      <c r="U1006" s="47"/>
      <c r="V1006" s="47"/>
      <c r="W1006" s="47"/>
      <c r="X1006" s="47"/>
      <c r="Y1006" s="47"/>
      <c r="Z1006" s="47"/>
      <c r="AA1006" s="47"/>
      <c r="AB1006" s="47"/>
      <c r="AC1006" s="47"/>
      <c r="AD1006" s="47"/>
      <c r="AE1006" s="47"/>
      <c r="AF1006" s="47"/>
      <c r="AG1006" s="1345"/>
      <c r="AH1006" s="47"/>
      <c r="AI1006" s="47"/>
      <c r="AJ1006" s="47"/>
      <c r="AK1006" s="47"/>
      <c r="AL1006" s="47"/>
      <c r="AM1006" s="47"/>
      <c r="AN1006" s="47"/>
      <c r="AO1006" s="47"/>
      <c r="AP1006" s="47"/>
      <c r="AQ1006" s="47"/>
      <c r="AR1006" s="47"/>
      <c r="AS1006" s="47"/>
      <c r="AT1006" s="47"/>
      <c r="AU1006" s="47"/>
      <c r="AV1006" s="47"/>
      <c r="AW1006" s="47"/>
      <c r="AX1006" s="47"/>
      <c r="AY1006" s="47"/>
    </row>
    <row r="1007" spans="1:51" ht="15.75" customHeight="1">
      <c r="A1007" s="500"/>
      <c r="B1007" s="477"/>
      <c r="C1007" s="481"/>
      <c r="D1007" s="47"/>
      <c r="E1007" s="47"/>
      <c r="F1007" s="478"/>
      <c r="G1007" s="479"/>
      <c r="H1007" s="9"/>
      <c r="I1007" s="9"/>
      <c r="J1007" s="503"/>
      <c r="K1007" s="47"/>
      <c r="L1007" s="47"/>
      <c r="M1007" s="47"/>
      <c r="N1007" s="9"/>
      <c r="O1007" s="9"/>
      <c r="P1007" s="9"/>
      <c r="Q1007" s="47"/>
      <c r="R1007" s="47"/>
      <c r="S1007" s="47"/>
      <c r="T1007" s="47"/>
      <c r="U1007" s="47"/>
      <c r="V1007" s="47"/>
      <c r="W1007" s="47"/>
      <c r="X1007" s="47"/>
      <c r="Y1007" s="47"/>
      <c r="Z1007" s="47"/>
      <c r="AA1007" s="47"/>
      <c r="AB1007" s="47"/>
      <c r="AC1007" s="47"/>
      <c r="AD1007" s="47"/>
      <c r="AE1007" s="47"/>
      <c r="AF1007" s="47"/>
      <c r="AG1007" s="1345"/>
      <c r="AH1007" s="47"/>
      <c r="AI1007" s="47"/>
      <c r="AJ1007" s="47"/>
      <c r="AK1007" s="47"/>
      <c r="AL1007" s="47"/>
      <c r="AM1007" s="47"/>
      <c r="AN1007" s="47"/>
      <c r="AO1007" s="47"/>
      <c r="AP1007" s="47"/>
      <c r="AQ1007" s="47"/>
      <c r="AR1007" s="47"/>
      <c r="AS1007" s="47"/>
      <c r="AT1007" s="47"/>
      <c r="AU1007" s="47"/>
      <c r="AV1007" s="47"/>
      <c r="AW1007" s="47"/>
      <c r="AX1007" s="47"/>
      <c r="AY1007" s="47"/>
    </row>
    <row r="1008" spans="1:51" ht="15.75" customHeight="1">
      <c r="A1008" s="500"/>
      <c r="B1008" s="477"/>
      <c r="C1008" s="481"/>
      <c r="D1008" s="47"/>
      <c r="E1008" s="47"/>
      <c r="F1008" s="478"/>
      <c r="G1008" s="479"/>
      <c r="H1008" s="9"/>
      <c r="I1008" s="9"/>
      <c r="J1008" s="503"/>
      <c r="K1008" s="47"/>
      <c r="L1008" s="47"/>
      <c r="M1008" s="47"/>
      <c r="N1008" s="9"/>
      <c r="O1008" s="9"/>
      <c r="P1008" s="9"/>
      <c r="Q1008" s="47"/>
      <c r="R1008" s="47"/>
      <c r="S1008" s="47"/>
      <c r="T1008" s="47"/>
      <c r="U1008" s="47"/>
      <c r="V1008" s="47"/>
      <c r="W1008" s="47"/>
      <c r="X1008" s="47"/>
      <c r="Y1008" s="47"/>
      <c r="Z1008" s="47"/>
      <c r="AA1008" s="47"/>
      <c r="AB1008" s="47"/>
      <c r="AC1008" s="47"/>
      <c r="AD1008" s="47"/>
      <c r="AE1008" s="47"/>
      <c r="AF1008" s="47"/>
      <c r="AG1008" s="1345"/>
      <c r="AH1008" s="47"/>
      <c r="AI1008" s="47"/>
      <c r="AJ1008" s="47"/>
      <c r="AK1008" s="47"/>
      <c r="AL1008" s="47"/>
      <c r="AM1008" s="47"/>
      <c r="AN1008" s="47"/>
      <c r="AO1008" s="47"/>
      <c r="AP1008" s="47"/>
      <c r="AQ1008" s="47"/>
      <c r="AR1008" s="47"/>
      <c r="AS1008" s="47"/>
      <c r="AT1008" s="47"/>
      <c r="AU1008" s="47"/>
      <c r="AV1008" s="47"/>
      <c r="AW1008" s="47"/>
      <c r="AX1008" s="47"/>
      <c r="AY1008" s="47"/>
    </row>
    <row r="1009" spans="1:51" ht="15.75" customHeight="1">
      <c r="A1009" s="500"/>
      <c r="B1009" s="477"/>
      <c r="C1009" s="481"/>
      <c r="D1009" s="47"/>
      <c r="E1009" s="47"/>
      <c r="F1009" s="478"/>
      <c r="G1009" s="479"/>
      <c r="H1009" s="9"/>
      <c r="I1009" s="9"/>
      <c r="J1009" s="503"/>
      <c r="K1009" s="47"/>
      <c r="L1009" s="47"/>
      <c r="M1009" s="47"/>
      <c r="N1009" s="9"/>
      <c r="O1009" s="9"/>
      <c r="P1009" s="9"/>
      <c r="Q1009" s="47"/>
      <c r="R1009" s="47"/>
      <c r="S1009" s="47"/>
      <c r="T1009" s="47"/>
      <c r="U1009" s="47"/>
      <c r="V1009" s="47"/>
      <c r="W1009" s="47"/>
      <c r="X1009" s="47"/>
      <c r="Y1009" s="47"/>
      <c r="Z1009" s="47"/>
      <c r="AA1009" s="47"/>
      <c r="AB1009" s="47"/>
      <c r="AC1009" s="47"/>
      <c r="AD1009" s="47"/>
      <c r="AE1009" s="47"/>
      <c r="AF1009" s="47"/>
      <c r="AG1009" s="1345"/>
      <c r="AH1009" s="47"/>
      <c r="AI1009" s="47"/>
      <c r="AJ1009" s="47"/>
      <c r="AK1009" s="47"/>
      <c r="AL1009" s="47"/>
      <c r="AM1009" s="47"/>
      <c r="AN1009" s="47"/>
      <c r="AO1009" s="47"/>
      <c r="AP1009" s="47"/>
      <c r="AQ1009" s="47"/>
      <c r="AR1009" s="47"/>
      <c r="AS1009" s="47"/>
      <c r="AT1009" s="47"/>
      <c r="AU1009" s="47"/>
      <c r="AV1009" s="47"/>
      <c r="AW1009" s="47"/>
      <c r="AX1009" s="47"/>
      <c r="AY1009" s="47"/>
    </row>
    <row r="1010" spans="1:51" ht="15.75" customHeight="1">
      <c r="A1010" s="500"/>
      <c r="B1010" s="477"/>
      <c r="C1010" s="481"/>
      <c r="D1010" s="47"/>
      <c r="E1010" s="47"/>
      <c r="F1010" s="478"/>
      <c r="G1010" s="479"/>
      <c r="H1010" s="9"/>
      <c r="I1010" s="9"/>
      <c r="J1010" s="503"/>
      <c r="K1010" s="47"/>
      <c r="L1010" s="47"/>
      <c r="M1010" s="47"/>
      <c r="N1010" s="9"/>
      <c r="O1010" s="9"/>
      <c r="P1010" s="9"/>
      <c r="Q1010" s="47"/>
      <c r="R1010" s="47"/>
      <c r="S1010" s="47"/>
      <c r="T1010" s="47"/>
      <c r="U1010" s="47"/>
      <c r="V1010" s="47"/>
      <c r="W1010" s="47"/>
      <c r="X1010" s="47"/>
      <c r="Y1010" s="47"/>
      <c r="Z1010" s="47"/>
      <c r="AA1010" s="47"/>
      <c r="AB1010" s="47"/>
      <c r="AC1010" s="47"/>
      <c r="AD1010" s="47"/>
      <c r="AE1010" s="47"/>
      <c r="AF1010" s="47"/>
      <c r="AG1010" s="1345"/>
      <c r="AH1010" s="47"/>
      <c r="AI1010" s="47"/>
      <c r="AJ1010" s="47"/>
      <c r="AK1010" s="47"/>
      <c r="AL1010" s="47"/>
      <c r="AM1010" s="47"/>
      <c r="AN1010" s="47"/>
      <c r="AO1010" s="47"/>
      <c r="AP1010" s="47"/>
      <c r="AQ1010" s="47"/>
      <c r="AR1010" s="47"/>
      <c r="AS1010" s="47"/>
      <c r="AT1010" s="47"/>
      <c r="AU1010" s="47"/>
      <c r="AV1010" s="47"/>
      <c r="AW1010" s="47"/>
      <c r="AX1010" s="47"/>
      <c r="AY1010" s="47"/>
    </row>
    <row r="1011" spans="1:51" ht="15.75" customHeight="1">
      <c r="A1011" s="500"/>
      <c r="B1011" s="477"/>
      <c r="C1011" s="481"/>
      <c r="D1011" s="47"/>
      <c r="E1011" s="47"/>
      <c r="F1011" s="478"/>
      <c r="G1011" s="479"/>
      <c r="H1011" s="9"/>
      <c r="I1011" s="9"/>
      <c r="J1011" s="503"/>
      <c r="K1011" s="47"/>
      <c r="L1011" s="47"/>
      <c r="M1011" s="47"/>
      <c r="N1011" s="9"/>
      <c r="O1011" s="9"/>
      <c r="P1011" s="9"/>
      <c r="Q1011" s="47"/>
      <c r="R1011" s="47"/>
      <c r="S1011" s="47"/>
      <c r="T1011" s="47"/>
      <c r="U1011" s="47"/>
      <c r="V1011" s="47"/>
      <c r="W1011" s="47"/>
      <c r="X1011" s="47"/>
      <c r="Y1011" s="47"/>
      <c r="Z1011" s="47"/>
      <c r="AA1011" s="47"/>
      <c r="AB1011" s="47"/>
      <c r="AC1011" s="47"/>
      <c r="AD1011" s="47"/>
      <c r="AE1011" s="47"/>
      <c r="AF1011" s="47"/>
      <c r="AG1011" s="1345"/>
      <c r="AH1011" s="47"/>
      <c r="AI1011" s="47"/>
      <c r="AJ1011" s="47"/>
      <c r="AK1011" s="47"/>
      <c r="AL1011" s="47"/>
      <c r="AM1011" s="47"/>
      <c r="AN1011" s="47"/>
      <c r="AO1011" s="47"/>
      <c r="AP1011" s="47"/>
      <c r="AQ1011" s="47"/>
      <c r="AR1011" s="47"/>
      <c r="AS1011" s="47"/>
      <c r="AT1011" s="47"/>
      <c r="AU1011" s="47"/>
      <c r="AV1011" s="47"/>
      <c r="AW1011" s="47"/>
      <c r="AX1011" s="47"/>
      <c r="AY1011" s="47"/>
    </row>
    <row r="1012" spans="1:51" ht="15.75" customHeight="1">
      <c r="A1012" s="500"/>
      <c r="B1012" s="477"/>
      <c r="C1012" s="481"/>
      <c r="D1012" s="47"/>
      <c r="E1012" s="47"/>
      <c r="F1012" s="478"/>
      <c r="G1012" s="479"/>
      <c r="H1012" s="9"/>
      <c r="I1012" s="9"/>
      <c r="J1012" s="503"/>
      <c r="K1012" s="47"/>
      <c r="L1012" s="47"/>
      <c r="M1012" s="47"/>
      <c r="N1012" s="9"/>
      <c r="O1012" s="9"/>
      <c r="P1012" s="9"/>
      <c r="Q1012" s="47"/>
      <c r="R1012" s="47"/>
      <c r="S1012" s="47"/>
      <c r="T1012" s="47"/>
      <c r="U1012" s="47"/>
      <c r="V1012" s="47"/>
      <c r="W1012" s="47"/>
      <c r="X1012" s="47"/>
      <c r="Y1012" s="47"/>
      <c r="Z1012" s="47"/>
      <c r="AA1012" s="47"/>
      <c r="AB1012" s="47"/>
      <c r="AC1012" s="47"/>
      <c r="AD1012" s="47"/>
      <c r="AE1012" s="47"/>
      <c r="AF1012" s="47"/>
      <c r="AG1012" s="1345"/>
      <c r="AH1012" s="47"/>
      <c r="AI1012" s="47"/>
      <c r="AJ1012" s="47"/>
      <c r="AK1012" s="47"/>
      <c r="AL1012" s="47"/>
      <c r="AM1012" s="47"/>
      <c r="AN1012" s="47"/>
      <c r="AO1012" s="47"/>
      <c r="AP1012" s="47"/>
      <c r="AQ1012" s="47"/>
      <c r="AR1012" s="47"/>
      <c r="AS1012" s="47"/>
      <c r="AT1012" s="47"/>
      <c r="AU1012" s="47"/>
      <c r="AV1012" s="47"/>
      <c r="AW1012" s="47"/>
      <c r="AX1012" s="47"/>
      <c r="AY1012" s="47"/>
    </row>
    <row r="1013" spans="1:51" ht="15.75" customHeight="1">
      <c r="A1013" s="500"/>
      <c r="B1013" s="477"/>
      <c r="C1013" s="481"/>
      <c r="D1013" s="47"/>
      <c r="E1013" s="47"/>
      <c r="F1013" s="478"/>
      <c r="G1013" s="479"/>
      <c r="H1013" s="9"/>
      <c r="I1013" s="10"/>
      <c r="J1013" s="503"/>
      <c r="K1013" s="47"/>
      <c r="L1013" s="47"/>
      <c r="M1013" s="47"/>
      <c r="N1013" s="9"/>
      <c r="O1013" s="9"/>
      <c r="P1013" s="9"/>
      <c r="Q1013" s="47"/>
      <c r="R1013" s="47"/>
      <c r="S1013" s="47"/>
      <c r="T1013" s="47"/>
      <c r="U1013" s="47"/>
      <c r="V1013" s="47"/>
      <c r="W1013" s="47"/>
      <c r="X1013" s="47"/>
      <c r="Y1013" s="47"/>
      <c r="Z1013" s="47"/>
      <c r="AA1013" s="47"/>
      <c r="AB1013" s="47"/>
      <c r="AC1013" s="47"/>
      <c r="AD1013" s="47"/>
      <c r="AE1013" s="47"/>
      <c r="AF1013" s="47"/>
      <c r="AG1013" s="1345"/>
      <c r="AH1013" s="47"/>
      <c r="AI1013" s="47"/>
      <c r="AJ1013" s="47"/>
      <c r="AK1013" s="47"/>
      <c r="AL1013" s="47"/>
      <c r="AM1013" s="47"/>
      <c r="AN1013" s="47"/>
      <c r="AO1013" s="47"/>
      <c r="AP1013" s="47"/>
      <c r="AQ1013" s="47"/>
      <c r="AR1013" s="47"/>
      <c r="AS1013" s="47"/>
      <c r="AT1013" s="47"/>
      <c r="AU1013" s="47"/>
      <c r="AV1013" s="47"/>
      <c r="AW1013" s="47"/>
      <c r="AX1013" s="47"/>
      <c r="AY1013" s="47"/>
    </row>
    <row r="1014" spans="1:51" ht="15.75" customHeight="1">
      <c r="A1014" s="500"/>
      <c r="B1014" s="477"/>
      <c r="C1014" s="481"/>
      <c r="D1014" s="47"/>
      <c r="E1014" s="47"/>
      <c r="F1014" s="478"/>
      <c r="G1014" s="479"/>
      <c r="H1014" s="9"/>
      <c r="I1014" s="9"/>
      <c r="J1014" s="503"/>
      <c r="K1014" s="47"/>
      <c r="L1014" s="47"/>
      <c r="M1014" s="47"/>
      <c r="N1014" s="9"/>
      <c r="O1014" s="9"/>
      <c r="P1014" s="9"/>
      <c r="Q1014" s="47"/>
      <c r="R1014" s="47"/>
      <c r="S1014" s="47"/>
      <c r="T1014" s="47"/>
      <c r="U1014" s="47"/>
      <c r="V1014" s="47"/>
      <c r="W1014" s="47"/>
      <c r="X1014" s="47"/>
      <c r="Y1014" s="47"/>
      <c r="Z1014" s="47"/>
      <c r="AA1014" s="47"/>
      <c r="AB1014" s="47"/>
      <c r="AC1014" s="47"/>
      <c r="AD1014" s="47"/>
      <c r="AE1014" s="47"/>
      <c r="AF1014" s="47"/>
      <c r="AG1014" s="1345"/>
      <c r="AH1014" s="47"/>
      <c r="AI1014" s="47"/>
      <c r="AJ1014" s="47"/>
      <c r="AK1014" s="47"/>
      <c r="AL1014" s="47"/>
      <c r="AM1014" s="47"/>
      <c r="AN1014" s="47"/>
      <c r="AO1014" s="47"/>
      <c r="AP1014" s="47"/>
      <c r="AQ1014" s="47"/>
      <c r="AR1014" s="47"/>
      <c r="AS1014" s="47"/>
      <c r="AT1014" s="47"/>
      <c r="AU1014" s="47"/>
      <c r="AV1014" s="47"/>
      <c r="AW1014" s="47"/>
      <c r="AX1014" s="47"/>
      <c r="AY1014" s="47"/>
    </row>
    <row r="1015" spans="1:51" ht="15.75" customHeight="1">
      <c r="A1015" s="500"/>
      <c r="B1015" s="477"/>
      <c r="C1015" s="481"/>
      <c r="D1015" s="47"/>
      <c r="E1015" s="47"/>
      <c r="F1015" s="478"/>
      <c r="G1015" s="479"/>
      <c r="H1015" s="9"/>
      <c r="I1015" s="10"/>
      <c r="J1015" s="503"/>
      <c r="K1015" s="47"/>
      <c r="L1015" s="47"/>
      <c r="M1015" s="47"/>
      <c r="N1015" s="9"/>
      <c r="O1015" s="9"/>
      <c r="P1015" s="9"/>
      <c r="Q1015" s="47"/>
      <c r="R1015" s="47"/>
      <c r="S1015" s="47"/>
      <c r="T1015" s="47"/>
      <c r="U1015" s="47"/>
      <c r="V1015" s="47"/>
      <c r="W1015" s="47"/>
      <c r="X1015" s="47"/>
      <c r="Y1015" s="47"/>
      <c r="Z1015" s="47"/>
      <c r="AA1015" s="47"/>
      <c r="AB1015" s="47"/>
      <c r="AC1015" s="47"/>
      <c r="AD1015" s="47"/>
      <c r="AE1015" s="47"/>
      <c r="AF1015" s="47"/>
      <c r="AG1015" s="1345"/>
      <c r="AH1015" s="47"/>
      <c r="AI1015" s="47"/>
      <c r="AJ1015" s="47"/>
      <c r="AK1015" s="47"/>
      <c r="AL1015" s="47"/>
      <c r="AM1015" s="47"/>
      <c r="AN1015" s="47"/>
      <c r="AO1015" s="47"/>
      <c r="AP1015" s="47"/>
      <c r="AQ1015" s="47"/>
      <c r="AR1015" s="47"/>
      <c r="AS1015" s="47"/>
      <c r="AT1015" s="47"/>
      <c r="AU1015" s="47"/>
      <c r="AV1015" s="47"/>
      <c r="AW1015" s="47"/>
      <c r="AX1015" s="47"/>
      <c r="AY1015" s="47"/>
    </row>
    <row r="1016" spans="1:51" ht="15.75" customHeight="1">
      <c r="A1016" s="500"/>
      <c r="B1016" s="477"/>
      <c r="C1016" s="481"/>
      <c r="D1016" s="47"/>
      <c r="E1016" s="47"/>
      <c r="F1016" s="478"/>
      <c r="G1016" s="479"/>
      <c r="H1016" s="9"/>
      <c r="I1016" s="9"/>
      <c r="J1016" s="503"/>
      <c r="K1016" s="47"/>
      <c r="L1016" s="47"/>
      <c r="M1016" s="47"/>
      <c r="N1016" s="9"/>
      <c r="O1016" s="9"/>
      <c r="P1016" s="9"/>
      <c r="Q1016" s="47"/>
      <c r="R1016" s="47"/>
      <c r="S1016" s="47"/>
      <c r="T1016" s="47"/>
      <c r="U1016" s="47"/>
      <c r="V1016" s="47"/>
      <c r="W1016" s="47"/>
      <c r="X1016" s="47"/>
      <c r="Y1016" s="47"/>
      <c r="Z1016" s="47"/>
      <c r="AA1016" s="47"/>
      <c r="AB1016" s="47"/>
      <c r="AC1016" s="47"/>
      <c r="AD1016" s="47"/>
      <c r="AE1016" s="47"/>
      <c r="AF1016" s="47"/>
      <c r="AG1016" s="1345"/>
      <c r="AH1016" s="47"/>
      <c r="AI1016" s="47"/>
      <c r="AJ1016" s="47"/>
      <c r="AK1016" s="47"/>
      <c r="AL1016" s="47"/>
      <c r="AM1016" s="47"/>
      <c r="AN1016" s="47"/>
      <c r="AO1016" s="47"/>
      <c r="AP1016" s="47"/>
      <c r="AQ1016" s="47"/>
      <c r="AR1016" s="47"/>
      <c r="AS1016" s="47"/>
      <c r="AT1016" s="47"/>
      <c r="AU1016" s="47"/>
      <c r="AV1016" s="47"/>
      <c r="AW1016" s="47"/>
      <c r="AX1016" s="47"/>
      <c r="AY1016" s="47"/>
    </row>
    <row r="1017" spans="1:51" ht="15.75" customHeight="1">
      <c r="A1017" s="500"/>
      <c r="B1017" s="477"/>
      <c r="C1017" s="481"/>
      <c r="D1017" s="47"/>
      <c r="E1017" s="47"/>
      <c r="F1017" s="478"/>
      <c r="G1017" s="479"/>
      <c r="H1017" s="9"/>
      <c r="I1017" s="9"/>
      <c r="J1017" s="503"/>
      <c r="K1017" s="47"/>
      <c r="L1017" s="47"/>
      <c r="M1017" s="47"/>
      <c r="N1017" s="9"/>
      <c r="O1017" s="9"/>
      <c r="P1017" s="9"/>
      <c r="Q1017" s="47"/>
      <c r="R1017" s="47"/>
      <c r="S1017" s="47"/>
      <c r="T1017" s="47"/>
      <c r="U1017" s="47"/>
      <c r="V1017" s="47"/>
      <c r="W1017" s="47"/>
      <c r="X1017" s="47"/>
      <c r="Y1017" s="47"/>
      <c r="Z1017" s="47"/>
      <c r="AA1017" s="47"/>
      <c r="AB1017" s="47"/>
      <c r="AC1017" s="47"/>
      <c r="AD1017" s="47"/>
      <c r="AE1017" s="47"/>
      <c r="AF1017" s="47"/>
      <c r="AG1017" s="1345"/>
      <c r="AH1017" s="47"/>
      <c r="AI1017" s="47"/>
      <c r="AJ1017" s="47"/>
      <c r="AK1017" s="47"/>
      <c r="AL1017" s="47"/>
      <c r="AM1017" s="47"/>
      <c r="AN1017" s="47"/>
      <c r="AO1017" s="47"/>
      <c r="AP1017" s="47"/>
      <c r="AQ1017" s="47"/>
      <c r="AR1017" s="47"/>
      <c r="AS1017" s="47"/>
      <c r="AT1017" s="47"/>
      <c r="AU1017" s="47"/>
      <c r="AV1017" s="47"/>
      <c r="AW1017" s="47"/>
      <c r="AX1017" s="47"/>
      <c r="AY1017" s="47"/>
    </row>
    <row r="1018" spans="1:51" ht="15.75" customHeight="1">
      <c r="A1018" s="500"/>
      <c r="B1018" s="477"/>
      <c r="C1018" s="481"/>
      <c r="D1018" s="47"/>
      <c r="E1018" s="47"/>
      <c r="F1018" s="478"/>
      <c r="G1018" s="479"/>
      <c r="H1018" s="9"/>
      <c r="I1018" s="9"/>
      <c r="J1018" s="503"/>
      <c r="K1018" s="47"/>
      <c r="L1018" s="47"/>
      <c r="M1018" s="47"/>
      <c r="N1018" s="9"/>
      <c r="O1018" s="9"/>
      <c r="P1018" s="9"/>
      <c r="Q1018" s="47"/>
      <c r="R1018" s="47"/>
      <c r="S1018" s="47"/>
      <c r="T1018" s="47"/>
      <c r="U1018" s="47"/>
      <c r="V1018" s="47"/>
      <c r="W1018" s="47"/>
      <c r="X1018" s="47"/>
      <c r="Y1018" s="47"/>
      <c r="Z1018" s="47"/>
      <c r="AA1018" s="47"/>
      <c r="AB1018" s="47"/>
      <c r="AC1018" s="47"/>
      <c r="AD1018" s="47"/>
      <c r="AE1018" s="47"/>
      <c r="AF1018" s="47"/>
      <c r="AG1018" s="1345"/>
      <c r="AH1018" s="47"/>
      <c r="AI1018" s="47"/>
      <c r="AJ1018" s="47"/>
      <c r="AK1018" s="47"/>
      <c r="AL1018" s="47"/>
      <c r="AM1018" s="47"/>
      <c r="AN1018" s="47"/>
      <c r="AO1018" s="47"/>
      <c r="AP1018" s="47"/>
      <c r="AQ1018" s="47"/>
      <c r="AR1018" s="47"/>
      <c r="AS1018" s="47"/>
      <c r="AT1018" s="47"/>
      <c r="AU1018" s="47"/>
      <c r="AV1018" s="47"/>
      <c r="AW1018" s="47"/>
      <c r="AX1018" s="47"/>
      <c r="AY1018" s="47"/>
    </row>
    <row r="1019" spans="1:51" ht="15.75" customHeight="1">
      <c r="A1019" s="500"/>
      <c r="B1019" s="477"/>
      <c r="C1019" s="481"/>
      <c r="D1019" s="47"/>
      <c r="E1019" s="47"/>
      <c r="F1019" s="478"/>
      <c r="G1019" s="479"/>
      <c r="H1019" s="9"/>
      <c r="I1019" s="10"/>
      <c r="J1019" s="503"/>
      <c r="K1019" s="47"/>
      <c r="L1019" s="47"/>
      <c r="M1019" s="47"/>
      <c r="N1019" s="9"/>
      <c r="O1019" s="9"/>
      <c r="P1019" s="9"/>
      <c r="Q1019" s="47"/>
      <c r="R1019" s="47"/>
      <c r="S1019" s="47"/>
      <c r="T1019" s="47"/>
      <c r="U1019" s="47"/>
      <c r="V1019" s="47"/>
      <c r="W1019" s="47"/>
      <c r="X1019" s="47"/>
      <c r="Y1019" s="47"/>
      <c r="Z1019" s="47"/>
      <c r="AA1019" s="47"/>
      <c r="AB1019" s="47"/>
      <c r="AC1019" s="47"/>
      <c r="AD1019" s="47"/>
      <c r="AE1019" s="47"/>
      <c r="AF1019" s="47"/>
      <c r="AG1019" s="1345"/>
      <c r="AH1019" s="47"/>
      <c r="AI1019" s="47"/>
      <c r="AJ1019" s="47"/>
      <c r="AK1019" s="47"/>
      <c r="AL1019" s="47"/>
      <c r="AM1019" s="47"/>
      <c r="AN1019" s="47"/>
      <c r="AO1019" s="47"/>
      <c r="AP1019" s="47"/>
      <c r="AQ1019" s="47"/>
      <c r="AR1019" s="47"/>
      <c r="AS1019" s="47"/>
      <c r="AT1019" s="47"/>
      <c r="AU1019" s="47"/>
      <c r="AV1019" s="47"/>
      <c r="AW1019" s="47"/>
      <c r="AX1019" s="47"/>
      <c r="AY1019" s="47"/>
    </row>
    <row r="1020" spans="1:51" ht="15.75" customHeight="1">
      <c r="A1020" s="500"/>
      <c r="B1020" s="477"/>
      <c r="C1020" s="481"/>
      <c r="D1020" s="47"/>
      <c r="E1020" s="47"/>
      <c r="F1020" s="478"/>
      <c r="G1020" s="479"/>
      <c r="H1020" s="9"/>
      <c r="I1020" s="9"/>
      <c r="J1020" s="503"/>
      <c r="K1020" s="47"/>
      <c r="L1020" s="47"/>
      <c r="M1020" s="47"/>
      <c r="N1020" s="9"/>
      <c r="O1020" s="9"/>
      <c r="P1020" s="9"/>
      <c r="Q1020" s="47"/>
      <c r="R1020" s="47"/>
      <c r="S1020" s="47"/>
      <c r="T1020" s="47"/>
      <c r="U1020" s="47"/>
      <c r="V1020" s="47"/>
      <c r="W1020" s="47"/>
      <c r="X1020" s="47"/>
      <c r="Y1020" s="47"/>
      <c r="Z1020" s="47"/>
      <c r="AA1020" s="47"/>
      <c r="AB1020" s="47"/>
      <c r="AC1020" s="47"/>
      <c r="AD1020" s="47"/>
      <c r="AE1020" s="47"/>
      <c r="AF1020" s="47"/>
      <c r="AG1020" s="1345"/>
      <c r="AH1020" s="47"/>
      <c r="AI1020" s="47"/>
      <c r="AJ1020" s="47"/>
      <c r="AK1020" s="47"/>
      <c r="AL1020" s="47"/>
      <c r="AM1020" s="47"/>
      <c r="AN1020" s="47"/>
      <c r="AO1020" s="47"/>
      <c r="AP1020" s="47"/>
      <c r="AQ1020" s="47"/>
      <c r="AR1020" s="47"/>
      <c r="AS1020" s="47"/>
      <c r="AT1020" s="47"/>
      <c r="AU1020" s="47"/>
      <c r="AV1020" s="47"/>
      <c r="AW1020" s="47"/>
      <c r="AX1020" s="47"/>
      <c r="AY1020" s="47"/>
    </row>
    <row r="1021" spans="1:51" ht="15.75" customHeight="1">
      <c r="A1021" s="500"/>
      <c r="B1021" s="477"/>
      <c r="C1021" s="481"/>
      <c r="D1021" s="47"/>
      <c r="E1021" s="47"/>
      <c r="F1021" s="478"/>
      <c r="G1021" s="479"/>
      <c r="H1021" s="9"/>
      <c r="I1021" s="10"/>
      <c r="J1021" s="503"/>
      <c r="K1021" s="47"/>
      <c r="L1021" s="47"/>
      <c r="M1021" s="47"/>
      <c r="N1021" s="9"/>
      <c r="O1021" s="9"/>
      <c r="P1021" s="9"/>
      <c r="Q1021" s="47"/>
      <c r="R1021" s="47"/>
      <c r="S1021" s="47"/>
      <c r="T1021" s="47"/>
      <c r="U1021" s="47"/>
      <c r="V1021" s="47"/>
      <c r="W1021" s="47"/>
      <c r="X1021" s="47"/>
      <c r="Y1021" s="47"/>
      <c r="Z1021" s="47"/>
      <c r="AA1021" s="47"/>
      <c r="AB1021" s="47"/>
      <c r="AC1021" s="47"/>
      <c r="AD1021" s="47"/>
      <c r="AE1021" s="47"/>
      <c r="AF1021" s="47"/>
      <c r="AG1021" s="1345"/>
      <c r="AH1021" s="47"/>
      <c r="AI1021" s="47"/>
      <c r="AJ1021" s="47"/>
      <c r="AK1021" s="47"/>
      <c r="AL1021" s="47"/>
      <c r="AM1021" s="47"/>
      <c r="AN1021" s="47"/>
      <c r="AO1021" s="47"/>
      <c r="AP1021" s="47"/>
      <c r="AQ1021" s="47"/>
      <c r="AR1021" s="47"/>
      <c r="AS1021" s="47"/>
      <c r="AT1021" s="47"/>
      <c r="AU1021" s="47"/>
      <c r="AV1021" s="47"/>
      <c r="AW1021" s="47"/>
      <c r="AX1021" s="47"/>
      <c r="AY1021" s="47"/>
    </row>
    <row r="1022" spans="1:51" ht="15.75" customHeight="1">
      <c r="A1022" s="500"/>
      <c r="B1022" s="477"/>
      <c r="C1022" s="481"/>
      <c r="D1022" s="47"/>
      <c r="E1022" s="47"/>
      <c r="F1022" s="478"/>
      <c r="G1022" s="479"/>
      <c r="H1022" s="9"/>
      <c r="I1022" s="9"/>
      <c r="J1022" s="503"/>
      <c r="K1022" s="47"/>
      <c r="L1022" s="47"/>
      <c r="M1022" s="47"/>
      <c r="N1022" s="9"/>
      <c r="O1022" s="9"/>
      <c r="P1022" s="9"/>
      <c r="Q1022" s="47"/>
      <c r="R1022" s="47"/>
      <c r="S1022" s="47"/>
      <c r="T1022" s="47"/>
      <c r="U1022" s="47"/>
      <c r="V1022" s="47"/>
      <c r="W1022" s="47"/>
      <c r="X1022" s="47"/>
      <c r="Y1022" s="47"/>
      <c r="Z1022" s="47"/>
      <c r="AA1022" s="47"/>
      <c r="AB1022" s="47"/>
      <c r="AC1022" s="47"/>
      <c r="AD1022" s="47"/>
      <c r="AE1022" s="47"/>
      <c r="AF1022" s="47"/>
      <c r="AG1022" s="1345"/>
      <c r="AH1022" s="47"/>
      <c r="AI1022" s="47"/>
      <c r="AJ1022" s="47"/>
      <c r="AK1022" s="47"/>
      <c r="AL1022" s="47"/>
      <c r="AM1022" s="47"/>
      <c r="AN1022" s="47"/>
      <c r="AO1022" s="47"/>
      <c r="AP1022" s="47"/>
      <c r="AQ1022" s="47"/>
      <c r="AR1022" s="47"/>
      <c r="AS1022" s="47"/>
      <c r="AT1022" s="47"/>
      <c r="AU1022" s="47"/>
      <c r="AV1022" s="47"/>
      <c r="AW1022" s="47"/>
      <c r="AX1022" s="47"/>
      <c r="AY1022" s="47"/>
    </row>
    <row r="1023" spans="1:51" ht="15.75" customHeight="1">
      <c r="A1023" s="500"/>
      <c r="B1023" s="477"/>
      <c r="C1023" s="481"/>
      <c r="D1023" s="47"/>
      <c r="E1023" s="47"/>
      <c r="F1023" s="478"/>
      <c r="G1023" s="479"/>
      <c r="H1023" s="9"/>
      <c r="I1023" s="9"/>
      <c r="J1023" s="503"/>
      <c r="K1023" s="47"/>
      <c r="L1023" s="47"/>
      <c r="M1023" s="47"/>
      <c r="N1023" s="9"/>
      <c r="O1023" s="9"/>
      <c r="P1023" s="9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7"/>
      <c r="AF1023" s="47"/>
      <c r="AG1023" s="1345"/>
      <c r="AH1023" s="47"/>
      <c r="AI1023" s="47"/>
      <c r="AJ1023" s="47"/>
      <c r="AK1023" s="47"/>
      <c r="AL1023" s="47"/>
      <c r="AM1023" s="47"/>
      <c r="AN1023" s="47"/>
      <c r="AO1023" s="47"/>
      <c r="AP1023" s="47"/>
      <c r="AQ1023" s="47"/>
      <c r="AR1023" s="47"/>
      <c r="AS1023" s="47"/>
      <c r="AT1023" s="47"/>
      <c r="AU1023" s="47"/>
      <c r="AV1023" s="47"/>
      <c r="AW1023" s="47"/>
      <c r="AX1023" s="47"/>
      <c r="AY1023" s="47"/>
    </row>
    <row r="1024" spans="1:51" ht="15.75" customHeight="1">
      <c r="A1024" s="500"/>
      <c r="B1024" s="481"/>
      <c r="C1024" s="481"/>
      <c r="D1024" s="47"/>
      <c r="E1024" s="47"/>
      <c r="F1024" s="478"/>
      <c r="G1024" s="479"/>
      <c r="H1024" s="9"/>
      <c r="I1024" s="10"/>
      <c r="J1024" s="501"/>
      <c r="K1024" s="47"/>
      <c r="L1024" s="47"/>
      <c r="M1024" s="47"/>
      <c r="N1024" s="9"/>
      <c r="O1024" s="9"/>
      <c r="P1024" s="9"/>
      <c r="Q1024" s="47"/>
      <c r="R1024" s="47"/>
      <c r="S1024" s="47"/>
      <c r="T1024" s="47"/>
      <c r="U1024" s="47"/>
      <c r="V1024" s="47"/>
      <c r="W1024" s="47"/>
      <c r="X1024" s="47"/>
      <c r="Y1024" s="47"/>
      <c r="Z1024" s="47"/>
      <c r="AA1024" s="47"/>
      <c r="AB1024" s="47"/>
      <c r="AC1024" s="47"/>
      <c r="AD1024" s="47"/>
      <c r="AE1024" s="47"/>
      <c r="AF1024" s="47"/>
      <c r="AG1024" s="1345"/>
      <c r="AH1024" s="47"/>
      <c r="AI1024" s="47"/>
      <c r="AJ1024" s="47"/>
      <c r="AK1024" s="47"/>
      <c r="AL1024" s="47"/>
      <c r="AM1024" s="47"/>
      <c r="AN1024" s="47"/>
      <c r="AO1024" s="47"/>
      <c r="AP1024" s="47"/>
      <c r="AQ1024" s="47"/>
      <c r="AR1024" s="47"/>
      <c r="AS1024" s="47"/>
      <c r="AT1024" s="47"/>
      <c r="AU1024" s="47"/>
      <c r="AV1024" s="47"/>
      <c r="AW1024" s="47"/>
      <c r="AX1024" s="47"/>
      <c r="AY1024" s="47"/>
    </row>
    <row r="1025" spans="1:51" ht="15.75" customHeight="1">
      <c r="A1025" s="500"/>
      <c r="B1025" s="477"/>
      <c r="C1025" s="481"/>
      <c r="D1025" s="47"/>
      <c r="E1025" s="47"/>
      <c r="F1025" s="478"/>
      <c r="G1025" s="479"/>
      <c r="H1025" s="9"/>
      <c r="I1025" s="10"/>
      <c r="J1025" s="501"/>
      <c r="K1025" s="47"/>
      <c r="L1025" s="47"/>
      <c r="M1025" s="47"/>
      <c r="N1025" s="9"/>
      <c r="O1025" s="9"/>
      <c r="P1025" s="9"/>
      <c r="Q1025" s="47"/>
      <c r="R1025" s="47"/>
      <c r="S1025" s="47"/>
      <c r="T1025" s="47"/>
      <c r="U1025" s="47"/>
      <c r="V1025" s="47"/>
      <c r="W1025" s="47"/>
      <c r="X1025" s="47"/>
      <c r="Y1025" s="47"/>
      <c r="Z1025" s="47"/>
      <c r="AA1025" s="47"/>
      <c r="AB1025" s="47"/>
      <c r="AC1025" s="47"/>
      <c r="AD1025" s="47"/>
      <c r="AE1025" s="47"/>
      <c r="AF1025" s="47"/>
      <c r="AG1025" s="1345"/>
      <c r="AH1025" s="47"/>
      <c r="AI1025" s="47"/>
      <c r="AJ1025" s="47"/>
      <c r="AK1025" s="47"/>
      <c r="AL1025" s="47"/>
      <c r="AM1025" s="47"/>
      <c r="AN1025" s="47"/>
      <c r="AO1025" s="47"/>
      <c r="AP1025" s="47"/>
      <c r="AQ1025" s="47"/>
      <c r="AR1025" s="47"/>
      <c r="AS1025" s="47"/>
      <c r="AT1025" s="47"/>
      <c r="AU1025" s="47"/>
      <c r="AV1025" s="47"/>
      <c r="AW1025" s="47"/>
      <c r="AX1025" s="47"/>
      <c r="AY1025" s="47"/>
    </row>
    <row r="1026" spans="1:51" ht="15.75" customHeight="1">
      <c r="A1026" s="500"/>
      <c r="B1026" s="477"/>
      <c r="C1026" s="481"/>
      <c r="D1026" s="47"/>
      <c r="E1026" s="47"/>
      <c r="F1026" s="478"/>
      <c r="G1026" s="479"/>
      <c r="H1026" s="9"/>
      <c r="I1026" s="9"/>
      <c r="J1026" s="503"/>
      <c r="K1026" s="47"/>
      <c r="L1026" s="47"/>
      <c r="M1026" s="47"/>
      <c r="N1026" s="9"/>
      <c r="O1026" s="9"/>
      <c r="P1026" s="9"/>
      <c r="Q1026" s="47"/>
      <c r="R1026" s="47"/>
      <c r="S1026" s="47"/>
      <c r="T1026" s="47"/>
      <c r="U1026" s="47"/>
      <c r="V1026" s="47"/>
      <c r="W1026" s="47"/>
      <c r="X1026" s="47"/>
      <c r="Y1026" s="47"/>
      <c r="Z1026" s="47"/>
      <c r="AA1026" s="47"/>
      <c r="AB1026" s="47"/>
      <c r="AC1026" s="47"/>
      <c r="AD1026" s="47"/>
      <c r="AE1026" s="47"/>
      <c r="AF1026" s="47"/>
      <c r="AG1026" s="1345"/>
      <c r="AH1026" s="47"/>
      <c r="AI1026" s="47"/>
      <c r="AJ1026" s="47"/>
      <c r="AK1026" s="47"/>
      <c r="AL1026" s="47"/>
      <c r="AM1026" s="47"/>
      <c r="AN1026" s="47"/>
      <c r="AO1026" s="47"/>
      <c r="AP1026" s="47"/>
      <c r="AQ1026" s="47"/>
      <c r="AR1026" s="47"/>
      <c r="AS1026" s="47"/>
      <c r="AT1026" s="47"/>
      <c r="AU1026" s="47"/>
      <c r="AV1026" s="47"/>
      <c r="AW1026" s="47"/>
      <c r="AX1026" s="47"/>
      <c r="AY1026" s="47"/>
    </row>
    <row r="1027" spans="1:51" ht="15.75" customHeight="1">
      <c r="A1027" s="500"/>
      <c r="B1027" s="477"/>
      <c r="C1027" s="481"/>
      <c r="D1027" s="47"/>
      <c r="E1027" s="47"/>
      <c r="F1027" s="478"/>
      <c r="G1027" s="479"/>
      <c r="H1027" s="9"/>
      <c r="I1027" s="9"/>
      <c r="J1027" s="503"/>
      <c r="K1027" s="47"/>
      <c r="L1027" s="47"/>
      <c r="M1027" s="47"/>
      <c r="N1027" s="9"/>
      <c r="O1027" s="9"/>
      <c r="P1027" s="9"/>
      <c r="Q1027" s="47"/>
      <c r="R1027" s="47"/>
      <c r="S1027" s="47"/>
      <c r="T1027" s="47"/>
      <c r="U1027" s="47"/>
      <c r="V1027" s="47"/>
      <c r="W1027" s="47"/>
      <c r="X1027" s="47"/>
      <c r="Y1027" s="47"/>
      <c r="Z1027" s="47"/>
      <c r="AA1027" s="47"/>
      <c r="AB1027" s="47"/>
      <c r="AC1027" s="47"/>
      <c r="AD1027" s="47"/>
      <c r="AE1027" s="47"/>
      <c r="AF1027" s="47"/>
      <c r="AG1027" s="1345"/>
      <c r="AH1027" s="47"/>
      <c r="AI1027" s="47"/>
      <c r="AJ1027" s="47"/>
      <c r="AK1027" s="47"/>
      <c r="AL1027" s="47"/>
      <c r="AM1027" s="47"/>
      <c r="AN1027" s="47"/>
      <c r="AO1027" s="47"/>
      <c r="AP1027" s="47"/>
      <c r="AQ1027" s="47"/>
      <c r="AR1027" s="47"/>
      <c r="AS1027" s="47"/>
      <c r="AT1027" s="47"/>
      <c r="AU1027" s="47"/>
      <c r="AV1027" s="47"/>
      <c r="AW1027" s="47"/>
      <c r="AX1027" s="47"/>
      <c r="AY1027" s="47"/>
    </row>
    <row r="1028" spans="1:51" ht="15.75" customHeight="1">
      <c r="A1028" s="500"/>
      <c r="B1028" s="477"/>
      <c r="C1028" s="481"/>
      <c r="D1028" s="47"/>
      <c r="E1028" s="47"/>
      <c r="F1028" s="478"/>
      <c r="G1028" s="479"/>
      <c r="H1028" s="9"/>
      <c r="I1028" s="9"/>
      <c r="J1028" s="503"/>
      <c r="K1028" s="47"/>
      <c r="L1028" s="47"/>
      <c r="M1028" s="47"/>
      <c r="N1028" s="9"/>
      <c r="O1028" s="9"/>
      <c r="P1028" s="9"/>
      <c r="Q1028" s="47"/>
      <c r="R1028" s="47"/>
      <c r="S1028" s="47"/>
      <c r="T1028" s="47"/>
      <c r="U1028" s="47"/>
      <c r="V1028" s="47"/>
      <c r="W1028" s="47"/>
      <c r="X1028" s="47"/>
      <c r="Y1028" s="47"/>
      <c r="Z1028" s="47"/>
      <c r="AA1028" s="47"/>
      <c r="AB1028" s="47"/>
      <c r="AC1028" s="47"/>
      <c r="AD1028" s="47"/>
      <c r="AE1028" s="47"/>
      <c r="AF1028" s="47"/>
      <c r="AG1028" s="1345"/>
      <c r="AH1028" s="47"/>
      <c r="AI1028" s="47"/>
      <c r="AJ1028" s="47"/>
      <c r="AK1028" s="47"/>
      <c r="AL1028" s="47"/>
      <c r="AM1028" s="47"/>
      <c r="AN1028" s="47"/>
      <c r="AO1028" s="47"/>
      <c r="AP1028" s="47"/>
      <c r="AQ1028" s="47"/>
      <c r="AR1028" s="47"/>
      <c r="AS1028" s="47"/>
      <c r="AT1028" s="47"/>
      <c r="AU1028" s="47"/>
      <c r="AV1028" s="47"/>
      <c r="AW1028" s="47"/>
      <c r="AX1028" s="47"/>
      <c r="AY1028" s="47"/>
    </row>
    <row r="1029" spans="1:51" ht="15.75" customHeight="1">
      <c r="A1029" s="500"/>
      <c r="B1029" s="477"/>
      <c r="C1029" s="481"/>
      <c r="D1029" s="47"/>
      <c r="E1029" s="47"/>
      <c r="F1029" s="478"/>
      <c r="G1029" s="479"/>
      <c r="H1029" s="9"/>
      <c r="I1029" s="9"/>
      <c r="J1029" s="503"/>
      <c r="K1029" s="47"/>
      <c r="L1029" s="47"/>
      <c r="M1029" s="47"/>
      <c r="N1029" s="9"/>
      <c r="O1029" s="9"/>
      <c r="P1029" s="9"/>
      <c r="Q1029" s="47"/>
      <c r="R1029" s="47"/>
      <c r="S1029" s="47"/>
      <c r="T1029" s="47"/>
      <c r="U1029" s="47"/>
      <c r="V1029" s="47"/>
      <c r="W1029" s="47"/>
      <c r="X1029" s="47"/>
      <c r="Y1029" s="47"/>
      <c r="Z1029" s="47"/>
      <c r="AA1029" s="47"/>
      <c r="AB1029" s="47"/>
      <c r="AC1029" s="47"/>
      <c r="AD1029" s="47"/>
      <c r="AE1029" s="47"/>
      <c r="AF1029" s="47"/>
      <c r="AG1029" s="1345"/>
      <c r="AH1029" s="47"/>
      <c r="AI1029" s="47"/>
      <c r="AJ1029" s="47"/>
      <c r="AK1029" s="47"/>
      <c r="AL1029" s="47"/>
      <c r="AM1029" s="47"/>
      <c r="AN1029" s="47"/>
      <c r="AO1029" s="47"/>
      <c r="AP1029" s="47"/>
      <c r="AQ1029" s="47"/>
      <c r="AR1029" s="47"/>
      <c r="AS1029" s="47"/>
      <c r="AT1029" s="47"/>
      <c r="AU1029" s="47"/>
      <c r="AV1029" s="47"/>
      <c r="AW1029" s="47"/>
      <c r="AX1029" s="47"/>
      <c r="AY1029" s="47"/>
    </row>
    <row r="1030" spans="1:51" ht="15.75" customHeight="1">
      <c r="A1030" s="500"/>
      <c r="B1030" s="477"/>
      <c r="C1030" s="481"/>
      <c r="D1030" s="47"/>
      <c r="E1030" s="47"/>
      <c r="F1030" s="478"/>
      <c r="G1030" s="479"/>
      <c r="H1030" s="9"/>
      <c r="I1030" s="9"/>
      <c r="J1030" s="503"/>
      <c r="K1030" s="47"/>
      <c r="L1030" s="47"/>
      <c r="M1030" s="47"/>
      <c r="N1030" s="9"/>
      <c r="O1030" s="9"/>
      <c r="P1030" s="9"/>
      <c r="Q1030" s="47"/>
      <c r="R1030" s="47"/>
      <c r="S1030" s="47"/>
      <c r="T1030" s="47"/>
      <c r="U1030" s="47"/>
      <c r="V1030" s="47"/>
      <c r="W1030" s="47"/>
      <c r="X1030" s="47"/>
      <c r="Y1030" s="47"/>
      <c r="Z1030" s="47"/>
      <c r="AA1030" s="47"/>
      <c r="AB1030" s="47"/>
      <c r="AC1030" s="47"/>
      <c r="AD1030" s="47"/>
      <c r="AE1030" s="47"/>
      <c r="AF1030" s="47"/>
      <c r="AG1030" s="1345"/>
      <c r="AH1030" s="47"/>
      <c r="AI1030" s="47"/>
      <c r="AJ1030" s="47"/>
      <c r="AK1030" s="47"/>
      <c r="AL1030" s="47"/>
      <c r="AM1030" s="47"/>
      <c r="AN1030" s="47"/>
      <c r="AO1030" s="47"/>
      <c r="AP1030" s="47"/>
      <c r="AQ1030" s="47"/>
      <c r="AR1030" s="47"/>
      <c r="AS1030" s="47"/>
      <c r="AT1030" s="47"/>
      <c r="AU1030" s="47"/>
      <c r="AV1030" s="47"/>
      <c r="AW1030" s="47"/>
      <c r="AX1030" s="47"/>
      <c r="AY1030" s="47"/>
    </row>
    <row r="1031" spans="1:51" ht="15.75" customHeight="1">
      <c r="A1031" s="500"/>
      <c r="B1031" s="477"/>
      <c r="C1031" s="481"/>
      <c r="D1031" s="47"/>
      <c r="E1031" s="47"/>
      <c r="F1031" s="478"/>
      <c r="G1031" s="479"/>
      <c r="H1031" s="9"/>
      <c r="I1031" s="9"/>
      <c r="J1031" s="503"/>
      <c r="K1031" s="47"/>
      <c r="L1031" s="47"/>
      <c r="M1031" s="47"/>
      <c r="N1031" s="9"/>
      <c r="O1031" s="9"/>
      <c r="P1031" s="9"/>
      <c r="Q1031" s="47"/>
      <c r="R1031" s="47"/>
      <c r="S1031" s="47"/>
      <c r="T1031" s="47"/>
      <c r="U1031" s="47"/>
      <c r="V1031" s="47"/>
      <c r="W1031" s="47"/>
      <c r="X1031" s="47"/>
      <c r="Y1031" s="47"/>
      <c r="Z1031" s="47"/>
      <c r="AA1031" s="47"/>
      <c r="AB1031" s="47"/>
      <c r="AC1031" s="47"/>
      <c r="AD1031" s="47"/>
      <c r="AE1031" s="47"/>
      <c r="AF1031" s="47"/>
      <c r="AG1031" s="1345"/>
      <c r="AH1031" s="47"/>
      <c r="AI1031" s="47"/>
      <c r="AJ1031" s="47"/>
      <c r="AK1031" s="47"/>
      <c r="AL1031" s="47"/>
      <c r="AM1031" s="47"/>
      <c r="AN1031" s="47"/>
      <c r="AO1031" s="47"/>
      <c r="AP1031" s="47"/>
      <c r="AQ1031" s="47"/>
      <c r="AR1031" s="47"/>
      <c r="AS1031" s="47"/>
      <c r="AT1031" s="47"/>
      <c r="AU1031" s="47"/>
      <c r="AV1031" s="47"/>
      <c r="AW1031" s="47"/>
      <c r="AX1031" s="47"/>
      <c r="AY1031" s="47"/>
    </row>
    <row r="1032" spans="1:51" ht="15.75" customHeight="1">
      <c r="A1032" s="500"/>
      <c r="B1032" s="477"/>
      <c r="C1032" s="481"/>
      <c r="D1032" s="47"/>
      <c r="E1032" s="47"/>
      <c r="F1032" s="478"/>
      <c r="G1032" s="479"/>
      <c r="H1032" s="9"/>
      <c r="I1032" s="10"/>
      <c r="J1032" s="503"/>
      <c r="K1032" s="47"/>
      <c r="L1032" s="47"/>
      <c r="M1032" s="47"/>
      <c r="N1032" s="9"/>
      <c r="O1032" s="9"/>
      <c r="P1032" s="9"/>
      <c r="Q1032" s="47"/>
      <c r="R1032" s="47"/>
      <c r="S1032" s="47"/>
      <c r="T1032" s="47"/>
      <c r="U1032" s="47"/>
      <c r="V1032" s="47"/>
      <c r="W1032" s="47"/>
      <c r="X1032" s="47"/>
      <c r="Y1032" s="47"/>
      <c r="Z1032" s="47"/>
      <c r="AA1032" s="47"/>
      <c r="AB1032" s="47"/>
      <c r="AC1032" s="47"/>
      <c r="AD1032" s="47"/>
      <c r="AE1032" s="47"/>
      <c r="AF1032" s="47"/>
      <c r="AG1032" s="1345"/>
      <c r="AH1032" s="47"/>
      <c r="AI1032" s="47"/>
      <c r="AJ1032" s="47"/>
      <c r="AK1032" s="47"/>
      <c r="AL1032" s="47"/>
      <c r="AM1032" s="47"/>
      <c r="AN1032" s="47"/>
      <c r="AO1032" s="47"/>
      <c r="AP1032" s="47"/>
      <c r="AQ1032" s="47"/>
      <c r="AR1032" s="47"/>
      <c r="AS1032" s="47"/>
      <c r="AT1032" s="47"/>
      <c r="AU1032" s="47"/>
      <c r="AV1032" s="47"/>
      <c r="AW1032" s="47"/>
      <c r="AX1032" s="47"/>
      <c r="AY1032" s="47"/>
    </row>
    <row r="1033" spans="1:51" ht="15.75" customHeight="1">
      <c r="A1033" s="500"/>
      <c r="B1033" s="477"/>
      <c r="C1033" s="481"/>
      <c r="D1033" s="47"/>
      <c r="E1033" s="47"/>
      <c r="F1033" s="478"/>
      <c r="G1033" s="479"/>
      <c r="H1033" s="9"/>
      <c r="I1033" s="9"/>
      <c r="J1033" s="503"/>
      <c r="K1033" s="47"/>
      <c r="L1033" s="47"/>
      <c r="M1033" s="47"/>
      <c r="N1033" s="9"/>
      <c r="O1033" s="9"/>
      <c r="P1033" s="9"/>
      <c r="Q1033" s="47"/>
      <c r="R1033" s="47"/>
      <c r="S1033" s="47"/>
      <c r="T1033" s="47"/>
      <c r="U1033" s="47"/>
      <c r="V1033" s="47"/>
      <c r="W1033" s="47"/>
      <c r="X1033" s="47"/>
      <c r="Y1033" s="47"/>
      <c r="Z1033" s="47"/>
      <c r="AA1033" s="47"/>
      <c r="AB1033" s="47"/>
      <c r="AC1033" s="47"/>
      <c r="AD1033" s="47"/>
      <c r="AE1033" s="47"/>
      <c r="AF1033" s="47"/>
      <c r="AG1033" s="1345"/>
      <c r="AH1033" s="47"/>
      <c r="AI1033" s="47"/>
      <c r="AJ1033" s="47"/>
      <c r="AK1033" s="47"/>
      <c r="AL1033" s="47"/>
      <c r="AM1033" s="47"/>
      <c r="AN1033" s="47"/>
      <c r="AO1033" s="47"/>
      <c r="AP1033" s="47"/>
      <c r="AQ1033" s="47"/>
      <c r="AR1033" s="47"/>
      <c r="AS1033" s="47"/>
      <c r="AT1033" s="47"/>
      <c r="AU1033" s="47"/>
      <c r="AV1033" s="47"/>
      <c r="AW1033" s="47"/>
      <c r="AX1033" s="47"/>
      <c r="AY1033" s="47"/>
    </row>
    <row r="1034" spans="1:51" ht="15.75" customHeight="1">
      <c r="A1034" s="500"/>
      <c r="B1034" s="477"/>
      <c r="C1034" s="481"/>
      <c r="D1034" s="47"/>
      <c r="E1034" s="47"/>
      <c r="F1034" s="478"/>
      <c r="G1034" s="479"/>
      <c r="H1034" s="9"/>
      <c r="I1034" s="10"/>
      <c r="J1034" s="503"/>
      <c r="K1034" s="47"/>
      <c r="L1034" s="47"/>
      <c r="M1034" s="47"/>
      <c r="N1034" s="9"/>
      <c r="O1034" s="9"/>
      <c r="P1034" s="9"/>
      <c r="Q1034" s="47"/>
      <c r="R1034" s="47"/>
      <c r="S1034" s="47"/>
      <c r="T1034" s="47"/>
      <c r="U1034" s="47"/>
      <c r="V1034" s="47"/>
      <c r="W1034" s="47"/>
      <c r="X1034" s="47"/>
      <c r="Y1034" s="47"/>
      <c r="Z1034" s="47"/>
      <c r="AA1034" s="47"/>
      <c r="AB1034" s="47"/>
      <c r="AC1034" s="47"/>
      <c r="AD1034" s="47"/>
      <c r="AE1034" s="47"/>
      <c r="AF1034" s="47"/>
      <c r="AG1034" s="1345"/>
      <c r="AH1034" s="47"/>
      <c r="AI1034" s="47"/>
      <c r="AJ1034" s="47"/>
      <c r="AK1034" s="47"/>
      <c r="AL1034" s="47"/>
      <c r="AM1034" s="47"/>
      <c r="AN1034" s="47"/>
      <c r="AO1034" s="47"/>
      <c r="AP1034" s="47"/>
      <c r="AQ1034" s="47"/>
      <c r="AR1034" s="47"/>
      <c r="AS1034" s="47"/>
      <c r="AT1034" s="47"/>
      <c r="AU1034" s="47"/>
      <c r="AV1034" s="47"/>
      <c r="AW1034" s="47"/>
      <c r="AX1034" s="47"/>
      <c r="AY1034" s="47"/>
    </row>
    <row r="1035" spans="1:51" ht="15.75" customHeight="1">
      <c r="A1035" s="500"/>
      <c r="B1035" s="477"/>
      <c r="C1035" s="481"/>
      <c r="D1035" s="47"/>
      <c r="E1035" s="47"/>
      <c r="F1035" s="478"/>
      <c r="G1035" s="479"/>
      <c r="H1035" s="9"/>
      <c r="I1035" s="9"/>
      <c r="J1035" s="503"/>
      <c r="K1035" s="47"/>
      <c r="L1035" s="47"/>
      <c r="M1035" s="47"/>
      <c r="N1035" s="9"/>
      <c r="O1035" s="9"/>
      <c r="P1035" s="9"/>
      <c r="Q1035" s="47"/>
      <c r="R1035" s="47"/>
      <c r="S1035" s="47"/>
      <c r="T1035" s="47"/>
      <c r="U1035" s="47"/>
      <c r="V1035" s="47"/>
      <c r="W1035" s="47"/>
      <c r="X1035" s="47"/>
      <c r="Y1035" s="47"/>
      <c r="Z1035" s="47"/>
      <c r="AA1035" s="47"/>
      <c r="AB1035" s="47"/>
      <c r="AC1035" s="47"/>
      <c r="AD1035" s="47"/>
      <c r="AE1035" s="47"/>
      <c r="AF1035" s="47"/>
      <c r="AG1035" s="1345"/>
      <c r="AH1035" s="47"/>
      <c r="AI1035" s="47"/>
      <c r="AJ1035" s="47"/>
      <c r="AK1035" s="47"/>
      <c r="AL1035" s="47"/>
      <c r="AM1035" s="47"/>
      <c r="AN1035" s="47"/>
      <c r="AO1035" s="47"/>
      <c r="AP1035" s="47"/>
      <c r="AQ1035" s="47"/>
      <c r="AR1035" s="47"/>
      <c r="AS1035" s="47"/>
      <c r="AT1035" s="47"/>
      <c r="AU1035" s="47"/>
      <c r="AV1035" s="47"/>
      <c r="AW1035" s="47"/>
      <c r="AX1035" s="47"/>
      <c r="AY1035" s="47"/>
    </row>
    <row r="1036" spans="1:51" ht="15.75" customHeight="1">
      <c r="A1036" s="500"/>
      <c r="B1036" s="481"/>
      <c r="C1036" s="481"/>
      <c r="D1036" s="47"/>
      <c r="E1036" s="47"/>
      <c r="F1036" s="478"/>
      <c r="G1036" s="479"/>
      <c r="H1036" s="9"/>
      <c r="I1036" s="9"/>
      <c r="J1036" s="503"/>
      <c r="K1036" s="47"/>
      <c r="L1036" s="47"/>
      <c r="M1036" s="47"/>
      <c r="N1036" s="9"/>
      <c r="O1036" s="9"/>
      <c r="P1036" s="9"/>
      <c r="Q1036" s="47"/>
      <c r="R1036" s="47"/>
      <c r="S1036" s="47"/>
      <c r="T1036" s="47"/>
      <c r="U1036" s="47"/>
      <c r="V1036" s="47"/>
      <c r="W1036" s="47"/>
      <c r="X1036" s="47"/>
      <c r="Y1036" s="47"/>
      <c r="Z1036" s="47"/>
      <c r="AA1036" s="47"/>
      <c r="AB1036" s="47"/>
      <c r="AC1036" s="47"/>
      <c r="AD1036" s="47"/>
      <c r="AE1036" s="47"/>
      <c r="AF1036" s="47"/>
      <c r="AG1036" s="1345"/>
      <c r="AH1036" s="47"/>
      <c r="AI1036" s="47"/>
      <c r="AJ1036" s="47"/>
      <c r="AK1036" s="47"/>
      <c r="AL1036" s="47"/>
      <c r="AM1036" s="47"/>
      <c r="AN1036" s="47"/>
      <c r="AO1036" s="47"/>
      <c r="AP1036" s="47"/>
      <c r="AQ1036" s="47"/>
      <c r="AR1036" s="47"/>
      <c r="AS1036" s="47"/>
      <c r="AT1036" s="47"/>
      <c r="AU1036" s="47"/>
      <c r="AV1036" s="47"/>
      <c r="AW1036" s="47"/>
      <c r="AX1036" s="47"/>
      <c r="AY1036" s="47"/>
    </row>
    <row r="1037" spans="1:51" ht="15.75" customHeight="1">
      <c r="A1037" s="500"/>
      <c r="B1037" s="481"/>
      <c r="C1037" s="481"/>
      <c r="D1037" s="47"/>
      <c r="E1037" s="47"/>
      <c r="F1037" s="478"/>
      <c r="G1037" s="479"/>
      <c r="H1037" s="9"/>
      <c r="I1037" s="9"/>
      <c r="J1037" s="503"/>
      <c r="K1037" s="47"/>
      <c r="L1037" s="47"/>
      <c r="M1037" s="47"/>
      <c r="N1037" s="9"/>
      <c r="O1037" s="9"/>
      <c r="P1037" s="9"/>
      <c r="Q1037" s="47"/>
      <c r="R1037" s="47"/>
      <c r="S1037" s="47"/>
      <c r="T1037" s="47"/>
      <c r="U1037" s="47"/>
      <c r="V1037" s="47"/>
      <c r="W1037" s="47"/>
      <c r="X1037" s="47"/>
      <c r="Y1037" s="47"/>
      <c r="Z1037" s="47"/>
      <c r="AA1037" s="47"/>
      <c r="AB1037" s="47"/>
      <c r="AC1037" s="47"/>
      <c r="AD1037" s="47"/>
      <c r="AE1037" s="47"/>
      <c r="AF1037" s="47"/>
      <c r="AG1037" s="1345"/>
      <c r="AH1037" s="47"/>
      <c r="AI1037" s="47"/>
      <c r="AJ1037" s="47"/>
      <c r="AK1037" s="47"/>
      <c r="AL1037" s="47"/>
      <c r="AM1037" s="47"/>
      <c r="AN1037" s="47"/>
      <c r="AO1037" s="47"/>
      <c r="AP1037" s="47"/>
      <c r="AQ1037" s="47"/>
      <c r="AR1037" s="47"/>
      <c r="AS1037" s="47"/>
      <c r="AT1037" s="47"/>
      <c r="AU1037" s="47"/>
      <c r="AV1037" s="47"/>
      <c r="AW1037" s="47"/>
      <c r="AX1037" s="47"/>
      <c r="AY1037" s="47"/>
    </row>
    <row r="1038" spans="1:51" ht="15.75" customHeight="1">
      <c r="A1038" s="500"/>
      <c r="B1038" s="481"/>
      <c r="C1038" s="481"/>
      <c r="D1038" s="47"/>
      <c r="E1038" s="47"/>
      <c r="F1038" s="478"/>
      <c r="G1038" s="479"/>
      <c r="H1038" s="9"/>
      <c r="I1038" s="9"/>
      <c r="J1038" s="503"/>
      <c r="K1038" s="47"/>
      <c r="L1038" s="47"/>
      <c r="M1038" s="47"/>
      <c r="N1038" s="9"/>
      <c r="O1038" s="9"/>
      <c r="P1038" s="9"/>
      <c r="Q1038" s="47"/>
      <c r="R1038" s="47"/>
      <c r="S1038" s="47"/>
      <c r="T1038" s="47"/>
      <c r="U1038" s="47"/>
      <c r="V1038" s="47"/>
      <c r="W1038" s="47"/>
      <c r="X1038" s="47"/>
      <c r="Y1038" s="47"/>
      <c r="Z1038" s="47"/>
      <c r="AA1038" s="47"/>
      <c r="AB1038" s="47"/>
      <c r="AC1038" s="47"/>
      <c r="AD1038" s="47"/>
      <c r="AE1038" s="47"/>
      <c r="AF1038" s="47"/>
      <c r="AG1038" s="1345"/>
      <c r="AH1038" s="47"/>
      <c r="AI1038" s="47"/>
      <c r="AJ1038" s="47"/>
      <c r="AK1038" s="47"/>
      <c r="AL1038" s="47"/>
      <c r="AM1038" s="47"/>
      <c r="AN1038" s="47"/>
      <c r="AO1038" s="47"/>
      <c r="AP1038" s="47"/>
      <c r="AQ1038" s="47"/>
      <c r="AR1038" s="47"/>
      <c r="AS1038" s="47"/>
      <c r="AT1038" s="47"/>
      <c r="AU1038" s="47"/>
      <c r="AV1038" s="47"/>
      <c r="AW1038" s="47"/>
      <c r="AX1038" s="47"/>
      <c r="AY1038" s="47"/>
    </row>
    <row r="1039" spans="1:51" ht="15.75" customHeight="1">
      <c r="A1039" s="500"/>
      <c r="B1039" s="481"/>
      <c r="C1039" s="481"/>
      <c r="D1039" s="47"/>
      <c r="E1039" s="47"/>
      <c r="F1039" s="478"/>
      <c r="G1039" s="479"/>
      <c r="H1039" s="9"/>
      <c r="I1039" s="9"/>
      <c r="J1039" s="503"/>
      <c r="K1039" s="47"/>
      <c r="L1039" s="47"/>
      <c r="M1039" s="47"/>
      <c r="N1039" s="9"/>
      <c r="O1039" s="9"/>
      <c r="P1039" s="9"/>
      <c r="Q1039" s="47"/>
      <c r="R1039" s="47"/>
      <c r="S1039" s="47"/>
      <c r="T1039" s="47"/>
      <c r="U1039" s="47"/>
      <c r="V1039" s="47"/>
      <c r="W1039" s="47"/>
      <c r="X1039" s="47"/>
      <c r="Y1039" s="47"/>
      <c r="Z1039" s="47"/>
      <c r="AA1039" s="47"/>
      <c r="AB1039" s="47"/>
      <c r="AC1039" s="47"/>
      <c r="AD1039" s="47"/>
      <c r="AE1039" s="47"/>
      <c r="AF1039" s="47"/>
      <c r="AG1039" s="1345"/>
      <c r="AH1039" s="47"/>
      <c r="AI1039" s="47"/>
      <c r="AJ1039" s="47"/>
      <c r="AK1039" s="47"/>
      <c r="AL1039" s="47"/>
      <c r="AM1039" s="47"/>
      <c r="AN1039" s="47"/>
      <c r="AO1039" s="47"/>
      <c r="AP1039" s="47"/>
      <c r="AQ1039" s="47"/>
      <c r="AR1039" s="47"/>
      <c r="AS1039" s="47"/>
      <c r="AT1039" s="47"/>
      <c r="AU1039" s="47"/>
      <c r="AV1039" s="47"/>
      <c r="AW1039" s="47"/>
      <c r="AX1039" s="47"/>
      <c r="AY1039" s="47"/>
    </row>
    <row r="1040" spans="1:51" ht="15.75" customHeight="1">
      <c r="A1040" s="500"/>
      <c r="B1040" s="481"/>
      <c r="C1040" s="481"/>
      <c r="D1040" s="47"/>
      <c r="E1040" s="47"/>
      <c r="F1040" s="478"/>
      <c r="G1040" s="479"/>
      <c r="H1040" s="9"/>
      <c r="I1040" s="9"/>
      <c r="J1040" s="503"/>
      <c r="K1040" s="47"/>
      <c r="L1040" s="47"/>
      <c r="M1040" s="47"/>
      <c r="N1040" s="9"/>
      <c r="O1040" s="9"/>
      <c r="P1040" s="9"/>
      <c r="Q1040" s="47"/>
      <c r="R1040" s="47"/>
      <c r="S1040" s="47"/>
      <c r="T1040" s="47"/>
      <c r="U1040" s="47"/>
      <c r="V1040" s="47"/>
      <c r="W1040" s="47"/>
      <c r="X1040" s="47"/>
      <c r="Y1040" s="47"/>
      <c r="Z1040" s="47"/>
      <c r="AA1040" s="47"/>
      <c r="AB1040" s="47"/>
      <c r="AC1040" s="47"/>
      <c r="AD1040" s="47"/>
      <c r="AE1040" s="47"/>
      <c r="AF1040" s="47"/>
      <c r="AG1040" s="1345"/>
      <c r="AH1040" s="47"/>
      <c r="AI1040" s="47"/>
      <c r="AJ1040" s="47"/>
      <c r="AK1040" s="47"/>
      <c r="AL1040" s="47"/>
      <c r="AM1040" s="47"/>
      <c r="AN1040" s="47"/>
      <c r="AO1040" s="47"/>
      <c r="AP1040" s="47"/>
      <c r="AQ1040" s="47"/>
      <c r="AR1040" s="47"/>
      <c r="AS1040" s="47"/>
      <c r="AT1040" s="47"/>
      <c r="AU1040" s="47"/>
      <c r="AV1040" s="47"/>
      <c r="AW1040" s="47"/>
      <c r="AX1040" s="47"/>
      <c r="AY1040" s="47"/>
    </row>
    <row r="1041" spans="1:51" ht="15.75" customHeight="1">
      <c r="A1041" s="500"/>
      <c r="B1041" s="481"/>
      <c r="C1041" s="481"/>
      <c r="D1041" s="47"/>
      <c r="E1041" s="47"/>
      <c r="F1041" s="478"/>
      <c r="G1041" s="479"/>
      <c r="H1041" s="9"/>
      <c r="I1041" s="9"/>
      <c r="J1041" s="503"/>
      <c r="K1041" s="47"/>
      <c r="L1041" s="47"/>
      <c r="M1041" s="47"/>
      <c r="N1041" s="9"/>
      <c r="O1041" s="9"/>
      <c r="P1041" s="9"/>
      <c r="Q1041" s="47"/>
      <c r="R1041" s="47"/>
      <c r="S1041" s="47"/>
      <c r="T1041" s="47"/>
      <c r="U1041" s="47"/>
      <c r="V1041" s="47"/>
      <c r="W1041" s="47"/>
      <c r="X1041" s="47"/>
      <c r="Y1041" s="47"/>
      <c r="Z1041" s="47"/>
      <c r="AA1041" s="47"/>
      <c r="AB1041" s="47"/>
      <c r="AC1041" s="47"/>
      <c r="AD1041" s="47"/>
      <c r="AE1041" s="47"/>
      <c r="AF1041" s="47"/>
      <c r="AG1041" s="1345"/>
      <c r="AH1041" s="47"/>
      <c r="AI1041" s="47"/>
      <c r="AJ1041" s="47"/>
      <c r="AK1041" s="47"/>
      <c r="AL1041" s="47"/>
      <c r="AM1041" s="47"/>
      <c r="AN1041" s="47"/>
      <c r="AO1041" s="47"/>
      <c r="AP1041" s="47"/>
      <c r="AQ1041" s="47"/>
      <c r="AR1041" s="47"/>
      <c r="AS1041" s="47"/>
      <c r="AT1041" s="47"/>
      <c r="AU1041" s="47"/>
      <c r="AV1041" s="47"/>
      <c r="AW1041" s="47"/>
      <c r="AX1041" s="47"/>
      <c r="AY1041" s="47"/>
    </row>
    <row r="1042" spans="1:51" ht="15.75" customHeight="1">
      <c r="A1042" s="500"/>
      <c r="B1042" s="481"/>
      <c r="C1042" s="481"/>
      <c r="D1042" s="47"/>
      <c r="E1042" s="47"/>
      <c r="F1042" s="478"/>
      <c r="G1042" s="479"/>
      <c r="H1042" s="9"/>
      <c r="I1042" s="9"/>
      <c r="J1042" s="503"/>
      <c r="K1042" s="47"/>
      <c r="L1042" s="47"/>
      <c r="M1042" s="47"/>
      <c r="N1042" s="9"/>
      <c r="O1042" s="9"/>
      <c r="P1042" s="9"/>
      <c r="Q1042" s="47"/>
      <c r="R1042" s="47"/>
      <c r="S1042" s="47"/>
      <c r="T1042" s="47"/>
      <c r="U1042" s="47"/>
      <c r="V1042" s="47"/>
      <c r="W1042" s="47"/>
      <c r="X1042" s="47"/>
      <c r="Y1042" s="47"/>
      <c r="Z1042" s="47"/>
      <c r="AA1042" s="47"/>
      <c r="AB1042" s="47"/>
      <c r="AC1042" s="47"/>
      <c r="AD1042" s="47"/>
      <c r="AE1042" s="47"/>
      <c r="AF1042" s="47"/>
      <c r="AG1042" s="1345"/>
      <c r="AH1042" s="47"/>
      <c r="AI1042" s="47"/>
      <c r="AJ1042" s="47"/>
      <c r="AK1042" s="47"/>
      <c r="AL1042" s="47"/>
      <c r="AM1042" s="47"/>
      <c r="AN1042" s="47"/>
      <c r="AO1042" s="47"/>
      <c r="AP1042" s="47"/>
      <c r="AQ1042" s="47"/>
      <c r="AR1042" s="47"/>
      <c r="AS1042" s="47"/>
      <c r="AT1042" s="47"/>
      <c r="AU1042" s="47"/>
      <c r="AV1042" s="47"/>
      <c r="AW1042" s="47"/>
      <c r="AX1042" s="47"/>
      <c r="AY1042" s="47"/>
    </row>
    <row r="1043" spans="1:51" ht="15.75" customHeight="1">
      <c r="A1043" s="500"/>
      <c r="B1043" s="481"/>
      <c r="C1043" s="481"/>
      <c r="D1043" s="47"/>
      <c r="E1043" s="47"/>
      <c r="F1043" s="478"/>
      <c r="G1043" s="479"/>
      <c r="H1043" s="9"/>
      <c r="I1043" s="9"/>
      <c r="J1043" s="503"/>
      <c r="K1043" s="47"/>
      <c r="L1043" s="47"/>
      <c r="M1043" s="47"/>
      <c r="N1043" s="9"/>
      <c r="O1043" s="9"/>
      <c r="P1043" s="9"/>
      <c r="Q1043" s="47"/>
      <c r="R1043" s="47"/>
      <c r="S1043" s="47"/>
      <c r="T1043" s="47"/>
      <c r="U1043" s="47"/>
      <c r="V1043" s="47"/>
      <c r="W1043" s="47"/>
      <c r="X1043" s="47"/>
      <c r="Y1043" s="47"/>
      <c r="Z1043" s="47"/>
      <c r="AA1043" s="47"/>
      <c r="AB1043" s="47"/>
      <c r="AC1043" s="47"/>
      <c r="AD1043" s="47"/>
      <c r="AE1043" s="47"/>
      <c r="AF1043" s="47"/>
      <c r="AG1043" s="1345"/>
      <c r="AH1043" s="47"/>
      <c r="AI1043" s="47"/>
      <c r="AJ1043" s="47"/>
      <c r="AK1043" s="47"/>
      <c r="AL1043" s="47"/>
      <c r="AM1043" s="47"/>
      <c r="AN1043" s="47"/>
      <c r="AO1043" s="47"/>
      <c r="AP1043" s="47"/>
      <c r="AQ1043" s="47"/>
      <c r="AR1043" s="47"/>
      <c r="AS1043" s="47"/>
      <c r="AT1043" s="47"/>
      <c r="AU1043" s="47"/>
      <c r="AV1043" s="47"/>
      <c r="AW1043" s="47"/>
      <c r="AX1043" s="47"/>
      <c r="AY1043" s="47"/>
    </row>
    <row r="1044" spans="1:51" ht="15.75" customHeight="1">
      <c r="A1044" s="500"/>
      <c r="B1044" s="481"/>
      <c r="C1044" s="481"/>
      <c r="D1044" s="47"/>
      <c r="E1044" s="47"/>
      <c r="F1044" s="478"/>
      <c r="G1044" s="479"/>
      <c r="H1044" s="9"/>
      <c r="I1044" s="9"/>
      <c r="J1044" s="503"/>
      <c r="K1044" s="47"/>
      <c r="L1044" s="47"/>
      <c r="M1044" s="47"/>
      <c r="N1044" s="9"/>
      <c r="O1044" s="9"/>
      <c r="P1044" s="9"/>
      <c r="Q1044" s="47"/>
      <c r="R1044" s="47"/>
      <c r="S1044" s="47"/>
      <c r="T1044" s="47"/>
      <c r="U1044" s="47"/>
      <c r="V1044" s="47"/>
      <c r="W1044" s="47"/>
      <c r="X1044" s="47"/>
      <c r="Y1044" s="47"/>
      <c r="Z1044" s="47"/>
      <c r="AA1044" s="47"/>
      <c r="AB1044" s="47"/>
      <c r="AC1044" s="47"/>
      <c r="AD1044" s="47"/>
      <c r="AE1044" s="47"/>
      <c r="AF1044" s="47"/>
      <c r="AG1044" s="1345"/>
      <c r="AH1044" s="47"/>
      <c r="AI1044" s="47"/>
      <c r="AJ1044" s="47"/>
      <c r="AK1044" s="47"/>
      <c r="AL1044" s="47"/>
      <c r="AM1044" s="47"/>
      <c r="AN1044" s="47"/>
      <c r="AO1044" s="47"/>
      <c r="AP1044" s="47"/>
      <c r="AQ1044" s="47"/>
      <c r="AR1044" s="47"/>
      <c r="AS1044" s="47"/>
      <c r="AT1044" s="47"/>
      <c r="AU1044" s="47"/>
      <c r="AV1044" s="47"/>
      <c r="AW1044" s="47"/>
      <c r="AX1044" s="47"/>
      <c r="AY1044" s="47"/>
    </row>
    <row r="1045" spans="1:51" ht="15.75" customHeight="1">
      <c r="A1045" s="500"/>
      <c r="B1045" s="481"/>
      <c r="C1045" s="481"/>
      <c r="D1045" s="47"/>
      <c r="E1045" s="47"/>
      <c r="F1045" s="478"/>
      <c r="G1045" s="479"/>
      <c r="H1045" s="9"/>
      <c r="I1045" s="10"/>
      <c r="J1045" s="503"/>
      <c r="K1045" s="47"/>
      <c r="L1045" s="47"/>
      <c r="M1045" s="47"/>
      <c r="N1045" s="9"/>
      <c r="O1045" s="9"/>
      <c r="P1045" s="9"/>
      <c r="Q1045" s="47"/>
      <c r="R1045" s="47"/>
      <c r="S1045" s="47"/>
      <c r="T1045" s="47"/>
      <c r="U1045" s="47"/>
      <c r="V1045" s="47"/>
      <c r="W1045" s="47"/>
      <c r="X1045" s="47"/>
      <c r="Y1045" s="47"/>
      <c r="Z1045" s="47"/>
      <c r="AA1045" s="47"/>
      <c r="AB1045" s="47"/>
      <c r="AC1045" s="47"/>
      <c r="AD1045" s="47"/>
      <c r="AE1045" s="47"/>
      <c r="AF1045" s="47"/>
      <c r="AG1045" s="1345"/>
      <c r="AH1045" s="47"/>
      <c r="AI1045" s="47"/>
      <c r="AJ1045" s="47"/>
      <c r="AK1045" s="47"/>
      <c r="AL1045" s="47"/>
      <c r="AM1045" s="47"/>
      <c r="AN1045" s="47"/>
      <c r="AO1045" s="47"/>
      <c r="AP1045" s="47"/>
      <c r="AQ1045" s="47"/>
      <c r="AR1045" s="47"/>
      <c r="AS1045" s="47"/>
      <c r="AT1045" s="47"/>
      <c r="AU1045" s="47"/>
      <c r="AV1045" s="47"/>
      <c r="AW1045" s="47"/>
      <c r="AX1045" s="47"/>
      <c r="AY1045" s="47"/>
    </row>
    <row r="1046" spans="1:51" ht="15.75" customHeight="1">
      <c r="A1046" s="500"/>
      <c r="B1046" s="481"/>
      <c r="C1046" s="481"/>
      <c r="D1046" s="47"/>
      <c r="E1046" s="47"/>
      <c r="F1046" s="478"/>
      <c r="G1046" s="479"/>
      <c r="H1046" s="9"/>
      <c r="I1046" s="9"/>
      <c r="J1046" s="503"/>
      <c r="K1046" s="47"/>
      <c r="L1046" s="47"/>
      <c r="M1046" s="47"/>
      <c r="N1046" s="9"/>
      <c r="O1046" s="9"/>
      <c r="P1046" s="9"/>
      <c r="Q1046" s="47"/>
      <c r="R1046" s="47"/>
      <c r="S1046" s="47"/>
      <c r="T1046" s="47"/>
      <c r="U1046" s="47"/>
      <c r="V1046" s="47"/>
      <c r="W1046" s="47"/>
      <c r="X1046" s="47"/>
      <c r="Y1046" s="47"/>
      <c r="Z1046" s="47"/>
      <c r="AA1046" s="47"/>
      <c r="AB1046" s="47"/>
      <c r="AC1046" s="47"/>
      <c r="AD1046" s="47"/>
      <c r="AE1046" s="47"/>
      <c r="AF1046" s="47"/>
      <c r="AG1046" s="1345"/>
      <c r="AH1046" s="47"/>
      <c r="AI1046" s="47"/>
      <c r="AJ1046" s="47"/>
      <c r="AK1046" s="47"/>
      <c r="AL1046" s="47"/>
      <c r="AM1046" s="47"/>
      <c r="AN1046" s="47"/>
      <c r="AO1046" s="47"/>
      <c r="AP1046" s="47"/>
      <c r="AQ1046" s="47"/>
      <c r="AR1046" s="47"/>
      <c r="AS1046" s="47"/>
      <c r="AT1046" s="47"/>
      <c r="AU1046" s="47"/>
      <c r="AV1046" s="47"/>
      <c r="AW1046" s="47"/>
      <c r="AX1046" s="47"/>
      <c r="AY1046" s="47"/>
    </row>
    <row r="1047" spans="1:51" ht="15.75" customHeight="1">
      <c r="A1047" s="500"/>
      <c r="B1047" s="481"/>
      <c r="C1047" s="481"/>
      <c r="D1047" s="47"/>
      <c r="E1047" s="47"/>
      <c r="F1047" s="478"/>
      <c r="G1047" s="479"/>
      <c r="H1047" s="9"/>
      <c r="I1047" s="10"/>
      <c r="J1047" s="503"/>
      <c r="K1047" s="47"/>
      <c r="L1047" s="47"/>
      <c r="M1047" s="47"/>
      <c r="N1047" s="9"/>
      <c r="O1047" s="9"/>
      <c r="P1047" s="8"/>
      <c r="Q1047" s="47"/>
      <c r="R1047" s="47"/>
      <c r="S1047" s="47"/>
      <c r="T1047" s="47"/>
      <c r="U1047" s="47"/>
      <c r="V1047" s="47"/>
      <c r="W1047" s="47"/>
      <c r="X1047" s="47"/>
      <c r="Y1047" s="47"/>
      <c r="Z1047" s="47"/>
      <c r="AA1047" s="47"/>
      <c r="AB1047" s="47"/>
      <c r="AC1047" s="47"/>
      <c r="AD1047" s="47"/>
      <c r="AE1047" s="47"/>
      <c r="AF1047" s="47"/>
      <c r="AG1047" s="1345"/>
      <c r="AH1047" s="47"/>
      <c r="AI1047" s="47"/>
      <c r="AJ1047" s="47"/>
      <c r="AK1047" s="47"/>
      <c r="AL1047" s="47"/>
      <c r="AM1047" s="47"/>
      <c r="AN1047" s="47"/>
      <c r="AO1047" s="47"/>
      <c r="AP1047" s="47"/>
      <c r="AQ1047" s="47"/>
      <c r="AR1047" s="47"/>
      <c r="AS1047" s="47"/>
      <c r="AT1047" s="47"/>
      <c r="AU1047" s="47"/>
      <c r="AV1047" s="47"/>
      <c r="AW1047" s="47"/>
      <c r="AX1047" s="47"/>
      <c r="AY1047" s="47"/>
    </row>
    <row r="1048" spans="1:51" ht="15.75" customHeight="1">
      <c r="A1048" s="500"/>
      <c r="B1048" s="481"/>
      <c r="C1048" s="481"/>
      <c r="D1048" s="47"/>
      <c r="E1048" s="47"/>
      <c r="F1048" s="478"/>
      <c r="G1048" s="479"/>
      <c r="H1048" s="9"/>
      <c r="I1048" s="9"/>
      <c r="J1048" s="503"/>
      <c r="K1048" s="47"/>
      <c r="L1048" s="47"/>
      <c r="M1048" s="47"/>
      <c r="N1048" s="9"/>
      <c r="O1048" s="9"/>
      <c r="P1048" s="8"/>
      <c r="Q1048" s="47"/>
      <c r="R1048" s="47"/>
      <c r="S1048" s="47"/>
      <c r="T1048" s="47"/>
      <c r="U1048" s="47"/>
      <c r="V1048" s="47"/>
      <c r="W1048" s="47"/>
      <c r="X1048" s="47"/>
      <c r="Y1048" s="47"/>
      <c r="Z1048" s="47"/>
      <c r="AA1048" s="47"/>
      <c r="AB1048" s="47"/>
      <c r="AC1048" s="47"/>
      <c r="AD1048" s="47"/>
      <c r="AE1048" s="47"/>
      <c r="AF1048" s="47"/>
      <c r="AG1048" s="1345"/>
      <c r="AH1048" s="47"/>
      <c r="AI1048" s="47"/>
      <c r="AJ1048" s="47"/>
      <c r="AK1048" s="47"/>
      <c r="AL1048" s="47"/>
      <c r="AM1048" s="47"/>
      <c r="AN1048" s="47"/>
      <c r="AO1048" s="47"/>
      <c r="AP1048" s="47"/>
      <c r="AQ1048" s="47"/>
      <c r="AR1048" s="47"/>
      <c r="AS1048" s="47"/>
      <c r="AT1048" s="47"/>
      <c r="AU1048" s="47"/>
      <c r="AV1048" s="47"/>
      <c r="AW1048" s="47"/>
      <c r="AX1048" s="47"/>
      <c r="AY1048" s="47"/>
    </row>
    <row r="1049" spans="1:51" ht="15.75" customHeight="1">
      <c r="A1049" s="500"/>
      <c r="B1049" s="481"/>
      <c r="C1049" s="481"/>
      <c r="D1049" s="47"/>
      <c r="E1049" s="47"/>
      <c r="F1049" s="478"/>
      <c r="G1049" s="479"/>
      <c r="H1049" s="9"/>
      <c r="I1049" s="10"/>
      <c r="J1049" s="503"/>
      <c r="K1049" s="47"/>
      <c r="L1049" s="47"/>
      <c r="M1049" s="47"/>
      <c r="N1049" s="9"/>
      <c r="O1049" s="9"/>
      <c r="P1049" s="9"/>
      <c r="Q1049" s="47"/>
      <c r="R1049" s="47"/>
      <c r="S1049" s="47"/>
      <c r="T1049" s="47"/>
      <c r="U1049" s="47"/>
      <c r="V1049" s="47"/>
      <c r="W1049" s="47"/>
      <c r="X1049" s="47"/>
      <c r="Y1049" s="47"/>
      <c r="Z1049" s="47"/>
      <c r="AA1049" s="47"/>
      <c r="AB1049" s="47"/>
      <c r="AC1049" s="47"/>
      <c r="AD1049" s="47"/>
      <c r="AE1049" s="47"/>
      <c r="AF1049" s="47"/>
      <c r="AG1049" s="1345"/>
      <c r="AH1049" s="47"/>
      <c r="AI1049" s="47"/>
      <c r="AJ1049" s="47"/>
      <c r="AK1049" s="47"/>
      <c r="AL1049" s="47"/>
      <c r="AM1049" s="47"/>
      <c r="AN1049" s="47"/>
      <c r="AO1049" s="47"/>
      <c r="AP1049" s="47"/>
      <c r="AQ1049" s="47"/>
      <c r="AR1049" s="47"/>
      <c r="AS1049" s="47"/>
      <c r="AT1049" s="47"/>
      <c r="AU1049" s="47"/>
      <c r="AV1049" s="47"/>
      <c r="AW1049" s="47"/>
      <c r="AX1049" s="47"/>
      <c r="AY1049" s="47"/>
    </row>
    <row r="1050" spans="1:51" ht="15.75" customHeight="1">
      <c r="A1050" s="500"/>
      <c r="B1050" s="481"/>
      <c r="C1050" s="481"/>
      <c r="D1050" s="47"/>
      <c r="E1050" s="47"/>
      <c r="F1050" s="478"/>
      <c r="G1050" s="479"/>
      <c r="H1050" s="9"/>
      <c r="I1050" s="9"/>
      <c r="J1050" s="503"/>
      <c r="K1050" s="47"/>
      <c r="L1050" s="47"/>
      <c r="M1050" s="47"/>
      <c r="N1050" s="9"/>
      <c r="O1050" s="9"/>
      <c r="P1050" s="9"/>
      <c r="Q1050" s="47"/>
      <c r="R1050" s="47"/>
      <c r="S1050" s="47"/>
      <c r="T1050" s="47"/>
      <c r="U1050" s="47"/>
      <c r="V1050" s="47"/>
      <c r="W1050" s="47"/>
      <c r="X1050" s="47"/>
      <c r="Y1050" s="47"/>
      <c r="Z1050" s="47"/>
      <c r="AA1050" s="47"/>
      <c r="AB1050" s="47"/>
      <c r="AC1050" s="47"/>
      <c r="AD1050" s="47"/>
      <c r="AE1050" s="47"/>
      <c r="AF1050" s="47"/>
      <c r="AG1050" s="1345"/>
      <c r="AH1050" s="47"/>
      <c r="AI1050" s="47"/>
      <c r="AJ1050" s="47"/>
      <c r="AK1050" s="47"/>
      <c r="AL1050" s="47"/>
      <c r="AM1050" s="47"/>
      <c r="AN1050" s="47"/>
      <c r="AO1050" s="47"/>
      <c r="AP1050" s="47"/>
      <c r="AQ1050" s="47"/>
      <c r="AR1050" s="47"/>
      <c r="AS1050" s="47"/>
      <c r="AT1050" s="47"/>
      <c r="AU1050" s="47"/>
      <c r="AV1050" s="47"/>
      <c r="AW1050" s="47"/>
      <c r="AX1050" s="47"/>
      <c r="AY1050" s="47"/>
    </row>
    <row r="1051" spans="1:51" ht="15.75" customHeight="1">
      <c r="A1051" s="500"/>
      <c r="B1051" s="481"/>
      <c r="C1051" s="481"/>
      <c r="D1051" s="47"/>
      <c r="E1051" s="47"/>
      <c r="F1051" s="478"/>
      <c r="G1051" s="479"/>
      <c r="H1051" s="9"/>
      <c r="I1051" s="10"/>
      <c r="J1051" s="503"/>
      <c r="K1051" s="47"/>
      <c r="L1051" s="47"/>
      <c r="M1051" s="47"/>
      <c r="N1051" s="9"/>
      <c r="O1051" s="9"/>
      <c r="P1051" s="9"/>
      <c r="Q1051" s="47"/>
      <c r="R1051" s="47"/>
      <c r="S1051" s="47"/>
      <c r="T1051" s="47"/>
      <c r="U1051" s="47"/>
      <c r="V1051" s="47"/>
      <c r="W1051" s="47"/>
      <c r="X1051" s="47"/>
      <c r="Y1051" s="47"/>
      <c r="Z1051" s="47"/>
      <c r="AA1051" s="47"/>
      <c r="AB1051" s="47"/>
      <c r="AC1051" s="47"/>
      <c r="AD1051" s="47"/>
      <c r="AE1051" s="47"/>
      <c r="AF1051" s="47"/>
      <c r="AG1051" s="1345"/>
      <c r="AH1051" s="47"/>
      <c r="AI1051" s="47"/>
      <c r="AJ1051" s="47"/>
      <c r="AK1051" s="47"/>
      <c r="AL1051" s="47"/>
      <c r="AM1051" s="47"/>
      <c r="AN1051" s="47"/>
      <c r="AO1051" s="47"/>
      <c r="AP1051" s="47"/>
      <c r="AQ1051" s="47"/>
      <c r="AR1051" s="47"/>
      <c r="AS1051" s="47"/>
      <c r="AT1051" s="47"/>
      <c r="AU1051" s="47"/>
      <c r="AV1051" s="47"/>
      <c r="AW1051" s="47"/>
      <c r="AX1051" s="47"/>
      <c r="AY1051" s="47"/>
    </row>
    <row r="1052" spans="1:51" ht="15.75" customHeight="1">
      <c r="A1052" s="500"/>
      <c r="B1052" s="481"/>
      <c r="C1052" s="481"/>
      <c r="D1052" s="47"/>
      <c r="E1052" s="47"/>
      <c r="F1052" s="478"/>
      <c r="G1052" s="479"/>
      <c r="H1052" s="9"/>
      <c r="I1052" s="9"/>
      <c r="J1052" s="503"/>
      <c r="K1052" s="47"/>
      <c r="L1052" s="47"/>
      <c r="M1052" s="47"/>
      <c r="N1052" s="9"/>
      <c r="O1052" s="9"/>
      <c r="P1052" s="9"/>
      <c r="Q1052" s="47"/>
      <c r="R1052" s="47"/>
      <c r="S1052" s="47"/>
      <c r="T1052" s="47"/>
      <c r="U1052" s="47"/>
      <c r="V1052" s="47"/>
      <c r="W1052" s="47"/>
      <c r="X1052" s="47"/>
      <c r="Y1052" s="47"/>
      <c r="Z1052" s="47"/>
      <c r="AA1052" s="47"/>
      <c r="AB1052" s="47"/>
      <c r="AC1052" s="47"/>
      <c r="AD1052" s="47"/>
      <c r="AE1052" s="47"/>
      <c r="AF1052" s="47"/>
      <c r="AG1052" s="1345"/>
      <c r="AH1052" s="47"/>
      <c r="AI1052" s="47"/>
      <c r="AJ1052" s="47"/>
      <c r="AK1052" s="47"/>
      <c r="AL1052" s="47"/>
      <c r="AM1052" s="47"/>
      <c r="AN1052" s="47"/>
      <c r="AO1052" s="47"/>
      <c r="AP1052" s="47"/>
      <c r="AQ1052" s="47"/>
      <c r="AR1052" s="47"/>
      <c r="AS1052" s="47"/>
      <c r="AT1052" s="47"/>
      <c r="AU1052" s="47"/>
      <c r="AV1052" s="47"/>
      <c r="AW1052" s="47"/>
      <c r="AX1052" s="47"/>
      <c r="AY1052" s="47"/>
    </row>
    <row r="1053" spans="1:51" ht="15.75" customHeight="1">
      <c r="A1053" s="500"/>
      <c r="B1053" s="481"/>
      <c r="C1053" s="481"/>
      <c r="D1053" s="47"/>
      <c r="E1053" s="47"/>
      <c r="F1053" s="478"/>
      <c r="G1053" s="479"/>
      <c r="H1053" s="9"/>
      <c r="I1053" s="10"/>
      <c r="J1053" s="503"/>
      <c r="K1053" s="47"/>
      <c r="L1053" s="47"/>
      <c r="M1053" s="47"/>
      <c r="N1053" s="9"/>
      <c r="O1053" s="9"/>
      <c r="P1053" s="9"/>
      <c r="Q1053" s="47"/>
      <c r="R1053" s="47"/>
      <c r="S1053" s="47"/>
      <c r="T1053" s="47"/>
      <c r="U1053" s="47"/>
      <c r="V1053" s="47"/>
      <c r="W1053" s="47"/>
      <c r="X1053" s="47"/>
      <c r="Y1053" s="47"/>
      <c r="Z1053" s="47"/>
      <c r="AA1053" s="47"/>
      <c r="AB1053" s="47"/>
      <c r="AC1053" s="47"/>
      <c r="AD1053" s="47"/>
      <c r="AE1053" s="47"/>
      <c r="AF1053" s="47"/>
      <c r="AG1053" s="1345"/>
      <c r="AH1053" s="47"/>
      <c r="AI1053" s="47"/>
      <c r="AJ1053" s="47"/>
      <c r="AK1053" s="47"/>
      <c r="AL1053" s="47"/>
      <c r="AM1053" s="47"/>
      <c r="AN1053" s="47"/>
      <c r="AO1053" s="47"/>
      <c r="AP1053" s="47"/>
      <c r="AQ1053" s="47"/>
      <c r="AR1053" s="47"/>
      <c r="AS1053" s="47"/>
      <c r="AT1053" s="47"/>
      <c r="AU1053" s="47"/>
      <c r="AV1053" s="47"/>
      <c r="AW1053" s="47"/>
      <c r="AX1053" s="47"/>
      <c r="AY1053" s="47"/>
    </row>
    <row r="1054" spans="1:51" ht="15.75" customHeight="1">
      <c r="A1054" s="500"/>
      <c r="B1054" s="481"/>
      <c r="C1054" s="481"/>
      <c r="D1054" s="47"/>
      <c r="E1054" s="47"/>
      <c r="F1054" s="478"/>
      <c r="G1054" s="479"/>
      <c r="H1054" s="9"/>
      <c r="I1054" s="9"/>
      <c r="J1054" s="503"/>
      <c r="K1054" s="47"/>
      <c r="L1054" s="47"/>
      <c r="M1054" s="47"/>
      <c r="N1054" s="9"/>
      <c r="O1054" s="9"/>
      <c r="P1054" s="9"/>
      <c r="Q1054" s="47"/>
      <c r="R1054" s="47"/>
      <c r="S1054" s="47"/>
      <c r="T1054" s="47"/>
      <c r="U1054" s="47"/>
      <c r="V1054" s="47"/>
      <c r="W1054" s="47"/>
      <c r="X1054" s="47"/>
      <c r="Y1054" s="47"/>
      <c r="Z1054" s="47"/>
      <c r="AA1054" s="47"/>
      <c r="AB1054" s="47"/>
      <c r="AC1054" s="47"/>
      <c r="AD1054" s="47"/>
      <c r="AE1054" s="47"/>
      <c r="AF1054" s="47"/>
      <c r="AG1054" s="1345"/>
      <c r="AH1054" s="47"/>
      <c r="AI1054" s="47"/>
      <c r="AJ1054" s="47"/>
      <c r="AK1054" s="47"/>
      <c r="AL1054" s="47"/>
      <c r="AM1054" s="47"/>
      <c r="AN1054" s="47"/>
      <c r="AO1054" s="47"/>
      <c r="AP1054" s="47"/>
      <c r="AQ1054" s="47"/>
      <c r="AR1054" s="47"/>
      <c r="AS1054" s="47"/>
      <c r="AT1054" s="47"/>
      <c r="AU1054" s="47"/>
      <c r="AV1054" s="47"/>
      <c r="AW1054" s="47"/>
      <c r="AX1054" s="47"/>
      <c r="AY1054" s="47"/>
    </row>
    <row r="1055" spans="1:51" ht="15.75" customHeight="1">
      <c r="A1055" s="500"/>
      <c r="B1055" s="481"/>
      <c r="C1055" s="481"/>
      <c r="D1055" s="47"/>
      <c r="E1055" s="47"/>
      <c r="F1055" s="478"/>
      <c r="G1055" s="479"/>
      <c r="H1055" s="9"/>
      <c r="I1055" s="10"/>
      <c r="J1055" s="503"/>
      <c r="K1055" s="47"/>
      <c r="L1055" s="47"/>
      <c r="M1055" s="47"/>
      <c r="N1055" s="9"/>
      <c r="O1055" s="9"/>
      <c r="P1055" s="9"/>
      <c r="Q1055" s="47"/>
      <c r="R1055" s="47"/>
      <c r="S1055" s="47"/>
      <c r="T1055" s="47"/>
      <c r="U1055" s="47"/>
      <c r="V1055" s="47"/>
      <c r="W1055" s="47"/>
      <c r="X1055" s="47"/>
      <c r="Y1055" s="47"/>
      <c r="Z1055" s="47"/>
      <c r="AA1055" s="47"/>
      <c r="AB1055" s="47"/>
      <c r="AC1055" s="47"/>
      <c r="AD1055" s="47"/>
      <c r="AE1055" s="47"/>
      <c r="AF1055" s="47"/>
      <c r="AG1055" s="1345"/>
      <c r="AH1055" s="47"/>
      <c r="AI1055" s="47"/>
      <c r="AJ1055" s="47"/>
      <c r="AK1055" s="47"/>
      <c r="AL1055" s="47"/>
      <c r="AM1055" s="47"/>
      <c r="AN1055" s="47"/>
      <c r="AO1055" s="47"/>
      <c r="AP1055" s="47"/>
      <c r="AQ1055" s="47"/>
      <c r="AR1055" s="47"/>
      <c r="AS1055" s="47"/>
      <c r="AT1055" s="47"/>
      <c r="AU1055" s="47"/>
      <c r="AV1055" s="47"/>
      <c r="AW1055" s="47"/>
      <c r="AX1055" s="47"/>
      <c r="AY1055" s="47"/>
    </row>
    <row r="1056" spans="1:51" ht="15.75" customHeight="1">
      <c r="A1056" s="500"/>
      <c r="B1056" s="481"/>
      <c r="C1056" s="481"/>
      <c r="D1056" s="47"/>
      <c r="E1056" s="47"/>
      <c r="F1056" s="478"/>
      <c r="G1056" s="479"/>
      <c r="H1056" s="9"/>
      <c r="I1056" s="9"/>
      <c r="J1056" s="503"/>
      <c r="K1056" s="47"/>
      <c r="L1056" s="47"/>
      <c r="M1056" s="47"/>
      <c r="N1056" s="9"/>
      <c r="O1056" s="9"/>
      <c r="P1056" s="9"/>
      <c r="Q1056" s="47"/>
      <c r="R1056" s="47"/>
      <c r="S1056" s="47"/>
      <c r="T1056" s="47"/>
      <c r="U1056" s="47"/>
      <c r="V1056" s="47"/>
      <c r="W1056" s="47"/>
      <c r="X1056" s="47"/>
      <c r="Y1056" s="47"/>
      <c r="Z1056" s="47"/>
      <c r="AA1056" s="47"/>
      <c r="AB1056" s="47"/>
      <c r="AC1056" s="47"/>
      <c r="AD1056" s="47"/>
      <c r="AE1056" s="47"/>
      <c r="AF1056" s="47"/>
      <c r="AG1056" s="1345"/>
      <c r="AH1056" s="47"/>
      <c r="AI1056" s="47"/>
      <c r="AJ1056" s="47"/>
      <c r="AK1056" s="47"/>
      <c r="AL1056" s="47"/>
      <c r="AM1056" s="47"/>
      <c r="AN1056" s="47"/>
      <c r="AO1056" s="47"/>
      <c r="AP1056" s="47"/>
      <c r="AQ1056" s="47"/>
      <c r="AR1056" s="47"/>
      <c r="AS1056" s="47"/>
      <c r="AT1056" s="47"/>
      <c r="AU1056" s="47"/>
      <c r="AV1056" s="47"/>
      <c r="AW1056" s="47"/>
      <c r="AX1056" s="47"/>
      <c r="AY1056" s="47"/>
    </row>
    <row r="1057" spans="1:51" ht="15.75" customHeight="1">
      <c r="A1057" s="500"/>
      <c r="B1057" s="481"/>
      <c r="C1057" s="481"/>
      <c r="D1057" s="47"/>
      <c r="E1057" s="47"/>
      <c r="F1057" s="478"/>
      <c r="G1057" s="479"/>
      <c r="H1057" s="9"/>
      <c r="I1057" s="9"/>
      <c r="J1057" s="503"/>
      <c r="K1057" s="47"/>
      <c r="L1057" s="47"/>
      <c r="M1057" s="47"/>
      <c r="N1057" s="9"/>
      <c r="O1057" s="9"/>
      <c r="P1057" s="9"/>
      <c r="Q1057" s="47"/>
      <c r="R1057" s="47"/>
      <c r="S1057" s="47"/>
      <c r="T1057" s="47"/>
      <c r="U1057" s="47"/>
      <c r="V1057" s="47"/>
      <c r="W1057" s="47"/>
      <c r="X1057" s="47"/>
      <c r="Y1057" s="47"/>
      <c r="Z1057" s="47"/>
      <c r="AA1057" s="47"/>
      <c r="AB1057" s="47"/>
      <c r="AC1057" s="47"/>
      <c r="AD1057" s="47"/>
      <c r="AE1057" s="47"/>
      <c r="AF1057" s="47"/>
      <c r="AG1057" s="1345"/>
      <c r="AH1057" s="47"/>
      <c r="AI1057" s="47"/>
      <c r="AJ1057" s="47"/>
      <c r="AK1057" s="47"/>
      <c r="AL1057" s="47"/>
      <c r="AM1057" s="47"/>
      <c r="AN1057" s="47"/>
      <c r="AO1057" s="47"/>
      <c r="AP1057" s="47"/>
      <c r="AQ1057" s="47"/>
      <c r="AR1057" s="47"/>
      <c r="AS1057" s="47"/>
      <c r="AT1057" s="47"/>
      <c r="AU1057" s="47"/>
      <c r="AV1057" s="47"/>
      <c r="AW1057" s="47"/>
      <c r="AX1057" s="47"/>
      <c r="AY1057" s="47"/>
    </row>
    <row r="1058" spans="1:51" ht="15.75" customHeight="1">
      <c r="A1058" s="500"/>
      <c r="B1058" s="481"/>
      <c r="C1058" s="481"/>
      <c r="D1058" s="47"/>
      <c r="E1058" s="47"/>
      <c r="F1058" s="478"/>
      <c r="G1058" s="479"/>
      <c r="H1058" s="9"/>
      <c r="I1058" s="9"/>
      <c r="J1058" s="503"/>
      <c r="K1058" s="47"/>
      <c r="L1058" s="47"/>
      <c r="M1058" s="47"/>
      <c r="N1058" s="9"/>
      <c r="O1058" s="9"/>
      <c r="P1058" s="9"/>
      <c r="Q1058" s="47"/>
      <c r="R1058" s="47"/>
      <c r="S1058" s="47"/>
      <c r="T1058" s="47"/>
      <c r="U1058" s="47"/>
      <c r="V1058" s="47"/>
      <c r="W1058" s="47"/>
      <c r="X1058" s="47"/>
      <c r="Y1058" s="47"/>
      <c r="Z1058" s="47"/>
      <c r="AA1058" s="47"/>
      <c r="AB1058" s="47"/>
      <c r="AC1058" s="47"/>
      <c r="AD1058" s="47"/>
      <c r="AE1058" s="47"/>
      <c r="AF1058" s="47"/>
      <c r="AG1058" s="1345"/>
      <c r="AH1058" s="47"/>
      <c r="AI1058" s="47"/>
      <c r="AJ1058" s="47"/>
      <c r="AK1058" s="47"/>
      <c r="AL1058" s="47"/>
      <c r="AM1058" s="47"/>
      <c r="AN1058" s="47"/>
      <c r="AO1058" s="47"/>
      <c r="AP1058" s="47"/>
      <c r="AQ1058" s="47"/>
      <c r="AR1058" s="47"/>
      <c r="AS1058" s="47"/>
      <c r="AT1058" s="47"/>
      <c r="AU1058" s="47"/>
      <c r="AV1058" s="47"/>
      <c r="AW1058" s="47"/>
      <c r="AX1058" s="47"/>
      <c r="AY1058" s="47"/>
    </row>
    <row r="1059" spans="1:51" ht="15.75" customHeight="1">
      <c r="A1059" s="500"/>
      <c r="B1059" s="481"/>
      <c r="C1059" s="481"/>
      <c r="D1059" s="47"/>
      <c r="E1059" s="47"/>
      <c r="F1059" s="478"/>
      <c r="G1059" s="479"/>
      <c r="H1059" s="9"/>
      <c r="I1059" s="9"/>
      <c r="J1059" s="503"/>
      <c r="K1059" s="47"/>
      <c r="L1059" s="47"/>
      <c r="M1059" s="47"/>
      <c r="N1059" s="9"/>
      <c r="O1059" s="9"/>
      <c r="P1059" s="9"/>
      <c r="Q1059" s="47"/>
      <c r="R1059" s="47"/>
      <c r="S1059" s="47"/>
      <c r="T1059" s="47"/>
      <c r="U1059" s="47"/>
      <c r="V1059" s="47"/>
      <c r="W1059" s="47"/>
      <c r="X1059" s="47"/>
      <c r="Y1059" s="47"/>
      <c r="Z1059" s="47"/>
      <c r="AA1059" s="47"/>
      <c r="AB1059" s="47"/>
      <c r="AC1059" s="47"/>
      <c r="AD1059" s="47"/>
      <c r="AE1059" s="47"/>
      <c r="AF1059" s="47"/>
      <c r="AG1059" s="1345"/>
      <c r="AH1059" s="47"/>
      <c r="AI1059" s="47"/>
      <c r="AJ1059" s="47"/>
      <c r="AK1059" s="47"/>
      <c r="AL1059" s="47"/>
      <c r="AM1059" s="47"/>
      <c r="AN1059" s="47"/>
      <c r="AO1059" s="47"/>
      <c r="AP1059" s="47"/>
      <c r="AQ1059" s="47"/>
      <c r="AR1059" s="47"/>
      <c r="AS1059" s="47"/>
      <c r="AT1059" s="47"/>
      <c r="AU1059" s="47"/>
      <c r="AV1059" s="47"/>
      <c r="AW1059" s="47"/>
      <c r="AX1059" s="47"/>
      <c r="AY1059" s="47"/>
    </row>
    <row r="1060" spans="1:51" ht="15.75" customHeight="1">
      <c r="A1060" s="500"/>
      <c r="B1060" s="481"/>
      <c r="C1060" s="481"/>
      <c r="D1060" s="47"/>
      <c r="E1060" s="47"/>
      <c r="F1060" s="478"/>
      <c r="G1060" s="479"/>
      <c r="H1060" s="9"/>
      <c r="I1060" s="9"/>
      <c r="J1060" s="503"/>
      <c r="K1060" s="47"/>
      <c r="L1060" s="47"/>
      <c r="M1060" s="47"/>
      <c r="N1060" s="9"/>
      <c r="O1060" s="9"/>
      <c r="P1060" s="9"/>
      <c r="Q1060" s="47"/>
      <c r="R1060" s="47"/>
      <c r="S1060" s="47"/>
      <c r="T1060" s="47"/>
      <c r="U1060" s="47"/>
      <c r="V1060" s="47"/>
      <c r="W1060" s="47"/>
      <c r="X1060" s="47"/>
      <c r="Y1060" s="47"/>
      <c r="Z1060" s="47"/>
      <c r="AA1060" s="47"/>
      <c r="AB1060" s="47"/>
      <c r="AC1060" s="47"/>
      <c r="AD1060" s="47"/>
      <c r="AE1060" s="47"/>
      <c r="AF1060" s="47"/>
      <c r="AG1060" s="1345"/>
      <c r="AH1060" s="47"/>
      <c r="AI1060" s="47"/>
      <c r="AJ1060" s="47"/>
      <c r="AK1060" s="47"/>
      <c r="AL1060" s="47"/>
      <c r="AM1060" s="47"/>
      <c r="AN1060" s="47"/>
      <c r="AO1060" s="47"/>
      <c r="AP1060" s="47"/>
      <c r="AQ1060" s="47"/>
      <c r="AR1060" s="47"/>
      <c r="AS1060" s="47"/>
      <c r="AT1060" s="47"/>
      <c r="AU1060" s="47"/>
      <c r="AV1060" s="47"/>
      <c r="AW1060" s="47"/>
      <c r="AX1060" s="47"/>
      <c r="AY1060" s="47"/>
    </row>
    <row r="1061" spans="1:51" ht="15.75" customHeight="1">
      <c r="A1061" s="500"/>
      <c r="B1061" s="481"/>
      <c r="C1061" s="481"/>
      <c r="D1061" s="47"/>
      <c r="E1061" s="47"/>
      <c r="F1061" s="478"/>
      <c r="G1061" s="479"/>
      <c r="H1061" s="9"/>
      <c r="I1061" s="9"/>
      <c r="J1061" s="503"/>
      <c r="K1061" s="47"/>
      <c r="L1061" s="47"/>
      <c r="M1061" s="47"/>
      <c r="N1061" s="9"/>
      <c r="O1061" s="9"/>
      <c r="P1061" s="9"/>
      <c r="Q1061" s="47"/>
      <c r="R1061" s="47"/>
      <c r="S1061" s="47"/>
      <c r="T1061" s="47"/>
      <c r="U1061" s="47"/>
      <c r="V1061" s="47"/>
      <c r="W1061" s="47"/>
      <c r="X1061" s="47"/>
      <c r="Y1061" s="47"/>
      <c r="Z1061" s="47"/>
      <c r="AA1061" s="47"/>
      <c r="AB1061" s="47"/>
      <c r="AC1061" s="47"/>
      <c r="AD1061" s="47"/>
      <c r="AE1061" s="47"/>
      <c r="AF1061" s="47"/>
      <c r="AG1061" s="1345"/>
      <c r="AH1061" s="47"/>
      <c r="AI1061" s="47"/>
      <c r="AJ1061" s="47"/>
      <c r="AK1061" s="47"/>
      <c r="AL1061" s="47"/>
      <c r="AM1061" s="47"/>
      <c r="AN1061" s="47"/>
      <c r="AO1061" s="47"/>
      <c r="AP1061" s="47"/>
      <c r="AQ1061" s="47"/>
      <c r="AR1061" s="47"/>
      <c r="AS1061" s="47"/>
      <c r="AT1061" s="47"/>
      <c r="AU1061" s="47"/>
      <c r="AV1061" s="47"/>
      <c r="AW1061" s="47"/>
      <c r="AX1061" s="47"/>
      <c r="AY1061" s="47"/>
    </row>
    <row r="1062" spans="1:51" ht="15.75" customHeight="1">
      <c r="A1062" s="500"/>
      <c r="B1062" s="481"/>
      <c r="C1062" s="481"/>
      <c r="D1062" s="47"/>
      <c r="E1062" s="47"/>
      <c r="F1062" s="478"/>
      <c r="G1062" s="479"/>
      <c r="H1062" s="9"/>
      <c r="I1062" s="9"/>
      <c r="J1062" s="503"/>
      <c r="K1062" s="47"/>
      <c r="L1062" s="47"/>
      <c r="M1062" s="47"/>
      <c r="N1062" s="9"/>
      <c r="O1062" s="9"/>
      <c r="P1062" s="9"/>
      <c r="Q1062" s="47"/>
      <c r="R1062" s="47"/>
      <c r="S1062" s="47"/>
      <c r="T1062" s="47"/>
      <c r="U1062" s="47"/>
      <c r="V1062" s="47"/>
      <c r="W1062" s="47"/>
      <c r="X1062" s="47"/>
      <c r="Y1062" s="47"/>
      <c r="Z1062" s="47"/>
      <c r="AA1062" s="47"/>
      <c r="AB1062" s="47"/>
      <c r="AC1062" s="47"/>
      <c r="AD1062" s="47"/>
      <c r="AE1062" s="47"/>
      <c r="AF1062" s="47"/>
      <c r="AG1062" s="1345"/>
      <c r="AH1062" s="47"/>
      <c r="AI1062" s="47"/>
      <c r="AJ1062" s="47"/>
      <c r="AK1062" s="47"/>
      <c r="AL1062" s="47"/>
      <c r="AM1062" s="47"/>
      <c r="AN1062" s="47"/>
      <c r="AO1062" s="47"/>
      <c r="AP1062" s="47"/>
      <c r="AQ1062" s="47"/>
      <c r="AR1062" s="47"/>
      <c r="AS1062" s="47"/>
      <c r="AT1062" s="47"/>
      <c r="AU1062" s="47"/>
      <c r="AV1062" s="47"/>
      <c r="AW1062" s="47"/>
      <c r="AX1062" s="47"/>
      <c r="AY1062" s="47"/>
    </row>
    <row r="1063" spans="1:51" ht="15.75" customHeight="1">
      <c r="A1063" s="500"/>
      <c r="B1063" s="481"/>
      <c r="C1063" s="481"/>
      <c r="D1063" s="47"/>
      <c r="E1063" s="47"/>
      <c r="F1063" s="478"/>
      <c r="G1063" s="479"/>
      <c r="H1063" s="9"/>
      <c r="I1063" s="9"/>
      <c r="J1063" s="503"/>
      <c r="K1063" s="47"/>
      <c r="L1063" s="47"/>
      <c r="M1063" s="47"/>
      <c r="N1063" s="9"/>
      <c r="O1063" s="9"/>
      <c r="P1063" s="9"/>
      <c r="Q1063" s="47"/>
      <c r="R1063" s="47"/>
      <c r="S1063" s="47"/>
      <c r="T1063" s="47"/>
      <c r="U1063" s="47"/>
      <c r="V1063" s="47"/>
      <c r="W1063" s="47"/>
      <c r="X1063" s="47"/>
      <c r="Y1063" s="47"/>
      <c r="Z1063" s="47"/>
      <c r="AA1063" s="47"/>
      <c r="AB1063" s="47"/>
      <c r="AC1063" s="47"/>
      <c r="AD1063" s="47"/>
      <c r="AE1063" s="47"/>
      <c r="AF1063" s="47"/>
      <c r="AG1063" s="1345"/>
      <c r="AH1063" s="47"/>
      <c r="AI1063" s="47"/>
      <c r="AJ1063" s="47"/>
      <c r="AK1063" s="47"/>
      <c r="AL1063" s="47"/>
      <c r="AM1063" s="47"/>
      <c r="AN1063" s="47"/>
      <c r="AO1063" s="47"/>
      <c r="AP1063" s="47"/>
      <c r="AQ1063" s="47"/>
      <c r="AR1063" s="47"/>
      <c r="AS1063" s="47"/>
      <c r="AT1063" s="47"/>
      <c r="AU1063" s="47"/>
      <c r="AV1063" s="47"/>
      <c r="AW1063" s="47"/>
      <c r="AX1063" s="47"/>
      <c r="AY1063" s="47"/>
    </row>
    <row r="1064" spans="1:51" ht="15.75" customHeight="1">
      <c r="A1064" s="500"/>
      <c r="B1064" s="481"/>
      <c r="C1064" s="481"/>
      <c r="D1064" s="47"/>
      <c r="E1064" s="47"/>
      <c r="F1064" s="478"/>
      <c r="G1064" s="479"/>
      <c r="H1064" s="9"/>
      <c r="I1064" s="9"/>
      <c r="J1064" s="503"/>
      <c r="K1064" s="47"/>
      <c r="L1064" s="47"/>
      <c r="M1064" s="47"/>
      <c r="N1064" s="9"/>
      <c r="O1064" s="9"/>
      <c r="P1064" s="9"/>
      <c r="Q1064" s="47"/>
      <c r="R1064" s="47"/>
      <c r="S1064" s="47"/>
      <c r="T1064" s="47"/>
      <c r="U1064" s="47"/>
      <c r="V1064" s="47"/>
      <c r="W1064" s="47"/>
      <c r="X1064" s="47"/>
      <c r="Y1064" s="47"/>
      <c r="Z1064" s="47"/>
      <c r="AA1064" s="47"/>
      <c r="AB1064" s="47"/>
      <c r="AC1064" s="47"/>
      <c r="AD1064" s="47"/>
      <c r="AE1064" s="47"/>
      <c r="AF1064" s="47"/>
      <c r="AG1064" s="1345"/>
      <c r="AH1064" s="47"/>
      <c r="AI1064" s="47"/>
      <c r="AJ1064" s="47"/>
      <c r="AK1064" s="47"/>
      <c r="AL1064" s="47"/>
      <c r="AM1064" s="47"/>
      <c r="AN1064" s="47"/>
      <c r="AO1064" s="47"/>
      <c r="AP1064" s="47"/>
      <c r="AQ1064" s="47"/>
      <c r="AR1064" s="47"/>
      <c r="AS1064" s="47"/>
      <c r="AT1064" s="47"/>
      <c r="AU1064" s="47"/>
      <c r="AV1064" s="47"/>
      <c r="AW1064" s="47"/>
      <c r="AX1064" s="47"/>
      <c r="AY1064" s="47"/>
    </row>
    <row r="1065" spans="1:51" ht="15.75" customHeight="1">
      <c r="A1065" s="500"/>
      <c r="B1065" s="481"/>
      <c r="C1065" s="481"/>
      <c r="D1065" s="47"/>
      <c r="E1065" s="47"/>
      <c r="F1065" s="478"/>
      <c r="G1065" s="479"/>
      <c r="H1065" s="9"/>
      <c r="I1065" s="9"/>
      <c r="J1065" s="503"/>
      <c r="K1065" s="47"/>
      <c r="L1065" s="47"/>
      <c r="M1065" s="47"/>
      <c r="N1065" s="9"/>
      <c r="O1065" s="9"/>
      <c r="P1065" s="9"/>
      <c r="Q1065" s="47"/>
      <c r="R1065" s="47"/>
      <c r="S1065" s="47"/>
      <c r="T1065" s="47"/>
      <c r="U1065" s="47"/>
      <c r="V1065" s="47"/>
      <c r="W1065" s="47"/>
      <c r="X1065" s="47"/>
      <c r="Y1065" s="47"/>
      <c r="Z1065" s="47"/>
      <c r="AA1065" s="47"/>
      <c r="AB1065" s="47"/>
      <c r="AC1065" s="47"/>
      <c r="AD1065" s="47"/>
      <c r="AE1065" s="47"/>
      <c r="AF1065" s="47"/>
      <c r="AG1065" s="1345"/>
      <c r="AH1065" s="47"/>
      <c r="AI1065" s="47"/>
      <c r="AJ1065" s="47"/>
      <c r="AK1065" s="47"/>
      <c r="AL1065" s="47"/>
      <c r="AM1065" s="47"/>
      <c r="AN1065" s="47"/>
      <c r="AO1065" s="47"/>
      <c r="AP1065" s="47"/>
      <c r="AQ1065" s="47"/>
      <c r="AR1065" s="47"/>
      <c r="AS1065" s="47"/>
      <c r="AT1065" s="47"/>
      <c r="AU1065" s="47"/>
      <c r="AV1065" s="47"/>
      <c r="AW1065" s="47"/>
      <c r="AX1065" s="47"/>
      <c r="AY1065" s="47"/>
    </row>
    <row r="1066" spans="1:51" ht="15.75" customHeight="1">
      <c r="A1066" s="500"/>
      <c r="B1066" s="481"/>
      <c r="C1066" s="481"/>
      <c r="D1066" s="47"/>
      <c r="E1066" s="47"/>
      <c r="F1066" s="478"/>
      <c r="G1066" s="479"/>
      <c r="H1066" s="9"/>
      <c r="I1066" s="9"/>
      <c r="J1066" s="503"/>
      <c r="K1066" s="47"/>
      <c r="L1066" s="47"/>
      <c r="M1066" s="47"/>
      <c r="N1066" s="9"/>
      <c r="O1066" s="9"/>
      <c r="P1066" s="9"/>
      <c r="Q1066" s="47"/>
      <c r="R1066" s="47"/>
      <c r="S1066" s="47"/>
      <c r="T1066" s="47"/>
      <c r="U1066" s="47"/>
      <c r="V1066" s="47"/>
      <c r="W1066" s="47"/>
      <c r="X1066" s="47"/>
      <c r="Y1066" s="47"/>
      <c r="Z1066" s="47"/>
      <c r="AA1066" s="47"/>
      <c r="AB1066" s="47"/>
      <c r="AC1066" s="47"/>
      <c r="AD1066" s="47"/>
      <c r="AE1066" s="47"/>
      <c r="AF1066" s="47"/>
      <c r="AG1066" s="1345"/>
      <c r="AH1066" s="47"/>
      <c r="AI1066" s="47"/>
      <c r="AJ1066" s="47"/>
      <c r="AK1066" s="47"/>
      <c r="AL1066" s="47"/>
      <c r="AM1066" s="47"/>
      <c r="AN1066" s="47"/>
      <c r="AO1066" s="47"/>
      <c r="AP1066" s="47"/>
      <c r="AQ1066" s="47"/>
      <c r="AR1066" s="47"/>
      <c r="AS1066" s="47"/>
      <c r="AT1066" s="47"/>
      <c r="AU1066" s="47"/>
      <c r="AV1066" s="47"/>
      <c r="AW1066" s="47"/>
      <c r="AX1066" s="47"/>
      <c r="AY1066" s="47"/>
    </row>
    <row r="1067" spans="1:51" ht="15.75" customHeight="1">
      <c r="A1067" s="500"/>
      <c r="B1067" s="481"/>
      <c r="C1067" s="481"/>
      <c r="D1067" s="47"/>
      <c r="E1067" s="47"/>
      <c r="F1067" s="478"/>
      <c r="G1067" s="479"/>
      <c r="H1067" s="9"/>
      <c r="I1067" s="9"/>
      <c r="J1067" s="503"/>
      <c r="K1067" s="47"/>
      <c r="L1067" s="47"/>
      <c r="M1067" s="47"/>
      <c r="N1067" s="9"/>
      <c r="O1067" s="9"/>
      <c r="P1067" s="9"/>
      <c r="Q1067" s="47"/>
      <c r="R1067" s="47"/>
      <c r="S1067" s="47"/>
      <c r="T1067" s="47"/>
      <c r="U1067" s="47"/>
      <c r="V1067" s="47"/>
      <c r="W1067" s="47"/>
      <c r="X1067" s="47"/>
      <c r="Y1067" s="47"/>
      <c r="Z1067" s="47"/>
      <c r="AA1067" s="47"/>
      <c r="AB1067" s="47"/>
      <c r="AC1067" s="47"/>
      <c r="AD1067" s="47"/>
      <c r="AE1067" s="47"/>
      <c r="AF1067" s="47"/>
      <c r="AG1067" s="1345"/>
      <c r="AH1067" s="47"/>
      <c r="AI1067" s="47"/>
      <c r="AJ1067" s="47"/>
      <c r="AK1067" s="47"/>
      <c r="AL1067" s="47"/>
      <c r="AM1067" s="47"/>
      <c r="AN1067" s="47"/>
      <c r="AO1067" s="47"/>
      <c r="AP1067" s="47"/>
      <c r="AQ1067" s="47"/>
      <c r="AR1067" s="47"/>
      <c r="AS1067" s="47"/>
      <c r="AT1067" s="47"/>
      <c r="AU1067" s="47"/>
      <c r="AV1067" s="47"/>
      <c r="AW1067" s="47"/>
      <c r="AX1067" s="47"/>
      <c r="AY1067" s="47"/>
    </row>
    <row r="1068" spans="1:51" ht="15.75" customHeight="1">
      <c r="A1068" s="500"/>
      <c r="B1068" s="481"/>
      <c r="C1068" s="481"/>
      <c r="D1068" s="47"/>
      <c r="E1068" s="47"/>
      <c r="F1068" s="478"/>
      <c r="G1068" s="479"/>
      <c r="H1068" s="9"/>
      <c r="I1068" s="9"/>
      <c r="J1068" s="503"/>
      <c r="K1068" s="47"/>
      <c r="L1068" s="47"/>
      <c r="M1068" s="47"/>
      <c r="N1068" s="9"/>
      <c r="O1068" s="9"/>
      <c r="P1068" s="9"/>
      <c r="Q1068" s="47"/>
      <c r="R1068" s="47"/>
      <c r="S1068" s="47"/>
      <c r="T1068" s="47"/>
      <c r="U1068" s="47"/>
      <c r="V1068" s="47"/>
      <c r="W1068" s="47"/>
      <c r="X1068" s="47"/>
      <c r="Y1068" s="47"/>
      <c r="Z1068" s="47"/>
      <c r="AA1068" s="47"/>
      <c r="AB1068" s="47"/>
      <c r="AC1068" s="47"/>
      <c r="AD1068" s="47"/>
      <c r="AE1068" s="47"/>
      <c r="AF1068" s="47"/>
      <c r="AG1068" s="1345"/>
      <c r="AH1068" s="47"/>
      <c r="AI1068" s="47"/>
      <c r="AJ1068" s="47"/>
      <c r="AK1068" s="47"/>
      <c r="AL1068" s="47"/>
      <c r="AM1068" s="47"/>
      <c r="AN1068" s="47"/>
      <c r="AO1068" s="47"/>
      <c r="AP1068" s="47"/>
      <c r="AQ1068" s="47"/>
      <c r="AR1068" s="47"/>
      <c r="AS1068" s="47"/>
      <c r="AT1068" s="47"/>
      <c r="AU1068" s="47"/>
      <c r="AV1068" s="47"/>
      <c r="AW1068" s="47"/>
      <c r="AX1068" s="47"/>
      <c r="AY1068" s="47"/>
    </row>
    <row r="1069" spans="1:51" ht="15.75" customHeight="1">
      <c r="A1069" s="678"/>
      <c r="B1069" s="477"/>
      <c r="C1069" s="481"/>
      <c r="D1069" s="47"/>
      <c r="E1069" s="47"/>
      <c r="F1069" s="478"/>
      <c r="G1069" s="479"/>
      <c r="H1069" s="9"/>
      <c r="I1069" s="9"/>
      <c r="J1069" s="503"/>
      <c r="K1069" s="47"/>
      <c r="L1069" s="47"/>
      <c r="M1069" s="47"/>
      <c r="N1069" s="9"/>
      <c r="O1069" s="9"/>
      <c r="P1069" s="9"/>
      <c r="Q1069" s="47"/>
      <c r="R1069" s="47"/>
      <c r="S1069" s="47"/>
      <c r="T1069" s="47"/>
      <c r="U1069" s="47"/>
      <c r="V1069" s="47"/>
      <c r="W1069" s="47"/>
      <c r="X1069" s="47"/>
      <c r="Y1069" s="47"/>
      <c r="Z1069" s="47"/>
      <c r="AA1069" s="47"/>
      <c r="AB1069" s="47"/>
      <c r="AC1069" s="47"/>
      <c r="AD1069" s="47"/>
      <c r="AE1069" s="47"/>
      <c r="AF1069" s="47"/>
      <c r="AG1069" s="1345"/>
      <c r="AH1069" s="47"/>
      <c r="AI1069" s="47"/>
      <c r="AJ1069" s="47"/>
      <c r="AK1069" s="47"/>
      <c r="AL1069" s="47"/>
      <c r="AM1069" s="47"/>
      <c r="AN1069" s="47"/>
      <c r="AO1069" s="47"/>
      <c r="AP1069" s="47"/>
      <c r="AQ1069" s="47"/>
      <c r="AR1069" s="47"/>
      <c r="AS1069" s="47"/>
      <c r="AT1069" s="47"/>
      <c r="AU1069" s="47"/>
      <c r="AV1069" s="47"/>
      <c r="AW1069" s="47"/>
      <c r="AX1069" s="47"/>
      <c r="AY1069" s="47"/>
    </row>
    <row r="1070" spans="1:51" ht="15.75" customHeight="1">
      <c r="A1070" s="500"/>
      <c r="B1070" s="477"/>
      <c r="C1070" s="481"/>
      <c r="D1070" s="47"/>
      <c r="E1070" s="47"/>
      <c r="F1070" s="478"/>
      <c r="G1070" s="479"/>
      <c r="H1070" s="9"/>
      <c r="I1070" s="10"/>
      <c r="J1070" s="503"/>
      <c r="K1070" s="47"/>
      <c r="L1070" s="47"/>
      <c r="M1070" s="47"/>
      <c r="N1070" s="9"/>
      <c r="O1070" s="9"/>
      <c r="P1070" s="9"/>
      <c r="Q1070" s="47"/>
      <c r="R1070" s="47"/>
      <c r="S1070" s="47"/>
      <c r="T1070" s="47"/>
      <c r="U1070" s="47"/>
      <c r="V1070" s="47"/>
      <c r="W1070" s="47"/>
      <c r="X1070" s="47"/>
      <c r="Y1070" s="47"/>
      <c r="Z1070" s="47"/>
      <c r="AA1070" s="47"/>
      <c r="AB1070" s="47"/>
      <c r="AC1070" s="47"/>
      <c r="AD1070" s="47"/>
      <c r="AE1070" s="47"/>
      <c r="AF1070" s="47"/>
      <c r="AG1070" s="1345"/>
      <c r="AH1070" s="47"/>
      <c r="AI1070" s="47"/>
      <c r="AJ1070" s="47"/>
      <c r="AK1070" s="47"/>
      <c r="AL1070" s="47"/>
      <c r="AM1070" s="47"/>
      <c r="AN1070" s="47"/>
      <c r="AO1070" s="47"/>
      <c r="AP1070" s="47"/>
      <c r="AQ1070" s="47"/>
      <c r="AR1070" s="47"/>
      <c r="AS1070" s="47"/>
      <c r="AT1070" s="47"/>
      <c r="AU1070" s="47"/>
      <c r="AV1070" s="47"/>
      <c r="AW1070" s="47"/>
      <c r="AX1070" s="47"/>
      <c r="AY1070" s="47"/>
    </row>
    <row r="1071" spans="1:51" ht="15.75" customHeight="1">
      <c r="A1071" s="500"/>
      <c r="B1071" s="477"/>
      <c r="C1071" s="481"/>
      <c r="D1071" s="47"/>
      <c r="E1071" s="47"/>
      <c r="F1071" s="478"/>
      <c r="G1071" s="479"/>
      <c r="H1071" s="9"/>
      <c r="I1071" s="10"/>
      <c r="J1071" s="503"/>
      <c r="K1071" s="47"/>
      <c r="L1071" s="47"/>
      <c r="M1071" s="47"/>
      <c r="N1071" s="9"/>
      <c r="O1071" s="9"/>
      <c r="P1071" s="9"/>
      <c r="Q1071" s="47"/>
      <c r="R1071" s="47"/>
      <c r="S1071" s="47"/>
      <c r="T1071" s="47"/>
      <c r="U1071" s="47"/>
      <c r="V1071" s="47"/>
      <c r="W1071" s="47"/>
      <c r="X1071" s="47"/>
      <c r="Y1071" s="47"/>
      <c r="Z1071" s="47"/>
      <c r="AA1071" s="47"/>
      <c r="AB1071" s="47"/>
      <c r="AC1071" s="47"/>
      <c r="AD1071" s="47"/>
      <c r="AE1071" s="47"/>
      <c r="AF1071" s="47"/>
      <c r="AG1071" s="1345"/>
      <c r="AH1071" s="47"/>
      <c r="AI1071" s="47"/>
      <c r="AJ1071" s="47"/>
      <c r="AK1071" s="47"/>
      <c r="AL1071" s="47"/>
      <c r="AM1071" s="47"/>
      <c r="AN1071" s="47"/>
      <c r="AO1071" s="47"/>
      <c r="AP1071" s="47"/>
      <c r="AQ1071" s="47"/>
      <c r="AR1071" s="47"/>
      <c r="AS1071" s="47"/>
      <c r="AT1071" s="47"/>
      <c r="AU1071" s="47"/>
      <c r="AV1071" s="47"/>
      <c r="AW1071" s="47"/>
      <c r="AX1071" s="47"/>
      <c r="AY1071" s="47"/>
    </row>
    <row r="1072" spans="1:51" ht="15.75" customHeight="1">
      <c r="A1072" s="500"/>
      <c r="B1072" s="477"/>
      <c r="C1072" s="481"/>
      <c r="D1072" s="47"/>
      <c r="E1072" s="47"/>
      <c r="F1072" s="478"/>
      <c r="G1072" s="479"/>
      <c r="H1072" s="9"/>
      <c r="I1072" s="10"/>
      <c r="J1072" s="503"/>
      <c r="K1072" s="47"/>
      <c r="L1072" s="47"/>
      <c r="M1072" s="47"/>
      <c r="N1072" s="9"/>
      <c r="O1072" s="9"/>
      <c r="P1072" s="9"/>
      <c r="Q1072" s="47"/>
      <c r="R1072" s="47"/>
      <c r="S1072" s="47"/>
      <c r="T1072" s="47"/>
      <c r="U1072" s="47"/>
      <c r="V1072" s="47"/>
      <c r="W1072" s="47"/>
      <c r="X1072" s="47"/>
      <c r="Y1072" s="47"/>
      <c r="Z1072" s="47"/>
      <c r="AA1072" s="47"/>
      <c r="AB1072" s="47"/>
      <c r="AC1072" s="47"/>
      <c r="AD1072" s="47"/>
      <c r="AE1072" s="47"/>
      <c r="AF1072" s="47"/>
      <c r="AG1072" s="1345"/>
      <c r="AH1072" s="47"/>
      <c r="AI1072" s="47"/>
      <c r="AJ1072" s="47"/>
      <c r="AK1072" s="47"/>
      <c r="AL1072" s="47"/>
      <c r="AM1072" s="47"/>
      <c r="AN1072" s="47"/>
      <c r="AO1072" s="47"/>
      <c r="AP1072" s="47"/>
      <c r="AQ1072" s="47"/>
      <c r="AR1072" s="47"/>
      <c r="AS1072" s="47"/>
      <c r="AT1072" s="47"/>
      <c r="AU1072" s="47"/>
      <c r="AV1072" s="47"/>
      <c r="AW1072" s="47"/>
      <c r="AX1072" s="47"/>
      <c r="AY1072" s="47"/>
    </row>
    <row r="1073" spans="1:51" ht="15.75" customHeight="1">
      <c r="A1073" s="500"/>
      <c r="B1073" s="481"/>
      <c r="C1073" s="481"/>
      <c r="D1073" s="47"/>
      <c r="E1073" s="47"/>
      <c r="F1073" s="478"/>
      <c r="G1073" s="479"/>
      <c r="H1073" s="9"/>
      <c r="I1073" s="9"/>
      <c r="J1073" s="503"/>
      <c r="K1073" s="47"/>
      <c r="L1073" s="47"/>
      <c r="M1073" s="47"/>
      <c r="N1073" s="9"/>
      <c r="O1073" s="9"/>
      <c r="P1073" s="9"/>
      <c r="Q1073" s="47"/>
      <c r="R1073" s="47"/>
      <c r="S1073" s="47"/>
      <c r="T1073" s="47"/>
      <c r="U1073" s="47"/>
      <c r="V1073" s="47"/>
      <c r="W1073" s="47"/>
      <c r="X1073" s="47"/>
      <c r="Y1073" s="47"/>
      <c r="Z1073" s="47"/>
      <c r="AA1073" s="47"/>
      <c r="AB1073" s="47"/>
      <c r="AC1073" s="47"/>
      <c r="AD1073" s="47"/>
      <c r="AE1073" s="47"/>
      <c r="AF1073" s="47"/>
      <c r="AG1073" s="1345"/>
      <c r="AH1073" s="47"/>
      <c r="AI1073" s="47"/>
      <c r="AJ1073" s="47"/>
      <c r="AK1073" s="47"/>
      <c r="AL1073" s="47"/>
      <c r="AM1073" s="47"/>
      <c r="AN1073" s="47"/>
      <c r="AO1073" s="47"/>
      <c r="AP1073" s="47"/>
      <c r="AQ1073" s="47"/>
      <c r="AR1073" s="47"/>
      <c r="AS1073" s="47"/>
      <c r="AT1073" s="47"/>
      <c r="AU1073" s="47"/>
      <c r="AV1073" s="47"/>
      <c r="AW1073" s="47"/>
      <c r="AX1073" s="47"/>
      <c r="AY1073" s="47"/>
    </row>
    <row r="1074" spans="1:51" ht="15.75" customHeight="1">
      <c r="A1074" s="500"/>
      <c r="B1074" s="481"/>
      <c r="C1074" s="481"/>
      <c r="D1074" s="47"/>
      <c r="E1074" s="47"/>
      <c r="F1074" s="478"/>
      <c r="G1074" s="479"/>
      <c r="H1074" s="9"/>
      <c r="I1074" s="10"/>
      <c r="J1074" s="503"/>
      <c r="K1074" s="47"/>
      <c r="L1074" s="47"/>
      <c r="M1074" s="677"/>
      <c r="N1074" s="9"/>
      <c r="O1074" s="9"/>
      <c r="P1074" s="9"/>
      <c r="Q1074" s="47"/>
      <c r="R1074" s="47"/>
      <c r="S1074" s="47"/>
      <c r="T1074" s="47"/>
      <c r="U1074" s="47"/>
      <c r="V1074" s="47"/>
      <c r="W1074" s="47"/>
      <c r="X1074" s="47"/>
      <c r="Y1074" s="47"/>
      <c r="Z1074" s="47"/>
      <c r="AA1074" s="47"/>
      <c r="AB1074" s="47"/>
      <c r="AC1074" s="47"/>
      <c r="AD1074" s="47"/>
      <c r="AE1074" s="47"/>
      <c r="AF1074" s="47"/>
      <c r="AG1074" s="1345"/>
      <c r="AH1074" s="47"/>
      <c r="AI1074" s="47"/>
      <c r="AJ1074" s="47"/>
      <c r="AK1074" s="47"/>
      <c r="AL1074" s="47"/>
      <c r="AM1074" s="47"/>
      <c r="AN1074" s="47"/>
      <c r="AO1074" s="47"/>
      <c r="AP1074" s="47"/>
      <c r="AQ1074" s="47"/>
      <c r="AR1074" s="47"/>
      <c r="AS1074" s="47"/>
      <c r="AT1074" s="47"/>
      <c r="AU1074" s="47"/>
      <c r="AV1074" s="47"/>
      <c r="AW1074" s="47"/>
      <c r="AX1074" s="47"/>
      <c r="AY1074" s="47"/>
    </row>
    <row r="1075" spans="1:51" ht="15.75" customHeight="1">
      <c r="A1075" s="500"/>
      <c r="B1075" s="481"/>
      <c r="C1075" s="481"/>
      <c r="D1075" s="47"/>
      <c r="E1075" s="47"/>
      <c r="F1075" s="478"/>
      <c r="G1075" s="479"/>
      <c r="H1075" s="9"/>
      <c r="I1075" s="9"/>
      <c r="J1075" s="503"/>
      <c r="K1075" s="47"/>
      <c r="L1075" s="47"/>
      <c r="M1075" s="677"/>
      <c r="N1075" s="9"/>
      <c r="O1075" s="9"/>
      <c r="P1075" s="9"/>
      <c r="Q1075" s="47"/>
      <c r="R1075" s="47"/>
      <c r="S1075" s="47"/>
      <c r="T1075" s="47"/>
      <c r="U1075" s="47"/>
      <c r="V1075" s="47"/>
      <c r="W1075" s="47"/>
      <c r="X1075" s="47"/>
      <c r="Y1075" s="47"/>
      <c r="Z1075" s="47"/>
      <c r="AA1075" s="47"/>
      <c r="AB1075" s="47"/>
      <c r="AC1075" s="47"/>
      <c r="AD1075" s="47"/>
      <c r="AE1075" s="47"/>
      <c r="AF1075" s="47"/>
      <c r="AG1075" s="1345"/>
      <c r="AH1075" s="47"/>
      <c r="AI1075" s="47"/>
      <c r="AJ1075" s="47"/>
      <c r="AK1075" s="47"/>
      <c r="AL1075" s="47"/>
      <c r="AM1075" s="47"/>
      <c r="AN1075" s="47"/>
      <c r="AO1075" s="47"/>
      <c r="AP1075" s="47"/>
      <c r="AQ1075" s="47"/>
      <c r="AR1075" s="47"/>
      <c r="AS1075" s="47"/>
      <c r="AT1075" s="47"/>
      <c r="AU1075" s="47"/>
      <c r="AV1075" s="47"/>
      <c r="AW1075" s="47"/>
      <c r="AX1075" s="47"/>
      <c r="AY1075" s="47"/>
    </row>
    <row r="1076" spans="1:51" ht="15.75" customHeight="1">
      <c r="A1076" s="500"/>
      <c r="B1076" s="481"/>
      <c r="C1076" s="481"/>
      <c r="D1076" s="47"/>
      <c r="E1076" s="47"/>
      <c r="F1076" s="478"/>
      <c r="G1076" s="479"/>
      <c r="H1076" s="9"/>
      <c r="I1076" s="9"/>
      <c r="J1076" s="503"/>
      <c r="K1076" s="47"/>
      <c r="L1076" s="47"/>
      <c r="M1076" s="677"/>
      <c r="N1076" s="9"/>
      <c r="O1076" s="9"/>
      <c r="P1076" s="9"/>
      <c r="Q1076" s="47"/>
      <c r="R1076" s="47"/>
      <c r="S1076" s="47"/>
      <c r="T1076" s="47"/>
      <c r="U1076" s="47"/>
      <c r="V1076" s="47"/>
      <c r="W1076" s="47"/>
      <c r="X1076" s="47"/>
      <c r="Y1076" s="47"/>
      <c r="Z1076" s="47"/>
      <c r="AA1076" s="47"/>
      <c r="AB1076" s="47"/>
      <c r="AC1076" s="47"/>
      <c r="AD1076" s="47"/>
      <c r="AE1076" s="47"/>
      <c r="AF1076" s="47"/>
      <c r="AG1076" s="1345"/>
      <c r="AH1076" s="47"/>
      <c r="AI1076" s="47"/>
      <c r="AJ1076" s="47"/>
      <c r="AK1076" s="47"/>
      <c r="AL1076" s="47"/>
      <c r="AM1076" s="47"/>
      <c r="AN1076" s="47"/>
      <c r="AO1076" s="47"/>
      <c r="AP1076" s="47"/>
      <c r="AQ1076" s="47"/>
      <c r="AR1076" s="47"/>
      <c r="AS1076" s="47"/>
      <c r="AT1076" s="47"/>
      <c r="AU1076" s="47"/>
      <c r="AV1076" s="47"/>
      <c r="AW1076" s="47"/>
      <c r="AX1076" s="47"/>
      <c r="AY1076" s="47"/>
    </row>
    <row r="1077" spans="1:51" ht="15.75" customHeight="1">
      <c r="A1077" s="500"/>
      <c r="B1077" s="481"/>
      <c r="C1077" s="481"/>
      <c r="D1077" s="47"/>
      <c r="E1077" s="47"/>
      <c r="F1077" s="478"/>
      <c r="G1077" s="479"/>
      <c r="H1077" s="9"/>
      <c r="I1077" s="9"/>
      <c r="J1077" s="503"/>
      <c r="K1077" s="47"/>
      <c r="L1077" s="47"/>
      <c r="M1077" s="677"/>
      <c r="N1077" s="9"/>
      <c r="O1077" s="9"/>
      <c r="P1077" s="9"/>
      <c r="Q1077" s="47"/>
      <c r="R1077" s="47"/>
      <c r="S1077" s="47"/>
      <c r="T1077" s="47"/>
      <c r="U1077" s="47"/>
      <c r="V1077" s="47"/>
      <c r="W1077" s="47"/>
      <c r="X1077" s="47"/>
      <c r="Y1077" s="47"/>
      <c r="Z1077" s="47"/>
      <c r="AA1077" s="47"/>
      <c r="AB1077" s="47"/>
      <c r="AC1077" s="47"/>
      <c r="AD1077" s="47"/>
      <c r="AE1077" s="47"/>
      <c r="AF1077" s="47"/>
      <c r="AG1077" s="1345"/>
      <c r="AH1077" s="47"/>
      <c r="AI1077" s="47"/>
      <c r="AJ1077" s="47"/>
      <c r="AK1077" s="47"/>
      <c r="AL1077" s="47"/>
      <c r="AM1077" s="47"/>
      <c r="AN1077" s="47"/>
      <c r="AO1077" s="47"/>
      <c r="AP1077" s="47"/>
      <c r="AQ1077" s="47"/>
      <c r="AR1077" s="47"/>
      <c r="AS1077" s="47"/>
      <c r="AT1077" s="47"/>
      <c r="AU1077" s="47"/>
      <c r="AV1077" s="47"/>
      <c r="AW1077" s="47"/>
      <c r="AX1077" s="47"/>
      <c r="AY1077" s="47"/>
    </row>
    <row r="1078" spans="1:51" ht="15.75" customHeight="1">
      <c r="A1078" s="500"/>
      <c r="B1078" s="481"/>
      <c r="C1078" s="481"/>
      <c r="D1078" s="47"/>
      <c r="E1078" s="47"/>
      <c r="F1078" s="478"/>
      <c r="G1078" s="479"/>
      <c r="H1078" s="9"/>
      <c r="I1078" s="9"/>
      <c r="J1078" s="503"/>
      <c r="K1078" s="47"/>
      <c r="L1078" s="47"/>
      <c r="M1078" s="677"/>
      <c r="N1078" s="9"/>
      <c r="O1078" s="9"/>
      <c r="P1078" s="9"/>
      <c r="Q1078" s="47"/>
      <c r="R1078" s="47"/>
      <c r="S1078" s="47"/>
      <c r="T1078" s="47"/>
      <c r="U1078" s="47"/>
      <c r="V1078" s="47"/>
      <c r="W1078" s="47"/>
      <c r="X1078" s="47"/>
      <c r="Y1078" s="47"/>
      <c r="Z1078" s="47"/>
      <c r="AA1078" s="47"/>
      <c r="AB1078" s="47"/>
      <c r="AC1078" s="47"/>
      <c r="AD1078" s="47"/>
      <c r="AE1078" s="47"/>
      <c r="AF1078" s="47"/>
      <c r="AG1078" s="1345"/>
      <c r="AH1078" s="47"/>
      <c r="AI1078" s="47"/>
      <c r="AJ1078" s="47"/>
      <c r="AK1078" s="47"/>
      <c r="AL1078" s="47"/>
      <c r="AM1078" s="47"/>
      <c r="AN1078" s="47"/>
      <c r="AO1078" s="47"/>
      <c r="AP1078" s="47"/>
      <c r="AQ1078" s="47"/>
      <c r="AR1078" s="47"/>
      <c r="AS1078" s="47"/>
      <c r="AT1078" s="47"/>
      <c r="AU1078" s="47"/>
      <c r="AV1078" s="47"/>
      <c r="AW1078" s="47"/>
      <c r="AX1078" s="47"/>
      <c r="AY1078" s="47"/>
    </row>
    <row r="1079" spans="1:51" ht="15.75" customHeight="1">
      <c r="A1079" s="500"/>
      <c r="B1079" s="481"/>
      <c r="C1079" s="481"/>
      <c r="D1079" s="47"/>
      <c r="E1079" s="47"/>
      <c r="F1079" s="478"/>
      <c r="G1079" s="479"/>
      <c r="H1079" s="9"/>
      <c r="I1079" s="10"/>
      <c r="J1079" s="503"/>
      <c r="K1079" s="47"/>
      <c r="L1079" s="47"/>
      <c r="M1079" s="677"/>
      <c r="N1079" s="9"/>
      <c r="O1079" s="9"/>
      <c r="P1079" s="9"/>
      <c r="Q1079" s="47"/>
      <c r="R1079" s="47"/>
      <c r="S1079" s="47"/>
      <c r="T1079" s="47"/>
      <c r="U1079" s="47"/>
      <c r="V1079" s="47"/>
      <c r="W1079" s="47"/>
      <c r="X1079" s="47"/>
      <c r="Y1079" s="47"/>
      <c r="Z1079" s="47"/>
      <c r="AA1079" s="47"/>
      <c r="AB1079" s="47"/>
      <c r="AC1079" s="47"/>
      <c r="AD1079" s="47"/>
      <c r="AE1079" s="47"/>
      <c r="AF1079" s="47"/>
      <c r="AG1079" s="1345"/>
      <c r="AH1079" s="47"/>
      <c r="AI1079" s="47"/>
      <c r="AJ1079" s="47"/>
      <c r="AK1079" s="47"/>
      <c r="AL1079" s="47"/>
      <c r="AM1079" s="47"/>
      <c r="AN1079" s="47"/>
      <c r="AO1079" s="47"/>
      <c r="AP1079" s="47"/>
      <c r="AQ1079" s="47"/>
      <c r="AR1079" s="47"/>
      <c r="AS1079" s="47"/>
      <c r="AT1079" s="47"/>
      <c r="AU1079" s="47"/>
      <c r="AV1079" s="47"/>
      <c r="AW1079" s="47"/>
      <c r="AX1079" s="47"/>
      <c r="AY1079" s="47"/>
    </row>
    <row r="1080" spans="1:51" ht="15.75" customHeight="1">
      <c r="A1080" s="679"/>
      <c r="B1080" s="481"/>
      <c r="C1080" s="481"/>
      <c r="D1080" s="47"/>
      <c r="E1080" s="47"/>
      <c r="F1080" s="478"/>
      <c r="G1080" s="479"/>
      <c r="H1080" s="9"/>
      <c r="I1080" s="9"/>
      <c r="J1080" s="503"/>
      <c r="K1080" s="47"/>
      <c r="L1080" s="47"/>
      <c r="M1080" s="677"/>
      <c r="N1080" s="9"/>
      <c r="O1080" s="9"/>
      <c r="P1080" s="9"/>
      <c r="Q1080" s="47"/>
      <c r="R1080" s="47"/>
      <c r="S1080" s="47"/>
      <c r="T1080" s="47"/>
      <c r="U1080" s="47"/>
      <c r="V1080" s="47"/>
      <c r="W1080" s="47"/>
      <c r="X1080" s="47"/>
      <c r="Y1080" s="47"/>
      <c r="Z1080" s="47"/>
      <c r="AA1080" s="47"/>
      <c r="AB1080" s="47"/>
      <c r="AC1080" s="47"/>
      <c r="AD1080" s="47"/>
      <c r="AE1080" s="47"/>
      <c r="AF1080" s="47"/>
      <c r="AG1080" s="1345"/>
      <c r="AH1080" s="47"/>
      <c r="AI1080" s="47"/>
      <c r="AJ1080" s="47"/>
      <c r="AK1080" s="47"/>
      <c r="AL1080" s="47"/>
      <c r="AM1080" s="47"/>
      <c r="AN1080" s="47"/>
      <c r="AO1080" s="47"/>
      <c r="AP1080" s="47"/>
      <c r="AQ1080" s="47"/>
      <c r="AR1080" s="47"/>
      <c r="AS1080" s="47"/>
      <c r="AT1080" s="47"/>
      <c r="AU1080" s="47"/>
      <c r="AV1080" s="47"/>
      <c r="AW1080" s="47"/>
      <c r="AX1080" s="47"/>
      <c r="AY1080" s="47"/>
    </row>
    <row r="1081" spans="1:51" ht="15.75" customHeight="1">
      <c r="A1081" s="500"/>
      <c r="B1081" s="481"/>
      <c r="C1081" s="481"/>
      <c r="D1081" s="47"/>
      <c r="E1081" s="47"/>
      <c r="F1081" s="478"/>
      <c r="G1081" s="479"/>
      <c r="H1081" s="9"/>
      <c r="I1081" s="10"/>
      <c r="J1081" s="503"/>
      <c r="K1081" s="47"/>
      <c r="L1081" s="47"/>
      <c r="M1081" s="677"/>
      <c r="N1081" s="9"/>
      <c r="O1081" s="9"/>
      <c r="P1081" s="9"/>
      <c r="Q1081" s="47"/>
      <c r="R1081" s="47"/>
      <c r="S1081" s="47"/>
      <c r="T1081" s="47"/>
      <c r="U1081" s="47"/>
      <c r="V1081" s="47"/>
      <c r="W1081" s="47"/>
      <c r="X1081" s="47"/>
      <c r="Y1081" s="47"/>
      <c r="Z1081" s="47"/>
      <c r="AA1081" s="47"/>
      <c r="AB1081" s="47"/>
      <c r="AC1081" s="47"/>
      <c r="AD1081" s="47"/>
      <c r="AE1081" s="47"/>
      <c r="AF1081" s="47"/>
      <c r="AG1081" s="1345"/>
      <c r="AH1081" s="47"/>
      <c r="AI1081" s="47"/>
      <c r="AJ1081" s="47"/>
      <c r="AK1081" s="47"/>
      <c r="AL1081" s="47"/>
      <c r="AM1081" s="47"/>
      <c r="AN1081" s="47"/>
      <c r="AO1081" s="47"/>
      <c r="AP1081" s="47"/>
      <c r="AQ1081" s="47"/>
      <c r="AR1081" s="47"/>
      <c r="AS1081" s="47"/>
      <c r="AT1081" s="47"/>
      <c r="AU1081" s="47"/>
      <c r="AV1081" s="47"/>
      <c r="AW1081" s="47"/>
      <c r="AX1081" s="47"/>
      <c r="AY1081" s="47"/>
    </row>
    <row r="1082" spans="1:51" ht="15.75" customHeight="1">
      <c r="A1082" s="500"/>
      <c r="B1082" s="481"/>
      <c r="C1082" s="481"/>
      <c r="D1082" s="47"/>
      <c r="E1082" s="47"/>
      <c r="F1082" s="478"/>
      <c r="G1082" s="479"/>
      <c r="H1082" s="9"/>
      <c r="I1082" s="9"/>
      <c r="J1082" s="503"/>
      <c r="K1082" s="47"/>
      <c r="L1082" s="47"/>
      <c r="M1082" s="677"/>
      <c r="N1082" s="9"/>
      <c r="O1082" s="9"/>
      <c r="P1082" s="9"/>
      <c r="Q1082" s="47"/>
      <c r="R1082" s="47"/>
      <c r="S1082" s="47"/>
      <c r="T1082" s="47"/>
      <c r="U1082" s="47"/>
      <c r="V1082" s="47"/>
      <c r="W1082" s="47"/>
      <c r="X1082" s="47"/>
      <c r="Y1082" s="47"/>
      <c r="Z1082" s="47"/>
      <c r="AA1082" s="47"/>
      <c r="AB1082" s="47"/>
      <c r="AC1082" s="47"/>
      <c r="AD1082" s="47"/>
      <c r="AE1082" s="47"/>
      <c r="AF1082" s="47"/>
      <c r="AG1082" s="1345"/>
      <c r="AH1082" s="47"/>
      <c r="AI1082" s="47"/>
      <c r="AJ1082" s="47"/>
      <c r="AK1082" s="47"/>
      <c r="AL1082" s="47"/>
      <c r="AM1082" s="47"/>
      <c r="AN1082" s="47"/>
      <c r="AO1082" s="47"/>
      <c r="AP1082" s="47"/>
      <c r="AQ1082" s="47"/>
      <c r="AR1082" s="47"/>
      <c r="AS1082" s="47"/>
      <c r="AT1082" s="47"/>
      <c r="AU1082" s="47"/>
      <c r="AV1082" s="47"/>
      <c r="AW1082" s="47"/>
      <c r="AX1082" s="47"/>
      <c r="AY1082" s="47"/>
    </row>
    <row r="1083" spans="1:51" ht="15.75" customHeight="1">
      <c r="A1083" s="500"/>
      <c r="B1083" s="481"/>
      <c r="C1083" s="481"/>
      <c r="D1083" s="47"/>
      <c r="E1083" s="47"/>
      <c r="F1083" s="478"/>
      <c r="G1083" s="479"/>
      <c r="H1083" s="9"/>
      <c r="I1083" s="10"/>
      <c r="J1083" s="503"/>
      <c r="K1083" s="47"/>
      <c r="L1083" s="47"/>
      <c r="M1083" s="677"/>
      <c r="N1083" s="9"/>
      <c r="O1083" s="9"/>
      <c r="P1083" s="9"/>
      <c r="Q1083" s="47"/>
      <c r="R1083" s="47"/>
      <c r="S1083" s="47"/>
      <c r="T1083" s="47"/>
      <c r="U1083" s="47"/>
      <c r="V1083" s="47"/>
      <c r="W1083" s="47"/>
      <c r="X1083" s="47"/>
      <c r="Y1083" s="47"/>
      <c r="Z1083" s="47"/>
      <c r="AA1083" s="47"/>
      <c r="AB1083" s="47"/>
      <c r="AC1083" s="47"/>
      <c r="AD1083" s="47"/>
      <c r="AE1083" s="47"/>
      <c r="AF1083" s="47"/>
      <c r="AG1083" s="1345"/>
      <c r="AH1083" s="47"/>
      <c r="AI1083" s="47"/>
      <c r="AJ1083" s="47"/>
      <c r="AK1083" s="47"/>
      <c r="AL1083" s="47"/>
      <c r="AM1083" s="47"/>
      <c r="AN1083" s="47"/>
      <c r="AO1083" s="47"/>
      <c r="AP1083" s="47"/>
      <c r="AQ1083" s="47"/>
      <c r="AR1083" s="47"/>
      <c r="AS1083" s="47"/>
      <c r="AT1083" s="47"/>
      <c r="AU1083" s="47"/>
      <c r="AV1083" s="47"/>
      <c r="AW1083" s="47"/>
      <c r="AX1083" s="47"/>
      <c r="AY1083" s="47"/>
    </row>
    <row r="1084" spans="1:51" ht="15.75" customHeight="1">
      <c r="A1084" s="500"/>
      <c r="B1084" s="481"/>
      <c r="C1084" s="481"/>
      <c r="D1084" s="47"/>
      <c r="E1084" s="47"/>
      <c r="F1084" s="478"/>
      <c r="G1084" s="479"/>
      <c r="H1084" s="9"/>
      <c r="I1084" s="9"/>
      <c r="J1084" s="503"/>
      <c r="K1084" s="47"/>
      <c r="L1084" s="47"/>
      <c r="M1084" s="677"/>
      <c r="N1084" s="9"/>
      <c r="O1084" s="9"/>
      <c r="P1084" s="9"/>
      <c r="Q1084" s="47"/>
      <c r="R1084" s="47"/>
      <c r="S1084" s="47"/>
      <c r="T1084" s="47"/>
      <c r="U1084" s="47"/>
      <c r="V1084" s="47"/>
      <c r="W1084" s="47"/>
      <c r="X1084" s="47"/>
      <c r="Y1084" s="47"/>
      <c r="Z1084" s="47"/>
      <c r="AA1084" s="47"/>
      <c r="AB1084" s="47"/>
      <c r="AC1084" s="47"/>
      <c r="AD1084" s="47"/>
      <c r="AE1084" s="47"/>
      <c r="AF1084" s="47"/>
      <c r="AG1084" s="1345"/>
      <c r="AH1084" s="47"/>
      <c r="AI1084" s="47"/>
      <c r="AJ1084" s="47"/>
      <c r="AK1084" s="47"/>
      <c r="AL1084" s="47"/>
      <c r="AM1084" s="47"/>
      <c r="AN1084" s="47"/>
      <c r="AO1084" s="47"/>
      <c r="AP1084" s="47"/>
      <c r="AQ1084" s="47"/>
      <c r="AR1084" s="47"/>
      <c r="AS1084" s="47"/>
      <c r="AT1084" s="47"/>
      <c r="AU1084" s="47"/>
      <c r="AV1084" s="47"/>
      <c r="AW1084" s="47"/>
      <c r="AX1084" s="47"/>
      <c r="AY1084" s="47"/>
    </row>
    <row r="1085" spans="1:51" ht="15.75" customHeight="1">
      <c r="A1085" s="500"/>
      <c r="B1085" s="481"/>
      <c r="C1085" s="481"/>
      <c r="D1085" s="47"/>
      <c r="E1085" s="47"/>
      <c r="F1085" s="478"/>
      <c r="G1085" s="479"/>
      <c r="H1085" s="9"/>
      <c r="I1085" s="10"/>
      <c r="J1085" s="503"/>
      <c r="K1085" s="47"/>
      <c r="L1085" s="47"/>
      <c r="M1085" s="677"/>
      <c r="N1085" s="9"/>
      <c r="O1085" s="9"/>
      <c r="P1085" s="9"/>
      <c r="Q1085" s="47"/>
      <c r="R1085" s="47"/>
      <c r="S1085" s="47"/>
      <c r="T1085" s="47"/>
      <c r="U1085" s="47"/>
      <c r="V1085" s="47"/>
      <c r="W1085" s="47"/>
      <c r="X1085" s="47"/>
      <c r="Y1085" s="47"/>
      <c r="Z1085" s="47"/>
      <c r="AA1085" s="47"/>
      <c r="AB1085" s="47"/>
      <c r="AC1085" s="47"/>
      <c r="AD1085" s="47"/>
      <c r="AE1085" s="47"/>
      <c r="AF1085" s="47"/>
      <c r="AG1085" s="1345"/>
      <c r="AH1085" s="47"/>
      <c r="AI1085" s="47"/>
      <c r="AJ1085" s="47"/>
      <c r="AK1085" s="47"/>
      <c r="AL1085" s="47"/>
      <c r="AM1085" s="47"/>
      <c r="AN1085" s="47"/>
      <c r="AO1085" s="47"/>
      <c r="AP1085" s="47"/>
      <c r="AQ1085" s="47"/>
      <c r="AR1085" s="47"/>
      <c r="AS1085" s="47"/>
      <c r="AT1085" s="47"/>
      <c r="AU1085" s="47"/>
      <c r="AV1085" s="47"/>
      <c r="AW1085" s="47"/>
      <c r="AX1085" s="47"/>
      <c r="AY1085" s="47"/>
    </row>
    <row r="1086" spans="1:51" ht="15.75" customHeight="1">
      <c r="A1086" s="500"/>
      <c r="B1086" s="481"/>
      <c r="C1086" s="481"/>
      <c r="D1086" s="47"/>
      <c r="E1086" s="47"/>
      <c r="F1086" s="478"/>
      <c r="G1086" s="479"/>
      <c r="H1086" s="9"/>
      <c r="I1086" s="9"/>
      <c r="J1086" s="503"/>
      <c r="K1086" s="47"/>
      <c r="L1086" s="47"/>
      <c r="M1086" s="677"/>
      <c r="N1086" s="9"/>
      <c r="O1086" s="9"/>
      <c r="P1086" s="9"/>
      <c r="Q1086" s="47"/>
      <c r="R1086" s="47"/>
      <c r="S1086" s="47"/>
      <c r="T1086" s="47"/>
      <c r="U1086" s="47"/>
      <c r="V1086" s="47"/>
      <c r="W1086" s="47"/>
      <c r="X1086" s="47"/>
      <c r="Y1086" s="47"/>
      <c r="Z1086" s="47"/>
      <c r="AA1086" s="47"/>
      <c r="AB1086" s="47"/>
      <c r="AC1086" s="47"/>
      <c r="AD1086" s="47"/>
      <c r="AE1086" s="47"/>
      <c r="AF1086" s="47"/>
      <c r="AG1086" s="1345"/>
      <c r="AH1086" s="47"/>
      <c r="AI1086" s="47"/>
      <c r="AJ1086" s="47"/>
      <c r="AK1086" s="47"/>
      <c r="AL1086" s="47"/>
      <c r="AM1086" s="47"/>
      <c r="AN1086" s="47"/>
      <c r="AO1086" s="47"/>
      <c r="AP1086" s="47"/>
      <c r="AQ1086" s="47"/>
      <c r="AR1086" s="47"/>
      <c r="AS1086" s="47"/>
      <c r="AT1086" s="47"/>
      <c r="AU1086" s="47"/>
      <c r="AV1086" s="47"/>
      <c r="AW1086" s="47"/>
      <c r="AX1086" s="47"/>
      <c r="AY1086" s="47"/>
    </row>
    <row r="1087" spans="1:51" ht="15.75" customHeight="1">
      <c r="A1087" s="500"/>
      <c r="B1087" s="481"/>
      <c r="C1087" s="481"/>
      <c r="D1087" s="47"/>
      <c r="E1087" s="47"/>
      <c r="F1087" s="478"/>
      <c r="G1087" s="479"/>
      <c r="H1087" s="9"/>
      <c r="I1087" s="10"/>
      <c r="J1087" s="503"/>
      <c r="K1087" s="47"/>
      <c r="L1087" s="47"/>
      <c r="M1087" s="677"/>
      <c r="N1087" s="9"/>
      <c r="O1087" s="9"/>
      <c r="P1087" s="9"/>
      <c r="Q1087" s="47"/>
      <c r="R1087" s="47"/>
      <c r="S1087" s="47"/>
      <c r="T1087" s="47"/>
      <c r="U1087" s="47"/>
      <c r="V1087" s="47"/>
      <c r="W1087" s="47"/>
      <c r="X1087" s="47"/>
      <c r="Y1087" s="47"/>
      <c r="Z1087" s="47"/>
      <c r="AA1087" s="47"/>
      <c r="AB1087" s="47"/>
      <c r="AC1087" s="47"/>
      <c r="AD1087" s="47"/>
      <c r="AE1087" s="47"/>
      <c r="AF1087" s="47"/>
      <c r="AG1087" s="1345"/>
      <c r="AH1087" s="47"/>
      <c r="AI1087" s="47"/>
      <c r="AJ1087" s="47"/>
      <c r="AK1087" s="47"/>
      <c r="AL1087" s="47"/>
      <c r="AM1087" s="47"/>
      <c r="AN1087" s="47"/>
      <c r="AO1087" s="47"/>
      <c r="AP1087" s="47"/>
      <c r="AQ1087" s="47"/>
      <c r="AR1087" s="47"/>
      <c r="AS1087" s="47"/>
      <c r="AT1087" s="47"/>
      <c r="AU1087" s="47"/>
      <c r="AV1087" s="47"/>
      <c r="AW1087" s="47"/>
      <c r="AX1087" s="47"/>
      <c r="AY1087" s="47"/>
    </row>
    <row r="1088" spans="1:51" ht="15.75" customHeight="1">
      <c r="A1088" s="500"/>
      <c r="B1088" s="481"/>
      <c r="C1088" s="481"/>
      <c r="D1088" s="47"/>
      <c r="E1088" s="47"/>
      <c r="F1088" s="478"/>
      <c r="G1088" s="479"/>
      <c r="H1088" s="9"/>
      <c r="I1088" s="9"/>
      <c r="J1088" s="503"/>
      <c r="K1088" s="47"/>
      <c r="L1088" s="47"/>
      <c r="M1088" s="677"/>
      <c r="N1088" s="9"/>
      <c r="O1088" s="9"/>
      <c r="P1088" s="9"/>
      <c r="Q1088" s="47"/>
      <c r="R1088" s="47"/>
      <c r="S1088" s="47"/>
      <c r="T1088" s="47"/>
      <c r="U1088" s="47"/>
      <c r="V1088" s="47"/>
      <c r="W1088" s="47"/>
      <c r="X1088" s="47"/>
      <c r="Y1088" s="47"/>
      <c r="Z1088" s="47"/>
      <c r="AA1088" s="47"/>
      <c r="AB1088" s="47"/>
      <c r="AC1088" s="47"/>
      <c r="AD1088" s="47"/>
      <c r="AE1088" s="47"/>
      <c r="AF1088" s="47"/>
      <c r="AG1088" s="1345"/>
      <c r="AH1088" s="47"/>
      <c r="AI1088" s="47"/>
      <c r="AJ1088" s="47"/>
      <c r="AK1088" s="47"/>
      <c r="AL1088" s="47"/>
      <c r="AM1088" s="47"/>
      <c r="AN1088" s="47"/>
      <c r="AO1088" s="47"/>
      <c r="AP1088" s="47"/>
      <c r="AQ1088" s="47"/>
      <c r="AR1088" s="47"/>
      <c r="AS1088" s="47"/>
      <c r="AT1088" s="47"/>
      <c r="AU1088" s="47"/>
      <c r="AV1088" s="47"/>
      <c r="AW1088" s="47"/>
      <c r="AX1088" s="47"/>
      <c r="AY1088" s="47"/>
    </row>
    <row r="1089" spans="1:51" ht="15.75" customHeight="1">
      <c r="A1089" s="500"/>
      <c r="B1089" s="481"/>
      <c r="C1089" s="481"/>
      <c r="D1089" s="47"/>
      <c r="E1089" s="47"/>
      <c r="F1089" s="478"/>
      <c r="G1089" s="479"/>
      <c r="H1089" s="9"/>
      <c r="I1089" s="10"/>
      <c r="J1089" s="503"/>
      <c r="K1089" s="47"/>
      <c r="L1089" s="47"/>
      <c r="M1089" s="677"/>
      <c r="N1089" s="9"/>
      <c r="O1089" s="9"/>
      <c r="P1089" s="9"/>
      <c r="Q1089" s="47"/>
      <c r="R1089" s="47"/>
      <c r="S1089" s="47"/>
      <c r="T1089" s="47"/>
      <c r="U1089" s="47"/>
      <c r="V1089" s="47"/>
      <c r="W1089" s="47"/>
      <c r="X1089" s="47"/>
      <c r="Y1089" s="47"/>
      <c r="Z1089" s="47"/>
      <c r="AA1089" s="47"/>
      <c r="AB1089" s="47"/>
      <c r="AC1089" s="47"/>
      <c r="AD1089" s="47"/>
      <c r="AE1089" s="47"/>
      <c r="AF1089" s="47"/>
      <c r="AG1089" s="1345"/>
      <c r="AH1089" s="47"/>
      <c r="AI1089" s="47"/>
      <c r="AJ1089" s="47"/>
      <c r="AK1089" s="47"/>
      <c r="AL1089" s="47"/>
      <c r="AM1089" s="47"/>
      <c r="AN1089" s="47"/>
      <c r="AO1089" s="47"/>
      <c r="AP1089" s="47"/>
      <c r="AQ1089" s="47"/>
      <c r="AR1089" s="47"/>
      <c r="AS1089" s="47"/>
      <c r="AT1089" s="47"/>
      <c r="AU1089" s="47"/>
      <c r="AV1089" s="47"/>
      <c r="AW1089" s="47"/>
      <c r="AX1089" s="47"/>
      <c r="AY1089" s="47"/>
    </row>
    <row r="1090" spans="1:51" ht="15.75" customHeight="1">
      <c r="A1090" s="500"/>
      <c r="B1090" s="481"/>
      <c r="C1090" s="481"/>
      <c r="D1090" s="47"/>
      <c r="E1090" s="47"/>
      <c r="F1090" s="478"/>
      <c r="G1090" s="479"/>
      <c r="H1090" s="9"/>
      <c r="I1090" s="9"/>
      <c r="J1090" s="503"/>
      <c r="K1090" s="47"/>
      <c r="L1090" s="47"/>
      <c r="M1090" s="677"/>
      <c r="N1090" s="9"/>
      <c r="O1090" s="9"/>
      <c r="P1090" s="9"/>
      <c r="Q1090" s="47"/>
      <c r="R1090" s="47"/>
      <c r="S1090" s="47"/>
      <c r="T1090" s="47"/>
      <c r="U1090" s="47"/>
      <c r="V1090" s="47"/>
      <c r="W1090" s="47"/>
      <c r="X1090" s="47"/>
      <c r="Y1090" s="47"/>
      <c r="Z1090" s="47"/>
      <c r="AA1090" s="47"/>
      <c r="AB1090" s="47"/>
      <c r="AC1090" s="47"/>
      <c r="AD1090" s="47"/>
      <c r="AE1090" s="47"/>
      <c r="AF1090" s="47"/>
      <c r="AG1090" s="1345"/>
      <c r="AH1090" s="47"/>
      <c r="AI1090" s="47"/>
      <c r="AJ1090" s="47"/>
      <c r="AK1090" s="47"/>
      <c r="AL1090" s="47"/>
      <c r="AM1090" s="47"/>
      <c r="AN1090" s="47"/>
      <c r="AO1090" s="47"/>
      <c r="AP1090" s="47"/>
      <c r="AQ1090" s="47"/>
      <c r="AR1090" s="47"/>
      <c r="AS1090" s="47"/>
      <c r="AT1090" s="47"/>
      <c r="AU1090" s="47"/>
      <c r="AV1090" s="47"/>
      <c r="AW1090" s="47"/>
      <c r="AX1090" s="47"/>
      <c r="AY1090" s="47"/>
    </row>
    <row r="1091" spans="1:51" ht="15.75" customHeight="1">
      <c r="A1091" s="500"/>
      <c r="B1091" s="481"/>
      <c r="C1091" s="481"/>
      <c r="D1091" s="47"/>
      <c r="E1091" s="47"/>
      <c r="F1091" s="478"/>
      <c r="G1091" s="479"/>
      <c r="H1091" s="9"/>
      <c r="I1091" s="9"/>
      <c r="J1091" s="503"/>
      <c r="K1091" s="47"/>
      <c r="L1091" s="47"/>
      <c r="M1091" s="677"/>
      <c r="N1091" s="9"/>
      <c r="O1091" s="9"/>
      <c r="P1091" s="9"/>
      <c r="Q1091" s="47"/>
      <c r="R1091" s="47"/>
      <c r="S1091" s="47"/>
      <c r="T1091" s="47"/>
      <c r="U1091" s="47"/>
      <c r="V1091" s="47"/>
      <c r="W1091" s="47"/>
      <c r="X1091" s="47"/>
      <c r="Y1091" s="47"/>
      <c r="Z1091" s="47"/>
      <c r="AA1091" s="47"/>
      <c r="AB1091" s="47"/>
      <c r="AC1091" s="47"/>
      <c r="AD1091" s="47"/>
      <c r="AE1091" s="47"/>
      <c r="AF1091" s="47"/>
      <c r="AG1091" s="1345"/>
      <c r="AH1091" s="47"/>
      <c r="AI1091" s="47"/>
      <c r="AJ1091" s="47"/>
      <c r="AK1091" s="47"/>
      <c r="AL1091" s="47"/>
      <c r="AM1091" s="47"/>
      <c r="AN1091" s="47"/>
      <c r="AO1091" s="47"/>
      <c r="AP1091" s="47"/>
      <c r="AQ1091" s="47"/>
      <c r="AR1091" s="47"/>
      <c r="AS1091" s="47"/>
      <c r="AT1091" s="47"/>
      <c r="AU1091" s="47"/>
      <c r="AV1091" s="47"/>
      <c r="AW1091" s="47"/>
      <c r="AX1091" s="47"/>
      <c r="AY1091" s="47"/>
    </row>
    <row r="1092" spans="1:51" ht="15.75" customHeight="1">
      <c r="A1092" s="500"/>
      <c r="B1092" s="481"/>
      <c r="C1092" s="481"/>
      <c r="D1092" s="47"/>
      <c r="E1092" s="47"/>
      <c r="F1092" s="478"/>
      <c r="G1092" s="479"/>
      <c r="H1092" s="9"/>
      <c r="I1092" s="9"/>
      <c r="J1092" s="503"/>
      <c r="K1092" s="47"/>
      <c r="L1092" s="47"/>
      <c r="M1092" s="677"/>
      <c r="N1092" s="9"/>
      <c r="O1092" s="9"/>
      <c r="P1092" s="9"/>
      <c r="Q1092" s="47"/>
      <c r="R1092" s="47"/>
      <c r="S1092" s="47"/>
      <c r="T1092" s="47"/>
      <c r="U1092" s="47"/>
      <c r="V1092" s="47"/>
      <c r="W1092" s="47"/>
      <c r="X1092" s="47"/>
      <c r="Y1092" s="47"/>
      <c r="Z1092" s="47"/>
      <c r="AA1092" s="47"/>
      <c r="AB1092" s="47"/>
      <c r="AC1092" s="47"/>
      <c r="AD1092" s="47"/>
      <c r="AE1092" s="47"/>
      <c r="AF1092" s="47"/>
      <c r="AG1092" s="1345"/>
      <c r="AH1092" s="47"/>
      <c r="AI1092" s="47"/>
      <c r="AJ1092" s="47"/>
      <c r="AK1092" s="47"/>
      <c r="AL1092" s="47"/>
      <c r="AM1092" s="47"/>
      <c r="AN1092" s="47"/>
      <c r="AO1092" s="47"/>
      <c r="AP1092" s="47"/>
      <c r="AQ1092" s="47"/>
      <c r="AR1092" s="47"/>
      <c r="AS1092" s="47"/>
      <c r="AT1092" s="47"/>
      <c r="AU1092" s="47"/>
      <c r="AV1092" s="47"/>
      <c r="AW1092" s="47"/>
      <c r="AX1092" s="47"/>
      <c r="AY1092" s="47"/>
    </row>
    <row r="1093" spans="1:51" ht="15.75" customHeight="1">
      <c r="A1093" s="500"/>
      <c r="B1093" s="481"/>
      <c r="C1093" s="481"/>
      <c r="D1093" s="47"/>
      <c r="E1093" s="47"/>
      <c r="F1093" s="478"/>
      <c r="G1093" s="479"/>
      <c r="H1093" s="9"/>
      <c r="I1093" s="9"/>
      <c r="J1093" s="503"/>
      <c r="K1093" s="47"/>
      <c r="L1093" s="47"/>
      <c r="M1093" s="677"/>
      <c r="N1093" s="9"/>
      <c r="O1093" s="9"/>
      <c r="P1093" s="9"/>
      <c r="Q1093" s="47"/>
      <c r="R1093" s="47"/>
      <c r="S1093" s="47"/>
      <c r="T1093" s="47"/>
      <c r="U1093" s="47"/>
      <c r="V1093" s="47"/>
      <c r="W1093" s="47"/>
      <c r="X1093" s="47"/>
      <c r="Y1093" s="47"/>
      <c r="Z1093" s="47"/>
      <c r="AA1093" s="47"/>
      <c r="AB1093" s="47"/>
      <c r="AC1093" s="47"/>
      <c r="AD1093" s="47"/>
      <c r="AE1093" s="47"/>
      <c r="AF1093" s="47"/>
      <c r="AG1093" s="1345"/>
      <c r="AH1093" s="47"/>
      <c r="AI1093" s="47"/>
      <c r="AJ1093" s="47"/>
      <c r="AK1093" s="47"/>
      <c r="AL1093" s="47"/>
      <c r="AM1093" s="47"/>
      <c r="AN1093" s="47"/>
      <c r="AO1093" s="47"/>
      <c r="AP1093" s="47"/>
      <c r="AQ1093" s="47"/>
      <c r="AR1093" s="47"/>
      <c r="AS1093" s="47"/>
      <c r="AT1093" s="47"/>
      <c r="AU1093" s="47"/>
      <c r="AV1093" s="47"/>
      <c r="AW1093" s="47"/>
      <c r="AX1093" s="47"/>
      <c r="AY1093" s="47"/>
    </row>
    <row r="1094" spans="1:51" ht="15.75" customHeight="1">
      <c r="A1094" s="500"/>
      <c r="B1094" s="481"/>
      <c r="C1094" s="481"/>
      <c r="D1094" s="47"/>
      <c r="E1094" s="47"/>
      <c r="F1094" s="478"/>
      <c r="G1094" s="479"/>
      <c r="H1094" s="9"/>
      <c r="I1094" s="9"/>
      <c r="J1094" s="503"/>
      <c r="K1094" s="47"/>
      <c r="L1094" s="47"/>
      <c r="M1094" s="677"/>
      <c r="N1094" s="9"/>
      <c r="O1094" s="9"/>
      <c r="P1094" s="9"/>
      <c r="Q1094" s="47"/>
      <c r="R1094" s="47"/>
      <c r="S1094" s="47"/>
      <c r="T1094" s="47"/>
      <c r="U1094" s="47"/>
      <c r="V1094" s="47"/>
      <c r="W1094" s="47"/>
      <c r="X1094" s="47"/>
      <c r="Y1094" s="47"/>
      <c r="Z1094" s="47"/>
      <c r="AA1094" s="47"/>
      <c r="AB1094" s="47"/>
      <c r="AC1094" s="47"/>
      <c r="AD1094" s="47"/>
      <c r="AE1094" s="47"/>
      <c r="AF1094" s="47"/>
      <c r="AG1094" s="1345"/>
      <c r="AH1094" s="47"/>
      <c r="AI1094" s="47"/>
      <c r="AJ1094" s="47"/>
      <c r="AK1094" s="47"/>
      <c r="AL1094" s="47"/>
      <c r="AM1094" s="47"/>
      <c r="AN1094" s="47"/>
      <c r="AO1094" s="47"/>
      <c r="AP1094" s="47"/>
      <c r="AQ1094" s="47"/>
      <c r="AR1094" s="47"/>
      <c r="AS1094" s="47"/>
      <c r="AT1094" s="47"/>
      <c r="AU1094" s="47"/>
      <c r="AV1094" s="47"/>
      <c r="AW1094" s="47"/>
      <c r="AX1094" s="47"/>
      <c r="AY1094" s="47"/>
    </row>
    <row r="1095" spans="1:51" ht="15.75" customHeight="1">
      <c r="A1095" s="500"/>
      <c r="B1095" s="481"/>
      <c r="C1095" s="481"/>
      <c r="D1095" s="47"/>
      <c r="E1095" s="47"/>
      <c r="F1095" s="478"/>
      <c r="G1095" s="479"/>
      <c r="H1095" s="9"/>
      <c r="I1095" s="9"/>
      <c r="J1095" s="503"/>
      <c r="K1095" s="47"/>
      <c r="L1095" s="47"/>
      <c r="M1095" s="677"/>
      <c r="N1095" s="9"/>
      <c r="O1095" s="9"/>
      <c r="P1095" s="9"/>
      <c r="Q1095" s="47"/>
      <c r="R1095" s="47"/>
      <c r="S1095" s="47"/>
      <c r="T1095" s="47"/>
      <c r="U1095" s="47"/>
      <c r="V1095" s="47"/>
      <c r="W1095" s="47"/>
      <c r="X1095" s="47"/>
      <c r="Y1095" s="47"/>
      <c r="Z1095" s="47"/>
      <c r="AA1095" s="47"/>
      <c r="AB1095" s="47"/>
      <c r="AC1095" s="47"/>
      <c r="AD1095" s="47"/>
      <c r="AE1095" s="47"/>
      <c r="AF1095" s="47"/>
      <c r="AG1095" s="1345"/>
      <c r="AH1095" s="47"/>
      <c r="AI1095" s="47"/>
      <c r="AJ1095" s="47"/>
      <c r="AK1095" s="47"/>
      <c r="AL1095" s="47"/>
      <c r="AM1095" s="47"/>
      <c r="AN1095" s="47"/>
      <c r="AO1095" s="47"/>
      <c r="AP1095" s="47"/>
      <c r="AQ1095" s="47"/>
      <c r="AR1095" s="47"/>
      <c r="AS1095" s="47"/>
      <c r="AT1095" s="47"/>
      <c r="AU1095" s="47"/>
      <c r="AV1095" s="47"/>
      <c r="AW1095" s="47"/>
      <c r="AX1095" s="47"/>
      <c r="AY1095" s="47"/>
    </row>
    <row r="1096" spans="1:51" ht="15.75" customHeight="1">
      <c r="A1096" s="500"/>
      <c r="B1096" s="481"/>
      <c r="C1096" s="481"/>
      <c r="D1096" s="47"/>
      <c r="E1096" s="47"/>
      <c r="F1096" s="478"/>
      <c r="G1096" s="479"/>
      <c r="H1096" s="9"/>
      <c r="I1096" s="9"/>
      <c r="J1096" s="503"/>
      <c r="K1096" s="47"/>
      <c r="L1096" s="47"/>
      <c r="M1096" s="677"/>
      <c r="N1096" s="9"/>
      <c r="O1096" s="9"/>
      <c r="P1096" s="9"/>
      <c r="Q1096" s="47"/>
      <c r="R1096" s="47"/>
      <c r="S1096" s="47"/>
      <c r="T1096" s="47"/>
      <c r="U1096" s="47"/>
      <c r="V1096" s="47"/>
      <c r="W1096" s="47"/>
      <c r="X1096" s="47"/>
      <c r="Y1096" s="47"/>
      <c r="Z1096" s="47"/>
      <c r="AA1096" s="47"/>
      <c r="AB1096" s="47"/>
      <c r="AC1096" s="47"/>
      <c r="AD1096" s="47"/>
      <c r="AE1096" s="47"/>
      <c r="AF1096" s="47"/>
      <c r="AG1096" s="1345"/>
      <c r="AH1096" s="47"/>
      <c r="AI1096" s="47"/>
      <c r="AJ1096" s="47"/>
      <c r="AK1096" s="47"/>
      <c r="AL1096" s="47"/>
      <c r="AM1096" s="47"/>
      <c r="AN1096" s="47"/>
      <c r="AO1096" s="47"/>
      <c r="AP1096" s="47"/>
      <c r="AQ1096" s="47"/>
      <c r="AR1096" s="47"/>
      <c r="AS1096" s="47"/>
      <c r="AT1096" s="47"/>
      <c r="AU1096" s="47"/>
      <c r="AV1096" s="47"/>
      <c r="AW1096" s="47"/>
      <c r="AX1096" s="47"/>
      <c r="AY1096" s="47"/>
    </row>
    <row r="1097" spans="1:51" ht="15.75" customHeight="1">
      <c r="A1097" s="500"/>
      <c r="B1097" s="481"/>
      <c r="C1097" s="481"/>
      <c r="D1097" s="47"/>
      <c r="E1097" s="47"/>
      <c r="F1097" s="478"/>
      <c r="G1097" s="479"/>
      <c r="H1097" s="9"/>
      <c r="I1097" s="9"/>
      <c r="J1097" s="503"/>
      <c r="K1097" s="47"/>
      <c r="L1097" s="47"/>
      <c r="M1097" s="677"/>
      <c r="N1097" s="9"/>
      <c r="O1097" s="9"/>
      <c r="P1097" s="9"/>
      <c r="Q1097" s="47"/>
      <c r="R1097" s="47"/>
      <c r="S1097" s="47"/>
      <c r="T1097" s="47"/>
      <c r="U1097" s="47"/>
      <c r="V1097" s="47"/>
      <c r="W1097" s="47"/>
      <c r="X1097" s="47"/>
      <c r="Y1097" s="47"/>
      <c r="Z1097" s="47"/>
      <c r="AA1097" s="47"/>
      <c r="AB1097" s="47"/>
      <c r="AC1097" s="47"/>
      <c r="AD1097" s="47"/>
      <c r="AE1097" s="47"/>
      <c r="AF1097" s="47"/>
      <c r="AG1097" s="1345"/>
      <c r="AH1097" s="47"/>
      <c r="AI1097" s="47"/>
      <c r="AJ1097" s="47"/>
      <c r="AK1097" s="47"/>
      <c r="AL1097" s="47"/>
      <c r="AM1097" s="47"/>
      <c r="AN1097" s="47"/>
      <c r="AO1097" s="47"/>
      <c r="AP1097" s="47"/>
      <c r="AQ1097" s="47"/>
      <c r="AR1097" s="47"/>
      <c r="AS1097" s="47"/>
      <c r="AT1097" s="47"/>
      <c r="AU1097" s="47"/>
      <c r="AV1097" s="47"/>
      <c r="AW1097" s="47"/>
      <c r="AX1097" s="47"/>
      <c r="AY1097" s="47"/>
    </row>
    <row r="1098" spans="1:51" ht="15.75" customHeight="1">
      <c r="A1098" s="500"/>
      <c r="B1098" s="481"/>
      <c r="C1098" s="481"/>
      <c r="D1098" s="47"/>
      <c r="E1098" s="47"/>
      <c r="F1098" s="478"/>
      <c r="G1098" s="479"/>
      <c r="H1098" s="9"/>
      <c r="I1098" s="9"/>
      <c r="J1098" s="503"/>
      <c r="K1098" s="47"/>
      <c r="L1098" s="47"/>
      <c r="M1098" s="677"/>
      <c r="N1098" s="9"/>
      <c r="O1098" s="9"/>
      <c r="P1098" s="9"/>
      <c r="Q1098" s="47"/>
      <c r="R1098" s="47"/>
      <c r="S1098" s="47"/>
      <c r="T1098" s="47"/>
      <c r="U1098" s="47"/>
      <c r="V1098" s="47"/>
      <c r="W1098" s="47"/>
      <c r="X1098" s="47"/>
      <c r="Y1098" s="47"/>
      <c r="Z1098" s="47"/>
      <c r="AA1098" s="47"/>
      <c r="AB1098" s="47"/>
      <c r="AC1098" s="47"/>
      <c r="AD1098" s="47"/>
      <c r="AE1098" s="47"/>
      <c r="AF1098" s="47"/>
      <c r="AG1098" s="1345"/>
      <c r="AH1098" s="47"/>
      <c r="AI1098" s="47"/>
      <c r="AJ1098" s="47"/>
      <c r="AK1098" s="47"/>
      <c r="AL1098" s="47"/>
      <c r="AM1098" s="47"/>
      <c r="AN1098" s="47"/>
      <c r="AO1098" s="47"/>
      <c r="AP1098" s="47"/>
      <c r="AQ1098" s="47"/>
      <c r="AR1098" s="47"/>
      <c r="AS1098" s="47"/>
      <c r="AT1098" s="47"/>
      <c r="AU1098" s="47"/>
      <c r="AV1098" s="47"/>
      <c r="AW1098" s="47"/>
      <c r="AX1098" s="47"/>
      <c r="AY1098" s="47"/>
    </row>
    <row r="1099" spans="1:51" ht="15.75" customHeight="1">
      <c r="A1099" s="500"/>
      <c r="B1099" s="481"/>
      <c r="C1099" s="481"/>
      <c r="D1099" s="47"/>
      <c r="E1099" s="47"/>
      <c r="F1099" s="478"/>
      <c r="G1099" s="479"/>
      <c r="H1099" s="9"/>
      <c r="I1099" s="9"/>
      <c r="J1099" s="503"/>
      <c r="K1099" s="47"/>
      <c r="L1099" s="47"/>
      <c r="M1099" s="677"/>
      <c r="N1099" s="9"/>
      <c r="O1099" s="9"/>
      <c r="P1099" s="9"/>
      <c r="Q1099" s="47"/>
      <c r="R1099" s="47"/>
      <c r="S1099" s="47"/>
      <c r="T1099" s="47"/>
      <c r="U1099" s="47"/>
      <c r="V1099" s="47"/>
      <c r="W1099" s="47"/>
      <c r="X1099" s="47"/>
      <c r="Y1099" s="47"/>
      <c r="Z1099" s="47"/>
      <c r="AA1099" s="47"/>
      <c r="AB1099" s="47"/>
      <c r="AC1099" s="47"/>
      <c r="AD1099" s="47"/>
      <c r="AE1099" s="47"/>
      <c r="AF1099" s="47"/>
      <c r="AG1099" s="1345"/>
      <c r="AH1099" s="47"/>
      <c r="AI1099" s="47"/>
      <c r="AJ1099" s="47"/>
      <c r="AK1099" s="47"/>
      <c r="AL1099" s="47"/>
      <c r="AM1099" s="47"/>
      <c r="AN1099" s="47"/>
      <c r="AO1099" s="47"/>
      <c r="AP1099" s="47"/>
      <c r="AQ1099" s="47"/>
      <c r="AR1099" s="47"/>
      <c r="AS1099" s="47"/>
      <c r="AT1099" s="47"/>
      <c r="AU1099" s="47"/>
      <c r="AV1099" s="47"/>
      <c r="AW1099" s="47"/>
      <c r="AX1099" s="47"/>
      <c r="AY1099" s="47"/>
    </row>
    <row r="1100" spans="1:51" ht="15.75" customHeight="1">
      <c r="A1100" s="500"/>
      <c r="B1100" s="481"/>
      <c r="C1100" s="481"/>
      <c r="D1100" s="47"/>
      <c r="E1100" s="47"/>
      <c r="F1100" s="478"/>
      <c r="G1100" s="479"/>
      <c r="H1100" s="9"/>
      <c r="I1100" s="9"/>
      <c r="J1100" s="503"/>
      <c r="K1100" s="47"/>
      <c r="L1100" s="47"/>
      <c r="M1100" s="677"/>
      <c r="N1100" s="9"/>
      <c r="O1100" s="9"/>
      <c r="P1100" s="9"/>
      <c r="Q1100" s="47"/>
      <c r="R1100" s="47"/>
      <c r="S1100" s="47"/>
      <c r="T1100" s="47"/>
      <c r="U1100" s="47"/>
      <c r="V1100" s="47"/>
      <c r="W1100" s="47"/>
      <c r="X1100" s="47"/>
      <c r="Y1100" s="47"/>
      <c r="Z1100" s="47"/>
      <c r="AA1100" s="47"/>
      <c r="AB1100" s="47"/>
      <c r="AC1100" s="47"/>
      <c r="AD1100" s="47"/>
      <c r="AE1100" s="47"/>
      <c r="AF1100" s="47"/>
      <c r="AG1100" s="1345"/>
      <c r="AH1100" s="47"/>
      <c r="AI1100" s="47"/>
      <c r="AJ1100" s="47"/>
      <c r="AK1100" s="47"/>
      <c r="AL1100" s="47"/>
      <c r="AM1100" s="47"/>
      <c r="AN1100" s="47"/>
      <c r="AO1100" s="47"/>
      <c r="AP1100" s="47"/>
      <c r="AQ1100" s="47"/>
      <c r="AR1100" s="47"/>
      <c r="AS1100" s="47"/>
      <c r="AT1100" s="47"/>
      <c r="AU1100" s="47"/>
      <c r="AV1100" s="47"/>
      <c r="AW1100" s="47"/>
      <c r="AX1100" s="47"/>
      <c r="AY1100" s="47"/>
    </row>
    <row r="1101" spans="1:51" ht="15.75" customHeight="1">
      <c r="A1101" s="500"/>
      <c r="B1101" s="481"/>
      <c r="C1101" s="481"/>
      <c r="D1101" s="47"/>
      <c r="E1101" s="47"/>
      <c r="F1101" s="478"/>
      <c r="G1101" s="479"/>
      <c r="H1101" s="9"/>
      <c r="I1101" s="9"/>
      <c r="J1101" s="503"/>
      <c r="K1101" s="47"/>
      <c r="L1101" s="47"/>
      <c r="M1101" s="677"/>
      <c r="N1101" s="9"/>
      <c r="O1101" s="9"/>
      <c r="P1101" s="9"/>
      <c r="Q1101" s="47"/>
      <c r="R1101" s="47"/>
      <c r="S1101" s="47"/>
      <c r="T1101" s="47"/>
      <c r="U1101" s="47"/>
      <c r="V1101" s="47"/>
      <c r="W1101" s="47"/>
      <c r="X1101" s="47"/>
      <c r="Y1101" s="47"/>
      <c r="Z1101" s="47"/>
      <c r="AA1101" s="47"/>
      <c r="AB1101" s="47"/>
      <c r="AC1101" s="47"/>
      <c r="AD1101" s="47"/>
      <c r="AE1101" s="47"/>
      <c r="AF1101" s="47"/>
      <c r="AG1101" s="1345"/>
      <c r="AH1101" s="47"/>
      <c r="AI1101" s="47"/>
      <c r="AJ1101" s="47"/>
      <c r="AK1101" s="47"/>
      <c r="AL1101" s="47"/>
      <c r="AM1101" s="47"/>
      <c r="AN1101" s="47"/>
      <c r="AO1101" s="47"/>
      <c r="AP1101" s="47"/>
      <c r="AQ1101" s="47"/>
      <c r="AR1101" s="47"/>
      <c r="AS1101" s="47"/>
      <c r="AT1101" s="47"/>
      <c r="AU1101" s="47"/>
      <c r="AV1101" s="47"/>
      <c r="AW1101" s="47"/>
      <c r="AX1101" s="47"/>
      <c r="AY1101" s="47"/>
    </row>
    <row r="1102" spans="1:51" ht="15.75" customHeight="1">
      <c r="A1102" s="500"/>
      <c r="B1102" s="481"/>
      <c r="C1102" s="481"/>
      <c r="D1102" s="47"/>
      <c r="E1102" s="47"/>
      <c r="F1102" s="478"/>
      <c r="G1102" s="479"/>
      <c r="H1102" s="9"/>
      <c r="I1102" s="10"/>
      <c r="J1102" s="503"/>
      <c r="K1102" s="47"/>
      <c r="L1102" s="47"/>
      <c r="M1102" s="677"/>
      <c r="N1102" s="9"/>
      <c r="O1102" s="9"/>
      <c r="P1102" s="9"/>
      <c r="Q1102" s="47"/>
      <c r="R1102" s="47"/>
      <c r="S1102" s="47"/>
      <c r="T1102" s="47"/>
      <c r="U1102" s="47"/>
      <c r="V1102" s="47"/>
      <c r="W1102" s="47"/>
      <c r="X1102" s="47"/>
      <c r="Y1102" s="47"/>
      <c r="Z1102" s="47"/>
      <c r="AA1102" s="47"/>
      <c r="AB1102" s="47"/>
      <c r="AC1102" s="47"/>
      <c r="AD1102" s="47"/>
      <c r="AE1102" s="47"/>
      <c r="AF1102" s="47"/>
      <c r="AG1102" s="1345"/>
      <c r="AH1102" s="47"/>
      <c r="AI1102" s="47"/>
      <c r="AJ1102" s="47"/>
      <c r="AK1102" s="47"/>
      <c r="AL1102" s="47"/>
      <c r="AM1102" s="47"/>
      <c r="AN1102" s="47"/>
      <c r="AO1102" s="47"/>
      <c r="AP1102" s="47"/>
      <c r="AQ1102" s="47"/>
      <c r="AR1102" s="47"/>
      <c r="AS1102" s="47"/>
      <c r="AT1102" s="47"/>
      <c r="AU1102" s="47"/>
      <c r="AV1102" s="47"/>
      <c r="AW1102" s="47"/>
      <c r="AX1102" s="47"/>
      <c r="AY1102" s="47"/>
    </row>
    <row r="1103" spans="1:51" ht="15.75" customHeight="1">
      <c r="A1103" s="500"/>
      <c r="B1103" s="481"/>
      <c r="C1103" s="481"/>
      <c r="D1103" s="47"/>
      <c r="E1103" s="47"/>
      <c r="F1103" s="478"/>
      <c r="G1103" s="479"/>
      <c r="H1103" s="9"/>
      <c r="I1103" s="10"/>
      <c r="J1103" s="503"/>
      <c r="K1103" s="47"/>
      <c r="L1103" s="47"/>
      <c r="M1103" s="677"/>
      <c r="N1103" s="9"/>
      <c r="O1103" s="9"/>
      <c r="P1103" s="9"/>
      <c r="Q1103" s="47"/>
      <c r="R1103" s="47"/>
      <c r="S1103" s="47"/>
      <c r="T1103" s="47"/>
      <c r="U1103" s="47"/>
      <c r="V1103" s="47"/>
      <c r="W1103" s="47"/>
      <c r="X1103" s="47"/>
      <c r="Y1103" s="47"/>
      <c r="Z1103" s="47"/>
      <c r="AA1103" s="47"/>
      <c r="AB1103" s="47"/>
      <c r="AC1103" s="47"/>
      <c r="AD1103" s="47"/>
      <c r="AE1103" s="47"/>
      <c r="AF1103" s="47"/>
      <c r="AG1103" s="1345"/>
      <c r="AH1103" s="47"/>
      <c r="AI1103" s="47"/>
      <c r="AJ1103" s="47"/>
      <c r="AK1103" s="47"/>
      <c r="AL1103" s="47"/>
      <c r="AM1103" s="47"/>
      <c r="AN1103" s="47"/>
      <c r="AO1103" s="47"/>
      <c r="AP1103" s="47"/>
      <c r="AQ1103" s="47"/>
      <c r="AR1103" s="47"/>
      <c r="AS1103" s="47"/>
      <c r="AT1103" s="47"/>
      <c r="AU1103" s="47"/>
      <c r="AV1103" s="47"/>
      <c r="AW1103" s="47"/>
      <c r="AX1103" s="47"/>
      <c r="AY1103" s="47"/>
    </row>
    <row r="1104" spans="1:51" ht="15.75" customHeight="1">
      <c r="A1104" s="500"/>
      <c r="B1104" s="481"/>
      <c r="C1104" s="481"/>
      <c r="D1104" s="47"/>
      <c r="E1104" s="47"/>
      <c r="F1104" s="478"/>
      <c r="G1104" s="479"/>
      <c r="H1104" s="9"/>
      <c r="I1104" s="10"/>
      <c r="J1104" s="503"/>
      <c r="K1104" s="47"/>
      <c r="L1104" s="47"/>
      <c r="M1104" s="677"/>
      <c r="N1104" s="9"/>
      <c r="O1104" s="9"/>
      <c r="P1104" s="9"/>
      <c r="Q1104" s="47"/>
      <c r="R1104" s="47"/>
      <c r="S1104" s="47"/>
      <c r="T1104" s="47"/>
      <c r="U1104" s="47"/>
      <c r="V1104" s="47"/>
      <c r="W1104" s="47"/>
      <c r="X1104" s="47"/>
      <c r="Y1104" s="47"/>
      <c r="Z1104" s="47"/>
      <c r="AA1104" s="47"/>
      <c r="AB1104" s="47"/>
      <c r="AC1104" s="47"/>
      <c r="AD1104" s="47"/>
      <c r="AE1104" s="47"/>
      <c r="AF1104" s="47"/>
      <c r="AG1104" s="1345"/>
      <c r="AH1104" s="47"/>
      <c r="AI1104" s="47"/>
      <c r="AJ1104" s="47"/>
      <c r="AK1104" s="47"/>
      <c r="AL1104" s="47"/>
      <c r="AM1104" s="47"/>
      <c r="AN1104" s="47"/>
      <c r="AO1104" s="47"/>
      <c r="AP1104" s="47"/>
      <c r="AQ1104" s="47"/>
      <c r="AR1104" s="47"/>
      <c r="AS1104" s="47"/>
      <c r="AT1104" s="47"/>
      <c r="AU1104" s="47"/>
      <c r="AV1104" s="47"/>
      <c r="AW1104" s="47"/>
      <c r="AX1104" s="47"/>
      <c r="AY1104" s="47"/>
    </row>
    <row r="1105" spans="1:51" ht="15.75" customHeight="1">
      <c r="A1105" s="500"/>
      <c r="B1105" s="481"/>
      <c r="C1105" s="481"/>
      <c r="D1105" s="47"/>
      <c r="E1105" s="47"/>
      <c r="F1105" s="478"/>
      <c r="G1105" s="479"/>
      <c r="H1105" s="9"/>
      <c r="I1105" s="9"/>
      <c r="J1105" s="503"/>
      <c r="K1105" s="47"/>
      <c r="L1105" s="47"/>
      <c r="M1105" s="677"/>
      <c r="N1105" s="9"/>
      <c r="O1105" s="9"/>
      <c r="P1105" s="9"/>
      <c r="Q1105" s="47"/>
      <c r="R1105" s="47"/>
      <c r="S1105" s="47"/>
      <c r="T1105" s="47"/>
      <c r="U1105" s="47"/>
      <c r="V1105" s="47"/>
      <c r="W1105" s="47"/>
      <c r="X1105" s="47"/>
      <c r="Y1105" s="47"/>
      <c r="Z1105" s="47"/>
      <c r="AA1105" s="47"/>
      <c r="AB1105" s="47"/>
      <c r="AC1105" s="47"/>
      <c r="AD1105" s="47"/>
      <c r="AE1105" s="47"/>
      <c r="AF1105" s="47"/>
      <c r="AG1105" s="1345"/>
      <c r="AH1105" s="47"/>
      <c r="AI1105" s="47"/>
      <c r="AJ1105" s="47"/>
      <c r="AK1105" s="47"/>
      <c r="AL1105" s="47"/>
      <c r="AM1105" s="47"/>
      <c r="AN1105" s="47"/>
      <c r="AO1105" s="47"/>
      <c r="AP1105" s="47"/>
      <c r="AQ1105" s="47"/>
      <c r="AR1105" s="47"/>
      <c r="AS1105" s="47"/>
      <c r="AT1105" s="47"/>
      <c r="AU1105" s="47"/>
      <c r="AV1105" s="47"/>
      <c r="AW1105" s="47"/>
      <c r="AX1105" s="47"/>
      <c r="AY1105" s="47"/>
    </row>
    <row r="1106" spans="1:51" ht="15.75" customHeight="1">
      <c r="A1106" s="500"/>
      <c r="B1106" s="481"/>
      <c r="C1106" s="481"/>
      <c r="D1106" s="47"/>
      <c r="E1106" s="47"/>
      <c r="F1106" s="478"/>
      <c r="G1106" s="479"/>
      <c r="H1106" s="9"/>
      <c r="I1106" s="10"/>
      <c r="J1106" s="503"/>
      <c r="K1106" s="47"/>
      <c r="L1106" s="47"/>
      <c r="M1106" s="677"/>
      <c r="N1106" s="9"/>
      <c r="O1106" s="9"/>
      <c r="P1106" s="9"/>
      <c r="Q1106" s="47"/>
      <c r="R1106" s="47"/>
      <c r="S1106" s="47"/>
      <c r="T1106" s="47"/>
      <c r="U1106" s="47"/>
      <c r="V1106" s="47"/>
      <c r="W1106" s="47"/>
      <c r="X1106" s="47"/>
      <c r="Y1106" s="47"/>
      <c r="Z1106" s="47"/>
      <c r="AA1106" s="47"/>
      <c r="AB1106" s="47"/>
      <c r="AC1106" s="47"/>
      <c r="AD1106" s="47"/>
      <c r="AE1106" s="47"/>
      <c r="AF1106" s="47"/>
      <c r="AG1106" s="1345"/>
      <c r="AH1106" s="47"/>
      <c r="AI1106" s="47"/>
      <c r="AJ1106" s="47"/>
      <c r="AK1106" s="47"/>
      <c r="AL1106" s="47"/>
      <c r="AM1106" s="47"/>
      <c r="AN1106" s="47"/>
      <c r="AO1106" s="47"/>
      <c r="AP1106" s="47"/>
      <c r="AQ1106" s="47"/>
      <c r="AR1106" s="47"/>
      <c r="AS1106" s="47"/>
      <c r="AT1106" s="47"/>
      <c r="AU1106" s="47"/>
      <c r="AV1106" s="47"/>
      <c r="AW1106" s="47"/>
      <c r="AX1106" s="47"/>
      <c r="AY1106" s="47"/>
    </row>
    <row r="1107" spans="1:51" ht="15.75" customHeight="1">
      <c r="A1107" s="500"/>
      <c r="B1107" s="481"/>
      <c r="C1107" s="481"/>
      <c r="D1107" s="47"/>
      <c r="E1107" s="47"/>
      <c r="F1107" s="478"/>
      <c r="G1107" s="479"/>
      <c r="H1107" s="9"/>
      <c r="I1107" s="9"/>
      <c r="J1107" s="503"/>
      <c r="K1107" s="47"/>
      <c r="L1107" s="47"/>
      <c r="M1107" s="677"/>
      <c r="N1107" s="9"/>
      <c r="O1107" s="9"/>
      <c r="P1107" s="9"/>
      <c r="Q1107" s="47"/>
      <c r="R1107" s="47"/>
      <c r="S1107" s="47"/>
      <c r="T1107" s="47"/>
      <c r="U1107" s="47"/>
      <c r="V1107" s="47"/>
      <c r="W1107" s="47"/>
      <c r="X1107" s="47"/>
      <c r="Y1107" s="47"/>
      <c r="Z1107" s="47"/>
      <c r="AA1107" s="47"/>
      <c r="AB1107" s="47"/>
      <c r="AC1107" s="47"/>
      <c r="AD1107" s="47"/>
      <c r="AE1107" s="47"/>
      <c r="AF1107" s="47"/>
      <c r="AG1107" s="1345"/>
      <c r="AH1107" s="47"/>
      <c r="AI1107" s="47"/>
      <c r="AJ1107" s="47"/>
      <c r="AK1107" s="47"/>
      <c r="AL1107" s="47"/>
      <c r="AM1107" s="47"/>
      <c r="AN1107" s="47"/>
      <c r="AO1107" s="47"/>
      <c r="AP1107" s="47"/>
      <c r="AQ1107" s="47"/>
      <c r="AR1107" s="47"/>
      <c r="AS1107" s="47"/>
      <c r="AT1107" s="47"/>
      <c r="AU1107" s="47"/>
      <c r="AV1107" s="47"/>
      <c r="AW1107" s="47"/>
      <c r="AX1107" s="47"/>
      <c r="AY1107" s="47"/>
    </row>
    <row r="1108" spans="1:51" ht="15.75" customHeight="1">
      <c r="A1108" s="500"/>
      <c r="B1108" s="481"/>
      <c r="C1108" s="481"/>
      <c r="D1108" s="47"/>
      <c r="E1108" s="47"/>
      <c r="F1108" s="478"/>
      <c r="G1108" s="479"/>
      <c r="H1108" s="9"/>
      <c r="I1108" s="10"/>
      <c r="J1108" s="503"/>
      <c r="K1108" s="47"/>
      <c r="L1108" s="47"/>
      <c r="M1108" s="677"/>
      <c r="N1108" s="9"/>
      <c r="O1108" s="9"/>
      <c r="P1108" s="9"/>
      <c r="Q1108" s="47"/>
      <c r="R1108" s="47"/>
      <c r="S1108" s="47"/>
      <c r="T1108" s="47"/>
      <c r="U1108" s="47"/>
      <c r="V1108" s="47"/>
      <c r="W1108" s="47"/>
      <c r="X1108" s="47"/>
      <c r="Y1108" s="47"/>
      <c r="Z1108" s="47"/>
      <c r="AA1108" s="47"/>
      <c r="AB1108" s="47"/>
      <c r="AC1108" s="47"/>
      <c r="AD1108" s="47"/>
      <c r="AE1108" s="47"/>
      <c r="AF1108" s="47"/>
      <c r="AG1108" s="1345"/>
      <c r="AH1108" s="47"/>
      <c r="AI1108" s="47"/>
      <c r="AJ1108" s="47"/>
      <c r="AK1108" s="47"/>
      <c r="AL1108" s="47"/>
      <c r="AM1108" s="47"/>
      <c r="AN1108" s="47"/>
      <c r="AO1108" s="47"/>
      <c r="AP1108" s="47"/>
      <c r="AQ1108" s="47"/>
      <c r="AR1108" s="47"/>
      <c r="AS1108" s="47"/>
      <c r="AT1108" s="47"/>
      <c r="AU1108" s="47"/>
      <c r="AV1108" s="47"/>
      <c r="AW1108" s="47"/>
      <c r="AX1108" s="47"/>
      <c r="AY1108" s="47"/>
    </row>
    <row r="1109" spans="1:51" ht="15.75" customHeight="1">
      <c r="A1109" s="500"/>
      <c r="B1109" s="481"/>
      <c r="C1109" s="481"/>
      <c r="D1109" s="47"/>
      <c r="E1109" s="47"/>
      <c r="F1109" s="478"/>
      <c r="G1109" s="479"/>
      <c r="H1109" s="9"/>
      <c r="I1109" s="9"/>
      <c r="J1109" s="503"/>
      <c r="K1109" s="47"/>
      <c r="L1109" s="47"/>
      <c r="M1109" s="677"/>
      <c r="N1109" s="9"/>
      <c r="O1109" s="9"/>
      <c r="P1109" s="9"/>
      <c r="Q1109" s="47"/>
      <c r="R1109" s="47"/>
      <c r="S1109" s="47"/>
      <c r="T1109" s="47"/>
      <c r="U1109" s="47"/>
      <c r="V1109" s="47"/>
      <c r="W1109" s="47"/>
      <c r="X1109" s="47"/>
      <c r="Y1109" s="47"/>
      <c r="Z1109" s="47"/>
      <c r="AA1109" s="47"/>
      <c r="AB1109" s="47"/>
      <c r="AC1109" s="47"/>
      <c r="AD1109" s="47"/>
      <c r="AE1109" s="47"/>
      <c r="AF1109" s="47"/>
      <c r="AG1109" s="1345"/>
      <c r="AH1109" s="47"/>
      <c r="AI1109" s="47"/>
      <c r="AJ1109" s="47"/>
      <c r="AK1109" s="47"/>
      <c r="AL1109" s="47"/>
      <c r="AM1109" s="47"/>
      <c r="AN1109" s="47"/>
      <c r="AO1109" s="47"/>
      <c r="AP1109" s="47"/>
      <c r="AQ1109" s="47"/>
      <c r="AR1109" s="47"/>
      <c r="AS1109" s="47"/>
      <c r="AT1109" s="47"/>
      <c r="AU1109" s="47"/>
      <c r="AV1109" s="47"/>
      <c r="AW1109" s="47"/>
      <c r="AX1109" s="47"/>
      <c r="AY1109" s="47"/>
    </row>
    <row r="1110" spans="1:51" ht="15.75" customHeight="1">
      <c r="A1110" s="500"/>
      <c r="B1110" s="481"/>
      <c r="C1110" s="481"/>
      <c r="D1110" s="47"/>
      <c r="E1110" s="47"/>
      <c r="F1110" s="478"/>
      <c r="G1110" s="479"/>
      <c r="H1110" s="9"/>
      <c r="I1110" s="10"/>
      <c r="J1110" s="503"/>
      <c r="K1110" s="47"/>
      <c r="L1110" s="47"/>
      <c r="M1110" s="677"/>
      <c r="N1110" s="9"/>
      <c r="O1110" s="9"/>
      <c r="P1110" s="9"/>
      <c r="Q1110" s="47"/>
      <c r="R1110" s="47"/>
      <c r="S1110" s="47"/>
      <c r="T1110" s="47"/>
      <c r="U1110" s="47"/>
      <c r="V1110" s="47"/>
      <c r="W1110" s="47"/>
      <c r="X1110" s="47"/>
      <c r="Y1110" s="47"/>
      <c r="Z1110" s="47"/>
      <c r="AA1110" s="47"/>
      <c r="AB1110" s="47"/>
      <c r="AC1110" s="47"/>
      <c r="AD1110" s="47"/>
      <c r="AE1110" s="47"/>
      <c r="AF1110" s="47"/>
      <c r="AG1110" s="1345"/>
      <c r="AH1110" s="47"/>
      <c r="AI1110" s="47"/>
      <c r="AJ1110" s="47"/>
      <c r="AK1110" s="47"/>
      <c r="AL1110" s="47"/>
      <c r="AM1110" s="47"/>
      <c r="AN1110" s="47"/>
      <c r="AO1110" s="47"/>
      <c r="AP1110" s="47"/>
      <c r="AQ1110" s="47"/>
      <c r="AR1110" s="47"/>
      <c r="AS1110" s="47"/>
      <c r="AT1110" s="47"/>
      <c r="AU1110" s="47"/>
      <c r="AV1110" s="47"/>
      <c r="AW1110" s="47"/>
      <c r="AX1110" s="47"/>
      <c r="AY1110" s="47"/>
    </row>
    <row r="1111" spans="1:51" ht="15.75" customHeight="1">
      <c r="A1111" s="500"/>
      <c r="B1111" s="477"/>
      <c r="C1111" s="481"/>
      <c r="D1111" s="47"/>
      <c r="E1111" s="47"/>
      <c r="F1111" s="478"/>
      <c r="G1111" s="479"/>
      <c r="H1111" s="9"/>
      <c r="I1111" s="9"/>
      <c r="J1111" s="503"/>
      <c r="K1111" s="47"/>
      <c r="L1111" s="47"/>
      <c r="M1111" s="677"/>
      <c r="N1111" s="9"/>
      <c r="O1111" s="9"/>
      <c r="P1111" s="9"/>
      <c r="Q1111" s="47"/>
      <c r="R1111" s="47"/>
      <c r="S1111" s="47"/>
      <c r="T1111" s="47"/>
      <c r="U1111" s="47"/>
      <c r="V1111" s="47"/>
      <c r="W1111" s="47"/>
      <c r="X1111" s="47"/>
      <c r="Y1111" s="47"/>
      <c r="Z1111" s="47"/>
      <c r="AA1111" s="47"/>
      <c r="AB1111" s="47"/>
      <c r="AC1111" s="47"/>
      <c r="AD1111" s="47"/>
      <c r="AE1111" s="47"/>
      <c r="AF1111" s="47"/>
      <c r="AG1111" s="1345"/>
      <c r="AH1111" s="47"/>
      <c r="AI1111" s="47"/>
      <c r="AJ1111" s="47"/>
      <c r="AK1111" s="47"/>
      <c r="AL1111" s="47"/>
      <c r="AM1111" s="47"/>
      <c r="AN1111" s="47"/>
      <c r="AO1111" s="47"/>
      <c r="AP1111" s="47"/>
      <c r="AQ1111" s="47"/>
      <c r="AR1111" s="47"/>
      <c r="AS1111" s="47"/>
      <c r="AT1111" s="47"/>
      <c r="AU1111" s="47"/>
      <c r="AV1111" s="47"/>
      <c r="AW1111" s="47"/>
      <c r="AX1111" s="47"/>
      <c r="AY1111" s="47"/>
    </row>
    <row r="1112" spans="1:51" ht="15.75" customHeight="1">
      <c r="A1112" s="500"/>
      <c r="B1112" s="477"/>
      <c r="C1112" s="481"/>
      <c r="D1112" s="47"/>
      <c r="E1112" s="47"/>
      <c r="F1112" s="478"/>
      <c r="G1112" s="479"/>
      <c r="H1112" s="9"/>
      <c r="I1112" s="9"/>
      <c r="J1112" s="503"/>
      <c r="K1112" s="47"/>
      <c r="L1112" s="47"/>
      <c r="M1112" s="677"/>
      <c r="N1112" s="9"/>
      <c r="O1112" s="9"/>
      <c r="P1112" s="9"/>
      <c r="Q1112" s="47"/>
      <c r="R1112" s="47"/>
      <c r="S1112" s="47"/>
      <c r="T1112" s="47"/>
      <c r="U1112" s="47"/>
      <c r="V1112" s="47"/>
      <c r="W1112" s="47"/>
      <c r="X1112" s="47"/>
      <c r="Y1112" s="47"/>
      <c r="Z1112" s="47"/>
      <c r="AA1112" s="47"/>
      <c r="AB1112" s="47"/>
      <c r="AC1112" s="47"/>
      <c r="AD1112" s="47"/>
      <c r="AE1112" s="47"/>
      <c r="AF1112" s="47"/>
      <c r="AG1112" s="1345"/>
      <c r="AH1112" s="47"/>
      <c r="AI1112" s="47"/>
      <c r="AJ1112" s="47"/>
      <c r="AK1112" s="47"/>
      <c r="AL1112" s="47"/>
      <c r="AM1112" s="47"/>
      <c r="AN1112" s="47"/>
      <c r="AO1112" s="47"/>
      <c r="AP1112" s="47"/>
      <c r="AQ1112" s="47"/>
      <c r="AR1112" s="47"/>
      <c r="AS1112" s="47"/>
      <c r="AT1112" s="47"/>
      <c r="AU1112" s="47"/>
      <c r="AV1112" s="47"/>
      <c r="AW1112" s="47"/>
      <c r="AX1112" s="47"/>
      <c r="AY1112" s="47"/>
    </row>
    <row r="1113" spans="1:51" ht="15.75" customHeight="1">
      <c r="A1113" s="500"/>
      <c r="B1113" s="477"/>
      <c r="C1113" s="481"/>
      <c r="D1113" s="47"/>
      <c r="E1113" s="47"/>
      <c r="F1113" s="478"/>
      <c r="G1113" s="479"/>
      <c r="H1113" s="9"/>
      <c r="I1113" s="9"/>
      <c r="J1113" s="503"/>
      <c r="K1113" s="47"/>
      <c r="L1113" s="47"/>
      <c r="M1113" s="677"/>
      <c r="N1113" s="9"/>
      <c r="O1113" s="9"/>
      <c r="P1113" s="9"/>
      <c r="Q1113" s="47"/>
      <c r="R1113" s="47"/>
      <c r="S1113" s="47"/>
      <c r="T1113" s="47"/>
      <c r="U1113" s="47"/>
      <c r="V1113" s="47"/>
      <c r="W1113" s="47"/>
      <c r="X1113" s="47"/>
      <c r="Y1113" s="47"/>
      <c r="Z1113" s="47"/>
      <c r="AA1113" s="47"/>
      <c r="AB1113" s="47"/>
      <c r="AC1113" s="47"/>
      <c r="AD1113" s="47"/>
      <c r="AE1113" s="47"/>
      <c r="AF1113" s="47"/>
      <c r="AG1113" s="1345"/>
      <c r="AH1113" s="47"/>
      <c r="AI1113" s="47"/>
      <c r="AJ1113" s="47"/>
      <c r="AK1113" s="47"/>
      <c r="AL1113" s="47"/>
      <c r="AM1113" s="47"/>
      <c r="AN1113" s="47"/>
      <c r="AO1113" s="47"/>
      <c r="AP1113" s="47"/>
      <c r="AQ1113" s="47"/>
      <c r="AR1113" s="47"/>
      <c r="AS1113" s="47"/>
      <c r="AT1113" s="47"/>
      <c r="AU1113" s="47"/>
      <c r="AV1113" s="47"/>
      <c r="AW1113" s="47"/>
      <c r="AX1113" s="47"/>
      <c r="AY1113" s="47"/>
    </row>
    <row r="1114" spans="1:51" ht="15.75" customHeight="1">
      <c r="A1114" s="500"/>
      <c r="B1114" s="477"/>
      <c r="C1114" s="481"/>
      <c r="D1114" s="47"/>
      <c r="E1114" s="47"/>
      <c r="F1114" s="478"/>
      <c r="G1114" s="479"/>
      <c r="H1114" s="9"/>
      <c r="I1114" s="10"/>
      <c r="J1114" s="503"/>
      <c r="K1114" s="47"/>
      <c r="L1114" s="47"/>
      <c r="M1114" s="677"/>
      <c r="N1114" s="9"/>
      <c r="O1114" s="9"/>
      <c r="P1114" s="9"/>
      <c r="Q1114" s="47"/>
      <c r="R1114" s="47"/>
      <c r="S1114" s="47"/>
      <c r="T1114" s="47"/>
      <c r="U1114" s="47"/>
      <c r="V1114" s="47"/>
      <c r="W1114" s="47"/>
      <c r="X1114" s="47"/>
      <c r="Y1114" s="47"/>
      <c r="Z1114" s="47"/>
      <c r="AA1114" s="47"/>
      <c r="AB1114" s="47"/>
      <c r="AC1114" s="47"/>
      <c r="AD1114" s="47"/>
      <c r="AE1114" s="47"/>
      <c r="AF1114" s="47"/>
      <c r="AG1114" s="1345"/>
      <c r="AH1114" s="47"/>
      <c r="AI1114" s="47"/>
      <c r="AJ1114" s="47"/>
      <c r="AK1114" s="47"/>
      <c r="AL1114" s="47"/>
      <c r="AM1114" s="47"/>
      <c r="AN1114" s="47"/>
      <c r="AO1114" s="47"/>
      <c r="AP1114" s="47"/>
      <c r="AQ1114" s="47"/>
      <c r="AR1114" s="47"/>
      <c r="AS1114" s="47"/>
      <c r="AT1114" s="47"/>
      <c r="AU1114" s="47"/>
      <c r="AV1114" s="47"/>
      <c r="AW1114" s="47"/>
      <c r="AX1114" s="47"/>
      <c r="AY1114" s="47"/>
    </row>
    <row r="1115" spans="1:51" ht="15.75" customHeight="1">
      <c r="A1115" s="500"/>
      <c r="B1115" s="477"/>
      <c r="C1115" s="481"/>
      <c r="D1115" s="47"/>
      <c r="E1115" s="47"/>
      <c r="F1115" s="478"/>
      <c r="G1115" s="479"/>
      <c r="H1115" s="9"/>
      <c r="I1115" s="10"/>
      <c r="J1115" s="503"/>
      <c r="K1115" s="47"/>
      <c r="L1115" s="47"/>
      <c r="M1115" s="677"/>
      <c r="N1115" s="9"/>
      <c r="O1115" s="9"/>
      <c r="P1115" s="9"/>
      <c r="Q1115" s="47"/>
      <c r="R1115" s="47"/>
      <c r="S1115" s="47"/>
      <c r="T1115" s="47"/>
      <c r="U1115" s="47"/>
      <c r="V1115" s="47"/>
      <c r="W1115" s="47"/>
      <c r="X1115" s="47"/>
      <c r="Y1115" s="47"/>
      <c r="Z1115" s="47"/>
      <c r="AA1115" s="47"/>
      <c r="AB1115" s="47"/>
      <c r="AC1115" s="47"/>
      <c r="AD1115" s="47"/>
      <c r="AE1115" s="47"/>
      <c r="AF1115" s="47"/>
      <c r="AG1115" s="1345"/>
      <c r="AH1115" s="47"/>
      <c r="AI1115" s="47"/>
      <c r="AJ1115" s="47"/>
      <c r="AK1115" s="47"/>
      <c r="AL1115" s="47"/>
      <c r="AM1115" s="47"/>
      <c r="AN1115" s="47"/>
      <c r="AO1115" s="47"/>
      <c r="AP1115" s="47"/>
      <c r="AQ1115" s="47"/>
      <c r="AR1115" s="47"/>
      <c r="AS1115" s="47"/>
      <c r="AT1115" s="47"/>
      <c r="AU1115" s="47"/>
      <c r="AV1115" s="47"/>
      <c r="AW1115" s="47"/>
      <c r="AX1115" s="47"/>
      <c r="AY1115" s="47"/>
    </row>
    <row r="1116" spans="1:51" ht="15.75" customHeight="1">
      <c r="A1116" s="500"/>
      <c r="B1116" s="477"/>
      <c r="C1116" s="481"/>
      <c r="D1116" s="47"/>
      <c r="E1116" s="47"/>
      <c r="F1116" s="478"/>
      <c r="G1116" s="479"/>
      <c r="H1116" s="9"/>
      <c r="I1116" s="10"/>
      <c r="J1116" s="503"/>
      <c r="K1116" s="47"/>
      <c r="L1116" s="47"/>
      <c r="M1116" s="677"/>
      <c r="N1116" s="9"/>
      <c r="O1116" s="9"/>
      <c r="P1116" s="9"/>
      <c r="Q1116" s="47"/>
      <c r="R1116" s="47"/>
      <c r="S1116" s="47"/>
      <c r="T1116" s="47"/>
      <c r="U1116" s="47"/>
      <c r="V1116" s="47"/>
      <c r="W1116" s="47"/>
      <c r="X1116" s="47"/>
      <c r="Y1116" s="47"/>
      <c r="Z1116" s="47"/>
      <c r="AA1116" s="47"/>
      <c r="AB1116" s="47"/>
      <c r="AC1116" s="47"/>
      <c r="AD1116" s="47"/>
      <c r="AE1116" s="47"/>
      <c r="AF1116" s="47"/>
      <c r="AG1116" s="1345"/>
      <c r="AH1116" s="47"/>
      <c r="AI1116" s="47"/>
      <c r="AJ1116" s="47"/>
      <c r="AK1116" s="47"/>
      <c r="AL1116" s="47"/>
      <c r="AM1116" s="47"/>
      <c r="AN1116" s="47"/>
      <c r="AO1116" s="47"/>
      <c r="AP1116" s="47"/>
      <c r="AQ1116" s="47"/>
      <c r="AR1116" s="47"/>
      <c r="AS1116" s="47"/>
      <c r="AT1116" s="47"/>
      <c r="AU1116" s="47"/>
      <c r="AV1116" s="47"/>
      <c r="AW1116" s="47"/>
      <c r="AX1116" s="47"/>
      <c r="AY1116" s="47"/>
    </row>
    <row r="1117" spans="1:51" ht="15.75" customHeight="1">
      <c r="A1117" s="500"/>
      <c r="B1117" s="477"/>
      <c r="C1117" s="481"/>
      <c r="D1117" s="47"/>
      <c r="E1117" s="47"/>
      <c r="F1117" s="478"/>
      <c r="G1117" s="479"/>
      <c r="H1117" s="9"/>
      <c r="I1117" s="9"/>
      <c r="J1117" s="503"/>
      <c r="K1117" s="47"/>
      <c r="L1117" s="47"/>
      <c r="M1117" s="677"/>
      <c r="N1117" s="9"/>
      <c r="O1117" s="9"/>
      <c r="P1117" s="9"/>
      <c r="Q1117" s="47"/>
      <c r="R1117" s="47"/>
      <c r="S1117" s="47"/>
      <c r="T1117" s="47"/>
      <c r="U1117" s="47"/>
      <c r="V1117" s="47"/>
      <c r="W1117" s="47"/>
      <c r="X1117" s="47"/>
      <c r="Y1117" s="47"/>
      <c r="Z1117" s="47"/>
      <c r="AA1117" s="47"/>
      <c r="AB1117" s="47"/>
      <c r="AC1117" s="47"/>
      <c r="AD1117" s="47"/>
      <c r="AE1117" s="47"/>
      <c r="AF1117" s="47"/>
      <c r="AG1117" s="1345"/>
      <c r="AH1117" s="47"/>
      <c r="AI1117" s="47"/>
      <c r="AJ1117" s="47"/>
      <c r="AK1117" s="47"/>
      <c r="AL1117" s="47"/>
      <c r="AM1117" s="47"/>
      <c r="AN1117" s="47"/>
      <c r="AO1117" s="47"/>
      <c r="AP1117" s="47"/>
      <c r="AQ1117" s="47"/>
      <c r="AR1117" s="47"/>
      <c r="AS1117" s="47"/>
      <c r="AT1117" s="47"/>
      <c r="AU1117" s="47"/>
      <c r="AV1117" s="47"/>
      <c r="AW1117" s="47"/>
      <c r="AX1117" s="47"/>
      <c r="AY1117" s="47"/>
    </row>
    <row r="1118" spans="1:51" ht="15.75" customHeight="1">
      <c r="A1118" s="500"/>
      <c r="B1118" s="477"/>
      <c r="C1118" s="481"/>
      <c r="D1118" s="47"/>
      <c r="E1118" s="47"/>
      <c r="F1118" s="478"/>
      <c r="G1118" s="479"/>
      <c r="H1118" s="9"/>
      <c r="I1118" s="10"/>
      <c r="J1118" s="503"/>
      <c r="K1118" s="47"/>
      <c r="L1118" s="47"/>
      <c r="M1118" s="677"/>
      <c r="N1118" s="9"/>
      <c r="O1118" s="9"/>
      <c r="P1118" s="9"/>
      <c r="Q1118" s="47"/>
      <c r="R1118" s="47"/>
      <c r="S1118" s="47"/>
      <c r="T1118" s="47"/>
      <c r="U1118" s="47"/>
      <c r="V1118" s="47"/>
      <c r="W1118" s="47"/>
      <c r="X1118" s="47"/>
      <c r="Y1118" s="47"/>
      <c r="Z1118" s="47"/>
      <c r="AA1118" s="47"/>
      <c r="AB1118" s="47"/>
      <c r="AC1118" s="47"/>
      <c r="AD1118" s="47"/>
      <c r="AE1118" s="47"/>
      <c r="AF1118" s="47"/>
      <c r="AG1118" s="1345"/>
      <c r="AH1118" s="47"/>
      <c r="AI1118" s="47"/>
      <c r="AJ1118" s="47"/>
      <c r="AK1118" s="47"/>
      <c r="AL1118" s="47"/>
      <c r="AM1118" s="47"/>
      <c r="AN1118" s="47"/>
      <c r="AO1118" s="47"/>
      <c r="AP1118" s="47"/>
      <c r="AQ1118" s="47"/>
      <c r="AR1118" s="47"/>
      <c r="AS1118" s="47"/>
      <c r="AT1118" s="47"/>
      <c r="AU1118" s="47"/>
      <c r="AV1118" s="47"/>
      <c r="AW1118" s="47"/>
      <c r="AX1118" s="47"/>
      <c r="AY1118" s="47"/>
    </row>
    <row r="1119" spans="1:51" ht="15.75" customHeight="1">
      <c r="A1119" s="500"/>
      <c r="B1119" s="481"/>
      <c r="C1119" s="481"/>
      <c r="D1119" s="47"/>
      <c r="E1119" s="47"/>
      <c r="F1119" s="478"/>
      <c r="G1119" s="479"/>
      <c r="H1119" s="9"/>
      <c r="I1119" s="9"/>
      <c r="J1119" s="503"/>
      <c r="K1119" s="47"/>
      <c r="L1119" s="47"/>
      <c r="M1119" s="47"/>
      <c r="N1119" s="9"/>
      <c r="O1119" s="9"/>
      <c r="P1119" s="9"/>
      <c r="Q1119" s="47"/>
      <c r="R1119" s="47"/>
      <c r="S1119" s="47"/>
      <c r="T1119" s="47"/>
      <c r="U1119" s="47"/>
      <c r="V1119" s="47"/>
      <c r="W1119" s="47"/>
      <c r="X1119" s="47"/>
      <c r="Y1119" s="47"/>
      <c r="Z1119" s="47"/>
      <c r="AA1119" s="47"/>
      <c r="AB1119" s="47"/>
      <c r="AC1119" s="47"/>
      <c r="AD1119" s="47"/>
      <c r="AE1119" s="47"/>
      <c r="AF1119" s="47"/>
      <c r="AG1119" s="1345"/>
      <c r="AH1119" s="47"/>
      <c r="AI1119" s="47"/>
      <c r="AJ1119" s="47"/>
      <c r="AK1119" s="47"/>
      <c r="AL1119" s="47"/>
      <c r="AM1119" s="47"/>
      <c r="AN1119" s="47"/>
      <c r="AO1119" s="47"/>
      <c r="AP1119" s="47"/>
      <c r="AQ1119" s="47"/>
      <c r="AR1119" s="47"/>
      <c r="AS1119" s="47"/>
      <c r="AT1119" s="47"/>
      <c r="AU1119" s="47"/>
      <c r="AV1119" s="47"/>
      <c r="AW1119" s="47"/>
      <c r="AX1119" s="47"/>
      <c r="AY1119" s="47"/>
    </row>
    <row r="1120" spans="1:51" ht="15.75" customHeight="1">
      <c r="A1120" s="500"/>
      <c r="B1120" s="481"/>
      <c r="C1120" s="481"/>
      <c r="D1120" s="47"/>
      <c r="E1120" s="47"/>
      <c r="F1120" s="478"/>
      <c r="G1120" s="479"/>
      <c r="H1120" s="9"/>
      <c r="I1120" s="9"/>
      <c r="J1120" s="503"/>
      <c r="K1120" s="47"/>
      <c r="L1120" s="47"/>
      <c r="M1120" s="47"/>
      <c r="N1120" s="9"/>
      <c r="O1120" s="9"/>
      <c r="P1120" s="9"/>
      <c r="Q1120" s="47"/>
      <c r="R1120" s="47"/>
      <c r="S1120" s="47"/>
      <c r="T1120" s="47"/>
      <c r="U1120" s="47"/>
      <c r="V1120" s="47"/>
      <c r="W1120" s="47"/>
      <c r="X1120" s="47"/>
      <c r="Y1120" s="47"/>
      <c r="Z1120" s="47"/>
      <c r="AA1120" s="47"/>
      <c r="AB1120" s="47"/>
      <c r="AC1120" s="47"/>
      <c r="AD1120" s="47"/>
      <c r="AE1120" s="47"/>
      <c r="AF1120" s="47"/>
      <c r="AG1120" s="1345"/>
      <c r="AH1120" s="47"/>
      <c r="AI1120" s="47"/>
      <c r="AJ1120" s="47"/>
      <c r="AK1120" s="47"/>
      <c r="AL1120" s="47"/>
      <c r="AM1120" s="47"/>
      <c r="AN1120" s="47"/>
      <c r="AO1120" s="47"/>
      <c r="AP1120" s="47"/>
      <c r="AQ1120" s="47"/>
      <c r="AR1120" s="47"/>
      <c r="AS1120" s="47"/>
      <c r="AT1120" s="47"/>
      <c r="AU1120" s="47"/>
      <c r="AV1120" s="47"/>
      <c r="AW1120" s="47"/>
      <c r="AX1120" s="47"/>
      <c r="AY1120" s="47"/>
    </row>
    <row r="1121" spans="1:51" ht="15.75" customHeight="1">
      <c r="A1121" s="500"/>
      <c r="B1121" s="481"/>
      <c r="C1121" s="481"/>
      <c r="D1121" s="47"/>
      <c r="E1121" s="47"/>
      <c r="F1121" s="478"/>
      <c r="G1121" s="479"/>
      <c r="H1121" s="9"/>
      <c r="I1121" s="9"/>
      <c r="J1121" s="503"/>
      <c r="K1121" s="47"/>
      <c r="L1121" s="47"/>
      <c r="M1121" s="47"/>
      <c r="N1121" s="9"/>
      <c r="O1121" s="9"/>
      <c r="P1121" s="9"/>
      <c r="Q1121" s="47"/>
      <c r="R1121" s="47"/>
      <c r="S1121" s="47"/>
      <c r="T1121" s="47"/>
      <c r="U1121" s="47"/>
      <c r="V1121" s="47"/>
      <c r="W1121" s="47"/>
      <c r="X1121" s="47"/>
      <c r="Y1121" s="47"/>
      <c r="Z1121" s="47"/>
      <c r="AA1121" s="47"/>
      <c r="AB1121" s="47"/>
      <c r="AC1121" s="47"/>
      <c r="AD1121" s="47"/>
      <c r="AE1121" s="47"/>
      <c r="AF1121" s="47"/>
      <c r="AG1121" s="1345"/>
      <c r="AH1121" s="47"/>
      <c r="AI1121" s="47"/>
      <c r="AJ1121" s="47"/>
      <c r="AK1121" s="47"/>
      <c r="AL1121" s="47"/>
      <c r="AM1121" s="47"/>
      <c r="AN1121" s="47"/>
      <c r="AO1121" s="47"/>
      <c r="AP1121" s="47"/>
      <c r="AQ1121" s="47"/>
      <c r="AR1121" s="47"/>
      <c r="AS1121" s="47"/>
      <c r="AT1121" s="47"/>
      <c r="AU1121" s="47"/>
      <c r="AV1121" s="47"/>
      <c r="AW1121" s="47"/>
      <c r="AX1121" s="47"/>
      <c r="AY1121" s="47"/>
    </row>
    <row r="1122" spans="1:51" ht="15.75" customHeight="1">
      <c r="A1122" s="500"/>
      <c r="B1122" s="481"/>
      <c r="C1122" s="481"/>
      <c r="D1122" s="47"/>
      <c r="E1122" s="47"/>
      <c r="F1122" s="478"/>
      <c r="G1122" s="479"/>
      <c r="H1122" s="9"/>
      <c r="I1122" s="9"/>
      <c r="J1122" s="503"/>
      <c r="K1122" s="47"/>
      <c r="L1122" s="47"/>
      <c r="M1122" s="47"/>
      <c r="N1122" s="9"/>
      <c r="O1122" s="9"/>
      <c r="P1122" s="9"/>
      <c r="Q1122" s="47"/>
      <c r="R1122" s="47"/>
      <c r="S1122" s="47"/>
      <c r="T1122" s="47"/>
      <c r="U1122" s="47"/>
      <c r="V1122" s="47"/>
      <c r="W1122" s="47"/>
      <c r="X1122" s="47"/>
      <c r="Y1122" s="47"/>
      <c r="Z1122" s="47"/>
      <c r="AA1122" s="47"/>
      <c r="AB1122" s="47"/>
      <c r="AC1122" s="47"/>
      <c r="AD1122" s="47"/>
      <c r="AE1122" s="47"/>
      <c r="AF1122" s="47"/>
      <c r="AG1122" s="1345"/>
      <c r="AH1122" s="47"/>
      <c r="AI1122" s="47"/>
      <c r="AJ1122" s="47"/>
      <c r="AK1122" s="47"/>
      <c r="AL1122" s="47"/>
      <c r="AM1122" s="47"/>
      <c r="AN1122" s="47"/>
      <c r="AO1122" s="47"/>
      <c r="AP1122" s="47"/>
      <c r="AQ1122" s="47"/>
      <c r="AR1122" s="47"/>
      <c r="AS1122" s="47"/>
      <c r="AT1122" s="47"/>
      <c r="AU1122" s="47"/>
      <c r="AV1122" s="47"/>
      <c r="AW1122" s="47"/>
      <c r="AX1122" s="47"/>
      <c r="AY1122" s="47"/>
    </row>
    <row r="1123" spans="1:51" ht="15.75" customHeight="1">
      <c r="A1123" s="500"/>
      <c r="B1123" s="481"/>
      <c r="C1123" s="481"/>
      <c r="D1123" s="47"/>
      <c r="E1123" s="47"/>
      <c r="F1123" s="478"/>
      <c r="G1123" s="479"/>
      <c r="H1123" s="9"/>
      <c r="I1123" s="10"/>
      <c r="J1123" s="503"/>
      <c r="K1123" s="47"/>
      <c r="L1123" s="47"/>
      <c r="M1123" s="47"/>
      <c r="N1123" s="9"/>
      <c r="O1123" s="9"/>
      <c r="P1123" s="9"/>
      <c r="Q1123" s="47"/>
      <c r="R1123" s="47"/>
      <c r="S1123" s="47"/>
      <c r="T1123" s="47"/>
      <c r="U1123" s="47"/>
      <c r="V1123" s="47"/>
      <c r="W1123" s="47"/>
      <c r="X1123" s="47"/>
      <c r="Y1123" s="47"/>
      <c r="Z1123" s="47"/>
      <c r="AA1123" s="47"/>
      <c r="AB1123" s="47"/>
      <c r="AC1123" s="47"/>
      <c r="AD1123" s="47"/>
      <c r="AE1123" s="47"/>
      <c r="AF1123" s="47"/>
      <c r="AG1123" s="1345"/>
      <c r="AH1123" s="47"/>
      <c r="AI1123" s="47"/>
      <c r="AJ1123" s="47"/>
      <c r="AK1123" s="47"/>
      <c r="AL1123" s="47"/>
      <c r="AM1123" s="47"/>
      <c r="AN1123" s="47"/>
      <c r="AO1123" s="47"/>
      <c r="AP1123" s="47"/>
      <c r="AQ1123" s="47"/>
      <c r="AR1123" s="47"/>
      <c r="AS1123" s="47"/>
      <c r="AT1123" s="47"/>
      <c r="AU1123" s="47"/>
      <c r="AV1123" s="47"/>
      <c r="AW1123" s="47"/>
      <c r="AX1123" s="47"/>
      <c r="AY1123" s="47"/>
    </row>
    <row r="1124" spans="1:51" ht="15.75" customHeight="1">
      <c r="A1124" s="500"/>
      <c r="B1124" s="481"/>
      <c r="C1124" s="481"/>
      <c r="D1124" s="47"/>
      <c r="E1124" s="47"/>
      <c r="F1124" s="478"/>
      <c r="G1124" s="479"/>
      <c r="H1124" s="9"/>
      <c r="I1124" s="9"/>
      <c r="J1124" s="503"/>
      <c r="K1124" s="47"/>
      <c r="L1124" s="47"/>
      <c r="M1124" s="47"/>
      <c r="N1124" s="9"/>
      <c r="O1124" s="9"/>
      <c r="P1124" s="9"/>
      <c r="Q1124" s="47"/>
      <c r="R1124" s="47"/>
      <c r="S1124" s="47"/>
      <c r="T1124" s="47"/>
      <c r="U1124" s="47"/>
      <c r="V1124" s="47"/>
      <c r="W1124" s="47"/>
      <c r="X1124" s="47"/>
      <c r="Y1124" s="47"/>
      <c r="Z1124" s="47"/>
      <c r="AA1124" s="47"/>
      <c r="AB1124" s="47"/>
      <c r="AC1124" s="47"/>
      <c r="AD1124" s="47"/>
      <c r="AE1124" s="47"/>
      <c r="AF1124" s="47"/>
      <c r="AG1124" s="1345"/>
      <c r="AH1124" s="47"/>
      <c r="AI1124" s="47"/>
      <c r="AJ1124" s="47"/>
      <c r="AK1124" s="47"/>
      <c r="AL1124" s="47"/>
      <c r="AM1124" s="47"/>
      <c r="AN1124" s="47"/>
      <c r="AO1124" s="47"/>
      <c r="AP1124" s="47"/>
      <c r="AQ1124" s="47"/>
      <c r="AR1124" s="47"/>
      <c r="AS1124" s="47"/>
      <c r="AT1124" s="47"/>
      <c r="AU1124" s="47"/>
      <c r="AV1124" s="47"/>
      <c r="AW1124" s="47"/>
      <c r="AX1124" s="47"/>
      <c r="AY1124" s="47"/>
    </row>
    <row r="1125" spans="1:51" ht="15.75" customHeight="1">
      <c r="A1125" s="500"/>
      <c r="B1125" s="481"/>
      <c r="C1125" s="481"/>
      <c r="D1125" s="47"/>
      <c r="E1125" s="47"/>
      <c r="F1125" s="478"/>
      <c r="G1125" s="479"/>
      <c r="H1125" s="9"/>
      <c r="I1125" s="10"/>
      <c r="J1125" s="503"/>
      <c r="K1125" s="47"/>
      <c r="L1125" s="47"/>
      <c r="M1125" s="47"/>
      <c r="N1125" s="9"/>
      <c r="O1125" s="9"/>
      <c r="P1125" s="9"/>
      <c r="Q1125" s="47"/>
      <c r="R1125" s="47"/>
      <c r="S1125" s="47"/>
      <c r="T1125" s="47"/>
      <c r="U1125" s="47"/>
      <c r="V1125" s="47"/>
      <c r="W1125" s="47"/>
      <c r="X1125" s="47"/>
      <c r="Y1125" s="47"/>
      <c r="Z1125" s="47"/>
      <c r="AA1125" s="47"/>
      <c r="AB1125" s="47"/>
      <c r="AC1125" s="47"/>
      <c r="AD1125" s="47"/>
      <c r="AE1125" s="47"/>
      <c r="AF1125" s="47"/>
      <c r="AG1125" s="1345"/>
      <c r="AH1125" s="47"/>
      <c r="AI1125" s="47"/>
      <c r="AJ1125" s="47"/>
      <c r="AK1125" s="47"/>
      <c r="AL1125" s="47"/>
      <c r="AM1125" s="47"/>
      <c r="AN1125" s="47"/>
      <c r="AO1125" s="47"/>
      <c r="AP1125" s="47"/>
      <c r="AQ1125" s="47"/>
      <c r="AR1125" s="47"/>
      <c r="AS1125" s="47"/>
      <c r="AT1125" s="47"/>
      <c r="AU1125" s="47"/>
      <c r="AV1125" s="47"/>
      <c r="AW1125" s="47"/>
      <c r="AX1125" s="47"/>
      <c r="AY1125" s="47"/>
    </row>
    <row r="1126" spans="1:51" ht="15.75" customHeight="1">
      <c r="A1126" s="500"/>
      <c r="B1126" s="481"/>
      <c r="C1126" s="481"/>
      <c r="D1126" s="47"/>
      <c r="E1126" s="47"/>
      <c r="F1126" s="478"/>
      <c r="G1126" s="479"/>
      <c r="H1126" s="9"/>
      <c r="I1126" s="9"/>
      <c r="J1126" s="503"/>
      <c r="K1126" s="47"/>
      <c r="L1126" s="47"/>
      <c r="M1126" s="47"/>
      <c r="N1126" s="9"/>
      <c r="O1126" s="9"/>
      <c r="P1126" s="9"/>
      <c r="Q1126" s="47"/>
      <c r="R1126" s="47"/>
      <c r="S1126" s="47"/>
      <c r="T1126" s="47"/>
      <c r="U1126" s="47"/>
      <c r="V1126" s="47"/>
      <c r="W1126" s="47"/>
      <c r="X1126" s="47"/>
      <c r="Y1126" s="47"/>
      <c r="Z1126" s="47"/>
      <c r="AA1126" s="47"/>
      <c r="AB1126" s="47"/>
      <c r="AC1126" s="47"/>
      <c r="AD1126" s="47"/>
      <c r="AE1126" s="47"/>
      <c r="AF1126" s="47"/>
      <c r="AG1126" s="1345"/>
      <c r="AH1126" s="47"/>
      <c r="AI1126" s="47"/>
      <c r="AJ1126" s="47"/>
      <c r="AK1126" s="47"/>
      <c r="AL1126" s="47"/>
      <c r="AM1126" s="47"/>
      <c r="AN1126" s="47"/>
      <c r="AO1126" s="47"/>
      <c r="AP1126" s="47"/>
      <c r="AQ1126" s="47"/>
      <c r="AR1126" s="47"/>
      <c r="AS1126" s="47"/>
      <c r="AT1126" s="47"/>
      <c r="AU1126" s="47"/>
      <c r="AV1126" s="47"/>
      <c r="AW1126" s="47"/>
      <c r="AX1126" s="47"/>
      <c r="AY1126" s="47"/>
    </row>
    <row r="1127" spans="1:51" ht="15.75" customHeight="1">
      <c r="A1127" s="500"/>
      <c r="B1127" s="481"/>
      <c r="C1127" s="481"/>
      <c r="D1127" s="47"/>
      <c r="E1127" s="47"/>
      <c r="F1127" s="478"/>
      <c r="G1127" s="479"/>
      <c r="H1127" s="9"/>
      <c r="I1127" s="10"/>
      <c r="J1127" s="503"/>
      <c r="K1127" s="47"/>
      <c r="L1127" s="47"/>
      <c r="M1127" s="47"/>
      <c r="N1127" s="9"/>
      <c r="O1127" s="9"/>
      <c r="P1127" s="9"/>
      <c r="Q1127" s="47"/>
      <c r="R1127" s="47"/>
      <c r="S1127" s="47"/>
      <c r="T1127" s="47"/>
      <c r="U1127" s="47"/>
      <c r="V1127" s="47"/>
      <c r="W1127" s="47"/>
      <c r="X1127" s="47"/>
      <c r="Y1127" s="47"/>
      <c r="Z1127" s="47"/>
      <c r="AA1127" s="47"/>
      <c r="AB1127" s="47"/>
      <c r="AC1127" s="47"/>
      <c r="AD1127" s="47"/>
      <c r="AE1127" s="47"/>
      <c r="AF1127" s="47"/>
      <c r="AG1127" s="1345"/>
      <c r="AH1127" s="47"/>
      <c r="AI1127" s="47"/>
      <c r="AJ1127" s="47"/>
      <c r="AK1127" s="47"/>
      <c r="AL1127" s="47"/>
      <c r="AM1127" s="47"/>
      <c r="AN1127" s="47"/>
      <c r="AO1127" s="47"/>
      <c r="AP1127" s="47"/>
      <c r="AQ1127" s="47"/>
      <c r="AR1127" s="47"/>
      <c r="AS1127" s="47"/>
      <c r="AT1127" s="47"/>
      <c r="AU1127" s="47"/>
      <c r="AV1127" s="47"/>
      <c r="AW1127" s="47"/>
      <c r="AX1127" s="47"/>
      <c r="AY1127" s="47"/>
    </row>
    <row r="1128" spans="1:51" ht="15.75" customHeight="1">
      <c r="A1128" s="500"/>
      <c r="B1128" s="481"/>
      <c r="C1128" s="481"/>
      <c r="D1128" s="47"/>
      <c r="E1128" s="47"/>
      <c r="F1128" s="478"/>
      <c r="G1128" s="479"/>
      <c r="H1128" s="9"/>
      <c r="I1128" s="9"/>
      <c r="J1128" s="503"/>
      <c r="K1128" s="47"/>
      <c r="L1128" s="47"/>
      <c r="M1128" s="47"/>
      <c r="N1128" s="9"/>
      <c r="O1128" s="9"/>
      <c r="P1128" s="9"/>
      <c r="Q1128" s="47"/>
      <c r="R1128" s="47"/>
      <c r="S1128" s="47"/>
      <c r="T1128" s="47"/>
      <c r="U1128" s="47"/>
      <c r="V1128" s="47"/>
      <c r="W1128" s="47"/>
      <c r="X1128" s="47"/>
      <c r="Y1128" s="47"/>
      <c r="Z1128" s="47"/>
      <c r="AA1128" s="47"/>
      <c r="AB1128" s="47"/>
      <c r="AC1128" s="47"/>
      <c r="AD1128" s="47"/>
      <c r="AE1128" s="47"/>
      <c r="AF1128" s="47"/>
      <c r="AG1128" s="1345"/>
      <c r="AH1128" s="47"/>
      <c r="AI1128" s="47"/>
      <c r="AJ1128" s="47"/>
      <c r="AK1128" s="47"/>
      <c r="AL1128" s="47"/>
      <c r="AM1128" s="47"/>
      <c r="AN1128" s="47"/>
      <c r="AO1128" s="47"/>
      <c r="AP1128" s="47"/>
      <c r="AQ1128" s="47"/>
      <c r="AR1128" s="47"/>
      <c r="AS1128" s="47"/>
      <c r="AT1128" s="47"/>
      <c r="AU1128" s="47"/>
      <c r="AV1128" s="47"/>
      <c r="AW1128" s="47"/>
      <c r="AX1128" s="47"/>
      <c r="AY1128" s="47"/>
    </row>
    <row r="1129" spans="1:51" ht="15.75" customHeight="1">
      <c r="A1129" s="500"/>
      <c r="B1129" s="481"/>
      <c r="C1129" s="481"/>
      <c r="D1129" s="47"/>
      <c r="E1129" s="47"/>
      <c r="F1129" s="478"/>
      <c r="G1129" s="479"/>
      <c r="H1129" s="9"/>
      <c r="I1129" s="9"/>
      <c r="J1129" s="503"/>
      <c r="K1129" s="47"/>
      <c r="L1129" s="47"/>
      <c r="M1129" s="47"/>
      <c r="N1129" s="9"/>
      <c r="O1129" s="9"/>
      <c r="P1129" s="9"/>
      <c r="Q1129" s="47"/>
      <c r="R1129" s="47"/>
      <c r="S1129" s="47"/>
      <c r="T1129" s="47"/>
      <c r="U1129" s="47"/>
      <c r="V1129" s="47"/>
      <c r="W1129" s="47"/>
      <c r="X1129" s="47"/>
      <c r="Y1129" s="47"/>
      <c r="Z1129" s="47"/>
      <c r="AA1129" s="47"/>
      <c r="AB1129" s="47"/>
      <c r="AC1129" s="47"/>
      <c r="AD1129" s="47"/>
      <c r="AE1129" s="47"/>
      <c r="AF1129" s="47"/>
      <c r="AG1129" s="1345"/>
      <c r="AH1129" s="47"/>
      <c r="AI1129" s="47"/>
      <c r="AJ1129" s="47"/>
      <c r="AK1129" s="47"/>
      <c r="AL1129" s="47"/>
      <c r="AM1129" s="47"/>
      <c r="AN1129" s="47"/>
      <c r="AO1129" s="47"/>
      <c r="AP1129" s="47"/>
      <c r="AQ1129" s="47"/>
      <c r="AR1129" s="47"/>
      <c r="AS1129" s="47"/>
      <c r="AT1129" s="47"/>
      <c r="AU1129" s="47"/>
      <c r="AV1129" s="47"/>
      <c r="AW1129" s="47"/>
      <c r="AX1129" s="47"/>
      <c r="AY1129" s="47"/>
    </row>
    <row r="1130" spans="1:51" ht="15.75" customHeight="1">
      <c r="A1130" s="500"/>
      <c r="B1130" s="481"/>
      <c r="C1130" s="481"/>
      <c r="D1130" s="47"/>
      <c r="E1130" s="47"/>
      <c r="F1130" s="478"/>
      <c r="G1130" s="479"/>
      <c r="H1130" s="9"/>
      <c r="I1130" s="9"/>
      <c r="J1130" s="503"/>
      <c r="K1130" s="47"/>
      <c r="L1130" s="47"/>
      <c r="M1130" s="47"/>
      <c r="N1130" s="9"/>
      <c r="O1130" s="9"/>
      <c r="P1130" s="9"/>
      <c r="Q1130" s="47"/>
      <c r="R1130" s="47"/>
      <c r="S1130" s="47"/>
      <c r="T1130" s="47"/>
      <c r="U1130" s="47"/>
      <c r="V1130" s="47"/>
      <c r="W1130" s="47"/>
      <c r="X1130" s="47"/>
      <c r="Y1130" s="47"/>
      <c r="Z1130" s="47"/>
      <c r="AA1130" s="47"/>
      <c r="AB1130" s="47"/>
      <c r="AC1130" s="47"/>
      <c r="AD1130" s="47"/>
      <c r="AE1130" s="47"/>
      <c r="AF1130" s="47"/>
      <c r="AG1130" s="1345"/>
      <c r="AH1130" s="47"/>
      <c r="AI1130" s="47"/>
      <c r="AJ1130" s="47"/>
      <c r="AK1130" s="47"/>
      <c r="AL1130" s="47"/>
      <c r="AM1130" s="47"/>
      <c r="AN1130" s="47"/>
      <c r="AO1130" s="47"/>
      <c r="AP1130" s="47"/>
      <c r="AQ1130" s="47"/>
      <c r="AR1130" s="47"/>
      <c r="AS1130" s="47"/>
      <c r="AT1130" s="47"/>
      <c r="AU1130" s="47"/>
      <c r="AV1130" s="47"/>
      <c r="AW1130" s="47"/>
      <c r="AX1130" s="47"/>
      <c r="AY1130" s="47"/>
    </row>
    <row r="1131" spans="1:51" ht="15.75" customHeight="1">
      <c r="A1131" s="500"/>
      <c r="B1131" s="481"/>
      <c r="C1131" s="481"/>
      <c r="D1131" s="47"/>
      <c r="E1131" s="47"/>
      <c r="F1131" s="478"/>
      <c r="G1131" s="479"/>
      <c r="H1131" s="9"/>
      <c r="I1131" s="9"/>
      <c r="J1131" s="503"/>
      <c r="K1131" s="47"/>
      <c r="L1131" s="47"/>
      <c r="M1131" s="47"/>
      <c r="N1131" s="9"/>
      <c r="O1131" s="9"/>
      <c r="P1131" s="9"/>
      <c r="Q1131" s="47"/>
      <c r="R1131" s="47"/>
      <c r="S1131" s="47"/>
      <c r="T1131" s="47"/>
      <c r="U1131" s="47"/>
      <c r="V1131" s="47"/>
      <c r="W1131" s="47"/>
      <c r="X1131" s="47"/>
      <c r="Y1131" s="47"/>
      <c r="Z1131" s="47"/>
      <c r="AA1131" s="47"/>
      <c r="AB1131" s="47"/>
      <c r="AC1131" s="47"/>
      <c r="AD1131" s="47"/>
      <c r="AE1131" s="47"/>
      <c r="AF1131" s="47"/>
      <c r="AG1131" s="1345"/>
      <c r="AH1131" s="47"/>
      <c r="AI1131" s="47"/>
      <c r="AJ1131" s="47"/>
      <c r="AK1131" s="47"/>
      <c r="AL1131" s="47"/>
      <c r="AM1131" s="47"/>
      <c r="AN1131" s="47"/>
      <c r="AO1131" s="47"/>
      <c r="AP1131" s="47"/>
      <c r="AQ1131" s="47"/>
      <c r="AR1131" s="47"/>
      <c r="AS1131" s="47"/>
      <c r="AT1131" s="47"/>
      <c r="AU1131" s="47"/>
      <c r="AV1131" s="47"/>
      <c r="AW1131" s="47"/>
      <c r="AX1131" s="47"/>
      <c r="AY1131" s="47"/>
    </row>
    <row r="1132" spans="1:51" ht="15.75" customHeight="1">
      <c r="A1132" s="500"/>
      <c r="B1132" s="481"/>
      <c r="C1132" s="481"/>
      <c r="D1132" s="47"/>
      <c r="E1132" s="47"/>
      <c r="F1132" s="478"/>
      <c r="G1132" s="479"/>
      <c r="H1132" s="9"/>
      <c r="I1132" s="9"/>
      <c r="J1132" s="503"/>
      <c r="K1132" s="47"/>
      <c r="L1132" s="47"/>
      <c r="M1132" s="47"/>
      <c r="N1132" s="9"/>
      <c r="O1132" s="9"/>
      <c r="P1132" s="9"/>
      <c r="Q1132" s="47"/>
      <c r="R1132" s="47"/>
      <c r="S1132" s="47"/>
      <c r="T1132" s="47"/>
      <c r="U1132" s="47"/>
      <c r="V1132" s="47"/>
      <c r="W1132" s="47"/>
      <c r="X1132" s="47"/>
      <c r="Y1132" s="47"/>
      <c r="Z1132" s="47"/>
      <c r="AA1132" s="47"/>
      <c r="AB1132" s="47"/>
      <c r="AC1132" s="47"/>
      <c r="AD1132" s="47"/>
      <c r="AE1132" s="47"/>
      <c r="AF1132" s="47"/>
      <c r="AG1132" s="1345"/>
      <c r="AH1132" s="47"/>
      <c r="AI1132" s="47"/>
      <c r="AJ1132" s="47"/>
      <c r="AK1132" s="47"/>
      <c r="AL1132" s="47"/>
      <c r="AM1132" s="47"/>
      <c r="AN1132" s="47"/>
      <c r="AO1132" s="47"/>
      <c r="AP1132" s="47"/>
      <c r="AQ1132" s="47"/>
      <c r="AR1132" s="47"/>
      <c r="AS1132" s="47"/>
      <c r="AT1132" s="47"/>
      <c r="AU1132" s="47"/>
      <c r="AV1132" s="47"/>
      <c r="AW1132" s="47"/>
      <c r="AX1132" s="47"/>
      <c r="AY1132" s="47"/>
    </row>
    <row r="1133" spans="1:51" ht="15.75" customHeight="1">
      <c r="A1133" s="500"/>
      <c r="B1133" s="481"/>
      <c r="C1133" s="481"/>
      <c r="D1133" s="47"/>
      <c r="E1133" s="47"/>
      <c r="F1133" s="478"/>
      <c r="G1133" s="479"/>
      <c r="H1133" s="9"/>
      <c r="I1133" s="10"/>
      <c r="J1133" s="503"/>
      <c r="K1133" s="47"/>
      <c r="L1133" s="47"/>
      <c r="M1133" s="47"/>
      <c r="N1133" s="9"/>
      <c r="O1133" s="47"/>
      <c r="P1133" s="9"/>
      <c r="Q1133" s="47"/>
      <c r="R1133" s="47"/>
      <c r="S1133" s="47"/>
      <c r="T1133" s="47"/>
      <c r="U1133" s="47"/>
      <c r="V1133" s="47"/>
      <c r="W1133" s="47"/>
      <c r="X1133" s="47"/>
      <c r="Y1133" s="47"/>
      <c r="Z1133" s="47"/>
      <c r="AA1133" s="47"/>
      <c r="AB1133" s="47"/>
      <c r="AC1133" s="47"/>
      <c r="AD1133" s="47"/>
      <c r="AE1133" s="47"/>
      <c r="AF1133" s="47"/>
      <c r="AG1133" s="1345"/>
      <c r="AH1133" s="47"/>
      <c r="AI1133" s="47"/>
      <c r="AJ1133" s="47"/>
      <c r="AK1133" s="47"/>
      <c r="AL1133" s="47"/>
      <c r="AM1133" s="47"/>
      <c r="AN1133" s="47"/>
      <c r="AO1133" s="47"/>
      <c r="AP1133" s="47"/>
      <c r="AQ1133" s="47"/>
      <c r="AR1133" s="47"/>
      <c r="AS1133" s="47"/>
      <c r="AT1133" s="47"/>
      <c r="AU1133" s="47"/>
      <c r="AV1133" s="47"/>
      <c r="AW1133" s="47"/>
      <c r="AX1133" s="47"/>
      <c r="AY1133" s="47"/>
    </row>
    <row r="1134" spans="1:51" ht="15.75" customHeight="1">
      <c r="A1134" s="500"/>
      <c r="B1134" s="481"/>
      <c r="C1134" s="481"/>
      <c r="D1134" s="47"/>
      <c r="E1134" s="47"/>
      <c r="F1134" s="478"/>
      <c r="G1134" s="479"/>
      <c r="H1134" s="9"/>
      <c r="I1134" s="9"/>
      <c r="J1134" s="503"/>
      <c r="K1134" s="47"/>
      <c r="L1134" s="47"/>
      <c r="M1134" s="47"/>
      <c r="N1134" s="9"/>
      <c r="O1134" s="9"/>
      <c r="P1134" s="9"/>
      <c r="Q1134" s="47"/>
      <c r="R1134" s="47"/>
      <c r="S1134" s="47"/>
      <c r="T1134" s="47"/>
      <c r="U1134" s="47"/>
      <c r="V1134" s="47"/>
      <c r="W1134" s="47"/>
      <c r="X1134" s="47"/>
      <c r="Y1134" s="47"/>
      <c r="Z1134" s="47"/>
      <c r="AA1134" s="47"/>
      <c r="AB1134" s="47"/>
      <c r="AC1134" s="47"/>
      <c r="AD1134" s="47"/>
      <c r="AE1134" s="47"/>
      <c r="AF1134" s="47"/>
      <c r="AG1134" s="1345"/>
      <c r="AH1134" s="47"/>
      <c r="AI1134" s="47"/>
      <c r="AJ1134" s="47"/>
      <c r="AK1134" s="47"/>
      <c r="AL1134" s="47"/>
      <c r="AM1134" s="47"/>
      <c r="AN1134" s="47"/>
      <c r="AO1134" s="47"/>
      <c r="AP1134" s="47"/>
      <c r="AQ1134" s="47"/>
      <c r="AR1134" s="47"/>
      <c r="AS1134" s="47"/>
      <c r="AT1134" s="47"/>
      <c r="AU1134" s="47"/>
      <c r="AV1134" s="47"/>
      <c r="AW1134" s="47"/>
      <c r="AX1134" s="47"/>
      <c r="AY1134" s="47"/>
    </row>
    <row r="1135" spans="1:51" ht="15.75" customHeight="1">
      <c r="A1135" s="500"/>
      <c r="B1135" s="481"/>
      <c r="C1135" s="481"/>
      <c r="D1135" s="47"/>
      <c r="E1135" s="47"/>
      <c r="F1135" s="478"/>
      <c r="G1135" s="479"/>
      <c r="H1135" s="9"/>
      <c r="I1135" s="10"/>
      <c r="J1135" s="503"/>
      <c r="K1135" s="47"/>
      <c r="L1135" s="47"/>
      <c r="M1135" s="47"/>
      <c r="N1135" s="9"/>
      <c r="O1135" s="9"/>
      <c r="P1135" s="9"/>
      <c r="Q1135" s="47"/>
      <c r="R1135" s="47"/>
      <c r="S1135" s="47"/>
      <c r="T1135" s="47"/>
      <c r="U1135" s="47"/>
      <c r="V1135" s="47"/>
      <c r="W1135" s="47"/>
      <c r="X1135" s="47"/>
      <c r="Y1135" s="47"/>
      <c r="Z1135" s="47"/>
      <c r="AA1135" s="47"/>
      <c r="AB1135" s="47"/>
      <c r="AC1135" s="47"/>
      <c r="AD1135" s="47"/>
      <c r="AE1135" s="47"/>
      <c r="AF1135" s="47"/>
      <c r="AG1135" s="1345"/>
      <c r="AH1135" s="47"/>
      <c r="AI1135" s="47"/>
      <c r="AJ1135" s="47"/>
      <c r="AK1135" s="47"/>
      <c r="AL1135" s="47"/>
      <c r="AM1135" s="47"/>
      <c r="AN1135" s="47"/>
      <c r="AO1135" s="47"/>
      <c r="AP1135" s="47"/>
      <c r="AQ1135" s="47"/>
      <c r="AR1135" s="47"/>
      <c r="AS1135" s="47"/>
      <c r="AT1135" s="47"/>
      <c r="AU1135" s="47"/>
      <c r="AV1135" s="47"/>
      <c r="AW1135" s="47"/>
      <c r="AX1135" s="47"/>
      <c r="AY1135" s="47"/>
    </row>
    <row r="1136" spans="1:51" ht="15.75" customHeight="1">
      <c r="A1136" s="500"/>
      <c r="B1136" s="481"/>
      <c r="C1136" s="481"/>
      <c r="D1136" s="47"/>
      <c r="E1136" s="47"/>
      <c r="F1136" s="478"/>
      <c r="G1136" s="479"/>
      <c r="H1136" s="9"/>
      <c r="I1136" s="9"/>
      <c r="J1136" s="503"/>
      <c r="K1136" s="47"/>
      <c r="L1136" s="47"/>
      <c r="M1136" s="47"/>
      <c r="N1136" s="9"/>
      <c r="O1136" s="9"/>
      <c r="P1136" s="9"/>
      <c r="Q1136" s="47"/>
      <c r="R1136" s="47"/>
      <c r="S1136" s="47"/>
      <c r="T1136" s="47"/>
      <c r="U1136" s="47"/>
      <c r="V1136" s="47"/>
      <c r="W1136" s="47"/>
      <c r="X1136" s="47"/>
      <c r="Y1136" s="47"/>
      <c r="Z1136" s="47"/>
      <c r="AA1136" s="47"/>
      <c r="AB1136" s="47"/>
      <c r="AC1136" s="47"/>
      <c r="AD1136" s="47"/>
      <c r="AE1136" s="47"/>
      <c r="AF1136" s="47"/>
      <c r="AG1136" s="1345"/>
      <c r="AH1136" s="47"/>
      <c r="AI1136" s="47"/>
      <c r="AJ1136" s="47"/>
      <c r="AK1136" s="47"/>
      <c r="AL1136" s="47"/>
      <c r="AM1136" s="47"/>
      <c r="AN1136" s="47"/>
      <c r="AO1136" s="47"/>
      <c r="AP1136" s="47"/>
      <c r="AQ1136" s="47"/>
      <c r="AR1136" s="47"/>
      <c r="AS1136" s="47"/>
      <c r="AT1136" s="47"/>
      <c r="AU1136" s="47"/>
      <c r="AV1136" s="47"/>
      <c r="AW1136" s="47"/>
      <c r="AX1136" s="47"/>
      <c r="AY1136" s="47"/>
    </row>
    <row r="1137" spans="1:51" ht="15.75" customHeight="1">
      <c r="A1137" s="500"/>
      <c r="B1137" s="481"/>
      <c r="C1137" s="481"/>
      <c r="D1137" s="47"/>
      <c r="E1137" s="47"/>
      <c r="F1137" s="478"/>
      <c r="G1137" s="479"/>
      <c r="H1137" s="9"/>
      <c r="I1137" s="10"/>
      <c r="J1137" s="503"/>
      <c r="K1137" s="47"/>
      <c r="L1137" s="47"/>
      <c r="M1137" s="47"/>
      <c r="N1137" s="9"/>
      <c r="O1137" s="47"/>
      <c r="P1137" s="9"/>
      <c r="Q1137" s="47"/>
      <c r="R1137" s="47"/>
      <c r="S1137" s="47"/>
      <c r="T1137" s="47"/>
      <c r="U1137" s="47"/>
      <c r="V1137" s="47"/>
      <c r="W1137" s="47"/>
      <c r="X1137" s="47"/>
      <c r="Y1137" s="47"/>
      <c r="Z1137" s="47"/>
      <c r="AA1137" s="47"/>
      <c r="AB1137" s="47"/>
      <c r="AC1137" s="47"/>
      <c r="AD1137" s="47"/>
      <c r="AE1137" s="47"/>
      <c r="AF1137" s="47"/>
      <c r="AG1137" s="1345"/>
      <c r="AH1137" s="47"/>
      <c r="AI1137" s="47"/>
      <c r="AJ1137" s="47"/>
      <c r="AK1137" s="47"/>
      <c r="AL1137" s="47"/>
      <c r="AM1137" s="47"/>
      <c r="AN1137" s="47"/>
      <c r="AO1137" s="47"/>
      <c r="AP1137" s="47"/>
      <c r="AQ1137" s="47"/>
      <c r="AR1137" s="47"/>
      <c r="AS1137" s="47"/>
      <c r="AT1137" s="47"/>
      <c r="AU1137" s="47"/>
      <c r="AV1137" s="47"/>
      <c r="AW1137" s="47"/>
      <c r="AX1137" s="47"/>
      <c r="AY1137" s="47"/>
    </row>
    <row r="1138" spans="1:51" ht="15.75" customHeight="1">
      <c r="A1138" s="500"/>
      <c r="B1138" s="481"/>
      <c r="C1138" s="481"/>
      <c r="D1138" s="47"/>
      <c r="E1138" s="47"/>
      <c r="F1138" s="478"/>
      <c r="G1138" s="479"/>
      <c r="H1138" s="9"/>
      <c r="I1138" s="9"/>
      <c r="J1138" s="503"/>
      <c r="K1138" s="47"/>
      <c r="L1138" s="47"/>
      <c r="M1138" s="47"/>
      <c r="N1138" s="9"/>
      <c r="O1138" s="47"/>
      <c r="P1138" s="9"/>
      <c r="Q1138" s="47"/>
      <c r="R1138" s="47"/>
      <c r="S1138" s="47"/>
      <c r="T1138" s="47"/>
      <c r="U1138" s="47"/>
      <c r="V1138" s="47"/>
      <c r="W1138" s="47"/>
      <c r="X1138" s="47"/>
      <c r="Y1138" s="47"/>
      <c r="Z1138" s="47"/>
      <c r="AA1138" s="47"/>
      <c r="AB1138" s="47"/>
      <c r="AC1138" s="47"/>
      <c r="AD1138" s="47"/>
      <c r="AE1138" s="47"/>
      <c r="AF1138" s="47"/>
      <c r="AG1138" s="1345"/>
      <c r="AH1138" s="47"/>
      <c r="AI1138" s="47"/>
      <c r="AJ1138" s="47"/>
      <c r="AK1138" s="47"/>
      <c r="AL1138" s="47"/>
      <c r="AM1138" s="47"/>
      <c r="AN1138" s="47"/>
      <c r="AO1138" s="47"/>
      <c r="AP1138" s="47"/>
      <c r="AQ1138" s="47"/>
      <c r="AR1138" s="47"/>
      <c r="AS1138" s="47"/>
      <c r="AT1138" s="47"/>
      <c r="AU1138" s="47"/>
      <c r="AV1138" s="47"/>
      <c r="AW1138" s="47"/>
      <c r="AX1138" s="47"/>
      <c r="AY1138" s="47"/>
    </row>
    <row r="1139" spans="1:51" ht="15.75" customHeight="1">
      <c r="A1139" s="500"/>
      <c r="B1139" s="481"/>
      <c r="C1139" s="481"/>
      <c r="D1139" s="47"/>
      <c r="E1139" s="47"/>
      <c r="F1139" s="478"/>
      <c r="G1139" s="479"/>
      <c r="H1139" s="9"/>
      <c r="I1139" s="10"/>
      <c r="J1139" s="501"/>
      <c r="K1139" s="47"/>
      <c r="L1139" s="47"/>
      <c r="M1139" s="47"/>
      <c r="N1139" s="9"/>
      <c r="O1139" s="47"/>
      <c r="P1139" s="9"/>
      <c r="Q1139" s="47"/>
      <c r="R1139" s="47"/>
      <c r="S1139" s="47"/>
      <c r="T1139" s="47"/>
      <c r="U1139" s="47"/>
      <c r="V1139" s="47"/>
      <c r="W1139" s="47"/>
      <c r="X1139" s="47"/>
      <c r="Y1139" s="47"/>
      <c r="Z1139" s="47"/>
      <c r="AA1139" s="47"/>
      <c r="AB1139" s="47"/>
      <c r="AC1139" s="47"/>
      <c r="AD1139" s="47"/>
      <c r="AE1139" s="47"/>
      <c r="AF1139" s="47"/>
      <c r="AG1139" s="1345"/>
      <c r="AH1139" s="47"/>
      <c r="AI1139" s="47"/>
      <c r="AJ1139" s="47"/>
      <c r="AK1139" s="47"/>
      <c r="AL1139" s="47"/>
      <c r="AM1139" s="47"/>
      <c r="AN1139" s="47"/>
      <c r="AO1139" s="47"/>
      <c r="AP1139" s="47"/>
      <c r="AQ1139" s="47"/>
      <c r="AR1139" s="47"/>
      <c r="AS1139" s="47"/>
      <c r="AT1139" s="47"/>
      <c r="AU1139" s="47"/>
      <c r="AV1139" s="47"/>
      <c r="AW1139" s="47"/>
      <c r="AX1139" s="47"/>
      <c r="AY1139" s="47"/>
    </row>
    <row r="1140" spans="1:51" ht="15.75" customHeight="1">
      <c r="A1140" s="500"/>
      <c r="B1140" s="481"/>
      <c r="C1140" s="481"/>
      <c r="D1140" s="47"/>
      <c r="E1140" s="47"/>
      <c r="F1140" s="478"/>
      <c r="G1140" s="479"/>
      <c r="H1140" s="9"/>
      <c r="I1140" s="9"/>
      <c r="J1140" s="501"/>
      <c r="K1140" s="47"/>
      <c r="L1140" s="47"/>
      <c r="M1140" s="47"/>
      <c r="N1140" s="9"/>
      <c r="O1140" s="47"/>
      <c r="P1140" s="9"/>
      <c r="Q1140" s="47"/>
      <c r="R1140" s="47"/>
      <c r="S1140" s="47"/>
      <c r="T1140" s="47"/>
      <c r="U1140" s="47"/>
      <c r="V1140" s="47"/>
      <c r="W1140" s="47"/>
      <c r="X1140" s="47"/>
      <c r="Y1140" s="47"/>
      <c r="Z1140" s="47"/>
      <c r="AA1140" s="47"/>
      <c r="AB1140" s="47"/>
      <c r="AC1140" s="47"/>
      <c r="AD1140" s="47"/>
      <c r="AE1140" s="47"/>
      <c r="AF1140" s="47"/>
      <c r="AG1140" s="1345"/>
      <c r="AH1140" s="47"/>
      <c r="AI1140" s="47"/>
      <c r="AJ1140" s="47"/>
      <c r="AK1140" s="47"/>
      <c r="AL1140" s="47"/>
      <c r="AM1140" s="47"/>
      <c r="AN1140" s="47"/>
      <c r="AO1140" s="47"/>
      <c r="AP1140" s="47"/>
      <c r="AQ1140" s="47"/>
      <c r="AR1140" s="47"/>
      <c r="AS1140" s="47"/>
      <c r="AT1140" s="47"/>
      <c r="AU1140" s="47"/>
      <c r="AV1140" s="47"/>
      <c r="AW1140" s="47"/>
      <c r="AX1140" s="47"/>
      <c r="AY1140" s="47"/>
    </row>
    <row r="1141" spans="1:51" ht="15.75" customHeight="1">
      <c r="A1141" s="500"/>
      <c r="B1141" s="481"/>
      <c r="C1141" s="481"/>
      <c r="D1141" s="47"/>
      <c r="E1141" s="47"/>
      <c r="F1141" s="478"/>
      <c r="G1141" s="479"/>
      <c r="H1141" s="9"/>
      <c r="I1141" s="10"/>
      <c r="J1141" s="501"/>
      <c r="K1141" s="47"/>
      <c r="L1141" s="47"/>
      <c r="M1141" s="47"/>
      <c r="N1141" s="9"/>
      <c r="O1141" s="47"/>
      <c r="P1141" s="9"/>
      <c r="Q1141" s="47"/>
      <c r="R1141" s="47"/>
      <c r="S1141" s="47"/>
      <c r="T1141" s="47"/>
      <c r="U1141" s="47"/>
      <c r="V1141" s="47"/>
      <c r="W1141" s="47"/>
      <c r="X1141" s="47"/>
      <c r="Y1141" s="47"/>
      <c r="Z1141" s="47"/>
      <c r="AA1141" s="47"/>
      <c r="AB1141" s="47"/>
      <c r="AC1141" s="47"/>
      <c r="AD1141" s="47"/>
      <c r="AE1141" s="47"/>
      <c r="AF1141" s="47"/>
      <c r="AG1141" s="1345"/>
      <c r="AH1141" s="47"/>
      <c r="AI1141" s="47"/>
      <c r="AJ1141" s="47"/>
      <c r="AK1141" s="47"/>
      <c r="AL1141" s="47"/>
      <c r="AM1141" s="47"/>
      <c r="AN1141" s="47"/>
      <c r="AO1141" s="47"/>
      <c r="AP1141" s="47"/>
      <c r="AQ1141" s="47"/>
      <c r="AR1141" s="47"/>
      <c r="AS1141" s="47"/>
      <c r="AT1141" s="47"/>
      <c r="AU1141" s="47"/>
      <c r="AV1141" s="47"/>
      <c r="AW1141" s="47"/>
      <c r="AX1141" s="47"/>
      <c r="AY1141" s="47"/>
    </row>
    <row r="1142" spans="1:51" ht="15.75" customHeight="1">
      <c r="A1142" s="500"/>
      <c r="B1142" s="481"/>
      <c r="C1142" s="481"/>
      <c r="D1142" s="47"/>
      <c r="E1142" s="47"/>
      <c r="F1142" s="478"/>
      <c r="G1142" s="479"/>
      <c r="H1142" s="9"/>
      <c r="I1142" s="9"/>
      <c r="J1142" s="501"/>
      <c r="K1142" s="47"/>
      <c r="L1142" s="47"/>
      <c r="M1142" s="47"/>
      <c r="N1142" s="9"/>
      <c r="O1142" s="47"/>
      <c r="P1142" s="9"/>
      <c r="Q1142" s="47"/>
      <c r="R1142" s="47"/>
      <c r="S1142" s="47"/>
      <c r="T1142" s="47"/>
      <c r="U1142" s="47"/>
      <c r="V1142" s="47"/>
      <c r="W1142" s="47"/>
      <c r="X1142" s="47"/>
      <c r="Y1142" s="47"/>
      <c r="Z1142" s="47"/>
      <c r="AA1142" s="47"/>
      <c r="AB1142" s="47"/>
      <c r="AC1142" s="47"/>
      <c r="AD1142" s="47"/>
      <c r="AE1142" s="47"/>
      <c r="AF1142" s="47"/>
      <c r="AG1142" s="1345"/>
      <c r="AH1142" s="47"/>
      <c r="AI1142" s="47"/>
      <c r="AJ1142" s="47"/>
      <c r="AK1142" s="47"/>
      <c r="AL1142" s="47"/>
      <c r="AM1142" s="47"/>
      <c r="AN1142" s="47"/>
      <c r="AO1142" s="47"/>
      <c r="AP1142" s="47"/>
      <c r="AQ1142" s="47"/>
      <c r="AR1142" s="47"/>
      <c r="AS1142" s="47"/>
      <c r="AT1142" s="47"/>
      <c r="AU1142" s="47"/>
      <c r="AV1142" s="47"/>
      <c r="AW1142" s="47"/>
      <c r="AX1142" s="47"/>
      <c r="AY1142" s="47"/>
    </row>
    <row r="1143" spans="1:51" ht="15.75" customHeight="1">
      <c r="A1143" s="500"/>
      <c r="B1143" s="481"/>
      <c r="C1143" s="481"/>
      <c r="D1143" s="47"/>
      <c r="E1143" s="47"/>
      <c r="F1143" s="478"/>
      <c r="G1143" s="479"/>
      <c r="H1143" s="9"/>
      <c r="I1143" s="10"/>
      <c r="J1143" s="501"/>
      <c r="K1143" s="47"/>
      <c r="L1143" s="47"/>
      <c r="M1143" s="47"/>
      <c r="N1143" s="9"/>
      <c r="O1143" s="47"/>
      <c r="P1143" s="9"/>
      <c r="Q1143" s="47"/>
      <c r="R1143" s="47"/>
      <c r="S1143" s="47"/>
      <c r="T1143" s="47"/>
      <c r="U1143" s="47"/>
      <c r="V1143" s="47"/>
      <c r="W1143" s="47"/>
      <c r="X1143" s="47"/>
      <c r="Y1143" s="47"/>
      <c r="Z1143" s="47"/>
      <c r="AA1143" s="47"/>
      <c r="AB1143" s="47"/>
      <c r="AC1143" s="47"/>
      <c r="AD1143" s="47"/>
      <c r="AE1143" s="47"/>
      <c r="AF1143" s="47"/>
      <c r="AG1143" s="1345"/>
      <c r="AH1143" s="47"/>
      <c r="AI1143" s="47"/>
      <c r="AJ1143" s="47"/>
      <c r="AK1143" s="47"/>
      <c r="AL1143" s="47"/>
      <c r="AM1143" s="47"/>
      <c r="AN1143" s="47"/>
      <c r="AO1143" s="47"/>
      <c r="AP1143" s="47"/>
      <c r="AQ1143" s="47"/>
      <c r="AR1143" s="47"/>
      <c r="AS1143" s="47"/>
      <c r="AT1143" s="47"/>
      <c r="AU1143" s="47"/>
      <c r="AV1143" s="47"/>
      <c r="AW1143" s="47"/>
      <c r="AX1143" s="47"/>
      <c r="AY1143" s="47"/>
    </row>
    <row r="1144" spans="1:51" ht="15.75" customHeight="1">
      <c r="A1144" s="500"/>
      <c r="B1144" s="481"/>
      <c r="C1144" s="481"/>
      <c r="D1144" s="47"/>
      <c r="E1144" s="47"/>
      <c r="F1144" s="478"/>
      <c r="G1144" s="479"/>
      <c r="H1144" s="9"/>
      <c r="I1144" s="9"/>
      <c r="J1144" s="501"/>
      <c r="K1144" s="47"/>
      <c r="L1144" s="47"/>
      <c r="M1144" s="47"/>
      <c r="N1144" s="9"/>
      <c r="O1144" s="47"/>
      <c r="P1144" s="9"/>
      <c r="Q1144" s="47"/>
      <c r="R1144" s="47"/>
      <c r="S1144" s="47"/>
      <c r="T1144" s="47"/>
      <c r="U1144" s="47"/>
      <c r="V1144" s="47"/>
      <c r="W1144" s="47"/>
      <c r="X1144" s="47"/>
      <c r="Y1144" s="47"/>
      <c r="Z1144" s="47"/>
      <c r="AA1144" s="47"/>
      <c r="AB1144" s="47"/>
      <c r="AC1144" s="47"/>
      <c r="AD1144" s="47"/>
      <c r="AE1144" s="47"/>
      <c r="AF1144" s="47"/>
      <c r="AG1144" s="1345"/>
      <c r="AH1144" s="47"/>
      <c r="AI1144" s="47"/>
      <c r="AJ1144" s="47"/>
      <c r="AK1144" s="47"/>
      <c r="AL1144" s="47"/>
      <c r="AM1144" s="47"/>
      <c r="AN1144" s="47"/>
      <c r="AO1144" s="47"/>
      <c r="AP1144" s="47"/>
      <c r="AQ1144" s="47"/>
      <c r="AR1144" s="47"/>
      <c r="AS1144" s="47"/>
      <c r="AT1144" s="47"/>
      <c r="AU1144" s="47"/>
      <c r="AV1144" s="47"/>
      <c r="AW1144" s="47"/>
      <c r="AX1144" s="47"/>
      <c r="AY1144" s="47"/>
    </row>
    <row r="1145" spans="1:51" ht="15.75" customHeight="1">
      <c r="A1145" s="500"/>
      <c r="B1145" s="481"/>
      <c r="C1145" s="481"/>
      <c r="D1145" s="47"/>
      <c r="E1145" s="47"/>
      <c r="F1145" s="478"/>
      <c r="G1145" s="479"/>
      <c r="H1145" s="9"/>
      <c r="I1145" s="9"/>
      <c r="J1145" s="501"/>
      <c r="K1145" s="47"/>
      <c r="L1145" s="47"/>
      <c r="M1145" s="47"/>
      <c r="N1145" s="9"/>
      <c r="O1145" s="47"/>
      <c r="P1145" s="9"/>
      <c r="Q1145" s="47"/>
      <c r="R1145" s="47"/>
      <c r="S1145" s="47"/>
      <c r="T1145" s="47"/>
      <c r="U1145" s="47"/>
      <c r="V1145" s="47"/>
      <c r="W1145" s="47"/>
      <c r="X1145" s="47"/>
      <c r="Y1145" s="47"/>
      <c r="Z1145" s="47"/>
      <c r="AA1145" s="47"/>
      <c r="AB1145" s="47"/>
      <c r="AC1145" s="47"/>
      <c r="AD1145" s="47"/>
      <c r="AE1145" s="47"/>
      <c r="AF1145" s="47"/>
      <c r="AG1145" s="1345"/>
      <c r="AH1145" s="47"/>
      <c r="AI1145" s="47"/>
      <c r="AJ1145" s="47"/>
      <c r="AK1145" s="47"/>
      <c r="AL1145" s="47"/>
      <c r="AM1145" s="47"/>
      <c r="AN1145" s="47"/>
      <c r="AO1145" s="47"/>
      <c r="AP1145" s="47"/>
      <c r="AQ1145" s="47"/>
      <c r="AR1145" s="47"/>
      <c r="AS1145" s="47"/>
      <c r="AT1145" s="47"/>
      <c r="AU1145" s="47"/>
      <c r="AV1145" s="47"/>
      <c r="AW1145" s="47"/>
      <c r="AX1145" s="47"/>
      <c r="AY1145" s="47"/>
    </row>
    <row r="1146" spans="1:51" ht="15.75" customHeight="1">
      <c r="A1146" s="500"/>
      <c r="B1146" s="481"/>
      <c r="C1146" s="481"/>
      <c r="D1146" s="47"/>
      <c r="E1146" s="47"/>
      <c r="F1146" s="478"/>
      <c r="G1146" s="479"/>
      <c r="H1146" s="9"/>
      <c r="I1146" s="10"/>
      <c r="J1146" s="503"/>
      <c r="K1146" s="47"/>
      <c r="L1146" s="47"/>
      <c r="M1146" s="47"/>
      <c r="N1146" s="9"/>
      <c r="O1146" s="47"/>
      <c r="P1146" s="9"/>
      <c r="Q1146" s="47"/>
      <c r="R1146" s="47"/>
      <c r="S1146" s="47"/>
      <c r="T1146" s="47"/>
      <c r="U1146" s="47"/>
      <c r="V1146" s="47"/>
      <c r="W1146" s="47"/>
      <c r="X1146" s="47"/>
      <c r="Y1146" s="47"/>
      <c r="Z1146" s="47"/>
      <c r="AA1146" s="47"/>
      <c r="AB1146" s="47"/>
      <c r="AC1146" s="47"/>
      <c r="AD1146" s="47"/>
      <c r="AE1146" s="47"/>
      <c r="AF1146" s="47"/>
      <c r="AG1146" s="1345"/>
      <c r="AH1146" s="47"/>
      <c r="AI1146" s="47"/>
      <c r="AJ1146" s="47"/>
      <c r="AK1146" s="47"/>
      <c r="AL1146" s="47"/>
      <c r="AM1146" s="47"/>
      <c r="AN1146" s="47"/>
      <c r="AO1146" s="47"/>
      <c r="AP1146" s="47"/>
      <c r="AQ1146" s="47"/>
      <c r="AR1146" s="47"/>
      <c r="AS1146" s="47"/>
      <c r="AT1146" s="47"/>
      <c r="AU1146" s="47"/>
      <c r="AV1146" s="47"/>
      <c r="AW1146" s="47"/>
      <c r="AX1146" s="47"/>
      <c r="AY1146" s="47"/>
    </row>
    <row r="1147" spans="1:51" ht="15.75" customHeight="1">
      <c r="A1147" s="500"/>
      <c r="B1147" s="481"/>
      <c r="C1147" s="481"/>
      <c r="D1147" s="47"/>
      <c r="E1147" s="47"/>
      <c r="F1147" s="478"/>
      <c r="G1147" s="479"/>
      <c r="H1147" s="9"/>
      <c r="I1147" s="9"/>
      <c r="J1147" s="503"/>
      <c r="K1147" s="47"/>
      <c r="L1147" s="47"/>
      <c r="M1147" s="47"/>
      <c r="N1147" s="9"/>
      <c r="O1147" s="9"/>
      <c r="P1147" s="9"/>
      <c r="Q1147" s="47"/>
      <c r="R1147" s="47"/>
      <c r="S1147" s="47"/>
      <c r="T1147" s="47"/>
      <c r="U1147" s="47"/>
      <c r="V1147" s="47"/>
      <c r="W1147" s="47"/>
      <c r="X1147" s="47"/>
      <c r="Y1147" s="47"/>
      <c r="Z1147" s="47"/>
      <c r="AA1147" s="47"/>
      <c r="AB1147" s="47"/>
      <c r="AC1147" s="47"/>
      <c r="AD1147" s="47"/>
      <c r="AE1147" s="47"/>
      <c r="AF1147" s="47"/>
      <c r="AG1147" s="1345"/>
      <c r="AH1147" s="47"/>
      <c r="AI1147" s="47"/>
      <c r="AJ1147" s="47"/>
      <c r="AK1147" s="47"/>
      <c r="AL1147" s="47"/>
      <c r="AM1147" s="47"/>
      <c r="AN1147" s="47"/>
      <c r="AO1147" s="47"/>
      <c r="AP1147" s="47"/>
      <c r="AQ1147" s="47"/>
      <c r="AR1147" s="47"/>
      <c r="AS1147" s="47"/>
      <c r="AT1147" s="47"/>
      <c r="AU1147" s="47"/>
      <c r="AV1147" s="47"/>
      <c r="AW1147" s="47"/>
      <c r="AX1147" s="47"/>
      <c r="AY1147" s="47"/>
    </row>
    <row r="1148" spans="1:51" ht="15.75" customHeight="1">
      <c r="A1148" s="500"/>
      <c r="B1148" s="481"/>
      <c r="C1148" s="481"/>
      <c r="D1148" s="47"/>
      <c r="E1148" s="47"/>
      <c r="F1148" s="478"/>
      <c r="G1148" s="479"/>
      <c r="H1148" s="9"/>
      <c r="I1148" s="9"/>
      <c r="J1148" s="503"/>
      <c r="K1148" s="47"/>
      <c r="L1148" s="47"/>
      <c r="M1148" s="47"/>
      <c r="N1148" s="9"/>
      <c r="O1148" s="9"/>
      <c r="P1148" s="9"/>
      <c r="Q1148" s="47"/>
      <c r="R1148" s="47"/>
      <c r="S1148" s="47"/>
      <c r="T1148" s="47"/>
      <c r="U1148" s="47"/>
      <c r="V1148" s="47"/>
      <c r="W1148" s="47"/>
      <c r="X1148" s="47"/>
      <c r="Y1148" s="47"/>
      <c r="Z1148" s="47"/>
      <c r="AA1148" s="47"/>
      <c r="AB1148" s="47"/>
      <c r="AC1148" s="47"/>
      <c r="AD1148" s="47"/>
      <c r="AE1148" s="47"/>
      <c r="AF1148" s="47"/>
      <c r="AG1148" s="1345"/>
      <c r="AH1148" s="47"/>
      <c r="AI1148" s="47"/>
      <c r="AJ1148" s="47"/>
      <c r="AK1148" s="47"/>
      <c r="AL1148" s="47"/>
      <c r="AM1148" s="47"/>
      <c r="AN1148" s="47"/>
      <c r="AO1148" s="47"/>
      <c r="AP1148" s="47"/>
      <c r="AQ1148" s="47"/>
      <c r="AR1148" s="47"/>
      <c r="AS1148" s="47"/>
      <c r="AT1148" s="47"/>
      <c r="AU1148" s="47"/>
      <c r="AV1148" s="47"/>
      <c r="AW1148" s="47"/>
      <c r="AX1148" s="47"/>
      <c r="AY1148" s="47"/>
    </row>
    <row r="1149" spans="1:51" ht="15.75" customHeight="1">
      <c r="A1149" s="500"/>
      <c r="B1149" s="477"/>
      <c r="C1149" s="481"/>
      <c r="D1149" s="47"/>
      <c r="E1149" s="47"/>
      <c r="F1149" s="478"/>
      <c r="G1149" s="479"/>
      <c r="H1149" s="9"/>
      <c r="I1149" s="9"/>
      <c r="J1149" s="503"/>
      <c r="K1149" s="47"/>
      <c r="L1149" s="47"/>
      <c r="M1149" s="47"/>
      <c r="N1149" s="9"/>
      <c r="O1149" s="9"/>
      <c r="P1149" s="9"/>
      <c r="Q1149" s="47"/>
      <c r="R1149" s="47"/>
      <c r="S1149" s="47"/>
      <c r="T1149" s="47"/>
      <c r="U1149" s="47"/>
      <c r="V1149" s="47"/>
      <c r="W1149" s="47"/>
      <c r="X1149" s="47"/>
      <c r="Y1149" s="47"/>
      <c r="Z1149" s="47"/>
      <c r="AA1149" s="47"/>
      <c r="AB1149" s="47"/>
      <c r="AC1149" s="47"/>
      <c r="AD1149" s="47"/>
      <c r="AE1149" s="47"/>
      <c r="AF1149" s="47"/>
      <c r="AG1149" s="1345"/>
      <c r="AH1149" s="47"/>
      <c r="AI1149" s="47"/>
      <c r="AJ1149" s="47"/>
      <c r="AK1149" s="47"/>
      <c r="AL1149" s="47"/>
      <c r="AM1149" s="47"/>
      <c r="AN1149" s="47"/>
      <c r="AO1149" s="47"/>
      <c r="AP1149" s="47"/>
      <c r="AQ1149" s="47"/>
      <c r="AR1149" s="47"/>
      <c r="AS1149" s="47"/>
      <c r="AT1149" s="47"/>
      <c r="AU1149" s="47"/>
      <c r="AV1149" s="47"/>
      <c r="AW1149" s="47"/>
      <c r="AX1149" s="47"/>
      <c r="AY1149" s="47"/>
    </row>
    <row r="1150" spans="1:51" ht="15.75" customHeight="1">
      <c r="A1150" s="500"/>
      <c r="B1150" s="477"/>
      <c r="C1150" s="481"/>
      <c r="D1150" s="47"/>
      <c r="E1150" s="47"/>
      <c r="F1150" s="478"/>
      <c r="G1150" s="479"/>
      <c r="H1150" s="9"/>
      <c r="I1150" s="9"/>
      <c r="J1150" s="503"/>
      <c r="K1150" s="47"/>
      <c r="L1150" s="47"/>
      <c r="M1150" s="47"/>
      <c r="N1150" s="9"/>
      <c r="O1150" s="47"/>
      <c r="P1150" s="9"/>
      <c r="Q1150" s="47"/>
      <c r="R1150" s="47"/>
      <c r="S1150" s="47"/>
      <c r="T1150" s="47"/>
      <c r="U1150" s="47"/>
      <c r="V1150" s="47"/>
      <c r="W1150" s="47"/>
      <c r="X1150" s="47"/>
      <c r="Y1150" s="47"/>
      <c r="Z1150" s="47"/>
      <c r="AA1150" s="47"/>
      <c r="AB1150" s="47"/>
      <c r="AC1150" s="47"/>
      <c r="AD1150" s="47"/>
      <c r="AE1150" s="47"/>
      <c r="AF1150" s="47"/>
      <c r="AG1150" s="1345"/>
      <c r="AH1150" s="47"/>
      <c r="AI1150" s="47"/>
      <c r="AJ1150" s="47"/>
      <c r="AK1150" s="47"/>
      <c r="AL1150" s="47"/>
      <c r="AM1150" s="47"/>
      <c r="AN1150" s="47"/>
      <c r="AO1150" s="47"/>
      <c r="AP1150" s="47"/>
      <c r="AQ1150" s="47"/>
      <c r="AR1150" s="47"/>
      <c r="AS1150" s="47"/>
      <c r="AT1150" s="47"/>
      <c r="AU1150" s="47"/>
      <c r="AV1150" s="47"/>
      <c r="AW1150" s="47"/>
      <c r="AX1150" s="47"/>
      <c r="AY1150" s="47"/>
    </row>
    <row r="1151" spans="1:51" ht="15.75" customHeight="1">
      <c r="A1151" s="500"/>
      <c r="B1151" s="477"/>
      <c r="C1151" s="481"/>
      <c r="D1151" s="47"/>
      <c r="E1151" s="47"/>
      <c r="F1151" s="478"/>
      <c r="G1151" s="479"/>
      <c r="H1151" s="9"/>
      <c r="I1151" s="9"/>
      <c r="J1151" s="503"/>
      <c r="K1151" s="47"/>
      <c r="L1151" s="47"/>
      <c r="M1151" s="47"/>
      <c r="N1151" s="9"/>
      <c r="O1151" s="9"/>
      <c r="P1151" s="9"/>
      <c r="Q1151" s="47"/>
      <c r="R1151" s="47"/>
      <c r="S1151" s="47"/>
      <c r="T1151" s="47"/>
      <c r="U1151" s="47"/>
      <c r="V1151" s="47"/>
      <c r="W1151" s="47"/>
      <c r="X1151" s="47"/>
      <c r="Y1151" s="47"/>
      <c r="Z1151" s="47"/>
      <c r="AA1151" s="47"/>
      <c r="AB1151" s="47"/>
      <c r="AC1151" s="47"/>
      <c r="AD1151" s="47"/>
      <c r="AE1151" s="47"/>
      <c r="AF1151" s="47"/>
      <c r="AG1151" s="1345"/>
      <c r="AH1151" s="47"/>
      <c r="AI1151" s="47"/>
      <c r="AJ1151" s="47"/>
      <c r="AK1151" s="47"/>
      <c r="AL1151" s="47"/>
      <c r="AM1151" s="47"/>
      <c r="AN1151" s="47"/>
      <c r="AO1151" s="47"/>
      <c r="AP1151" s="47"/>
      <c r="AQ1151" s="47"/>
      <c r="AR1151" s="47"/>
      <c r="AS1151" s="47"/>
      <c r="AT1151" s="47"/>
      <c r="AU1151" s="47"/>
      <c r="AV1151" s="47"/>
      <c r="AW1151" s="47"/>
      <c r="AX1151" s="47"/>
      <c r="AY1151" s="47"/>
    </row>
    <row r="1152" spans="1:51" ht="15.75" customHeight="1">
      <c r="A1152" s="500"/>
      <c r="B1152" s="477"/>
      <c r="C1152" s="481"/>
      <c r="D1152" s="47"/>
      <c r="E1152" s="47"/>
      <c r="F1152" s="478"/>
      <c r="G1152" s="479"/>
      <c r="H1152" s="9"/>
      <c r="I1152" s="9"/>
      <c r="J1152" s="503"/>
      <c r="K1152" s="47"/>
      <c r="L1152" s="47"/>
      <c r="M1152" s="47"/>
      <c r="N1152" s="9"/>
      <c r="O1152" s="9"/>
      <c r="P1152" s="9"/>
      <c r="Q1152" s="47"/>
      <c r="R1152" s="47"/>
      <c r="S1152" s="47"/>
      <c r="T1152" s="47"/>
      <c r="U1152" s="47"/>
      <c r="V1152" s="47"/>
      <c r="W1152" s="47"/>
      <c r="X1152" s="47"/>
      <c r="Y1152" s="47"/>
      <c r="Z1152" s="47"/>
      <c r="AA1152" s="47"/>
      <c r="AB1152" s="47"/>
      <c r="AC1152" s="47"/>
      <c r="AD1152" s="47"/>
      <c r="AE1152" s="47"/>
      <c r="AF1152" s="47"/>
      <c r="AG1152" s="1345"/>
      <c r="AH1152" s="47"/>
      <c r="AI1152" s="47"/>
      <c r="AJ1152" s="47"/>
      <c r="AK1152" s="47"/>
      <c r="AL1152" s="47"/>
      <c r="AM1152" s="47"/>
      <c r="AN1152" s="47"/>
      <c r="AO1152" s="47"/>
      <c r="AP1152" s="47"/>
      <c r="AQ1152" s="47"/>
      <c r="AR1152" s="47"/>
      <c r="AS1152" s="47"/>
      <c r="AT1152" s="47"/>
      <c r="AU1152" s="47"/>
      <c r="AV1152" s="47"/>
      <c r="AW1152" s="47"/>
      <c r="AX1152" s="47"/>
      <c r="AY1152" s="47"/>
    </row>
    <row r="1153" spans="1:51" ht="15.75" customHeight="1">
      <c r="A1153" s="500"/>
      <c r="B1153" s="477"/>
      <c r="C1153" s="481"/>
      <c r="D1153" s="47"/>
      <c r="E1153" s="47"/>
      <c r="F1153" s="478"/>
      <c r="G1153" s="479"/>
      <c r="H1153" s="9"/>
      <c r="I1153" s="9"/>
      <c r="J1153" s="503"/>
      <c r="K1153" s="47"/>
      <c r="L1153" s="47"/>
      <c r="M1153" s="47"/>
      <c r="N1153" s="9"/>
      <c r="O1153" s="9"/>
      <c r="P1153" s="9"/>
      <c r="Q1153" s="47"/>
      <c r="R1153" s="47"/>
      <c r="S1153" s="47"/>
      <c r="T1153" s="47"/>
      <c r="U1153" s="47"/>
      <c r="V1153" s="47"/>
      <c r="W1153" s="47"/>
      <c r="X1153" s="47"/>
      <c r="Y1153" s="47"/>
      <c r="Z1153" s="47"/>
      <c r="AA1153" s="47"/>
      <c r="AB1153" s="47"/>
      <c r="AC1153" s="47"/>
      <c r="AD1153" s="47"/>
      <c r="AE1153" s="47"/>
      <c r="AF1153" s="47"/>
      <c r="AG1153" s="1345"/>
      <c r="AH1153" s="47"/>
      <c r="AI1153" s="47"/>
      <c r="AJ1153" s="47"/>
      <c r="AK1153" s="47"/>
      <c r="AL1153" s="47"/>
      <c r="AM1153" s="47"/>
      <c r="AN1153" s="47"/>
      <c r="AO1153" s="47"/>
      <c r="AP1153" s="47"/>
      <c r="AQ1153" s="47"/>
      <c r="AR1153" s="47"/>
      <c r="AS1153" s="47"/>
      <c r="AT1153" s="47"/>
      <c r="AU1153" s="47"/>
      <c r="AV1153" s="47"/>
      <c r="AW1153" s="47"/>
      <c r="AX1153" s="47"/>
      <c r="AY1153" s="47"/>
    </row>
    <row r="1154" spans="1:51" ht="15.75" customHeight="1">
      <c r="A1154" s="500"/>
      <c r="B1154" s="477"/>
      <c r="C1154" s="481"/>
      <c r="D1154" s="47"/>
      <c r="E1154" s="47"/>
      <c r="F1154" s="478"/>
      <c r="G1154" s="479"/>
      <c r="H1154" s="9"/>
      <c r="I1154" s="9"/>
      <c r="J1154" s="503"/>
      <c r="K1154" s="47"/>
      <c r="L1154" s="47"/>
      <c r="M1154" s="47"/>
      <c r="N1154" s="9"/>
      <c r="O1154" s="9"/>
      <c r="P1154" s="9"/>
      <c r="Q1154" s="47"/>
      <c r="R1154" s="47"/>
      <c r="S1154" s="47"/>
      <c r="T1154" s="47"/>
      <c r="U1154" s="47"/>
      <c r="V1154" s="47"/>
      <c r="W1154" s="47"/>
      <c r="X1154" s="47"/>
      <c r="Y1154" s="47"/>
      <c r="Z1154" s="47"/>
      <c r="AA1154" s="47"/>
      <c r="AB1154" s="47"/>
      <c r="AC1154" s="47"/>
      <c r="AD1154" s="47"/>
      <c r="AE1154" s="47"/>
      <c r="AF1154" s="47"/>
      <c r="AG1154" s="1345"/>
      <c r="AH1154" s="47"/>
      <c r="AI1154" s="47"/>
      <c r="AJ1154" s="47"/>
      <c r="AK1154" s="47"/>
      <c r="AL1154" s="47"/>
      <c r="AM1154" s="47"/>
      <c r="AN1154" s="47"/>
      <c r="AO1154" s="47"/>
      <c r="AP1154" s="47"/>
      <c r="AQ1154" s="47"/>
      <c r="AR1154" s="47"/>
      <c r="AS1154" s="47"/>
      <c r="AT1154" s="47"/>
      <c r="AU1154" s="47"/>
      <c r="AV1154" s="47"/>
      <c r="AW1154" s="47"/>
      <c r="AX1154" s="47"/>
      <c r="AY1154" s="47"/>
    </row>
    <row r="1155" spans="1:51" ht="15.75" customHeight="1">
      <c r="A1155" s="500"/>
      <c r="B1155" s="477"/>
      <c r="C1155" s="481"/>
      <c r="D1155" s="47"/>
      <c r="E1155" s="47"/>
      <c r="F1155" s="478"/>
      <c r="G1155" s="479"/>
      <c r="H1155" s="9"/>
      <c r="I1155" s="9"/>
      <c r="J1155" s="503"/>
      <c r="K1155" s="47"/>
      <c r="L1155" s="47"/>
      <c r="M1155" s="47"/>
      <c r="N1155" s="9"/>
      <c r="O1155" s="9"/>
      <c r="P1155" s="9"/>
      <c r="Q1155" s="47"/>
      <c r="R1155" s="47"/>
      <c r="S1155" s="47"/>
      <c r="T1155" s="47"/>
      <c r="U1155" s="47"/>
      <c r="V1155" s="47"/>
      <c r="W1155" s="47"/>
      <c r="X1155" s="47"/>
      <c r="Y1155" s="47"/>
      <c r="Z1155" s="47"/>
      <c r="AA1155" s="47"/>
      <c r="AB1155" s="47"/>
      <c r="AC1155" s="47"/>
      <c r="AD1155" s="47"/>
      <c r="AE1155" s="47"/>
      <c r="AF1155" s="47"/>
      <c r="AG1155" s="1345"/>
      <c r="AH1155" s="47"/>
      <c r="AI1155" s="47"/>
      <c r="AJ1155" s="47"/>
      <c r="AK1155" s="47"/>
      <c r="AL1155" s="47"/>
      <c r="AM1155" s="47"/>
      <c r="AN1155" s="47"/>
      <c r="AO1155" s="47"/>
      <c r="AP1155" s="47"/>
      <c r="AQ1155" s="47"/>
      <c r="AR1155" s="47"/>
      <c r="AS1155" s="47"/>
      <c r="AT1155" s="47"/>
      <c r="AU1155" s="47"/>
      <c r="AV1155" s="47"/>
      <c r="AW1155" s="47"/>
      <c r="AX1155" s="47"/>
      <c r="AY1155" s="47"/>
    </row>
    <row r="1156" spans="1:51" ht="15.75" customHeight="1">
      <c r="A1156" s="500"/>
      <c r="B1156" s="477"/>
      <c r="C1156" s="481"/>
      <c r="D1156" s="47"/>
      <c r="E1156" s="47"/>
      <c r="F1156" s="478"/>
      <c r="G1156" s="479"/>
      <c r="H1156" s="9"/>
      <c r="I1156" s="9"/>
      <c r="J1156" s="503"/>
      <c r="K1156" s="47"/>
      <c r="L1156" s="47"/>
      <c r="M1156" s="47"/>
      <c r="N1156" s="9"/>
      <c r="O1156" s="9"/>
      <c r="P1156" s="9"/>
      <c r="Q1156" s="47"/>
      <c r="R1156" s="47"/>
      <c r="S1156" s="47"/>
      <c r="T1156" s="47"/>
      <c r="U1156" s="47"/>
      <c r="V1156" s="47"/>
      <c r="W1156" s="47"/>
      <c r="X1156" s="47"/>
      <c r="Y1156" s="47"/>
      <c r="Z1156" s="47"/>
      <c r="AA1156" s="47"/>
      <c r="AB1156" s="47"/>
      <c r="AC1156" s="47"/>
      <c r="AD1156" s="47"/>
      <c r="AE1156" s="47"/>
      <c r="AF1156" s="47"/>
      <c r="AG1156" s="1345"/>
      <c r="AH1156" s="47"/>
      <c r="AI1156" s="47"/>
      <c r="AJ1156" s="47"/>
      <c r="AK1156" s="47"/>
      <c r="AL1156" s="47"/>
      <c r="AM1156" s="47"/>
      <c r="AN1156" s="47"/>
      <c r="AO1156" s="47"/>
      <c r="AP1156" s="47"/>
      <c r="AQ1156" s="47"/>
      <c r="AR1156" s="47"/>
      <c r="AS1156" s="47"/>
      <c r="AT1156" s="47"/>
      <c r="AU1156" s="47"/>
      <c r="AV1156" s="47"/>
      <c r="AW1156" s="47"/>
      <c r="AX1156" s="47"/>
      <c r="AY1156" s="47"/>
    </row>
    <row r="1157" spans="1:51" ht="15.75" customHeight="1">
      <c r="A1157" s="500"/>
      <c r="B1157" s="477"/>
      <c r="C1157" s="481"/>
      <c r="D1157" s="47"/>
      <c r="E1157" s="47"/>
      <c r="F1157" s="478"/>
      <c r="G1157" s="479"/>
      <c r="H1157" s="9"/>
      <c r="I1157" s="9"/>
      <c r="J1157" s="503"/>
      <c r="K1157" s="47"/>
      <c r="L1157" s="47"/>
      <c r="M1157" s="47"/>
      <c r="N1157" s="9"/>
      <c r="O1157" s="9"/>
      <c r="P1157" s="9"/>
      <c r="Q1157" s="47"/>
      <c r="R1157" s="47"/>
      <c r="S1157" s="47"/>
      <c r="T1157" s="47"/>
      <c r="U1157" s="47"/>
      <c r="V1157" s="47"/>
      <c r="W1157" s="47"/>
      <c r="X1157" s="47"/>
      <c r="Y1157" s="47"/>
      <c r="Z1157" s="47"/>
      <c r="AA1157" s="47"/>
      <c r="AB1157" s="47"/>
      <c r="AC1157" s="47"/>
      <c r="AD1157" s="47"/>
      <c r="AE1157" s="47"/>
      <c r="AF1157" s="47"/>
      <c r="AG1157" s="1345"/>
      <c r="AH1157" s="47"/>
      <c r="AI1157" s="47"/>
      <c r="AJ1157" s="47"/>
      <c r="AK1157" s="47"/>
      <c r="AL1157" s="47"/>
      <c r="AM1157" s="47"/>
      <c r="AN1157" s="47"/>
      <c r="AO1157" s="47"/>
      <c r="AP1157" s="47"/>
      <c r="AQ1157" s="47"/>
      <c r="AR1157" s="47"/>
      <c r="AS1157" s="47"/>
      <c r="AT1157" s="47"/>
      <c r="AU1157" s="47"/>
      <c r="AV1157" s="47"/>
      <c r="AW1157" s="47"/>
      <c r="AX1157" s="47"/>
      <c r="AY1157" s="47"/>
    </row>
    <row r="1158" spans="1:51" ht="15.75" customHeight="1">
      <c r="A1158" s="500"/>
      <c r="B1158" s="477"/>
      <c r="C1158" s="481"/>
      <c r="D1158" s="47"/>
      <c r="E1158" s="47"/>
      <c r="F1158" s="478"/>
      <c r="G1158" s="479"/>
      <c r="H1158" s="9"/>
      <c r="I1158" s="9"/>
      <c r="J1158" s="503"/>
      <c r="K1158" s="47"/>
      <c r="L1158" s="47"/>
      <c r="M1158" s="47"/>
      <c r="N1158" s="9"/>
      <c r="O1158" s="9"/>
      <c r="P1158" s="9"/>
      <c r="Q1158" s="47"/>
      <c r="R1158" s="47"/>
      <c r="S1158" s="47"/>
      <c r="T1158" s="47"/>
      <c r="U1158" s="47"/>
      <c r="V1158" s="47"/>
      <c r="W1158" s="47"/>
      <c r="X1158" s="47"/>
      <c r="Y1158" s="47"/>
      <c r="Z1158" s="47"/>
      <c r="AA1158" s="47"/>
      <c r="AB1158" s="47"/>
      <c r="AC1158" s="47"/>
      <c r="AD1158" s="47"/>
      <c r="AE1158" s="47"/>
      <c r="AF1158" s="47"/>
      <c r="AG1158" s="1345"/>
      <c r="AH1158" s="47"/>
      <c r="AI1158" s="47"/>
      <c r="AJ1158" s="47"/>
      <c r="AK1158" s="47"/>
      <c r="AL1158" s="47"/>
      <c r="AM1158" s="47"/>
      <c r="AN1158" s="47"/>
      <c r="AO1158" s="47"/>
      <c r="AP1158" s="47"/>
      <c r="AQ1158" s="47"/>
      <c r="AR1158" s="47"/>
      <c r="AS1158" s="47"/>
      <c r="AT1158" s="47"/>
      <c r="AU1158" s="47"/>
      <c r="AV1158" s="47"/>
      <c r="AW1158" s="47"/>
      <c r="AX1158" s="47"/>
      <c r="AY1158" s="47"/>
    </row>
    <row r="1159" spans="1:51" ht="15.75" customHeight="1">
      <c r="A1159" s="500"/>
      <c r="B1159" s="477"/>
      <c r="C1159" s="481"/>
      <c r="D1159" s="47"/>
      <c r="E1159" s="47"/>
      <c r="F1159" s="478"/>
      <c r="G1159" s="479"/>
      <c r="H1159" s="9"/>
      <c r="I1159" s="10"/>
      <c r="J1159" s="503"/>
      <c r="K1159" s="47"/>
      <c r="L1159" s="47"/>
      <c r="M1159" s="47"/>
      <c r="N1159" s="9"/>
      <c r="O1159" s="9"/>
      <c r="P1159" s="9"/>
      <c r="Q1159" s="47"/>
      <c r="R1159" s="47"/>
      <c r="S1159" s="47"/>
      <c r="T1159" s="47"/>
      <c r="U1159" s="47"/>
      <c r="V1159" s="47"/>
      <c r="W1159" s="47"/>
      <c r="X1159" s="47"/>
      <c r="Y1159" s="47"/>
      <c r="Z1159" s="47"/>
      <c r="AA1159" s="47"/>
      <c r="AB1159" s="47"/>
      <c r="AC1159" s="47"/>
      <c r="AD1159" s="47"/>
      <c r="AE1159" s="47"/>
      <c r="AF1159" s="47"/>
      <c r="AG1159" s="1345"/>
      <c r="AH1159" s="47"/>
      <c r="AI1159" s="47"/>
      <c r="AJ1159" s="47"/>
      <c r="AK1159" s="47"/>
      <c r="AL1159" s="47"/>
      <c r="AM1159" s="47"/>
      <c r="AN1159" s="47"/>
      <c r="AO1159" s="47"/>
      <c r="AP1159" s="47"/>
      <c r="AQ1159" s="47"/>
      <c r="AR1159" s="47"/>
      <c r="AS1159" s="47"/>
      <c r="AT1159" s="47"/>
      <c r="AU1159" s="47"/>
      <c r="AV1159" s="47"/>
      <c r="AW1159" s="47"/>
      <c r="AX1159" s="47"/>
      <c r="AY1159" s="47"/>
    </row>
    <row r="1160" spans="1:51" ht="15.75" customHeight="1">
      <c r="A1160" s="500"/>
      <c r="B1160" s="477"/>
      <c r="C1160" s="481"/>
      <c r="D1160" s="47"/>
      <c r="E1160" s="47"/>
      <c r="F1160" s="478"/>
      <c r="G1160" s="479"/>
      <c r="H1160" s="9"/>
      <c r="I1160" s="9"/>
      <c r="J1160" s="503"/>
      <c r="K1160" s="47"/>
      <c r="L1160" s="47"/>
      <c r="M1160" s="47"/>
      <c r="N1160" s="9"/>
      <c r="O1160" s="9"/>
      <c r="P1160" s="9"/>
      <c r="Q1160" s="47"/>
      <c r="R1160" s="47"/>
      <c r="S1160" s="47"/>
      <c r="T1160" s="47"/>
      <c r="U1160" s="47"/>
      <c r="V1160" s="47"/>
      <c r="W1160" s="47"/>
      <c r="X1160" s="47"/>
      <c r="Y1160" s="47"/>
      <c r="Z1160" s="47"/>
      <c r="AA1160" s="47"/>
      <c r="AB1160" s="47"/>
      <c r="AC1160" s="47"/>
      <c r="AD1160" s="47"/>
      <c r="AE1160" s="47"/>
      <c r="AF1160" s="47"/>
      <c r="AG1160" s="1345"/>
      <c r="AH1160" s="47"/>
      <c r="AI1160" s="47"/>
      <c r="AJ1160" s="47"/>
      <c r="AK1160" s="47"/>
      <c r="AL1160" s="47"/>
      <c r="AM1160" s="47"/>
      <c r="AN1160" s="47"/>
      <c r="AO1160" s="47"/>
      <c r="AP1160" s="47"/>
      <c r="AQ1160" s="47"/>
      <c r="AR1160" s="47"/>
      <c r="AS1160" s="47"/>
      <c r="AT1160" s="47"/>
      <c r="AU1160" s="47"/>
      <c r="AV1160" s="47"/>
      <c r="AW1160" s="47"/>
      <c r="AX1160" s="47"/>
      <c r="AY1160" s="47"/>
    </row>
    <row r="1161" spans="1:51" ht="15.75" customHeight="1">
      <c r="A1161" s="500"/>
      <c r="B1161" s="477"/>
      <c r="C1161" s="481"/>
      <c r="D1161" s="47"/>
      <c r="E1161" s="47"/>
      <c r="F1161" s="478"/>
      <c r="G1161" s="479"/>
      <c r="H1161" s="9"/>
      <c r="I1161" s="10"/>
      <c r="J1161" s="503"/>
      <c r="K1161" s="47"/>
      <c r="L1161" s="47"/>
      <c r="M1161" s="47"/>
      <c r="N1161" s="9"/>
      <c r="O1161" s="9"/>
      <c r="P1161" s="9"/>
      <c r="Q1161" s="47"/>
      <c r="R1161" s="47"/>
      <c r="S1161" s="47"/>
      <c r="T1161" s="47"/>
      <c r="U1161" s="47"/>
      <c r="V1161" s="47"/>
      <c r="W1161" s="47"/>
      <c r="X1161" s="47"/>
      <c r="Y1161" s="47"/>
      <c r="Z1161" s="47"/>
      <c r="AA1161" s="47"/>
      <c r="AB1161" s="47"/>
      <c r="AC1161" s="47"/>
      <c r="AD1161" s="47"/>
      <c r="AE1161" s="47"/>
      <c r="AF1161" s="47"/>
      <c r="AG1161" s="1345"/>
      <c r="AH1161" s="47"/>
      <c r="AI1161" s="47"/>
      <c r="AJ1161" s="47"/>
      <c r="AK1161" s="47"/>
      <c r="AL1161" s="47"/>
      <c r="AM1161" s="47"/>
      <c r="AN1161" s="47"/>
      <c r="AO1161" s="47"/>
      <c r="AP1161" s="47"/>
      <c r="AQ1161" s="47"/>
      <c r="AR1161" s="47"/>
      <c r="AS1161" s="47"/>
      <c r="AT1161" s="47"/>
      <c r="AU1161" s="47"/>
      <c r="AV1161" s="47"/>
      <c r="AW1161" s="47"/>
      <c r="AX1161" s="47"/>
      <c r="AY1161" s="47"/>
    </row>
    <row r="1162" spans="1:51" ht="15.75" customHeight="1">
      <c r="A1162" s="500"/>
      <c r="B1162" s="477"/>
      <c r="C1162" s="481"/>
      <c r="D1162" s="47"/>
      <c r="E1162" s="47"/>
      <c r="F1162" s="478"/>
      <c r="G1162" s="479"/>
      <c r="H1162" s="9"/>
      <c r="I1162" s="9"/>
      <c r="J1162" s="503"/>
      <c r="K1162" s="47"/>
      <c r="L1162" s="47"/>
      <c r="M1162" s="47"/>
      <c r="N1162" s="9"/>
      <c r="O1162" s="9"/>
      <c r="P1162" s="9"/>
      <c r="Q1162" s="47"/>
      <c r="R1162" s="47"/>
      <c r="S1162" s="47"/>
      <c r="T1162" s="47"/>
      <c r="U1162" s="47"/>
      <c r="V1162" s="47"/>
      <c r="W1162" s="47"/>
      <c r="X1162" s="47"/>
      <c r="Y1162" s="47"/>
      <c r="Z1162" s="47"/>
      <c r="AA1162" s="47"/>
      <c r="AB1162" s="47"/>
      <c r="AC1162" s="47"/>
      <c r="AD1162" s="47"/>
      <c r="AE1162" s="47"/>
      <c r="AF1162" s="47"/>
      <c r="AG1162" s="1345"/>
      <c r="AH1162" s="47"/>
      <c r="AI1162" s="47"/>
      <c r="AJ1162" s="47"/>
      <c r="AK1162" s="47"/>
      <c r="AL1162" s="47"/>
      <c r="AM1162" s="47"/>
      <c r="AN1162" s="47"/>
      <c r="AO1162" s="47"/>
      <c r="AP1162" s="47"/>
      <c r="AQ1162" s="47"/>
      <c r="AR1162" s="47"/>
      <c r="AS1162" s="47"/>
      <c r="AT1162" s="47"/>
      <c r="AU1162" s="47"/>
      <c r="AV1162" s="47"/>
      <c r="AW1162" s="47"/>
      <c r="AX1162" s="47"/>
      <c r="AY1162" s="47"/>
    </row>
    <row r="1163" spans="1:51" ht="15.75" customHeight="1">
      <c r="A1163" s="500"/>
      <c r="B1163" s="477"/>
      <c r="C1163" s="481"/>
      <c r="D1163" s="47"/>
      <c r="E1163" s="47"/>
      <c r="F1163" s="478"/>
      <c r="G1163" s="479"/>
      <c r="H1163" s="9"/>
      <c r="I1163" s="9"/>
      <c r="J1163" s="503"/>
      <c r="K1163" s="47"/>
      <c r="L1163" s="47"/>
      <c r="M1163" s="47"/>
      <c r="N1163" s="9"/>
      <c r="O1163" s="9"/>
      <c r="P1163" s="9"/>
      <c r="Q1163" s="47"/>
      <c r="R1163" s="47"/>
      <c r="S1163" s="47"/>
      <c r="T1163" s="47"/>
      <c r="U1163" s="47"/>
      <c r="V1163" s="47"/>
      <c r="W1163" s="47"/>
      <c r="X1163" s="47"/>
      <c r="Y1163" s="47"/>
      <c r="Z1163" s="47"/>
      <c r="AA1163" s="47"/>
      <c r="AB1163" s="47"/>
      <c r="AC1163" s="47"/>
      <c r="AD1163" s="47"/>
      <c r="AE1163" s="47"/>
      <c r="AF1163" s="47"/>
      <c r="AG1163" s="1345"/>
      <c r="AH1163" s="47"/>
      <c r="AI1163" s="47"/>
      <c r="AJ1163" s="47"/>
      <c r="AK1163" s="47"/>
      <c r="AL1163" s="47"/>
      <c r="AM1163" s="47"/>
      <c r="AN1163" s="47"/>
      <c r="AO1163" s="47"/>
      <c r="AP1163" s="47"/>
      <c r="AQ1163" s="47"/>
      <c r="AR1163" s="47"/>
      <c r="AS1163" s="47"/>
      <c r="AT1163" s="47"/>
      <c r="AU1163" s="47"/>
      <c r="AV1163" s="47"/>
      <c r="AW1163" s="47"/>
      <c r="AX1163" s="47"/>
      <c r="AY1163" s="47"/>
    </row>
    <row r="1164" spans="1:51" ht="15.75" customHeight="1">
      <c r="A1164" s="500"/>
      <c r="B1164" s="477"/>
      <c r="C1164" s="481"/>
      <c r="D1164" s="47"/>
      <c r="E1164" s="47"/>
      <c r="F1164" s="478"/>
      <c r="G1164" s="479"/>
      <c r="H1164" s="9"/>
      <c r="I1164" s="9"/>
      <c r="J1164" s="503"/>
      <c r="K1164" s="47"/>
      <c r="L1164" s="47"/>
      <c r="M1164" s="47"/>
      <c r="N1164" s="9"/>
      <c r="O1164" s="9"/>
      <c r="P1164" s="9"/>
      <c r="Q1164" s="47"/>
      <c r="R1164" s="47"/>
      <c r="S1164" s="47"/>
      <c r="T1164" s="47"/>
      <c r="U1164" s="47"/>
      <c r="V1164" s="47"/>
      <c r="W1164" s="47"/>
      <c r="X1164" s="47"/>
      <c r="Y1164" s="47"/>
      <c r="Z1164" s="47"/>
      <c r="AA1164" s="47"/>
      <c r="AB1164" s="47"/>
      <c r="AC1164" s="47"/>
      <c r="AD1164" s="47"/>
      <c r="AE1164" s="47"/>
      <c r="AF1164" s="47"/>
      <c r="AG1164" s="1345"/>
      <c r="AH1164" s="47"/>
      <c r="AI1164" s="47"/>
      <c r="AJ1164" s="47"/>
      <c r="AK1164" s="47"/>
      <c r="AL1164" s="47"/>
      <c r="AM1164" s="47"/>
      <c r="AN1164" s="47"/>
      <c r="AO1164" s="47"/>
      <c r="AP1164" s="47"/>
      <c r="AQ1164" s="47"/>
      <c r="AR1164" s="47"/>
      <c r="AS1164" s="47"/>
      <c r="AT1164" s="47"/>
      <c r="AU1164" s="47"/>
      <c r="AV1164" s="47"/>
      <c r="AW1164" s="47"/>
      <c r="AX1164" s="47"/>
      <c r="AY1164" s="47"/>
    </row>
    <row r="1165" spans="1:51" ht="15.75" customHeight="1">
      <c r="A1165" s="500"/>
      <c r="B1165" s="477"/>
      <c r="C1165" s="481"/>
      <c r="D1165" s="47"/>
      <c r="E1165" s="47"/>
      <c r="F1165" s="478"/>
      <c r="G1165" s="479"/>
      <c r="H1165" s="9"/>
      <c r="I1165" s="9"/>
      <c r="J1165" s="503"/>
      <c r="K1165" s="47"/>
      <c r="L1165" s="47"/>
      <c r="M1165" s="47"/>
      <c r="N1165" s="9"/>
      <c r="O1165" s="9"/>
      <c r="P1165" s="9"/>
      <c r="Q1165" s="47"/>
      <c r="R1165" s="47"/>
      <c r="S1165" s="47"/>
      <c r="T1165" s="47"/>
      <c r="U1165" s="47"/>
      <c r="V1165" s="47"/>
      <c r="W1165" s="47"/>
      <c r="X1165" s="47"/>
      <c r="Y1165" s="47"/>
      <c r="Z1165" s="47"/>
      <c r="AA1165" s="47"/>
      <c r="AB1165" s="47"/>
      <c r="AC1165" s="47"/>
      <c r="AD1165" s="47"/>
      <c r="AE1165" s="47"/>
      <c r="AF1165" s="47"/>
      <c r="AG1165" s="1345"/>
      <c r="AH1165" s="47"/>
      <c r="AI1165" s="47"/>
      <c r="AJ1165" s="47"/>
      <c r="AK1165" s="47"/>
      <c r="AL1165" s="47"/>
      <c r="AM1165" s="47"/>
      <c r="AN1165" s="47"/>
      <c r="AO1165" s="47"/>
      <c r="AP1165" s="47"/>
      <c r="AQ1165" s="47"/>
      <c r="AR1165" s="47"/>
      <c r="AS1165" s="47"/>
      <c r="AT1165" s="47"/>
      <c r="AU1165" s="47"/>
      <c r="AV1165" s="47"/>
      <c r="AW1165" s="47"/>
      <c r="AX1165" s="47"/>
      <c r="AY1165" s="47"/>
    </row>
    <row r="1166" spans="1:51" ht="15.75" customHeight="1">
      <c r="A1166" s="500"/>
      <c r="B1166" s="477"/>
      <c r="C1166" s="481"/>
      <c r="D1166" s="47"/>
      <c r="E1166" s="47"/>
      <c r="F1166" s="478"/>
      <c r="G1166" s="479"/>
      <c r="H1166" s="9"/>
      <c r="I1166" s="9"/>
      <c r="J1166" s="503"/>
      <c r="K1166" s="47"/>
      <c r="L1166" s="47"/>
      <c r="M1166" s="47"/>
      <c r="N1166" s="9"/>
      <c r="O1166" s="9"/>
      <c r="P1166" s="9"/>
      <c r="Q1166" s="47"/>
      <c r="R1166" s="47"/>
      <c r="S1166" s="47"/>
      <c r="T1166" s="47"/>
      <c r="U1166" s="47"/>
      <c r="V1166" s="47"/>
      <c r="W1166" s="47"/>
      <c r="X1166" s="47"/>
      <c r="Y1166" s="47"/>
      <c r="Z1166" s="47"/>
      <c r="AA1166" s="47"/>
      <c r="AB1166" s="47"/>
      <c r="AC1166" s="47"/>
      <c r="AD1166" s="47"/>
      <c r="AE1166" s="47"/>
      <c r="AF1166" s="47"/>
      <c r="AG1166" s="1345"/>
      <c r="AH1166" s="47"/>
      <c r="AI1166" s="47"/>
      <c r="AJ1166" s="47"/>
      <c r="AK1166" s="47"/>
      <c r="AL1166" s="47"/>
      <c r="AM1166" s="47"/>
      <c r="AN1166" s="47"/>
      <c r="AO1166" s="47"/>
      <c r="AP1166" s="47"/>
      <c r="AQ1166" s="47"/>
      <c r="AR1166" s="47"/>
      <c r="AS1166" s="47"/>
      <c r="AT1166" s="47"/>
      <c r="AU1166" s="47"/>
      <c r="AV1166" s="47"/>
      <c r="AW1166" s="47"/>
      <c r="AX1166" s="47"/>
      <c r="AY1166" s="47"/>
    </row>
    <row r="1167" spans="1:51" ht="15.75" customHeight="1">
      <c r="A1167" s="500"/>
      <c r="B1167" s="477"/>
      <c r="C1167" s="481"/>
      <c r="D1167" s="47"/>
      <c r="E1167" s="47"/>
      <c r="F1167" s="478"/>
      <c r="G1167" s="479"/>
      <c r="H1167" s="9"/>
      <c r="I1167" s="9"/>
      <c r="J1167" s="503"/>
      <c r="K1167" s="47"/>
      <c r="L1167" s="47"/>
      <c r="M1167" s="47"/>
      <c r="N1167" s="9"/>
      <c r="O1167" s="9"/>
      <c r="P1167" s="9"/>
      <c r="Q1167" s="47"/>
      <c r="R1167" s="47"/>
      <c r="S1167" s="47"/>
      <c r="T1167" s="47"/>
      <c r="U1167" s="47"/>
      <c r="V1167" s="47"/>
      <c r="W1167" s="47"/>
      <c r="X1167" s="47"/>
      <c r="Y1167" s="47"/>
      <c r="Z1167" s="47"/>
      <c r="AA1167" s="47"/>
      <c r="AB1167" s="47"/>
      <c r="AC1167" s="47"/>
      <c r="AD1167" s="47"/>
      <c r="AE1167" s="47"/>
      <c r="AF1167" s="47"/>
      <c r="AG1167" s="1345"/>
      <c r="AH1167" s="47"/>
      <c r="AI1167" s="47"/>
      <c r="AJ1167" s="47"/>
      <c r="AK1167" s="47"/>
      <c r="AL1167" s="47"/>
      <c r="AM1167" s="47"/>
      <c r="AN1167" s="47"/>
      <c r="AO1167" s="47"/>
      <c r="AP1167" s="47"/>
      <c r="AQ1167" s="47"/>
      <c r="AR1167" s="47"/>
      <c r="AS1167" s="47"/>
      <c r="AT1167" s="47"/>
      <c r="AU1167" s="47"/>
      <c r="AV1167" s="47"/>
      <c r="AW1167" s="47"/>
      <c r="AX1167" s="47"/>
      <c r="AY1167" s="47"/>
    </row>
    <row r="1168" spans="1:51" ht="15.75" customHeight="1">
      <c r="A1168" s="500"/>
      <c r="B1168" s="477"/>
      <c r="C1168" s="481"/>
      <c r="D1168" s="47"/>
      <c r="E1168" s="47"/>
      <c r="F1168" s="478"/>
      <c r="G1168" s="479"/>
      <c r="H1168" s="9"/>
      <c r="I1168" s="9"/>
      <c r="J1168" s="503"/>
      <c r="K1168" s="47"/>
      <c r="L1168" s="47"/>
      <c r="M1168" s="47"/>
      <c r="N1168" s="9"/>
      <c r="O1168" s="9"/>
      <c r="P1168" s="9"/>
      <c r="Q1168" s="47"/>
      <c r="R1168" s="47"/>
      <c r="S1168" s="47"/>
      <c r="T1168" s="47"/>
      <c r="U1168" s="47"/>
      <c r="V1168" s="47"/>
      <c r="W1168" s="47"/>
      <c r="X1168" s="47"/>
      <c r="Y1168" s="47"/>
      <c r="Z1168" s="47"/>
      <c r="AA1168" s="47"/>
      <c r="AB1168" s="47"/>
      <c r="AC1168" s="47"/>
      <c r="AD1168" s="47"/>
      <c r="AE1168" s="47"/>
      <c r="AF1168" s="47"/>
      <c r="AG1168" s="1345"/>
      <c r="AH1168" s="47"/>
      <c r="AI1168" s="47"/>
      <c r="AJ1168" s="47"/>
      <c r="AK1168" s="47"/>
      <c r="AL1168" s="47"/>
      <c r="AM1168" s="47"/>
      <c r="AN1168" s="47"/>
      <c r="AO1168" s="47"/>
      <c r="AP1168" s="47"/>
      <c r="AQ1168" s="47"/>
      <c r="AR1168" s="47"/>
      <c r="AS1168" s="47"/>
      <c r="AT1168" s="47"/>
      <c r="AU1168" s="47"/>
      <c r="AV1168" s="47"/>
      <c r="AW1168" s="47"/>
      <c r="AX1168" s="47"/>
      <c r="AY1168" s="47"/>
    </row>
    <row r="1169" spans="1:51" ht="15.75" customHeight="1">
      <c r="A1169" s="500"/>
      <c r="B1169" s="477"/>
      <c r="C1169" s="481"/>
      <c r="D1169" s="47"/>
      <c r="E1169" s="47"/>
      <c r="F1169" s="478"/>
      <c r="G1169" s="479"/>
      <c r="H1169" s="9"/>
      <c r="I1169" s="9"/>
      <c r="J1169" s="503"/>
      <c r="K1169" s="47"/>
      <c r="L1169" s="47"/>
      <c r="M1169" s="47"/>
      <c r="N1169" s="9"/>
      <c r="O1169" s="9"/>
      <c r="P1169" s="9"/>
      <c r="Q1169" s="47"/>
      <c r="R1169" s="47"/>
      <c r="S1169" s="47"/>
      <c r="T1169" s="47"/>
      <c r="U1169" s="47"/>
      <c r="V1169" s="47"/>
      <c r="W1169" s="47"/>
      <c r="X1169" s="47"/>
      <c r="Y1169" s="47"/>
      <c r="Z1169" s="47"/>
      <c r="AA1169" s="47"/>
      <c r="AB1169" s="47"/>
      <c r="AC1169" s="47"/>
      <c r="AD1169" s="47"/>
      <c r="AE1169" s="47"/>
      <c r="AF1169" s="47"/>
      <c r="AG1169" s="1345"/>
      <c r="AH1169" s="47"/>
      <c r="AI1169" s="47"/>
      <c r="AJ1169" s="47"/>
      <c r="AK1169" s="47"/>
      <c r="AL1169" s="47"/>
      <c r="AM1169" s="47"/>
      <c r="AN1169" s="47"/>
      <c r="AO1169" s="47"/>
      <c r="AP1169" s="47"/>
      <c r="AQ1169" s="47"/>
      <c r="AR1169" s="47"/>
      <c r="AS1169" s="47"/>
      <c r="AT1169" s="47"/>
      <c r="AU1169" s="47"/>
      <c r="AV1169" s="47"/>
      <c r="AW1169" s="47"/>
      <c r="AX1169" s="47"/>
      <c r="AY1169" s="47"/>
    </row>
    <row r="1170" spans="1:51" ht="15.75" customHeight="1">
      <c r="A1170" s="500"/>
      <c r="B1170" s="477"/>
      <c r="C1170" s="481"/>
      <c r="D1170" s="47"/>
      <c r="E1170" s="47"/>
      <c r="F1170" s="478"/>
      <c r="G1170" s="479"/>
      <c r="H1170" s="9"/>
      <c r="I1170" s="9"/>
      <c r="J1170" s="503"/>
      <c r="K1170" s="47"/>
      <c r="L1170" s="47"/>
      <c r="M1170" s="47"/>
      <c r="N1170" s="9"/>
      <c r="O1170" s="9"/>
      <c r="P1170" s="9"/>
      <c r="Q1170" s="47"/>
      <c r="R1170" s="47"/>
      <c r="S1170" s="47"/>
      <c r="T1170" s="47"/>
      <c r="U1170" s="47"/>
      <c r="V1170" s="47"/>
      <c r="W1170" s="47"/>
      <c r="X1170" s="47"/>
      <c r="Y1170" s="47"/>
      <c r="Z1170" s="47"/>
      <c r="AA1170" s="47"/>
      <c r="AB1170" s="47"/>
      <c r="AC1170" s="47"/>
      <c r="AD1170" s="47"/>
      <c r="AE1170" s="47"/>
      <c r="AF1170" s="47"/>
      <c r="AG1170" s="1345"/>
      <c r="AH1170" s="47"/>
      <c r="AI1170" s="47"/>
      <c r="AJ1170" s="47"/>
      <c r="AK1170" s="47"/>
      <c r="AL1170" s="47"/>
      <c r="AM1170" s="47"/>
      <c r="AN1170" s="47"/>
      <c r="AO1170" s="47"/>
      <c r="AP1170" s="47"/>
      <c r="AQ1170" s="47"/>
      <c r="AR1170" s="47"/>
      <c r="AS1170" s="47"/>
      <c r="AT1170" s="47"/>
      <c r="AU1170" s="47"/>
      <c r="AV1170" s="47"/>
      <c r="AW1170" s="47"/>
      <c r="AX1170" s="47"/>
      <c r="AY1170" s="47"/>
    </row>
    <row r="1171" spans="1:51" ht="15.75" customHeight="1">
      <c r="A1171" s="500"/>
      <c r="B1171" s="477"/>
      <c r="C1171" s="481"/>
      <c r="D1171" s="47"/>
      <c r="E1171" s="47"/>
      <c r="F1171" s="478"/>
      <c r="G1171" s="479"/>
      <c r="H1171" s="9"/>
      <c r="I1171" s="11"/>
      <c r="J1171" s="503"/>
      <c r="K1171" s="47"/>
      <c r="L1171" s="47"/>
      <c r="M1171" s="47"/>
      <c r="N1171" s="9"/>
      <c r="O1171" s="9"/>
      <c r="P1171" s="9"/>
      <c r="Q1171" s="47"/>
      <c r="R1171" s="47"/>
      <c r="S1171" s="47"/>
      <c r="T1171" s="47"/>
      <c r="U1171" s="47"/>
      <c r="V1171" s="47"/>
      <c r="W1171" s="47"/>
      <c r="X1171" s="47"/>
      <c r="Y1171" s="47"/>
      <c r="Z1171" s="47"/>
      <c r="AA1171" s="47"/>
      <c r="AB1171" s="47"/>
      <c r="AC1171" s="47"/>
      <c r="AD1171" s="47"/>
      <c r="AE1171" s="47"/>
      <c r="AF1171" s="47"/>
      <c r="AG1171" s="1345"/>
      <c r="AH1171" s="47"/>
      <c r="AI1171" s="47"/>
      <c r="AJ1171" s="47"/>
      <c r="AK1171" s="47"/>
      <c r="AL1171" s="47"/>
      <c r="AM1171" s="47"/>
      <c r="AN1171" s="47"/>
      <c r="AO1171" s="47"/>
      <c r="AP1171" s="47"/>
      <c r="AQ1171" s="47"/>
      <c r="AR1171" s="47"/>
      <c r="AS1171" s="47"/>
      <c r="AT1171" s="47"/>
      <c r="AU1171" s="47"/>
      <c r="AV1171" s="47"/>
      <c r="AW1171" s="47"/>
      <c r="AX1171" s="47"/>
      <c r="AY1171" s="47"/>
    </row>
    <row r="1172" spans="1:51" ht="15.75" customHeight="1">
      <c r="A1172" s="500"/>
      <c r="B1172" s="477"/>
      <c r="C1172" s="481"/>
      <c r="D1172" s="47"/>
      <c r="E1172" s="47"/>
      <c r="F1172" s="478"/>
      <c r="G1172" s="479"/>
      <c r="H1172" s="9"/>
      <c r="I1172" s="9"/>
      <c r="J1172" s="503"/>
      <c r="K1172" s="47"/>
      <c r="L1172" s="47"/>
      <c r="M1172" s="47"/>
      <c r="N1172" s="9"/>
      <c r="O1172" s="9"/>
      <c r="P1172" s="9"/>
      <c r="Q1172" s="47"/>
      <c r="R1172" s="47"/>
      <c r="S1172" s="47"/>
      <c r="T1172" s="47"/>
      <c r="U1172" s="47"/>
      <c r="V1172" s="47"/>
      <c r="W1172" s="47"/>
      <c r="X1172" s="47"/>
      <c r="Y1172" s="47"/>
      <c r="Z1172" s="47"/>
      <c r="AA1172" s="47"/>
      <c r="AB1172" s="47"/>
      <c r="AC1172" s="47"/>
      <c r="AD1172" s="47"/>
      <c r="AE1172" s="47"/>
      <c r="AF1172" s="47"/>
      <c r="AG1172" s="1345"/>
      <c r="AH1172" s="47"/>
      <c r="AI1172" s="47"/>
      <c r="AJ1172" s="47"/>
      <c r="AK1172" s="47"/>
      <c r="AL1172" s="47"/>
      <c r="AM1172" s="47"/>
      <c r="AN1172" s="47"/>
      <c r="AO1172" s="47"/>
      <c r="AP1172" s="47"/>
      <c r="AQ1172" s="47"/>
      <c r="AR1172" s="47"/>
      <c r="AS1172" s="47"/>
      <c r="AT1172" s="47"/>
      <c r="AU1172" s="47"/>
      <c r="AV1172" s="47"/>
      <c r="AW1172" s="47"/>
      <c r="AX1172" s="47"/>
      <c r="AY1172" s="47"/>
    </row>
    <row r="1173" spans="1:51" ht="15.75" customHeight="1">
      <c r="A1173" s="500"/>
      <c r="B1173" s="477"/>
      <c r="C1173" s="481"/>
      <c r="D1173" s="47"/>
      <c r="E1173" s="47"/>
      <c r="F1173" s="478"/>
      <c r="G1173" s="479"/>
      <c r="H1173" s="9"/>
      <c r="I1173" s="478"/>
      <c r="J1173" s="501"/>
      <c r="K1173" s="47"/>
      <c r="L1173" s="47"/>
      <c r="M1173" s="47"/>
      <c r="N1173" s="9"/>
      <c r="O1173" s="9"/>
      <c r="P1173" s="9"/>
      <c r="Q1173" s="47"/>
      <c r="R1173" s="47"/>
      <c r="S1173" s="47"/>
      <c r="T1173" s="47"/>
      <c r="U1173" s="47"/>
      <c r="V1173" s="47"/>
      <c r="W1173" s="47"/>
      <c r="X1173" s="47"/>
      <c r="Y1173" s="47"/>
      <c r="Z1173" s="47"/>
      <c r="AA1173" s="47"/>
      <c r="AB1173" s="47"/>
      <c r="AC1173" s="47"/>
      <c r="AD1173" s="47"/>
      <c r="AE1173" s="47"/>
      <c r="AF1173" s="47"/>
      <c r="AG1173" s="1345"/>
      <c r="AH1173" s="47"/>
      <c r="AI1173" s="47"/>
      <c r="AJ1173" s="47"/>
      <c r="AK1173" s="47"/>
      <c r="AL1173" s="47"/>
      <c r="AM1173" s="47"/>
      <c r="AN1173" s="47"/>
      <c r="AO1173" s="47"/>
      <c r="AP1173" s="47"/>
      <c r="AQ1173" s="47"/>
      <c r="AR1173" s="47"/>
      <c r="AS1173" s="47"/>
      <c r="AT1173" s="47"/>
      <c r="AU1173" s="47"/>
      <c r="AV1173" s="47"/>
      <c r="AW1173" s="47"/>
      <c r="AX1173" s="47"/>
      <c r="AY1173" s="47"/>
    </row>
    <row r="1174" spans="1:51" ht="15.75" customHeight="1">
      <c r="A1174" s="500"/>
      <c r="B1174" s="477"/>
      <c r="C1174" s="481"/>
      <c r="D1174" s="47"/>
      <c r="E1174" s="47"/>
      <c r="F1174" s="478"/>
      <c r="G1174" s="479"/>
      <c r="H1174" s="9"/>
      <c r="I1174" s="478"/>
      <c r="J1174" s="501"/>
      <c r="K1174" s="47"/>
      <c r="L1174" s="47"/>
      <c r="M1174" s="47"/>
      <c r="N1174" s="9"/>
      <c r="O1174" s="9"/>
      <c r="P1174" s="9"/>
      <c r="Q1174" s="47"/>
      <c r="R1174" s="47"/>
      <c r="S1174" s="47"/>
      <c r="T1174" s="47"/>
      <c r="U1174" s="47"/>
      <c r="V1174" s="47"/>
      <c r="W1174" s="47"/>
      <c r="X1174" s="47"/>
      <c r="Y1174" s="47"/>
      <c r="Z1174" s="47"/>
      <c r="AA1174" s="47"/>
      <c r="AB1174" s="47"/>
      <c r="AC1174" s="47"/>
      <c r="AD1174" s="47"/>
      <c r="AE1174" s="47"/>
      <c r="AF1174" s="47"/>
      <c r="AG1174" s="1345"/>
      <c r="AH1174" s="47"/>
      <c r="AI1174" s="47"/>
      <c r="AJ1174" s="47"/>
      <c r="AK1174" s="47"/>
      <c r="AL1174" s="47"/>
      <c r="AM1174" s="47"/>
      <c r="AN1174" s="47"/>
      <c r="AO1174" s="47"/>
      <c r="AP1174" s="47"/>
      <c r="AQ1174" s="47"/>
      <c r="AR1174" s="47"/>
      <c r="AS1174" s="47"/>
      <c r="AT1174" s="47"/>
      <c r="AU1174" s="47"/>
      <c r="AV1174" s="47"/>
      <c r="AW1174" s="47"/>
      <c r="AX1174" s="47"/>
      <c r="AY1174" s="47"/>
    </row>
    <row r="1175" spans="1:51" ht="15.75" customHeight="1">
      <c r="A1175" s="500"/>
      <c r="B1175" s="477"/>
      <c r="C1175" s="481"/>
      <c r="D1175" s="47"/>
      <c r="E1175" s="47"/>
      <c r="F1175" s="478"/>
      <c r="G1175" s="479"/>
      <c r="H1175" s="9"/>
      <c r="I1175" s="10"/>
      <c r="J1175" s="503"/>
      <c r="K1175" s="47"/>
      <c r="L1175" s="47"/>
      <c r="M1175" s="47"/>
      <c r="N1175" s="9"/>
      <c r="O1175" s="9"/>
      <c r="P1175" s="9"/>
      <c r="Q1175" s="47"/>
      <c r="R1175" s="47"/>
      <c r="S1175" s="47"/>
      <c r="T1175" s="47"/>
      <c r="U1175" s="47"/>
      <c r="V1175" s="47"/>
      <c r="W1175" s="47"/>
      <c r="X1175" s="47"/>
      <c r="Y1175" s="47"/>
      <c r="Z1175" s="47"/>
      <c r="AA1175" s="47"/>
      <c r="AB1175" s="47"/>
      <c r="AC1175" s="47"/>
      <c r="AD1175" s="47"/>
      <c r="AE1175" s="47"/>
      <c r="AF1175" s="47"/>
      <c r="AG1175" s="1345"/>
      <c r="AH1175" s="47"/>
      <c r="AI1175" s="47"/>
      <c r="AJ1175" s="47"/>
      <c r="AK1175" s="47"/>
      <c r="AL1175" s="47"/>
      <c r="AM1175" s="47"/>
      <c r="AN1175" s="47"/>
      <c r="AO1175" s="47"/>
      <c r="AP1175" s="47"/>
      <c r="AQ1175" s="47"/>
      <c r="AR1175" s="47"/>
      <c r="AS1175" s="47"/>
      <c r="AT1175" s="47"/>
      <c r="AU1175" s="47"/>
      <c r="AV1175" s="47"/>
      <c r="AW1175" s="47"/>
      <c r="AX1175" s="47"/>
      <c r="AY1175" s="47"/>
    </row>
    <row r="1176" spans="1:51" ht="15.75" customHeight="1">
      <c r="A1176" s="500"/>
      <c r="B1176" s="477"/>
      <c r="C1176" s="481"/>
      <c r="D1176" s="47"/>
      <c r="E1176" s="47"/>
      <c r="F1176" s="478"/>
      <c r="G1176" s="479"/>
      <c r="H1176" s="9"/>
      <c r="I1176" s="10"/>
      <c r="J1176" s="503"/>
      <c r="K1176" s="47"/>
      <c r="L1176" s="47"/>
      <c r="M1176" s="47"/>
      <c r="N1176" s="9"/>
      <c r="O1176" s="9"/>
      <c r="P1176" s="9"/>
      <c r="Q1176" s="47"/>
      <c r="R1176" s="47"/>
      <c r="S1176" s="47"/>
      <c r="T1176" s="47"/>
      <c r="U1176" s="47"/>
      <c r="V1176" s="47"/>
      <c r="W1176" s="47"/>
      <c r="X1176" s="47"/>
      <c r="Y1176" s="47"/>
      <c r="Z1176" s="47"/>
      <c r="AA1176" s="47"/>
      <c r="AB1176" s="47"/>
      <c r="AC1176" s="47"/>
      <c r="AD1176" s="47"/>
      <c r="AE1176" s="47"/>
      <c r="AF1176" s="47"/>
      <c r="AG1176" s="1345"/>
      <c r="AH1176" s="47"/>
      <c r="AI1176" s="47"/>
      <c r="AJ1176" s="47"/>
      <c r="AK1176" s="47"/>
      <c r="AL1176" s="47"/>
      <c r="AM1176" s="47"/>
      <c r="AN1176" s="47"/>
      <c r="AO1176" s="47"/>
      <c r="AP1176" s="47"/>
      <c r="AQ1176" s="47"/>
      <c r="AR1176" s="47"/>
      <c r="AS1176" s="47"/>
      <c r="AT1176" s="47"/>
      <c r="AU1176" s="47"/>
      <c r="AV1176" s="47"/>
      <c r="AW1176" s="47"/>
      <c r="AX1176" s="47"/>
      <c r="AY1176" s="47"/>
    </row>
    <row r="1177" spans="1:51" ht="15.75" customHeight="1">
      <c r="A1177" s="500"/>
      <c r="B1177" s="477"/>
      <c r="C1177" s="481"/>
      <c r="D1177" s="47"/>
      <c r="E1177" s="47"/>
      <c r="F1177" s="478"/>
      <c r="G1177" s="479"/>
      <c r="H1177" s="9"/>
      <c r="I1177" s="10"/>
      <c r="J1177" s="503"/>
      <c r="K1177" s="47"/>
      <c r="L1177" s="47"/>
      <c r="M1177" s="47"/>
      <c r="N1177" s="9"/>
      <c r="O1177" s="9"/>
      <c r="P1177" s="9"/>
      <c r="Q1177" s="47"/>
      <c r="R1177" s="47"/>
      <c r="S1177" s="47"/>
      <c r="T1177" s="47"/>
      <c r="U1177" s="47"/>
      <c r="V1177" s="47"/>
      <c r="W1177" s="47"/>
      <c r="X1177" s="47"/>
      <c r="Y1177" s="47"/>
      <c r="Z1177" s="47"/>
      <c r="AA1177" s="47"/>
      <c r="AB1177" s="47"/>
      <c r="AC1177" s="47"/>
      <c r="AD1177" s="47"/>
      <c r="AE1177" s="47"/>
      <c r="AF1177" s="47"/>
      <c r="AG1177" s="1345"/>
      <c r="AH1177" s="47"/>
      <c r="AI1177" s="47"/>
      <c r="AJ1177" s="47"/>
      <c r="AK1177" s="47"/>
      <c r="AL1177" s="47"/>
      <c r="AM1177" s="47"/>
      <c r="AN1177" s="47"/>
      <c r="AO1177" s="47"/>
      <c r="AP1177" s="47"/>
      <c r="AQ1177" s="47"/>
      <c r="AR1177" s="47"/>
      <c r="AS1177" s="47"/>
      <c r="AT1177" s="47"/>
      <c r="AU1177" s="47"/>
      <c r="AV1177" s="47"/>
      <c r="AW1177" s="47"/>
      <c r="AX1177" s="47"/>
      <c r="AY1177" s="47"/>
    </row>
    <row r="1178" spans="1:51" ht="15.75" customHeight="1">
      <c r="A1178" s="500"/>
      <c r="B1178" s="477"/>
      <c r="C1178" s="481"/>
      <c r="D1178" s="47"/>
      <c r="E1178" s="47"/>
      <c r="F1178" s="478"/>
      <c r="G1178" s="479"/>
      <c r="H1178" s="9"/>
      <c r="I1178" s="10"/>
      <c r="J1178" s="503"/>
      <c r="K1178" s="47"/>
      <c r="L1178" s="47"/>
      <c r="M1178" s="47"/>
      <c r="N1178" s="9"/>
      <c r="O1178" s="9"/>
      <c r="P1178" s="9"/>
      <c r="Q1178" s="47"/>
      <c r="R1178" s="47"/>
      <c r="S1178" s="47"/>
      <c r="T1178" s="47"/>
      <c r="U1178" s="47"/>
      <c r="V1178" s="47"/>
      <c r="W1178" s="47"/>
      <c r="X1178" s="47"/>
      <c r="Y1178" s="47"/>
      <c r="Z1178" s="47"/>
      <c r="AA1178" s="47"/>
      <c r="AB1178" s="47"/>
      <c r="AC1178" s="47"/>
      <c r="AD1178" s="47"/>
      <c r="AE1178" s="47"/>
      <c r="AF1178" s="47"/>
      <c r="AG1178" s="1345"/>
      <c r="AH1178" s="47"/>
      <c r="AI1178" s="47"/>
      <c r="AJ1178" s="47"/>
      <c r="AK1178" s="47"/>
      <c r="AL1178" s="47"/>
      <c r="AM1178" s="47"/>
      <c r="AN1178" s="47"/>
      <c r="AO1178" s="47"/>
      <c r="AP1178" s="47"/>
      <c r="AQ1178" s="47"/>
      <c r="AR1178" s="47"/>
      <c r="AS1178" s="47"/>
      <c r="AT1178" s="47"/>
      <c r="AU1178" s="47"/>
      <c r="AV1178" s="47"/>
      <c r="AW1178" s="47"/>
      <c r="AX1178" s="47"/>
      <c r="AY1178" s="47"/>
    </row>
    <row r="1179" spans="1:51" ht="15.75" customHeight="1">
      <c r="A1179" s="500"/>
      <c r="B1179" s="477"/>
      <c r="C1179" s="481"/>
      <c r="D1179" s="47"/>
      <c r="E1179" s="47"/>
      <c r="F1179" s="478"/>
      <c r="G1179" s="479"/>
      <c r="H1179" s="9"/>
      <c r="I1179" s="10"/>
      <c r="J1179" s="503"/>
      <c r="K1179" s="47"/>
      <c r="L1179" s="47"/>
      <c r="M1179" s="47"/>
      <c r="N1179" s="9"/>
      <c r="O1179" s="9"/>
      <c r="P1179" s="9"/>
      <c r="Q1179" s="47"/>
      <c r="R1179" s="47"/>
      <c r="S1179" s="47"/>
      <c r="T1179" s="47"/>
      <c r="U1179" s="47"/>
      <c r="V1179" s="47"/>
      <c r="W1179" s="47"/>
      <c r="X1179" s="47"/>
      <c r="Y1179" s="47"/>
      <c r="Z1179" s="47"/>
      <c r="AA1179" s="47"/>
      <c r="AB1179" s="47"/>
      <c r="AC1179" s="47"/>
      <c r="AD1179" s="47"/>
      <c r="AE1179" s="47"/>
      <c r="AF1179" s="47"/>
      <c r="AG1179" s="1345"/>
      <c r="AH1179" s="47"/>
      <c r="AI1179" s="47"/>
      <c r="AJ1179" s="47"/>
      <c r="AK1179" s="47"/>
      <c r="AL1179" s="47"/>
      <c r="AM1179" s="47"/>
      <c r="AN1179" s="47"/>
      <c r="AO1179" s="47"/>
      <c r="AP1179" s="47"/>
      <c r="AQ1179" s="47"/>
      <c r="AR1179" s="47"/>
      <c r="AS1179" s="47"/>
      <c r="AT1179" s="47"/>
      <c r="AU1179" s="47"/>
      <c r="AV1179" s="47"/>
      <c r="AW1179" s="47"/>
      <c r="AX1179" s="47"/>
      <c r="AY1179" s="47"/>
    </row>
    <row r="1180" spans="1:51" ht="15.75" customHeight="1">
      <c r="A1180" s="500"/>
      <c r="B1180" s="477"/>
      <c r="C1180" s="481"/>
      <c r="D1180" s="47"/>
      <c r="E1180" s="47"/>
      <c r="F1180" s="478"/>
      <c r="G1180" s="479"/>
      <c r="H1180" s="9"/>
      <c r="I1180" s="9"/>
      <c r="J1180" s="503"/>
      <c r="K1180" s="47"/>
      <c r="L1180" s="47"/>
      <c r="M1180" s="47"/>
      <c r="N1180" s="9"/>
      <c r="O1180" s="9"/>
      <c r="P1180" s="9"/>
      <c r="Q1180" s="47"/>
      <c r="R1180" s="47"/>
      <c r="S1180" s="47"/>
      <c r="T1180" s="47"/>
      <c r="U1180" s="47"/>
      <c r="V1180" s="47"/>
      <c r="W1180" s="47"/>
      <c r="X1180" s="47"/>
      <c r="Y1180" s="47"/>
      <c r="Z1180" s="47"/>
      <c r="AA1180" s="47"/>
      <c r="AB1180" s="47"/>
      <c r="AC1180" s="47"/>
      <c r="AD1180" s="47"/>
      <c r="AE1180" s="47"/>
      <c r="AF1180" s="47"/>
      <c r="AG1180" s="1345"/>
      <c r="AH1180" s="47"/>
      <c r="AI1180" s="47"/>
      <c r="AJ1180" s="47"/>
      <c r="AK1180" s="47"/>
      <c r="AL1180" s="47"/>
      <c r="AM1180" s="47"/>
      <c r="AN1180" s="47"/>
      <c r="AO1180" s="47"/>
      <c r="AP1180" s="47"/>
      <c r="AQ1180" s="47"/>
      <c r="AR1180" s="47"/>
      <c r="AS1180" s="47"/>
      <c r="AT1180" s="47"/>
      <c r="AU1180" s="47"/>
      <c r="AV1180" s="47"/>
      <c r="AW1180" s="47"/>
      <c r="AX1180" s="47"/>
      <c r="AY1180" s="47"/>
    </row>
    <row r="1181" spans="1:51" ht="15.75" customHeight="1">
      <c r="A1181" s="500"/>
      <c r="B1181" s="477"/>
      <c r="C1181" s="481"/>
      <c r="D1181" s="47"/>
      <c r="E1181" s="47"/>
      <c r="F1181" s="478"/>
      <c r="G1181" s="479"/>
      <c r="H1181" s="9"/>
      <c r="I1181" s="10"/>
      <c r="J1181" s="503"/>
      <c r="K1181" s="47"/>
      <c r="L1181" s="47"/>
      <c r="M1181" s="47"/>
      <c r="N1181" s="9"/>
      <c r="O1181" s="9"/>
      <c r="P1181" s="9"/>
      <c r="Q1181" s="47"/>
      <c r="R1181" s="47"/>
      <c r="S1181" s="47"/>
      <c r="T1181" s="47"/>
      <c r="U1181" s="47"/>
      <c r="V1181" s="47"/>
      <c r="W1181" s="47"/>
      <c r="X1181" s="47"/>
      <c r="Y1181" s="47"/>
      <c r="Z1181" s="47"/>
      <c r="AA1181" s="47"/>
      <c r="AB1181" s="47"/>
      <c r="AC1181" s="47"/>
      <c r="AD1181" s="47"/>
      <c r="AE1181" s="47"/>
      <c r="AF1181" s="47"/>
      <c r="AG1181" s="1345"/>
      <c r="AH1181" s="47"/>
      <c r="AI1181" s="47"/>
      <c r="AJ1181" s="47"/>
      <c r="AK1181" s="47"/>
      <c r="AL1181" s="47"/>
      <c r="AM1181" s="47"/>
      <c r="AN1181" s="47"/>
      <c r="AO1181" s="47"/>
      <c r="AP1181" s="47"/>
      <c r="AQ1181" s="47"/>
      <c r="AR1181" s="47"/>
      <c r="AS1181" s="47"/>
      <c r="AT1181" s="47"/>
      <c r="AU1181" s="47"/>
      <c r="AV1181" s="47"/>
      <c r="AW1181" s="47"/>
      <c r="AX1181" s="47"/>
      <c r="AY1181" s="47"/>
    </row>
    <row r="1182" spans="1:51" ht="15.75" customHeight="1">
      <c r="A1182" s="500"/>
      <c r="B1182" s="477"/>
      <c r="C1182" s="481"/>
      <c r="D1182" s="47"/>
      <c r="E1182" s="47"/>
      <c r="F1182" s="478"/>
      <c r="G1182" s="479"/>
      <c r="H1182" s="9"/>
      <c r="I1182" s="10"/>
      <c r="J1182" s="503"/>
      <c r="K1182" s="47"/>
      <c r="L1182" s="47"/>
      <c r="M1182" s="47"/>
      <c r="N1182" s="9"/>
      <c r="O1182" s="9"/>
      <c r="P1182" s="9"/>
      <c r="Q1182" s="47"/>
      <c r="R1182" s="47"/>
      <c r="S1182" s="47"/>
      <c r="T1182" s="47"/>
      <c r="U1182" s="47"/>
      <c r="V1182" s="47"/>
      <c r="W1182" s="47"/>
      <c r="X1182" s="47"/>
      <c r="Y1182" s="47"/>
      <c r="Z1182" s="47"/>
      <c r="AA1182" s="47"/>
      <c r="AB1182" s="47"/>
      <c r="AC1182" s="47"/>
      <c r="AD1182" s="47"/>
      <c r="AE1182" s="47"/>
      <c r="AF1182" s="47"/>
      <c r="AG1182" s="1345"/>
      <c r="AH1182" s="47"/>
      <c r="AI1182" s="47"/>
      <c r="AJ1182" s="47"/>
      <c r="AK1182" s="47"/>
      <c r="AL1182" s="47"/>
      <c r="AM1182" s="47"/>
      <c r="AN1182" s="47"/>
      <c r="AO1182" s="47"/>
      <c r="AP1182" s="47"/>
      <c r="AQ1182" s="47"/>
      <c r="AR1182" s="47"/>
      <c r="AS1182" s="47"/>
      <c r="AT1182" s="47"/>
      <c r="AU1182" s="47"/>
      <c r="AV1182" s="47"/>
      <c r="AW1182" s="47"/>
      <c r="AX1182" s="47"/>
      <c r="AY1182" s="47"/>
    </row>
    <row r="1183" spans="1:51" ht="15.75" customHeight="1">
      <c r="A1183" s="500"/>
      <c r="B1183" s="477"/>
      <c r="C1183" s="481"/>
      <c r="D1183" s="47"/>
      <c r="E1183" s="47"/>
      <c r="F1183" s="478"/>
      <c r="G1183" s="479"/>
      <c r="H1183" s="9"/>
      <c r="I1183" s="10"/>
      <c r="J1183" s="503"/>
      <c r="K1183" s="47"/>
      <c r="L1183" s="47"/>
      <c r="M1183" s="47"/>
      <c r="N1183" s="9"/>
      <c r="O1183" s="9"/>
      <c r="P1183" s="9"/>
      <c r="Q1183" s="47"/>
      <c r="R1183" s="47"/>
      <c r="S1183" s="47"/>
      <c r="T1183" s="47"/>
      <c r="U1183" s="47"/>
      <c r="V1183" s="47"/>
      <c r="W1183" s="47"/>
      <c r="X1183" s="47"/>
      <c r="Y1183" s="47"/>
      <c r="Z1183" s="47"/>
      <c r="AA1183" s="47"/>
      <c r="AB1183" s="47"/>
      <c r="AC1183" s="47"/>
      <c r="AD1183" s="47"/>
      <c r="AE1183" s="47"/>
      <c r="AF1183" s="47"/>
      <c r="AG1183" s="1345"/>
      <c r="AH1183" s="47"/>
      <c r="AI1183" s="47"/>
      <c r="AJ1183" s="47"/>
      <c r="AK1183" s="47"/>
      <c r="AL1183" s="47"/>
      <c r="AM1183" s="47"/>
      <c r="AN1183" s="47"/>
      <c r="AO1183" s="47"/>
      <c r="AP1183" s="47"/>
      <c r="AQ1183" s="47"/>
      <c r="AR1183" s="47"/>
      <c r="AS1183" s="47"/>
      <c r="AT1183" s="47"/>
      <c r="AU1183" s="47"/>
      <c r="AV1183" s="47"/>
      <c r="AW1183" s="47"/>
      <c r="AX1183" s="47"/>
      <c r="AY1183" s="47"/>
    </row>
    <row r="1184" spans="1:51" ht="15.75" customHeight="1">
      <c r="A1184" s="500"/>
      <c r="B1184" s="477"/>
      <c r="C1184" s="481"/>
      <c r="D1184" s="47"/>
      <c r="E1184" s="47"/>
      <c r="F1184" s="478"/>
      <c r="G1184" s="479"/>
      <c r="H1184" s="9"/>
      <c r="I1184" s="9"/>
      <c r="J1184" s="503"/>
      <c r="K1184" s="47"/>
      <c r="L1184" s="47"/>
      <c r="M1184" s="47"/>
      <c r="N1184" s="9"/>
      <c r="O1184" s="9"/>
      <c r="P1184" s="9"/>
      <c r="Q1184" s="47"/>
      <c r="R1184" s="47"/>
      <c r="S1184" s="47"/>
      <c r="T1184" s="47"/>
      <c r="U1184" s="47"/>
      <c r="V1184" s="47"/>
      <c r="W1184" s="47"/>
      <c r="X1184" s="47"/>
      <c r="Y1184" s="47"/>
      <c r="Z1184" s="47"/>
      <c r="AA1184" s="47"/>
      <c r="AB1184" s="47"/>
      <c r="AC1184" s="47"/>
      <c r="AD1184" s="47"/>
      <c r="AE1184" s="47"/>
      <c r="AF1184" s="47"/>
      <c r="AG1184" s="1345"/>
      <c r="AH1184" s="47"/>
      <c r="AI1184" s="47"/>
      <c r="AJ1184" s="47"/>
      <c r="AK1184" s="47"/>
      <c r="AL1184" s="47"/>
      <c r="AM1184" s="47"/>
      <c r="AN1184" s="47"/>
      <c r="AO1184" s="47"/>
      <c r="AP1184" s="47"/>
      <c r="AQ1184" s="47"/>
      <c r="AR1184" s="47"/>
      <c r="AS1184" s="47"/>
      <c r="AT1184" s="47"/>
      <c r="AU1184" s="47"/>
      <c r="AV1184" s="47"/>
      <c r="AW1184" s="47"/>
      <c r="AX1184" s="47"/>
      <c r="AY1184" s="47"/>
    </row>
    <row r="1185" spans="1:51" ht="15.75" customHeight="1">
      <c r="A1185" s="500"/>
      <c r="B1185" s="477"/>
      <c r="C1185" s="481"/>
      <c r="D1185" s="47"/>
      <c r="E1185" s="47"/>
      <c r="F1185" s="478"/>
      <c r="G1185" s="479"/>
      <c r="H1185" s="9"/>
      <c r="I1185" s="10"/>
      <c r="J1185" s="503"/>
      <c r="K1185" s="47"/>
      <c r="L1185" s="47"/>
      <c r="M1185" s="47"/>
      <c r="N1185" s="9"/>
      <c r="O1185" s="9"/>
      <c r="P1185" s="9"/>
      <c r="Q1185" s="47"/>
      <c r="R1185" s="47"/>
      <c r="S1185" s="47"/>
      <c r="T1185" s="47"/>
      <c r="U1185" s="47"/>
      <c r="V1185" s="47"/>
      <c r="W1185" s="47"/>
      <c r="X1185" s="47"/>
      <c r="Y1185" s="47"/>
      <c r="Z1185" s="47"/>
      <c r="AA1185" s="47"/>
      <c r="AB1185" s="47"/>
      <c r="AC1185" s="47"/>
      <c r="AD1185" s="47"/>
      <c r="AE1185" s="47"/>
      <c r="AF1185" s="47"/>
      <c r="AG1185" s="1345"/>
      <c r="AH1185" s="47"/>
      <c r="AI1185" s="47"/>
      <c r="AJ1185" s="47"/>
      <c r="AK1185" s="47"/>
      <c r="AL1185" s="47"/>
      <c r="AM1185" s="47"/>
      <c r="AN1185" s="47"/>
      <c r="AO1185" s="47"/>
      <c r="AP1185" s="47"/>
      <c r="AQ1185" s="47"/>
      <c r="AR1185" s="47"/>
      <c r="AS1185" s="47"/>
      <c r="AT1185" s="47"/>
      <c r="AU1185" s="47"/>
      <c r="AV1185" s="47"/>
      <c r="AW1185" s="47"/>
      <c r="AX1185" s="47"/>
      <c r="AY1185" s="47"/>
    </row>
    <row r="1186" spans="1:51" ht="15.75" customHeight="1">
      <c r="A1186" s="500"/>
      <c r="B1186" s="477"/>
      <c r="C1186" s="481"/>
      <c r="D1186" s="47"/>
      <c r="E1186" s="47"/>
      <c r="F1186" s="478"/>
      <c r="G1186" s="479"/>
      <c r="H1186" s="9"/>
      <c r="I1186" s="9"/>
      <c r="J1186" s="503"/>
      <c r="K1186" s="47"/>
      <c r="L1186" s="47"/>
      <c r="M1186" s="47"/>
      <c r="N1186" s="9"/>
      <c r="O1186" s="9"/>
      <c r="P1186" s="9"/>
      <c r="Q1186" s="47"/>
      <c r="R1186" s="47"/>
      <c r="S1186" s="47"/>
      <c r="T1186" s="47"/>
      <c r="U1186" s="47"/>
      <c r="V1186" s="47"/>
      <c r="W1186" s="47"/>
      <c r="X1186" s="47"/>
      <c r="Y1186" s="47"/>
      <c r="Z1186" s="47"/>
      <c r="AA1186" s="47"/>
      <c r="AB1186" s="47"/>
      <c r="AC1186" s="47"/>
      <c r="AD1186" s="47"/>
      <c r="AE1186" s="47"/>
      <c r="AF1186" s="47"/>
      <c r="AG1186" s="1345"/>
      <c r="AH1186" s="47"/>
      <c r="AI1186" s="47"/>
      <c r="AJ1186" s="47"/>
      <c r="AK1186" s="47"/>
      <c r="AL1186" s="47"/>
      <c r="AM1186" s="47"/>
      <c r="AN1186" s="47"/>
      <c r="AO1186" s="47"/>
      <c r="AP1186" s="47"/>
      <c r="AQ1186" s="47"/>
      <c r="AR1186" s="47"/>
      <c r="AS1186" s="47"/>
      <c r="AT1186" s="47"/>
      <c r="AU1186" s="47"/>
      <c r="AV1186" s="47"/>
      <c r="AW1186" s="47"/>
      <c r="AX1186" s="47"/>
      <c r="AY1186" s="47"/>
    </row>
    <row r="1187" spans="1:51" ht="15.75" customHeight="1">
      <c r="A1187" s="500"/>
      <c r="B1187" s="477"/>
      <c r="C1187" s="481"/>
      <c r="D1187" s="47"/>
      <c r="E1187" s="47"/>
      <c r="F1187" s="478"/>
      <c r="G1187" s="479"/>
      <c r="H1187" s="9"/>
      <c r="I1187" s="10"/>
      <c r="J1187" s="503"/>
      <c r="K1187" s="47"/>
      <c r="L1187" s="47"/>
      <c r="M1187" s="47"/>
      <c r="N1187" s="9"/>
      <c r="O1187" s="9"/>
      <c r="P1187" s="9"/>
      <c r="Q1187" s="47"/>
      <c r="R1187" s="47"/>
      <c r="S1187" s="47"/>
      <c r="T1187" s="47"/>
      <c r="U1187" s="47"/>
      <c r="V1187" s="47"/>
      <c r="W1187" s="47"/>
      <c r="X1187" s="47"/>
      <c r="Y1187" s="47"/>
      <c r="Z1187" s="47"/>
      <c r="AA1187" s="47"/>
      <c r="AB1187" s="47"/>
      <c r="AC1187" s="47"/>
      <c r="AD1187" s="47"/>
      <c r="AE1187" s="47"/>
      <c r="AF1187" s="47"/>
      <c r="AG1187" s="1345"/>
      <c r="AH1187" s="47"/>
      <c r="AI1187" s="47"/>
      <c r="AJ1187" s="47"/>
      <c r="AK1187" s="47"/>
      <c r="AL1187" s="47"/>
      <c r="AM1187" s="47"/>
      <c r="AN1187" s="47"/>
      <c r="AO1187" s="47"/>
      <c r="AP1187" s="47"/>
      <c r="AQ1187" s="47"/>
      <c r="AR1187" s="47"/>
      <c r="AS1187" s="47"/>
      <c r="AT1187" s="47"/>
      <c r="AU1187" s="47"/>
      <c r="AV1187" s="47"/>
      <c r="AW1187" s="47"/>
      <c r="AX1187" s="47"/>
      <c r="AY1187" s="47"/>
    </row>
    <row r="1188" spans="1:51" ht="15.75" customHeight="1">
      <c r="A1188" s="500"/>
      <c r="B1188" s="477"/>
      <c r="C1188" s="481"/>
      <c r="D1188" s="47"/>
      <c r="E1188" s="47"/>
      <c r="F1188" s="478"/>
      <c r="G1188" s="479"/>
      <c r="H1188" s="9"/>
      <c r="I1188" s="9"/>
      <c r="J1188" s="503"/>
      <c r="K1188" s="47"/>
      <c r="L1188" s="47"/>
      <c r="M1188" s="47"/>
      <c r="N1188" s="9"/>
      <c r="O1188" s="9"/>
      <c r="P1188" s="9"/>
      <c r="Q1188" s="47"/>
      <c r="R1188" s="47"/>
      <c r="S1188" s="47"/>
      <c r="T1188" s="47"/>
      <c r="U1188" s="47"/>
      <c r="V1188" s="47"/>
      <c r="W1188" s="47"/>
      <c r="X1188" s="47"/>
      <c r="Y1188" s="47"/>
      <c r="Z1188" s="47"/>
      <c r="AA1188" s="47"/>
      <c r="AB1188" s="47"/>
      <c r="AC1188" s="47"/>
      <c r="AD1188" s="47"/>
      <c r="AE1188" s="47"/>
      <c r="AF1188" s="47"/>
      <c r="AG1188" s="1345"/>
      <c r="AH1188" s="47"/>
      <c r="AI1188" s="47"/>
      <c r="AJ1188" s="47"/>
      <c r="AK1188" s="47"/>
      <c r="AL1188" s="47"/>
      <c r="AM1188" s="47"/>
      <c r="AN1188" s="47"/>
      <c r="AO1188" s="47"/>
      <c r="AP1188" s="47"/>
      <c r="AQ1188" s="47"/>
      <c r="AR1188" s="47"/>
      <c r="AS1188" s="47"/>
      <c r="AT1188" s="47"/>
      <c r="AU1188" s="47"/>
      <c r="AV1188" s="47"/>
      <c r="AW1188" s="47"/>
      <c r="AX1188" s="47"/>
      <c r="AY1188" s="47"/>
    </row>
    <row r="1189" spans="1:51" ht="15.75" customHeight="1">
      <c r="A1189" s="500"/>
      <c r="B1189" s="477"/>
      <c r="C1189" s="481"/>
      <c r="D1189" s="47"/>
      <c r="E1189" s="47"/>
      <c r="F1189" s="478"/>
      <c r="G1189" s="479"/>
      <c r="H1189" s="9"/>
      <c r="I1189" s="10"/>
      <c r="J1189" s="503"/>
      <c r="K1189" s="47"/>
      <c r="L1189" s="47"/>
      <c r="M1189" s="47"/>
      <c r="N1189" s="9"/>
      <c r="O1189" s="9"/>
      <c r="P1189" s="9"/>
      <c r="Q1189" s="47"/>
      <c r="R1189" s="47"/>
      <c r="S1189" s="47"/>
      <c r="T1189" s="47"/>
      <c r="U1189" s="47"/>
      <c r="V1189" s="47"/>
      <c r="W1189" s="47"/>
      <c r="X1189" s="47"/>
      <c r="Y1189" s="47"/>
      <c r="Z1189" s="47"/>
      <c r="AA1189" s="47"/>
      <c r="AB1189" s="47"/>
      <c r="AC1189" s="47"/>
      <c r="AD1189" s="47"/>
      <c r="AE1189" s="47"/>
      <c r="AF1189" s="47"/>
      <c r="AG1189" s="1345"/>
      <c r="AH1189" s="47"/>
      <c r="AI1189" s="47"/>
      <c r="AJ1189" s="47"/>
      <c r="AK1189" s="47"/>
      <c r="AL1189" s="47"/>
      <c r="AM1189" s="47"/>
      <c r="AN1189" s="47"/>
      <c r="AO1189" s="47"/>
      <c r="AP1189" s="47"/>
      <c r="AQ1189" s="47"/>
      <c r="AR1189" s="47"/>
      <c r="AS1189" s="47"/>
      <c r="AT1189" s="47"/>
      <c r="AU1189" s="47"/>
      <c r="AV1189" s="47"/>
      <c r="AW1189" s="47"/>
      <c r="AX1189" s="47"/>
      <c r="AY1189" s="47"/>
    </row>
    <row r="1190" spans="1:51" ht="15.75" customHeight="1">
      <c r="A1190" s="500"/>
      <c r="B1190" s="477"/>
      <c r="C1190" s="481"/>
      <c r="D1190" s="47"/>
      <c r="E1190" s="47"/>
      <c r="F1190" s="478"/>
      <c r="G1190" s="479"/>
      <c r="H1190" s="9"/>
      <c r="I1190" s="9"/>
      <c r="J1190" s="503"/>
      <c r="K1190" s="47"/>
      <c r="L1190" s="47"/>
      <c r="M1190" s="47"/>
      <c r="N1190" s="9"/>
      <c r="O1190" s="9"/>
      <c r="P1190" s="9"/>
      <c r="Q1190" s="47"/>
      <c r="R1190" s="47"/>
      <c r="S1190" s="47"/>
      <c r="T1190" s="47"/>
      <c r="U1190" s="47"/>
      <c r="V1190" s="47"/>
      <c r="W1190" s="47"/>
      <c r="X1190" s="47"/>
      <c r="Y1190" s="47"/>
      <c r="Z1190" s="47"/>
      <c r="AA1190" s="47"/>
      <c r="AB1190" s="47"/>
      <c r="AC1190" s="47"/>
      <c r="AD1190" s="47"/>
      <c r="AE1190" s="47"/>
      <c r="AF1190" s="47"/>
      <c r="AG1190" s="1345"/>
      <c r="AH1190" s="47"/>
      <c r="AI1190" s="47"/>
      <c r="AJ1190" s="47"/>
      <c r="AK1190" s="47"/>
      <c r="AL1190" s="47"/>
      <c r="AM1190" s="47"/>
      <c r="AN1190" s="47"/>
      <c r="AO1190" s="47"/>
      <c r="AP1190" s="47"/>
      <c r="AQ1190" s="47"/>
      <c r="AR1190" s="47"/>
      <c r="AS1190" s="47"/>
      <c r="AT1190" s="47"/>
      <c r="AU1190" s="47"/>
      <c r="AV1190" s="47"/>
      <c r="AW1190" s="47"/>
      <c r="AX1190" s="47"/>
      <c r="AY1190" s="47"/>
    </row>
    <row r="1191" spans="1:51" ht="15.75" customHeight="1">
      <c r="A1191" s="500"/>
      <c r="B1191" s="477"/>
      <c r="C1191" s="481"/>
      <c r="D1191" s="47"/>
      <c r="E1191" s="47"/>
      <c r="F1191" s="478"/>
      <c r="G1191" s="479"/>
      <c r="H1191" s="9"/>
      <c r="I1191" s="10"/>
      <c r="J1191" s="503"/>
      <c r="K1191" s="47"/>
      <c r="L1191" s="47"/>
      <c r="M1191" s="47"/>
      <c r="N1191" s="9"/>
      <c r="O1191" s="9"/>
      <c r="P1191" s="9"/>
      <c r="Q1191" s="47"/>
      <c r="R1191" s="47"/>
      <c r="S1191" s="47"/>
      <c r="T1191" s="47"/>
      <c r="U1191" s="47"/>
      <c r="V1191" s="47"/>
      <c r="W1191" s="47"/>
      <c r="X1191" s="47"/>
      <c r="Y1191" s="47"/>
      <c r="Z1191" s="47"/>
      <c r="AA1191" s="47"/>
      <c r="AB1191" s="47"/>
      <c r="AC1191" s="47"/>
      <c r="AD1191" s="47"/>
      <c r="AE1191" s="47"/>
      <c r="AF1191" s="47"/>
      <c r="AG1191" s="1345"/>
      <c r="AH1191" s="47"/>
      <c r="AI1191" s="47"/>
      <c r="AJ1191" s="47"/>
      <c r="AK1191" s="47"/>
      <c r="AL1191" s="47"/>
      <c r="AM1191" s="47"/>
      <c r="AN1191" s="47"/>
      <c r="AO1191" s="47"/>
      <c r="AP1191" s="47"/>
      <c r="AQ1191" s="47"/>
      <c r="AR1191" s="47"/>
      <c r="AS1191" s="47"/>
      <c r="AT1191" s="47"/>
      <c r="AU1191" s="47"/>
      <c r="AV1191" s="47"/>
      <c r="AW1191" s="47"/>
      <c r="AX1191" s="47"/>
      <c r="AY1191" s="47"/>
    </row>
    <row r="1192" spans="1:51" ht="15.75" customHeight="1">
      <c r="A1192" s="500"/>
      <c r="B1192" s="477"/>
      <c r="C1192" s="481"/>
      <c r="D1192" s="47"/>
      <c r="E1192" s="47"/>
      <c r="F1192" s="478"/>
      <c r="G1192" s="479"/>
      <c r="H1192" s="9"/>
      <c r="I1192" s="9"/>
      <c r="J1192" s="503"/>
      <c r="K1192" s="47"/>
      <c r="L1192" s="47"/>
      <c r="M1192" s="47"/>
      <c r="N1192" s="9"/>
      <c r="O1192" s="9"/>
      <c r="P1192" s="9"/>
      <c r="Q1192" s="47"/>
      <c r="R1192" s="47"/>
      <c r="S1192" s="47"/>
      <c r="T1192" s="47"/>
      <c r="U1192" s="47"/>
      <c r="V1192" s="47"/>
      <c r="W1192" s="47"/>
      <c r="X1192" s="47"/>
      <c r="Y1192" s="47"/>
      <c r="Z1192" s="47"/>
      <c r="AA1192" s="47"/>
      <c r="AB1192" s="47"/>
      <c r="AC1192" s="47"/>
      <c r="AD1192" s="47"/>
      <c r="AE1192" s="47"/>
      <c r="AF1192" s="47"/>
      <c r="AG1192" s="1345"/>
      <c r="AH1192" s="47"/>
      <c r="AI1192" s="47"/>
      <c r="AJ1192" s="47"/>
      <c r="AK1192" s="47"/>
      <c r="AL1192" s="47"/>
      <c r="AM1192" s="47"/>
      <c r="AN1192" s="47"/>
      <c r="AO1192" s="47"/>
      <c r="AP1192" s="47"/>
      <c r="AQ1192" s="47"/>
      <c r="AR1192" s="47"/>
      <c r="AS1192" s="47"/>
      <c r="AT1192" s="47"/>
      <c r="AU1192" s="47"/>
      <c r="AV1192" s="47"/>
      <c r="AW1192" s="47"/>
      <c r="AX1192" s="47"/>
      <c r="AY1192" s="47"/>
    </row>
    <row r="1193" spans="1:51" ht="15.75" customHeight="1">
      <c r="A1193" s="500"/>
      <c r="B1193" s="477"/>
      <c r="C1193" s="481"/>
      <c r="D1193" s="47"/>
      <c r="E1193" s="47"/>
      <c r="F1193" s="478"/>
      <c r="G1193" s="479"/>
      <c r="H1193" s="9"/>
      <c r="I1193" s="10"/>
      <c r="J1193" s="503"/>
      <c r="K1193" s="47"/>
      <c r="L1193" s="47"/>
      <c r="M1193" s="47"/>
      <c r="N1193" s="9"/>
      <c r="O1193" s="9"/>
      <c r="P1193" s="9"/>
      <c r="Q1193" s="47"/>
      <c r="R1193" s="47"/>
      <c r="S1193" s="47"/>
      <c r="T1193" s="47"/>
      <c r="U1193" s="47"/>
      <c r="V1193" s="47"/>
      <c r="W1193" s="47"/>
      <c r="X1193" s="47"/>
      <c r="Y1193" s="47"/>
      <c r="Z1193" s="47"/>
      <c r="AA1193" s="47"/>
      <c r="AB1193" s="47"/>
      <c r="AC1193" s="47"/>
      <c r="AD1193" s="47"/>
      <c r="AE1193" s="47"/>
      <c r="AF1193" s="47"/>
      <c r="AG1193" s="1345"/>
      <c r="AH1193" s="47"/>
      <c r="AI1193" s="47"/>
      <c r="AJ1193" s="47"/>
      <c r="AK1193" s="47"/>
      <c r="AL1193" s="47"/>
      <c r="AM1193" s="47"/>
      <c r="AN1193" s="47"/>
      <c r="AO1193" s="47"/>
      <c r="AP1193" s="47"/>
      <c r="AQ1193" s="47"/>
      <c r="AR1193" s="47"/>
      <c r="AS1193" s="47"/>
      <c r="AT1193" s="47"/>
      <c r="AU1193" s="47"/>
      <c r="AV1193" s="47"/>
      <c r="AW1193" s="47"/>
      <c r="AX1193" s="47"/>
      <c r="AY1193" s="47"/>
    </row>
    <row r="1194" spans="1:51" ht="15.75" customHeight="1">
      <c r="A1194" s="500"/>
      <c r="B1194" s="477"/>
      <c r="C1194" s="481"/>
      <c r="D1194" s="47"/>
      <c r="E1194" s="47"/>
      <c r="F1194" s="478"/>
      <c r="G1194" s="479"/>
      <c r="H1194" s="9"/>
      <c r="I1194" s="10"/>
      <c r="J1194" s="503"/>
      <c r="K1194" s="47"/>
      <c r="L1194" s="47"/>
      <c r="M1194" s="47"/>
      <c r="N1194" s="9"/>
      <c r="O1194" s="9"/>
      <c r="P1194" s="9"/>
      <c r="Q1194" s="47"/>
      <c r="R1194" s="47"/>
      <c r="S1194" s="47"/>
      <c r="T1194" s="47"/>
      <c r="U1194" s="47"/>
      <c r="V1194" s="47"/>
      <c r="W1194" s="47"/>
      <c r="X1194" s="47"/>
      <c r="Y1194" s="47"/>
      <c r="Z1194" s="47"/>
      <c r="AA1194" s="47"/>
      <c r="AB1194" s="47"/>
      <c r="AC1194" s="47"/>
      <c r="AD1194" s="47"/>
      <c r="AE1194" s="47"/>
      <c r="AF1194" s="47"/>
      <c r="AG1194" s="1345"/>
      <c r="AH1194" s="47"/>
      <c r="AI1194" s="47"/>
      <c r="AJ1194" s="47"/>
      <c r="AK1194" s="47"/>
      <c r="AL1194" s="47"/>
      <c r="AM1194" s="47"/>
      <c r="AN1194" s="47"/>
      <c r="AO1194" s="47"/>
      <c r="AP1194" s="47"/>
      <c r="AQ1194" s="47"/>
      <c r="AR1194" s="47"/>
      <c r="AS1194" s="47"/>
      <c r="AT1194" s="47"/>
      <c r="AU1194" s="47"/>
      <c r="AV1194" s="47"/>
      <c r="AW1194" s="47"/>
      <c r="AX1194" s="47"/>
      <c r="AY1194" s="47"/>
    </row>
    <row r="1195" spans="1:51" ht="15.75" customHeight="1">
      <c r="A1195" s="500"/>
      <c r="B1195" s="477"/>
      <c r="C1195" s="481"/>
      <c r="D1195" s="47"/>
      <c r="E1195" s="47"/>
      <c r="F1195" s="478"/>
      <c r="G1195" s="479"/>
      <c r="H1195" s="9"/>
      <c r="I1195" s="10"/>
      <c r="J1195" s="503"/>
      <c r="K1195" s="47"/>
      <c r="L1195" s="47"/>
      <c r="M1195" s="47"/>
      <c r="N1195" s="9"/>
      <c r="O1195" s="9"/>
      <c r="P1195" s="9"/>
      <c r="Q1195" s="47"/>
      <c r="R1195" s="47"/>
      <c r="S1195" s="47"/>
      <c r="T1195" s="47"/>
      <c r="U1195" s="47"/>
      <c r="V1195" s="47"/>
      <c r="W1195" s="47"/>
      <c r="X1195" s="47"/>
      <c r="Y1195" s="47"/>
      <c r="Z1195" s="47"/>
      <c r="AA1195" s="47"/>
      <c r="AB1195" s="47"/>
      <c r="AC1195" s="47"/>
      <c r="AD1195" s="47"/>
      <c r="AE1195" s="47"/>
      <c r="AF1195" s="47"/>
      <c r="AG1195" s="1345"/>
      <c r="AH1195" s="47"/>
      <c r="AI1195" s="47"/>
      <c r="AJ1195" s="47"/>
      <c r="AK1195" s="47"/>
      <c r="AL1195" s="47"/>
      <c r="AM1195" s="47"/>
      <c r="AN1195" s="47"/>
      <c r="AO1195" s="47"/>
      <c r="AP1195" s="47"/>
      <c r="AQ1195" s="47"/>
      <c r="AR1195" s="47"/>
      <c r="AS1195" s="47"/>
      <c r="AT1195" s="47"/>
      <c r="AU1195" s="47"/>
      <c r="AV1195" s="47"/>
      <c r="AW1195" s="47"/>
      <c r="AX1195" s="47"/>
      <c r="AY1195" s="47"/>
    </row>
    <row r="1196" spans="1:51" ht="15.75" customHeight="1">
      <c r="A1196" s="500"/>
      <c r="B1196" s="477"/>
      <c r="C1196" s="481"/>
      <c r="D1196" s="47"/>
      <c r="E1196" s="47"/>
      <c r="F1196" s="478"/>
      <c r="G1196" s="479"/>
      <c r="H1196" s="9"/>
      <c r="I1196" s="9"/>
      <c r="J1196" s="503"/>
      <c r="K1196" s="47"/>
      <c r="L1196" s="47"/>
      <c r="M1196" s="47"/>
      <c r="N1196" s="9"/>
      <c r="O1196" s="9"/>
      <c r="P1196" s="9"/>
      <c r="Q1196" s="47"/>
      <c r="R1196" s="47"/>
      <c r="S1196" s="47"/>
      <c r="T1196" s="47"/>
      <c r="U1196" s="47"/>
      <c r="V1196" s="47"/>
      <c r="W1196" s="47"/>
      <c r="X1196" s="47"/>
      <c r="Y1196" s="47"/>
      <c r="Z1196" s="47"/>
      <c r="AA1196" s="47"/>
      <c r="AB1196" s="47"/>
      <c r="AC1196" s="47"/>
      <c r="AD1196" s="47"/>
      <c r="AE1196" s="47"/>
      <c r="AF1196" s="47"/>
      <c r="AG1196" s="1345"/>
      <c r="AH1196" s="47"/>
      <c r="AI1196" s="47"/>
      <c r="AJ1196" s="47"/>
      <c r="AK1196" s="47"/>
      <c r="AL1196" s="47"/>
      <c r="AM1196" s="47"/>
      <c r="AN1196" s="47"/>
      <c r="AO1196" s="47"/>
      <c r="AP1196" s="47"/>
      <c r="AQ1196" s="47"/>
      <c r="AR1196" s="47"/>
      <c r="AS1196" s="47"/>
      <c r="AT1196" s="47"/>
      <c r="AU1196" s="47"/>
      <c r="AV1196" s="47"/>
      <c r="AW1196" s="47"/>
      <c r="AX1196" s="47"/>
      <c r="AY1196" s="47"/>
    </row>
    <row r="1197" spans="1:51" ht="15.75" customHeight="1">
      <c r="A1197" s="500"/>
      <c r="B1197" s="477"/>
      <c r="C1197" s="481"/>
      <c r="D1197" s="47"/>
      <c r="E1197" s="47"/>
      <c r="F1197" s="478"/>
      <c r="G1197" s="479"/>
      <c r="H1197" s="9"/>
      <c r="I1197" s="10"/>
      <c r="J1197" s="503"/>
      <c r="K1197" s="47"/>
      <c r="L1197" s="47"/>
      <c r="M1197" s="47"/>
      <c r="N1197" s="9"/>
      <c r="O1197" s="9"/>
      <c r="P1197" s="9"/>
      <c r="Q1197" s="47"/>
      <c r="R1197" s="47"/>
      <c r="S1197" s="47"/>
      <c r="T1197" s="47"/>
      <c r="U1197" s="47"/>
      <c r="V1197" s="47"/>
      <c r="W1197" s="47"/>
      <c r="X1197" s="47"/>
      <c r="Y1197" s="47"/>
      <c r="Z1197" s="47"/>
      <c r="AA1197" s="47"/>
      <c r="AB1197" s="47"/>
      <c r="AC1197" s="47"/>
      <c r="AD1197" s="47"/>
      <c r="AE1197" s="47"/>
      <c r="AF1197" s="47"/>
      <c r="AG1197" s="1345"/>
      <c r="AH1197" s="47"/>
      <c r="AI1197" s="47"/>
      <c r="AJ1197" s="47"/>
      <c r="AK1197" s="47"/>
      <c r="AL1197" s="47"/>
      <c r="AM1197" s="47"/>
      <c r="AN1197" s="47"/>
      <c r="AO1197" s="47"/>
      <c r="AP1197" s="47"/>
      <c r="AQ1197" s="47"/>
      <c r="AR1197" s="47"/>
      <c r="AS1197" s="47"/>
      <c r="AT1197" s="47"/>
      <c r="AU1197" s="47"/>
      <c r="AV1197" s="47"/>
      <c r="AW1197" s="47"/>
      <c r="AX1197" s="47"/>
      <c r="AY1197" s="47"/>
    </row>
    <row r="1198" spans="1:51" ht="15.75" customHeight="1">
      <c r="A1198" s="500"/>
      <c r="B1198" s="477"/>
      <c r="C1198" s="481"/>
      <c r="D1198" s="47"/>
      <c r="E1198" s="47"/>
      <c r="F1198" s="478"/>
      <c r="G1198" s="479"/>
      <c r="H1198" s="9"/>
      <c r="I1198" s="9"/>
      <c r="J1198" s="503"/>
      <c r="K1198" s="47"/>
      <c r="L1198" s="47"/>
      <c r="M1198" s="47"/>
      <c r="N1198" s="9"/>
      <c r="O1198" s="9"/>
      <c r="P1198" s="9"/>
      <c r="Q1198" s="47"/>
      <c r="R1198" s="47"/>
      <c r="S1198" s="47"/>
      <c r="T1198" s="47"/>
      <c r="U1198" s="47"/>
      <c r="V1198" s="47"/>
      <c r="W1198" s="47"/>
      <c r="X1198" s="47"/>
      <c r="Y1198" s="47"/>
      <c r="Z1198" s="47"/>
      <c r="AA1198" s="47"/>
      <c r="AB1198" s="47"/>
      <c r="AC1198" s="47"/>
      <c r="AD1198" s="47"/>
      <c r="AE1198" s="47"/>
      <c r="AF1198" s="47"/>
      <c r="AG1198" s="1345"/>
      <c r="AH1198" s="47"/>
      <c r="AI1198" s="47"/>
      <c r="AJ1198" s="47"/>
      <c r="AK1198" s="47"/>
      <c r="AL1198" s="47"/>
      <c r="AM1198" s="47"/>
      <c r="AN1198" s="47"/>
      <c r="AO1198" s="47"/>
      <c r="AP1198" s="47"/>
      <c r="AQ1198" s="47"/>
      <c r="AR1198" s="47"/>
      <c r="AS1198" s="47"/>
      <c r="AT1198" s="47"/>
      <c r="AU1198" s="47"/>
      <c r="AV1198" s="47"/>
      <c r="AW1198" s="47"/>
      <c r="AX1198" s="47"/>
      <c r="AY1198" s="47"/>
    </row>
    <row r="1199" spans="1:51" ht="15.75" customHeight="1">
      <c r="A1199" s="500"/>
      <c r="B1199" s="477"/>
      <c r="C1199" s="481"/>
      <c r="D1199" s="47"/>
      <c r="E1199" s="47"/>
      <c r="F1199" s="478"/>
      <c r="G1199" s="479"/>
      <c r="H1199" s="9"/>
      <c r="I1199" s="10"/>
      <c r="J1199" s="503"/>
      <c r="K1199" s="47"/>
      <c r="L1199" s="47"/>
      <c r="M1199" s="47"/>
      <c r="N1199" s="9"/>
      <c r="O1199" s="9"/>
      <c r="P1199" s="9"/>
      <c r="Q1199" s="47"/>
      <c r="R1199" s="47"/>
      <c r="S1199" s="47"/>
      <c r="T1199" s="47"/>
      <c r="U1199" s="47"/>
      <c r="V1199" s="47"/>
      <c r="W1199" s="47"/>
      <c r="X1199" s="47"/>
      <c r="Y1199" s="47"/>
      <c r="Z1199" s="47"/>
      <c r="AA1199" s="47"/>
      <c r="AB1199" s="47"/>
      <c r="AC1199" s="47"/>
      <c r="AD1199" s="47"/>
      <c r="AE1199" s="47"/>
      <c r="AF1199" s="47"/>
      <c r="AG1199" s="1345"/>
      <c r="AH1199" s="47"/>
      <c r="AI1199" s="47"/>
      <c r="AJ1199" s="47"/>
      <c r="AK1199" s="47"/>
      <c r="AL1199" s="47"/>
      <c r="AM1199" s="47"/>
      <c r="AN1199" s="47"/>
      <c r="AO1199" s="47"/>
      <c r="AP1199" s="47"/>
      <c r="AQ1199" s="47"/>
      <c r="AR1199" s="47"/>
      <c r="AS1199" s="47"/>
      <c r="AT1199" s="47"/>
      <c r="AU1199" s="47"/>
      <c r="AV1199" s="47"/>
      <c r="AW1199" s="47"/>
      <c r="AX1199" s="47"/>
      <c r="AY1199" s="47"/>
    </row>
    <row r="1200" spans="1:51" ht="15.75" customHeight="1">
      <c r="A1200" s="500"/>
      <c r="B1200" s="477"/>
      <c r="C1200" s="481"/>
      <c r="D1200" s="47"/>
      <c r="E1200" s="47"/>
      <c r="F1200" s="478"/>
      <c r="G1200" s="479"/>
      <c r="H1200" s="9"/>
      <c r="I1200" s="9"/>
      <c r="J1200" s="503"/>
      <c r="K1200" s="47"/>
      <c r="L1200" s="47"/>
      <c r="M1200" s="47"/>
      <c r="N1200" s="9"/>
      <c r="O1200" s="9"/>
      <c r="P1200" s="9"/>
      <c r="Q1200" s="47"/>
      <c r="R1200" s="47"/>
      <c r="S1200" s="47"/>
      <c r="T1200" s="47"/>
      <c r="U1200" s="47"/>
      <c r="V1200" s="47"/>
      <c r="W1200" s="47"/>
      <c r="X1200" s="47"/>
      <c r="Y1200" s="47"/>
      <c r="Z1200" s="47"/>
      <c r="AA1200" s="47"/>
      <c r="AB1200" s="47"/>
      <c r="AC1200" s="47"/>
      <c r="AD1200" s="47"/>
      <c r="AE1200" s="47"/>
      <c r="AF1200" s="47"/>
      <c r="AG1200" s="1345"/>
      <c r="AH1200" s="47"/>
      <c r="AI1200" s="47"/>
      <c r="AJ1200" s="47"/>
      <c r="AK1200" s="47"/>
      <c r="AL1200" s="47"/>
      <c r="AM1200" s="47"/>
      <c r="AN1200" s="47"/>
      <c r="AO1200" s="47"/>
      <c r="AP1200" s="47"/>
      <c r="AQ1200" s="47"/>
      <c r="AR1200" s="47"/>
      <c r="AS1200" s="47"/>
      <c r="AT1200" s="47"/>
      <c r="AU1200" s="47"/>
      <c r="AV1200" s="47"/>
      <c r="AW1200" s="47"/>
      <c r="AX1200" s="47"/>
      <c r="AY1200" s="47"/>
    </row>
    <row r="1201" spans="1:51" ht="15.75" customHeight="1">
      <c r="A1201" s="500"/>
      <c r="B1201" s="477"/>
      <c r="C1201" s="481"/>
      <c r="D1201" s="47"/>
      <c r="E1201" s="47"/>
      <c r="F1201" s="478"/>
      <c r="G1201" s="479"/>
      <c r="H1201" s="9"/>
      <c r="I1201" s="10"/>
      <c r="J1201" s="503"/>
      <c r="K1201" s="47"/>
      <c r="L1201" s="47"/>
      <c r="M1201" s="47"/>
      <c r="N1201" s="9"/>
      <c r="O1201" s="9"/>
      <c r="P1201" s="9"/>
      <c r="Q1201" s="47"/>
      <c r="R1201" s="47"/>
      <c r="S1201" s="47"/>
      <c r="T1201" s="47"/>
      <c r="U1201" s="47"/>
      <c r="V1201" s="47"/>
      <c r="W1201" s="47"/>
      <c r="X1201" s="47"/>
      <c r="Y1201" s="47"/>
      <c r="Z1201" s="47"/>
      <c r="AA1201" s="47"/>
      <c r="AB1201" s="47"/>
      <c r="AC1201" s="47"/>
      <c r="AD1201" s="47"/>
      <c r="AE1201" s="47"/>
      <c r="AF1201" s="47"/>
      <c r="AG1201" s="1345"/>
      <c r="AH1201" s="47"/>
      <c r="AI1201" s="47"/>
      <c r="AJ1201" s="47"/>
      <c r="AK1201" s="47"/>
      <c r="AL1201" s="47"/>
      <c r="AM1201" s="47"/>
      <c r="AN1201" s="47"/>
      <c r="AO1201" s="47"/>
      <c r="AP1201" s="47"/>
      <c r="AQ1201" s="47"/>
      <c r="AR1201" s="47"/>
      <c r="AS1201" s="47"/>
      <c r="AT1201" s="47"/>
      <c r="AU1201" s="47"/>
      <c r="AV1201" s="47"/>
      <c r="AW1201" s="47"/>
      <c r="AX1201" s="47"/>
      <c r="AY1201" s="47"/>
    </row>
    <row r="1202" spans="1:51" ht="15.75" customHeight="1">
      <c r="A1202" s="500"/>
      <c r="B1202" s="477"/>
      <c r="C1202" s="481"/>
      <c r="D1202" s="47"/>
      <c r="E1202" s="47"/>
      <c r="F1202" s="478"/>
      <c r="G1202" s="479"/>
      <c r="H1202" s="9"/>
      <c r="I1202" s="10"/>
      <c r="J1202" s="503"/>
      <c r="K1202" s="47"/>
      <c r="L1202" s="47"/>
      <c r="M1202" s="47"/>
      <c r="N1202" s="9"/>
      <c r="O1202" s="9"/>
      <c r="P1202" s="9"/>
      <c r="Q1202" s="47"/>
      <c r="R1202" s="47"/>
      <c r="S1202" s="47"/>
      <c r="T1202" s="47"/>
      <c r="U1202" s="47"/>
      <c r="V1202" s="47"/>
      <c r="W1202" s="47"/>
      <c r="X1202" s="47"/>
      <c r="Y1202" s="47"/>
      <c r="Z1202" s="47"/>
      <c r="AA1202" s="47"/>
      <c r="AB1202" s="47"/>
      <c r="AC1202" s="47"/>
      <c r="AD1202" s="47"/>
      <c r="AE1202" s="47"/>
      <c r="AF1202" s="47"/>
      <c r="AG1202" s="1345"/>
      <c r="AH1202" s="47"/>
      <c r="AI1202" s="47"/>
      <c r="AJ1202" s="47"/>
      <c r="AK1202" s="47"/>
      <c r="AL1202" s="47"/>
      <c r="AM1202" s="47"/>
      <c r="AN1202" s="47"/>
      <c r="AO1202" s="47"/>
      <c r="AP1202" s="47"/>
      <c r="AQ1202" s="47"/>
      <c r="AR1202" s="47"/>
      <c r="AS1202" s="47"/>
      <c r="AT1202" s="47"/>
      <c r="AU1202" s="47"/>
      <c r="AV1202" s="47"/>
      <c r="AW1202" s="47"/>
      <c r="AX1202" s="47"/>
      <c r="AY1202" s="47"/>
    </row>
    <row r="1203" spans="1:51" ht="15.75" customHeight="1">
      <c r="A1203" s="500"/>
      <c r="B1203" s="477"/>
      <c r="C1203" s="481"/>
      <c r="D1203" s="47"/>
      <c r="E1203" s="47"/>
      <c r="F1203" s="478"/>
      <c r="G1203" s="479"/>
      <c r="H1203" s="9"/>
      <c r="I1203" s="10"/>
      <c r="J1203" s="503"/>
      <c r="K1203" s="47"/>
      <c r="L1203" s="47"/>
      <c r="M1203" s="47"/>
      <c r="N1203" s="9"/>
      <c r="O1203" s="9"/>
      <c r="P1203" s="9"/>
      <c r="Q1203" s="47"/>
      <c r="R1203" s="47"/>
      <c r="S1203" s="47"/>
      <c r="T1203" s="47"/>
      <c r="U1203" s="47"/>
      <c r="V1203" s="47"/>
      <c r="W1203" s="47"/>
      <c r="X1203" s="47"/>
      <c r="Y1203" s="47"/>
      <c r="Z1203" s="47"/>
      <c r="AA1203" s="47"/>
      <c r="AB1203" s="47"/>
      <c r="AC1203" s="47"/>
      <c r="AD1203" s="47"/>
      <c r="AE1203" s="47"/>
      <c r="AF1203" s="47"/>
      <c r="AG1203" s="1345"/>
      <c r="AH1203" s="47"/>
      <c r="AI1203" s="47"/>
      <c r="AJ1203" s="47"/>
      <c r="AK1203" s="47"/>
      <c r="AL1203" s="47"/>
      <c r="AM1203" s="47"/>
      <c r="AN1203" s="47"/>
      <c r="AO1203" s="47"/>
      <c r="AP1203" s="47"/>
      <c r="AQ1203" s="47"/>
      <c r="AR1203" s="47"/>
      <c r="AS1203" s="47"/>
      <c r="AT1203" s="47"/>
      <c r="AU1203" s="47"/>
      <c r="AV1203" s="47"/>
      <c r="AW1203" s="47"/>
      <c r="AX1203" s="47"/>
      <c r="AY1203" s="47"/>
    </row>
    <row r="1204" spans="1:51" ht="15.75" customHeight="1">
      <c r="A1204" s="500"/>
      <c r="B1204" s="477"/>
      <c r="C1204" s="481"/>
      <c r="D1204" s="47"/>
      <c r="E1204" s="47"/>
      <c r="F1204" s="478"/>
      <c r="G1204" s="479"/>
      <c r="H1204" s="9"/>
      <c r="I1204" s="10"/>
      <c r="J1204" s="503"/>
      <c r="K1204" s="47"/>
      <c r="L1204" s="47"/>
      <c r="M1204" s="47"/>
      <c r="N1204" s="9"/>
      <c r="O1204" s="9"/>
      <c r="P1204" s="9"/>
      <c r="Q1204" s="47"/>
      <c r="R1204" s="47"/>
      <c r="S1204" s="47"/>
      <c r="T1204" s="47"/>
      <c r="U1204" s="47"/>
      <c r="V1204" s="47"/>
      <c r="W1204" s="47"/>
      <c r="X1204" s="47"/>
      <c r="Y1204" s="47"/>
      <c r="Z1204" s="47"/>
      <c r="AA1204" s="47"/>
      <c r="AB1204" s="47"/>
      <c r="AC1204" s="47"/>
      <c r="AD1204" s="47"/>
      <c r="AE1204" s="47"/>
      <c r="AF1204" s="47"/>
      <c r="AG1204" s="1345"/>
      <c r="AH1204" s="47"/>
      <c r="AI1204" s="47"/>
      <c r="AJ1204" s="47"/>
      <c r="AK1204" s="47"/>
      <c r="AL1204" s="47"/>
      <c r="AM1204" s="47"/>
      <c r="AN1204" s="47"/>
      <c r="AO1204" s="47"/>
      <c r="AP1204" s="47"/>
      <c r="AQ1204" s="47"/>
      <c r="AR1204" s="47"/>
      <c r="AS1204" s="47"/>
      <c r="AT1204" s="47"/>
      <c r="AU1204" s="47"/>
      <c r="AV1204" s="47"/>
      <c r="AW1204" s="47"/>
      <c r="AX1204" s="47"/>
      <c r="AY1204" s="47"/>
    </row>
    <row r="1205" spans="1:51" ht="15.75" customHeight="1">
      <c r="A1205" s="500"/>
      <c r="B1205" s="477"/>
      <c r="C1205" s="481"/>
      <c r="D1205" s="47"/>
      <c r="E1205" s="47"/>
      <c r="F1205" s="478"/>
      <c r="G1205" s="479"/>
      <c r="H1205" s="9"/>
      <c r="I1205" s="10"/>
      <c r="J1205" s="503"/>
      <c r="K1205" s="47"/>
      <c r="L1205" s="47"/>
      <c r="M1205" s="47"/>
      <c r="N1205" s="9"/>
      <c r="O1205" s="9"/>
      <c r="P1205" s="9"/>
      <c r="Q1205" s="47"/>
      <c r="R1205" s="47"/>
      <c r="S1205" s="47"/>
      <c r="T1205" s="47"/>
      <c r="U1205" s="47"/>
      <c r="V1205" s="47"/>
      <c r="W1205" s="47"/>
      <c r="X1205" s="47"/>
      <c r="Y1205" s="47"/>
      <c r="Z1205" s="47"/>
      <c r="AA1205" s="47"/>
      <c r="AB1205" s="47"/>
      <c r="AC1205" s="47"/>
      <c r="AD1205" s="47"/>
      <c r="AE1205" s="47"/>
      <c r="AF1205" s="47"/>
      <c r="AG1205" s="1345"/>
      <c r="AH1205" s="47"/>
      <c r="AI1205" s="47"/>
      <c r="AJ1205" s="47"/>
      <c r="AK1205" s="47"/>
      <c r="AL1205" s="47"/>
      <c r="AM1205" s="47"/>
      <c r="AN1205" s="47"/>
      <c r="AO1205" s="47"/>
      <c r="AP1205" s="47"/>
      <c r="AQ1205" s="47"/>
      <c r="AR1205" s="47"/>
      <c r="AS1205" s="47"/>
      <c r="AT1205" s="47"/>
      <c r="AU1205" s="47"/>
      <c r="AV1205" s="47"/>
      <c r="AW1205" s="47"/>
      <c r="AX1205" s="47"/>
      <c r="AY1205" s="47"/>
    </row>
    <row r="1206" spans="1:51" ht="15.75" customHeight="1">
      <c r="A1206" s="500"/>
      <c r="B1206" s="477"/>
      <c r="C1206" s="481"/>
      <c r="D1206" s="47"/>
      <c r="E1206" s="47"/>
      <c r="F1206" s="478"/>
      <c r="G1206" s="479"/>
      <c r="H1206" s="9"/>
      <c r="I1206" s="10"/>
      <c r="J1206" s="503"/>
      <c r="K1206" s="47"/>
      <c r="L1206" s="47"/>
      <c r="M1206" s="47"/>
      <c r="N1206" s="9"/>
      <c r="O1206" s="9"/>
      <c r="P1206" s="9"/>
      <c r="Q1206" s="47"/>
      <c r="R1206" s="47"/>
      <c r="S1206" s="47"/>
      <c r="T1206" s="47"/>
      <c r="U1206" s="47"/>
      <c r="V1206" s="47"/>
      <c r="W1206" s="47"/>
      <c r="X1206" s="47"/>
      <c r="Y1206" s="47"/>
      <c r="Z1206" s="47"/>
      <c r="AA1206" s="47"/>
      <c r="AB1206" s="47"/>
      <c r="AC1206" s="47"/>
      <c r="AD1206" s="47"/>
      <c r="AE1206" s="47"/>
      <c r="AF1206" s="47"/>
      <c r="AG1206" s="1345"/>
      <c r="AH1206" s="47"/>
      <c r="AI1206" s="47"/>
      <c r="AJ1206" s="47"/>
      <c r="AK1206" s="47"/>
      <c r="AL1206" s="47"/>
      <c r="AM1206" s="47"/>
      <c r="AN1206" s="47"/>
      <c r="AO1206" s="47"/>
      <c r="AP1206" s="47"/>
      <c r="AQ1206" s="47"/>
      <c r="AR1206" s="47"/>
      <c r="AS1206" s="47"/>
      <c r="AT1206" s="47"/>
      <c r="AU1206" s="47"/>
      <c r="AV1206" s="47"/>
      <c r="AW1206" s="47"/>
      <c r="AX1206" s="47"/>
      <c r="AY1206" s="47"/>
    </row>
    <row r="1207" spans="1:51" ht="15.75" customHeight="1">
      <c r="A1207" s="500"/>
      <c r="B1207" s="477"/>
      <c r="C1207" s="481"/>
      <c r="D1207" s="47"/>
      <c r="E1207" s="47"/>
      <c r="F1207" s="478"/>
      <c r="G1207" s="479"/>
      <c r="H1207" s="9"/>
      <c r="I1207" s="10"/>
      <c r="J1207" s="503"/>
      <c r="K1207" s="47"/>
      <c r="L1207" s="47"/>
      <c r="M1207" s="47"/>
      <c r="N1207" s="9"/>
      <c r="O1207" s="9"/>
      <c r="P1207" s="9"/>
      <c r="Q1207" s="47"/>
      <c r="R1207" s="47"/>
      <c r="S1207" s="47"/>
      <c r="T1207" s="47"/>
      <c r="U1207" s="47"/>
      <c r="V1207" s="47"/>
      <c r="W1207" s="47"/>
      <c r="X1207" s="47"/>
      <c r="Y1207" s="47"/>
      <c r="Z1207" s="47"/>
      <c r="AA1207" s="47"/>
      <c r="AB1207" s="47"/>
      <c r="AC1207" s="47"/>
      <c r="AD1207" s="47"/>
      <c r="AE1207" s="47"/>
      <c r="AF1207" s="47"/>
      <c r="AG1207" s="1345"/>
      <c r="AH1207" s="47"/>
      <c r="AI1207" s="47"/>
      <c r="AJ1207" s="47"/>
      <c r="AK1207" s="47"/>
      <c r="AL1207" s="47"/>
      <c r="AM1207" s="47"/>
      <c r="AN1207" s="47"/>
      <c r="AO1207" s="47"/>
      <c r="AP1207" s="47"/>
      <c r="AQ1207" s="47"/>
      <c r="AR1207" s="47"/>
      <c r="AS1207" s="47"/>
      <c r="AT1207" s="47"/>
      <c r="AU1207" s="47"/>
      <c r="AV1207" s="47"/>
      <c r="AW1207" s="47"/>
      <c r="AX1207" s="47"/>
      <c r="AY1207" s="47"/>
    </row>
    <row r="1208" spans="1:51" ht="15.75" customHeight="1">
      <c r="A1208" s="500"/>
      <c r="B1208" s="477"/>
      <c r="C1208" s="481"/>
      <c r="D1208" s="47"/>
      <c r="E1208" s="47"/>
      <c r="F1208" s="478"/>
      <c r="G1208" s="479"/>
      <c r="H1208" s="9"/>
      <c r="I1208" s="10"/>
      <c r="J1208" s="503"/>
      <c r="K1208" s="47"/>
      <c r="L1208" s="47"/>
      <c r="M1208" s="47"/>
      <c r="N1208" s="9"/>
      <c r="O1208" s="9"/>
      <c r="P1208" s="9"/>
      <c r="Q1208" s="47"/>
      <c r="R1208" s="47"/>
      <c r="S1208" s="47"/>
      <c r="T1208" s="47"/>
      <c r="U1208" s="47"/>
      <c r="V1208" s="47"/>
      <c r="W1208" s="47"/>
      <c r="X1208" s="47"/>
      <c r="Y1208" s="47"/>
      <c r="Z1208" s="47"/>
      <c r="AA1208" s="47"/>
      <c r="AB1208" s="47"/>
      <c r="AC1208" s="47"/>
      <c r="AD1208" s="47"/>
      <c r="AE1208" s="47"/>
      <c r="AF1208" s="47"/>
      <c r="AG1208" s="1345"/>
      <c r="AH1208" s="47"/>
      <c r="AI1208" s="47"/>
      <c r="AJ1208" s="47"/>
      <c r="AK1208" s="47"/>
      <c r="AL1208" s="47"/>
      <c r="AM1208" s="47"/>
      <c r="AN1208" s="47"/>
      <c r="AO1208" s="47"/>
      <c r="AP1208" s="47"/>
      <c r="AQ1208" s="47"/>
      <c r="AR1208" s="47"/>
      <c r="AS1208" s="47"/>
      <c r="AT1208" s="47"/>
      <c r="AU1208" s="47"/>
      <c r="AV1208" s="47"/>
      <c r="AW1208" s="47"/>
      <c r="AX1208" s="47"/>
      <c r="AY1208" s="47"/>
    </row>
    <row r="1209" spans="1:51" ht="15.75" customHeight="1">
      <c r="A1209" s="500"/>
      <c r="B1209" s="477"/>
      <c r="C1209" s="481"/>
      <c r="D1209" s="47"/>
      <c r="E1209" s="47"/>
      <c r="F1209" s="478"/>
      <c r="G1209" s="479"/>
      <c r="H1209" s="9"/>
      <c r="I1209" s="10"/>
      <c r="J1209" s="503"/>
      <c r="K1209" s="47"/>
      <c r="L1209" s="47"/>
      <c r="M1209" s="47"/>
      <c r="N1209" s="9"/>
      <c r="O1209" s="9"/>
      <c r="P1209" s="9"/>
      <c r="Q1209" s="47"/>
      <c r="R1209" s="47"/>
      <c r="S1209" s="47"/>
      <c r="T1209" s="47"/>
      <c r="U1209" s="47"/>
      <c r="V1209" s="47"/>
      <c r="W1209" s="47"/>
      <c r="X1209" s="47"/>
      <c r="Y1209" s="47"/>
      <c r="Z1209" s="47"/>
      <c r="AA1209" s="47"/>
      <c r="AB1209" s="47"/>
      <c r="AC1209" s="47"/>
      <c r="AD1209" s="47"/>
      <c r="AE1209" s="47"/>
      <c r="AF1209" s="47"/>
      <c r="AG1209" s="1345"/>
      <c r="AH1209" s="47"/>
      <c r="AI1209" s="47"/>
      <c r="AJ1209" s="47"/>
      <c r="AK1209" s="47"/>
      <c r="AL1209" s="47"/>
      <c r="AM1209" s="47"/>
      <c r="AN1209" s="47"/>
      <c r="AO1209" s="47"/>
      <c r="AP1209" s="47"/>
      <c r="AQ1209" s="47"/>
      <c r="AR1209" s="47"/>
      <c r="AS1209" s="47"/>
      <c r="AT1209" s="47"/>
      <c r="AU1209" s="47"/>
      <c r="AV1209" s="47"/>
      <c r="AW1209" s="47"/>
      <c r="AX1209" s="47"/>
      <c r="AY1209" s="47"/>
    </row>
    <row r="1210" spans="1:51" ht="15.75" customHeight="1">
      <c r="A1210" s="500"/>
      <c r="B1210" s="477"/>
      <c r="C1210" s="481"/>
      <c r="D1210" s="47"/>
      <c r="E1210" s="47"/>
      <c r="F1210" s="478"/>
      <c r="G1210" s="479"/>
      <c r="H1210" s="9"/>
      <c r="I1210" s="10"/>
      <c r="J1210" s="503"/>
      <c r="K1210" s="47"/>
      <c r="L1210" s="47"/>
      <c r="M1210" s="47"/>
      <c r="N1210" s="9"/>
      <c r="O1210" s="9"/>
      <c r="P1210" s="9"/>
      <c r="Q1210" s="47"/>
      <c r="R1210" s="47"/>
      <c r="S1210" s="47"/>
      <c r="T1210" s="47"/>
      <c r="U1210" s="47"/>
      <c r="V1210" s="47"/>
      <c r="W1210" s="47"/>
      <c r="X1210" s="47"/>
      <c r="Y1210" s="47"/>
      <c r="Z1210" s="47"/>
      <c r="AA1210" s="47"/>
      <c r="AB1210" s="47"/>
      <c r="AC1210" s="47"/>
      <c r="AD1210" s="47"/>
      <c r="AE1210" s="47"/>
      <c r="AF1210" s="47"/>
      <c r="AG1210" s="1345"/>
      <c r="AH1210" s="47"/>
      <c r="AI1210" s="47"/>
      <c r="AJ1210" s="47"/>
      <c r="AK1210" s="47"/>
      <c r="AL1210" s="47"/>
      <c r="AM1210" s="47"/>
      <c r="AN1210" s="47"/>
      <c r="AO1210" s="47"/>
      <c r="AP1210" s="47"/>
      <c r="AQ1210" s="47"/>
      <c r="AR1210" s="47"/>
      <c r="AS1210" s="47"/>
      <c r="AT1210" s="47"/>
      <c r="AU1210" s="47"/>
      <c r="AV1210" s="47"/>
      <c r="AW1210" s="47"/>
      <c r="AX1210" s="47"/>
      <c r="AY1210" s="47"/>
    </row>
    <row r="1211" spans="1:51" ht="15.75" customHeight="1">
      <c r="A1211" s="500"/>
      <c r="B1211" s="477"/>
      <c r="C1211" s="481"/>
      <c r="D1211" s="47"/>
      <c r="E1211" s="47"/>
      <c r="F1211" s="478"/>
      <c r="G1211" s="479"/>
      <c r="H1211" s="9"/>
      <c r="I1211" s="10"/>
      <c r="J1211" s="503"/>
      <c r="K1211" s="47"/>
      <c r="L1211" s="47"/>
      <c r="M1211" s="47"/>
      <c r="N1211" s="9"/>
      <c r="O1211" s="9"/>
      <c r="P1211" s="9"/>
      <c r="Q1211" s="47"/>
      <c r="R1211" s="47"/>
      <c r="S1211" s="47"/>
      <c r="T1211" s="47"/>
      <c r="U1211" s="47"/>
      <c r="V1211" s="47"/>
      <c r="W1211" s="47"/>
      <c r="X1211" s="47"/>
      <c r="Y1211" s="47"/>
      <c r="Z1211" s="47"/>
      <c r="AA1211" s="47"/>
      <c r="AB1211" s="47"/>
      <c r="AC1211" s="47"/>
      <c r="AD1211" s="47"/>
      <c r="AE1211" s="47"/>
      <c r="AF1211" s="47"/>
      <c r="AG1211" s="1345"/>
      <c r="AH1211" s="47"/>
      <c r="AI1211" s="47"/>
      <c r="AJ1211" s="47"/>
      <c r="AK1211" s="47"/>
      <c r="AL1211" s="47"/>
      <c r="AM1211" s="47"/>
      <c r="AN1211" s="47"/>
      <c r="AO1211" s="47"/>
      <c r="AP1211" s="47"/>
      <c r="AQ1211" s="47"/>
      <c r="AR1211" s="47"/>
      <c r="AS1211" s="47"/>
      <c r="AT1211" s="47"/>
      <c r="AU1211" s="47"/>
      <c r="AV1211" s="47"/>
      <c r="AW1211" s="47"/>
      <c r="AX1211" s="47"/>
      <c r="AY1211" s="47"/>
    </row>
    <row r="1212" spans="1:51" ht="15.75" customHeight="1">
      <c r="A1212" s="500"/>
      <c r="B1212" s="477"/>
      <c r="C1212" s="481"/>
      <c r="D1212" s="47"/>
      <c r="E1212" s="47"/>
      <c r="F1212" s="478"/>
      <c r="G1212" s="479"/>
      <c r="H1212" s="9"/>
      <c r="I1212" s="10"/>
      <c r="J1212" s="503"/>
      <c r="K1212" s="47"/>
      <c r="L1212" s="47"/>
      <c r="M1212" s="47"/>
      <c r="N1212" s="9"/>
      <c r="O1212" s="9"/>
      <c r="P1212" s="9"/>
      <c r="Q1212" s="47"/>
      <c r="R1212" s="47"/>
      <c r="S1212" s="47"/>
      <c r="T1212" s="47"/>
      <c r="U1212" s="47"/>
      <c r="V1212" s="47"/>
      <c r="W1212" s="47"/>
      <c r="X1212" s="47"/>
      <c r="Y1212" s="47"/>
      <c r="Z1212" s="47"/>
      <c r="AA1212" s="47"/>
      <c r="AB1212" s="47"/>
      <c r="AC1212" s="47"/>
      <c r="AD1212" s="47"/>
      <c r="AE1212" s="47"/>
      <c r="AF1212" s="47"/>
      <c r="AG1212" s="1345"/>
      <c r="AH1212" s="47"/>
      <c r="AI1212" s="47"/>
      <c r="AJ1212" s="47"/>
      <c r="AK1212" s="47"/>
      <c r="AL1212" s="47"/>
      <c r="AM1212" s="47"/>
      <c r="AN1212" s="47"/>
      <c r="AO1212" s="47"/>
      <c r="AP1212" s="47"/>
      <c r="AQ1212" s="47"/>
      <c r="AR1212" s="47"/>
      <c r="AS1212" s="47"/>
      <c r="AT1212" s="47"/>
      <c r="AU1212" s="47"/>
      <c r="AV1212" s="47"/>
      <c r="AW1212" s="47"/>
      <c r="AX1212" s="47"/>
      <c r="AY1212" s="47"/>
    </row>
    <row r="1213" spans="1:51" ht="15.75" customHeight="1">
      <c r="A1213" s="500"/>
      <c r="B1213" s="477"/>
      <c r="C1213" s="481"/>
      <c r="D1213" s="47"/>
      <c r="E1213" s="47"/>
      <c r="F1213" s="478"/>
      <c r="G1213" s="479"/>
      <c r="H1213" s="9"/>
      <c r="I1213" s="10"/>
      <c r="J1213" s="503"/>
      <c r="K1213" s="47"/>
      <c r="L1213" s="47"/>
      <c r="M1213" s="47"/>
      <c r="N1213" s="9"/>
      <c r="O1213" s="9"/>
      <c r="P1213" s="9"/>
      <c r="Q1213" s="47"/>
      <c r="R1213" s="47"/>
      <c r="S1213" s="47"/>
      <c r="T1213" s="47"/>
      <c r="U1213" s="47"/>
      <c r="V1213" s="47"/>
      <c r="W1213" s="47"/>
      <c r="X1213" s="47"/>
      <c r="Y1213" s="47"/>
      <c r="Z1213" s="47"/>
      <c r="AA1213" s="47"/>
      <c r="AB1213" s="47"/>
      <c r="AC1213" s="47"/>
      <c r="AD1213" s="47"/>
      <c r="AE1213" s="47"/>
      <c r="AF1213" s="47"/>
      <c r="AG1213" s="1345"/>
      <c r="AH1213" s="47"/>
      <c r="AI1213" s="47"/>
      <c r="AJ1213" s="47"/>
      <c r="AK1213" s="47"/>
      <c r="AL1213" s="47"/>
      <c r="AM1213" s="47"/>
      <c r="AN1213" s="47"/>
      <c r="AO1213" s="47"/>
      <c r="AP1213" s="47"/>
      <c r="AQ1213" s="47"/>
      <c r="AR1213" s="47"/>
      <c r="AS1213" s="47"/>
      <c r="AT1213" s="47"/>
      <c r="AU1213" s="47"/>
      <c r="AV1213" s="47"/>
      <c r="AW1213" s="47"/>
      <c r="AX1213" s="47"/>
      <c r="AY1213" s="47"/>
    </row>
    <row r="1214" spans="1:51" ht="15.75" customHeight="1">
      <c r="A1214" s="500"/>
      <c r="B1214" s="477"/>
      <c r="C1214" s="481"/>
      <c r="D1214" s="47"/>
      <c r="E1214" s="47"/>
      <c r="F1214" s="478"/>
      <c r="G1214" s="479"/>
      <c r="H1214" s="9"/>
      <c r="I1214" s="10"/>
      <c r="J1214" s="503"/>
      <c r="K1214" s="47"/>
      <c r="L1214" s="47"/>
      <c r="M1214" s="47"/>
      <c r="N1214" s="9"/>
      <c r="O1214" s="9"/>
      <c r="P1214" s="9"/>
      <c r="Q1214" s="47"/>
      <c r="R1214" s="47"/>
      <c r="S1214" s="47"/>
      <c r="T1214" s="47"/>
      <c r="U1214" s="47"/>
      <c r="V1214" s="47"/>
      <c r="W1214" s="47"/>
      <c r="X1214" s="47"/>
      <c r="Y1214" s="47"/>
      <c r="Z1214" s="47"/>
      <c r="AA1214" s="47"/>
      <c r="AB1214" s="47"/>
      <c r="AC1214" s="47"/>
      <c r="AD1214" s="47"/>
      <c r="AE1214" s="47"/>
      <c r="AF1214" s="47"/>
      <c r="AG1214" s="1345"/>
      <c r="AH1214" s="47"/>
      <c r="AI1214" s="47"/>
      <c r="AJ1214" s="47"/>
      <c r="AK1214" s="47"/>
      <c r="AL1214" s="47"/>
      <c r="AM1214" s="47"/>
      <c r="AN1214" s="47"/>
      <c r="AO1214" s="47"/>
      <c r="AP1214" s="47"/>
      <c r="AQ1214" s="47"/>
      <c r="AR1214" s="47"/>
      <c r="AS1214" s="47"/>
      <c r="AT1214" s="47"/>
      <c r="AU1214" s="47"/>
      <c r="AV1214" s="47"/>
      <c r="AW1214" s="47"/>
      <c r="AX1214" s="47"/>
      <c r="AY1214" s="47"/>
    </row>
    <row r="1215" spans="1:51" ht="15.75" customHeight="1">
      <c r="A1215" s="500"/>
      <c r="B1215" s="477"/>
      <c r="C1215" s="481"/>
      <c r="D1215" s="47"/>
      <c r="E1215" s="47"/>
      <c r="F1215" s="478"/>
      <c r="G1215" s="479"/>
      <c r="H1215" s="9"/>
      <c r="I1215" s="10"/>
      <c r="J1215" s="503"/>
      <c r="K1215" s="47"/>
      <c r="L1215" s="47"/>
      <c r="M1215" s="47"/>
      <c r="N1215" s="9"/>
      <c r="O1215" s="9"/>
      <c r="P1215" s="9"/>
      <c r="Q1215" s="47"/>
      <c r="R1215" s="47"/>
      <c r="S1215" s="47"/>
      <c r="T1215" s="47"/>
      <c r="U1215" s="47"/>
      <c r="V1215" s="47"/>
      <c r="W1215" s="47"/>
      <c r="X1215" s="47"/>
      <c r="Y1215" s="47"/>
      <c r="Z1215" s="47"/>
      <c r="AA1215" s="47"/>
      <c r="AB1215" s="47"/>
      <c r="AC1215" s="47"/>
      <c r="AD1215" s="47"/>
      <c r="AE1215" s="47"/>
      <c r="AF1215" s="47"/>
      <c r="AG1215" s="1345"/>
      <c r="AH1215" s="47"/>
      <c r="AI1215" s="47"/>
      <c r="AJ1215" s="47"/>
      <c r="AK1215" s="47"/>
      <c r="AL1215" s="47"/>
      <c r="AM1215" s="47"/>
      <c r="AN1215" s="47"/>
      <c r="AO1215" s="47"/>
      <c r="AP1215" s="47"/>
      <c r="AQ1215" s="47"/>
      <c r="AR1215" s="47"/>
      <c r="AS1215" s="47"/>
      <c r="AT1215" s="47"/>
      <c r="AU1215" s="47"/>
      <c r="AV1215" s="47"/>
      <c r="AW1215" s="47"/>
      <c r="AX1215" s="47"/>
      <c r="AY1215" s="47"/>
    </row>
    <row r="1216" spans="1:51" ht="15.75" customHeight="1">
      <c r="A1216" s="500"/>
      <c r="B1216" s="477"/>
      <c r="C1216" s="481"/>
      <c r="D1216" s="47"/>
      <c r="E1216" s="47"/>
      <c r="F1216" s="478"/>
      <c r="G1216" s="479"/>
      <c r="H1216" s="9"/>
      <c r="I1216" s="10"/>
      <c r="J1216" s="503"/>
      <c r="K1216" s="47"/>
      <c r="L1216" s="47"/>
      <c r="M1216" s="47"/>
      <c r="N1216" s="9"/>
      <c r="O1216" s="9"/>
      <c r="P1216" s="9"/>
      <c r="Q1216" s="47"/>
      <c r="R1216" s="47"/>
      <c r="S1216" s="47"/>
      <c r="T1216" s="47"/>
      <c r="U1216" s="47"/>
      <c r="V1216" s="47"/>
      <c r="W1216" s="47"/>
      <c r="X1216" s="47"/>
      <c r="Y1216" s="47"/>
      <c r="Z1216" s="47"/>
      <c r="AA1216" s="47"/>
      <c r="AB1216" s="47"/>
      <c r="AC1216" s="47"/>
      <c r="AD1216" s="47"/>
      <c r="AE1216" s="47"/>
      <c r="AF1216" s="47"/>
      <c r="AG1216" s="1345"/>
      <c r="AH1216" s="47"/>
      <c r="AI1216" s="47"/>
      <c r="AJ1216" s="47"/>
      <c r="AK1216" s="47"/>
      <c r="AL1216" s="47"/>
      <c r="AM1216" s="47"/>
      <c r="AN1216" s="47"/>
      <c r="AO1216" s="47"/>
      <c r="AP1216" s="47"/>
      <c r="AQ1216" s="47"/>
      <c r="AR1216" s="47"/>
      <c r="AS1216" s="47"/>
      <c r="AT1216" s="47"/>
      <c r="AU1216" s="47"/>
      <c r="AV1216" s="47"/>
      <c r="AW1216" s="47"/>
      <c r="AX1216" s="47"/>
      <c r="AY1216" s="47"/>
    </row>
    <row r="1217" spans="1:51" ht="15.75" customHeight="1">
      <c r="A1217" s="500"/>
      <c r="B1217" s="477"/>
      <c r="C1217" s="481"/>
      <c r="D1217" s="47"/>
      <c r="E1217" s="47"/>
      <c r="F1217" s="478"/>
      <c r="G1217" s="479"/>
      <c r="H1217" s="9"/>
      <c r="I1217" s="10"/>
      <c r="J1217" s="503"/>
      <c r="K1217" s="47"/>
      <c r="L1217" s="47"/>
      <c r="M1217" s="47"/>
      <c r="N1217" s="9"/>
      <c r="O1217" s="9"/>
      <c r="P1217" s="9"/>
      <c r="Q1217" s="47"/>
      <c r="R1217" s="47"/>
      <c r="S1217" s="47"/>
      <c r="T1217" s="47"/>
      <c r="U1217" s="47"/>
      <c r="V1217" s="47"/>
      <c r="W1217" s="47"/>
      <c r="X1217" s="47"/>
      <c r="Y1217" s="47"/>
      <c r="Z1217" s="47"/>
      <c r="AA1217" s="47"/>
      <c r="AB1217" s="47"/>
      <c r="AC1217" s="47"/>
      <c r="AD1217" s="47"/>
      <c r="AE1217" s="47"/>
      <c r="AF1217" s="47"/>
      <c r="AG1217" s="1345"/>
      <c r="AH1217" s="47"/>
      <c r="AI1217" s="47"/>
      <c r="AJ1217" s="47"/>
      <c r="AK1217" s="47"/>
      <c r="AL1217" s="47"/>
      <c r="AM1217" s="47"/>
      <c r="AN1217" s="47"/>
      <c r="AO1217" s="47"/>
      <c r="AP1217" s="47"/>
      <c r="AQ1217" s="47"/>
      <c r="AR1217" s="47"/>
      <c r="AS1217" s="47"/>
      <c r="AT1217" s="47"/>
      <c r="AU1217" s="47"/>
      <c r="AV1217" s="47"/>
      <c r="AW1217" s="47"/>
      <c r="AX1217" s="47"/>
      <c r="AY1217" s="47"/>
    </row>
    <row r="1218" spans="1:51" ht="15.75" customHeight="1">
      <c r="A1218" s="500"/>
      <c r="B1218" s="477"/>
      <c r="C1218" s="481"/>
      <c r="D1218" s="47"/>
      <c r="E1218" s="47"/>
      <c r="F1218" s="478"/>
      <c r="G1218" s="479"/>
      <c r="H1218" s="9"/>
      <c r="I1218" s="10"/>
      <c r="J1218" s="501"/>
      <c r="K1218" s="47"/>
      <c r="L1218" s="47"/>
      <c r="M1218" s="47"/>
      <c r="N1218" s="9"/>
      <c r="O1218" s="9"/>
      <c r="P1218" s="9"/>
      <c r="Q1218" s="47"/>
      <c r="R1218" s="47"/>
      <c r="S1218" s="47"/>
      <c r="T1218" s="47"/>
      <c r="U1218" s="47"/>
      <c r="V1218" s="47"/>
      <c r="W1218" s="47"/>
      <c r="X1218" s="47"/>
      <c r="Y1218" s="47"/>
      <c r="Z1218" s="47"/>
      <c r="AA1218" s="47"/>
      <c r="AB1218" s="47"/>
      <c r="AC1218" s="47"/>
      <c r="AD1218" s="47"/>
      <c r="AE1218" s="47"/>
      <c r="AF1218" s="47"/>
      <c r="AG1218" s="1345"/>
      <c r="AH1218" s="47"/>
      <c r="AI1218" s="47"/>
      <c r="AJ1218" s="47"/>
      <c r="AK1218" s="47"/>
      <c r="AL1218" s="47"/>
      <c r="AM1218" s="47"/>
      <c r="AN1218" s="47"/>
      <c r="AO1218" s="47"/>
      <c r="AP1218" s="47"/>
      <c r="AQ1218" s="47"/>
      <c r="AR1218" s="47"/>
      <c r="AS1218" s="47"/>
      <c r="AT1218" s="47"/>
      <c r="AU1218" s="47"/>
      <c r="AV1218" s="47"/>
      <c r="AW1218" s="47"/>
      <c r="AX1218" s="47"/>
      <c r="AY1218" s="47"/>
    </row>
    <row r="1219" spans="1:51" ht="15.75" customHeight="1">
      <c r="B1219" s="562"/>
      <c r="H1219" s="563"/>
      <c r="I1219" s="538"/>
      <c r="J1219" s="564"/>
      <c r="N1219" s="563"/>
      <c r="O1219" s="563"/>
      <c r="P1219" s="563"/>
    </row>
    <row r="1220" spans="1:51" ht="15.75" customHeight="1">
      <c r="B1220" s="562"/>
      <c r="H1220" s="563"/>
      <c r="I1220" s="538"/>
      <c r="J1220" s="564"/>
      <c r="N1220" s="563"/>
      <c r="O1220" s="563"/>
      <c r="P1220" s="563"/>
    </row>
    <row r="1221" spans="1:51" ht="15.75" customHeight="1">
      <c r="B1221" s="562"/>
      <c r="H1221" s="563"/>
      <c r="I1221" s="538"/>
      <c r="J1221" s="564"/>
      <c r="N1221" s="563"/>
      <c r="O1221" s="563"/>
      <c r="P1221" s="563"/>
    </row>
    <row r="1222" spans="1:51" ht="15.75" customHeight="1">
      <c r="B1222" s="562"/>
      <c r="H1222" s="563"/>
      <c r="I1222" s="538"/>
      <c r="J1222" s="564"/>
      <c r="N1222" s="563"/>
      <c r="O1222" s="563"/>
      <c r="P1222" s="563"/>
    </row>
    <row r="1223" spans="1:51" ht="15.75" customHeight="1">
      <c r="B1223" s="562"/>
      <c r="H1223" s="563"/>
      <c r="I1223" s="538"/>
      <c r="J1223" s="564"/>
      <c r="N1223" s="563"/>
      <c r="O1223" s="563"/>
      <c r="P1223" s="563"/>
    </row>
    <row r="1224" spans="1:51" ht="15.75" customHeight="1">
      <c r="B1224" s="562"/>
      <c r="H1224" s="563"/>
      <c r="I1224" s="538"/>
      <c r="J1224" s="564"/>
      <c r="N1224" s="563"/>
      <c r="O1224" s="563"/>
      <c r="P1224" s="563"/>
    </row>
    <row r="1225" spans="1:51" ht="15.75" customHeight="1">
      <c r="B1225" s="562"/>
      <c r="H1225" s="563"/>
      <c r="I1225" s="538"/>
      <c r="J1225" s="564"/>
      <c r="N1225" s="563"/>
      <c r="O1225" s="563"/>
      <c r="P1225" s="563"/>
    </row>
    <row r="1226" spans="1:51" ht="15.75" customHeight="1">
      <c r="B1226" s="562"/>
      <c r="H1226" s="563"/>
      <c r="I1226" s="538"/>
      <c r="J1226" s="564"/>
      <c r="N1226" s="563"/>
      <c r="O1226" s="563"/>
      <c r="P1226" s="563"/>
    </row>
    <row r="1227" spans="1:51" ht="15.75" customHeight="1">
      <c r="B1227" s="562"/>
      <c r="H1227" s="563"/>
      <c r="I1227" s="538"/>
      <c r="J1227" s="564"/>
      <c r="N1227" s="563"/>
      <c r="O1227" s="563"/>
      <c r="P1227" s="563"/>
    </row>
    <row r="1228" spans="1:51" ht="15.75" customHeight="1">
      <c r="B1228" s="562"/>
      <c r="H1228" s="563"/>
      <c r="I1228" s="538"/>
      <c r="J1228" s="564"/>
      <c r="N1228" s="563"/>
      <c r="O1228" s="563"/>
      <c r="P1228" s="563"/>
    </row>
    <row r="1229" spans="1:51" ht="15.75" customHeight="1">
      <c r="B1229" s="562"/>
      <c r="H1229" s="563"/>
      <c r="I1229" s="538"/>
      <c r="J1229" s="564"/>
      <c r="N1229" s="563"/>
      <c r="O1229" s="563"/>
      <c r="P1229" s="563"/>
    </row>
    <row r="1230" spans="1:51" ht="15.75" customHeight="1">
      <c r="B1230" s="562"/>
      <c r="H1230" s="563"/>
      <c r="I1230" s="538"/>
      <c r="J1230" s="564"/>
      <c r="N1230" s="563"/>
      <c r="O1230" s="563"/>
      <c r="P1230" s="563"/>
    </row>
    <row r="1231" spans="1:51" ht="15.75" customHeight="1">
      <c r="B1231" s="562"/>
      <c r="H1231" s="563"/>
      <c r="I1231" s="538"/>
      <c r="J1231" s="564"/>
      <c r="N1231" s="563"/>
      <c r="O1231" s="563"/>
      <c r="P1231" s="563"/>
    </row>
    <row r="1232" spans="1:51" ht="15.75" customHeight="1">
      <c r="B1232" s="562"/>
      <c r="H1232" s="563"/>
      <c r="I1232" s="538"/>
      <c r="J1232" s="564"/>
      <c r="N1232" s="563"/>
      <c r="O1232" s="563"/>
      <c r="P1232" s="563"/>
    </row>
    <row r="1233" spans="2:16" ht="15.75" customHeight="1">
      <c r="B1233" s="562"/>
      <c r="H1233" s="563"/>
      <c r="I1233" s="538"/>
      <c r="J1233" s="564"/>
      <c r="N1233" s="563"/>
      <c r="O1233" s="563"/>
      <c r="P1233" s="563"/>
    </row>
    <row r="1234" spans="2:16" ht="15.75" customHeight="1">
      <c r="B1234" s="562"/>
      <c r="H1234" s="563"/>
      <c r="I1234" s="538"/>
      <c r="J1234" s="564"/>
      <c r="N1234" s="563"/>
      <c r="O1234" s="563"/>
      <c r="P1234" s="563"/>
    </row>
    <row r="1235" spans="2:16" ht="15.75" customHeight="1">
      <c r="B1235" s="562"/>
      <c r="H1235" s="563"/>
      <c r="I1235" s="538"/>
      <c r="J1235" s="564"/>
      <c r="N1235" s="563"/>
      <c r="O1235" s="563"/>
      <c r="P1235" s="563"/>
    </row>
    <row r="1236" spans="2:16" ht="15.75" customHeight="1">
      <c r="B1236" s="562"/>
      <c r="H1236" s="563"/>
      <c r="I1236" s="538"/>
      <c r="J1236" s="564"/>
      <c r="N1236" s="563"/>
      <c r="O1236" s="563"/>
      <c r="P1236" s="563"/>
    </row>
    <row r="1237" spans="2:16" ht="15.75" customHeight="1">
      <c r="B1237" s="562"/>
      <c r="H1237" s="563"/>
      <c r="I1237" s="538"/>
      <c r="J1237" s="564"/>
      <c r="N1237" s="563"/>
      <c r="O1237" s="563"/>
      <c r="P1237" s="563"/>
    </row>
    <row r="1238" spans="2:16" ht="15.75" customHeight="1">
      <c r="B1238" s="562"/>
      <c r="H1238" s="563"/>
      <c r="I1238" s="538"/>
      <c r="J1238" s="564"/>
      <c r="N1238" s="563"/>
      <c r="O1238" s="563"/>
      <c r="P1238" s="563"/>
    </row>
    <row r="1239" spans="2:16" ht="15.75" customHeight="1">
      <c r="B1239" s="562"/>
      <c r="H1239" s="563"/>
      <c r="I1239" s="538"/>
      <c r="J1239" s="564"/>
      <c r="N1239" s="563"/>
      <c r="O1239" s="563"/>
      <c r="P1239" s="563"/>
    </row>
    <row r="1240" spans="2:16" ht="15.75" customHeight="1">
      <c r="B1240" s="562"/>
      <c r="H1240" s="563"/>
      <c r="I1240" s="538"/>
      <c r="J1240" s="564"/>
      <c r="N1240" s="563"/>
      <c r="O1240" s="563"/>
      <c r="P1240" s="563"/>
    </row>
    <row r="1241" spans="2:16" ht="15.75" customHeight="1">
      <c r="B1241" s="562"/>
      <c r="H1241" s="563"/>
      <c r="I1241" s="538"/>
      <c r="J1241" s="564"/>
      <c r="N1241" s="563"/>
      <c r="O1241" s="563"/>
      <c r="P1241" s="563"/>
    </row>
    <row r="1242" spans="2:16" ht="15.75" customHeight="1">
      <c r="B1242" s="562"/>
      <c r="H1242" s="563"/>
      <c r="I1242" s="538"/>
      <c r="J1242" s="564"/>
      <c r="N1242" s="563"/>
      <c r="O1242" s="563"/>
      <c r="P1242" s="563"/>
    </row>
    <row r="1243" spans="2:16" ht="15.75" customHeight="1">
      <c r="B1243" s="562"/>
      <c r="H1243" s="563"/>
      <c r="I1243" s="538"/>
      <c r="J1243" s="564"/>
      <c r="N1243" s="563"/>
      <c r="O1243" s="563"/>
      <c r="P1243" s="563"/>
    </row>
    <row r="1244" spans="2:16" ht="15.75" customHeight="1">
      <c r="B1244" s="562"/>
      <c r="H1244" s="563"/>
      <c r="I1244" s="538"/>
      <c r="J1244" s="564"/>
      <c r="N1244" s="563"/>
      <c r="O1244" s="563"/>
      <c r="P1244" s="563"/>
    </row>
    <row r="1245" spans="2:16" ht="15.75" customHeight="1">
      <c r="B1245" s="562"/>
      <c r="H1245" s="563"/>
      <c r="I1245" s="538"/>
      <c r="J1245" s="564"/>
      <c r="N1245" s="563"/>
      <c r="O1245" s="563"/>
      <c r="P1245" s="563"/>
    </row>
    <row r="1246" spans="2:16" ht="15.75" customHeight="1">
      <c r="B1246" s="562"/>
      <c r="H1246" s="563"/>
      <c r="I1246" s="538"/>
      <c r="J1246" s="564"/>
      <c r="N1246" s="563"/>
      <c r="O1246" s="563"/>
      <c r="P1246" s="563"/>
    </row>
    <row r="1247" spans="2:16" ht="15.75" customHeight="1">
      <c r="B1247" s="562"/>
      <c r="H1247" s="563"/>
      <c r="I1247" s="538"/>
      <c r="J1247" s="564"/>
      <c r="N1247" s="563"/>
      <c r="O1247" s="563"/>
      <c r="P1247" s="563"/>
    </row>
    <row r="1248" spans="2:16" ht="15.75" customHeight="1">
      <c r="B1248" s="562"/>
      <c r="H1248" s="563"/>
      <c r="I1248" s="538"/>
      <c r="J1248" s="564"/>
      <c r="N1248" s="563"/>
      <c r="O1248" s="563"/>
      <c r="P1248" s="563"/>
    </row>
    <row r="1249" spans="2:16" ht="15.75" customHeight="1">
      <c r="B1249" s="562"/>
      <c r="H1249" s="563"/>
      <c r="I1249" s="538"/>
      <c r="J1249" s="564"/>
      <c r="N1249" s="563"/>
      <c r="O1249" s="563"/>
      <c r="P1249" s="563"/>
    </row>
    <row r="1250" spans="2:16" ht="15.75" customHeight="1">
      <c r="B1250" s="562"/>
      <c r="H1250" s="563"/>
      <c r="I1250" s="538"/>
      <c r="J1250" s="564"/>
      <c r="N1250" s="563"/>
      <c r="O1250" s="563"/>
      <c r="P1250" s="563"/>
    </row>
    <row r="1251" spans="2:16" ht="15.75" customHeight="1">
      <c r="B1251" s="562"/>
      <c r="H1251" s="563"/>
      <c r="I1251" s="538"/>
      <c r="J1251" s="564"/>
      <c r="N1251" s="563"/>
      <c r="O1251" s="563"/>
      <c r="P1251" s="563"/>
    </row>
    <row r="1252" spans="2:16" ht="15.75" customHeight="1">
      <c r="B1252" s="562"/>
      <c r="H1252" s="563"/>
      <c r="I1252" s="538"/>
      <c r="J1252" s="564"/>
      <c r="N1252" s="563"/>
      <c r="O1252" s="563"/>
      <c r="P1252" s="563"/>
    </row>
    <row r="1253" spans="2:16" ht="15.75" customHeight="1">
      <c r="B1253" s="562"/>
      <c r="H1253" s="563"/>
      <c r="I1253" s="538"/>
      <c r="J1253" s="564"/>
      <c r="N1253" s="563"/>
      <c r="O1253" s="563"/>
      <c r="P1253" s="563"/>
    </row>
    <row r="1254" spans="2:16" ht="15.75" customHeight="1">
      <c r="B1254" s="562"/>
      <c r="H1254" s="563"/>
      <c r="I1254" s="538"/>
      <c r="J1254" s="564"/>
      <c r="N1254" s="563"/>
      <c r="O1254" s="563"/>
      <c r="P1254" s="563"/>
    </row>
    <row r="1255" spans="2:16" ht="15.75" customHeight="1">
      <c r="B1255" s="562"/>
      <c r="H1255" s="563"/>
      <c r="I1255" s="538"/>
      <c r="J1255" s="564"/>
      <c r="N1255" s="563"/>
      <c r="O1255" s="563"/>
      <c r="P1255" s="563"/>
    </row>
    <row r="1256" spans="2:16" ht="15.75" customHeight="1">
      <c r="B1256" s="562"/>
      <c r="H1256" s="563"/>
      <c r="I1256" s="538"/>
      <c r="J1256" s="564"/>
      <c r="N1256" s="563"/>
      <c r="O1256" s="563"/>
      <c r="P1256" s="563"/>
    </row>
    <row r="1257" spans="2:16" ht="15.75" customHeight="1">
      <c r="B1257" s="562"/>
      <c r="H1257" s="563"/>
      <c r="I1257" s="538"/>
      <c r="J1257" s="564"/>
      <c r="N1257" s="563"/>
      <c r="O1257" s="563"/>
      <c r="P1257" s="563"/>
    </row>
    <row r="1258" spans="2:16" ht="15.75" customHeight="1">
      <c r="B1258" s="562"/>
      <c r="H1258" s="563"/>
      <c r="I1258" s="538"/>
      <c r="J1258" s="564"/>
      <c r="N1258" s="563"/>
      <c r="O1258" s="563"/>
      <c r="P1258" s="563"/>
    </row>
    <row r="1259" spans="2:16" ht="15.75" customHeight="1">
      <c r="B1259" s="562"/>
      <c r="H1259" s="563"/>
      <c r="I1259" s="538"/>
      <c r="J1259" s="564"/>
      <c r="N1259" s="563"/>
      <c r="O1259" s="563"/>
      <c r="P1259" s="563"/>
    </row>
    <row r="1260" spans="2:16" ht="15.75" customHeight="1">
      <c r="B1260" s="562"/>
      <c r="H1260" s="563"/>
      <c r="I1260" s="538"/>
      <c r="J1260" s="564"/>
      <c r="N1260" s="563"/>
      <c r="O1260" s="563"/>
      <c r="P1260" s="563"/>
    </row>
    <row r="1261" spans="2:16" ht="15.75" customHeight="1">
      <c r="B1261" s="562"/>
      <c r="H1261" s="563"/>
      <c r="I1261" s="538"/>
      <c r="J1261" s="564"/>
      <c r="N1261" s="563"/>
      <c r="O1261" s="563"/>
      <c r="P1261" s="563"/>
    </row>
    <row r="1262" spans="2:16" ht="15.75" customHeight="1">
      <c r="B1262" s="562"/>
      <c r="H1262" s="563"/>
      <c r="I1262" s="538"/>
      <c r="J1262" s="564"/>
      <c r="N1262" s="563"/>
      <c r="O1262" s="563"/>
      <c r="P1262" s="563"/>
    </row>
    <row r="1263" spans="2:16" ht="15.75" customHeight="1">
      <c r="B1263" s="562"/>
      <c r="H1263" s="563"/>
      <c r="I1263" s="538"/>
      <c r="J1263" s="564"/>
      <c r="N1263" s="563"/>
      <c r="O1263" s="563"/>
      <c r="P1263" s="563"/>
    </row>
    <row r="1264" spans="2:16" ht="15.75" customHeight="1">
      <c r="B1264" s="562"/>
      <c r="H1264" s="563"/>
      <c r="I1264" s="538"/>
      <c r="J1264" s="564"/>
      <c r="N1264" s="563"/>
      <c r="O1264" s="563"/>
      <c r="P1264" s="563"/>
    </row>
    <row r="1265" spans="2:16" ht="15.75" customHeight="1">
      <c r="B1265" s="562"/>
      <c r="H1265" s="563"/>
      <c r="I1265" s="538"/>
      <c r="J1265" s="564"/>
      <c r="N1265" s="563"/>
      <c r="O1265" s="563"/>
      <c r="P1265" s="563"/>
    </row>
    <row r="1266" spans="2:16" ht="15.75" customHeight="1">
      <c r="B1266" s="562"/>
      <c r="H1266" s="563"/>
      <c r="I1266" s="538"/>
      <c r="J1266" s="564"/>
      <c r="N1266" s="563"/>
      <c r="O1266" s="563"/>
      <c r="P1266" s="563"/>
    </row>
    <row r="1267" spans="2:16" ht="15.75" customHeight="1">
      <c r="B1267" s="562"/>
      <c r="H1267" s="563"/>
      <c r="I1267" s="538"/>
      <c r="J1267" s="564"/>
      <c r="N1267" s="563"/>
      <c r="O1267" s="563"/>
      <c r="P1267" s="563"/>
    </row>
    <row r="1268" spans="2:16" ht="15.75" customHeight="1">
      <c r="B1268" s="562"/>
      <c r="H1268" s="563"/>
      <c r="I1268" s="538"/>
      <c r="J1268" s="564"/>
      <c r="N1268" s="563"/>
      <c r="O1268" s="563"/>
      <c r="P1268" s="563"/>
    </row>
    <row r="1269" spans="2:16" ht="15.75" customHeight="1">
      <c r="B1269" s="562"/>
      <c r="H1269" s="563"/>
      <c r="I1269" s="538"/>
      <c r="J1269" s="564"/>
      <c r="N1269" s="563"/>
      <c r="O1269" s="563"/>
      <c r="P1269" s="563"/>
    </row>
    <row r="1270" spans="2:16" ht="15.75" customHeight="1">
      <c r="B1270" s="562"/>
      <c r="H1270" s="563"/>
      <c r="I1270" s="538"/>
      <c r="J1270" s="564"/>
      <c r="N1270" s="563"/>
      <c r="O1270" s="563"/>
      <c r="P1270" s="563"/>
    </row>
    <row r="1271" spans="2:16" ht="15.75" customHeight="1">
      <c r="B1271" s="562"/>
      <c r="H1271" s="563"/>
      <c r="I1271" s="538"/>
      <c r="J1271" s="564"/>
      <c r="N1271" s="563"/>
      <c r="O1271" s="563"/>
      <c r="P1271" s="563"/>
    </row>
    <row r="1272" spans="2:16" ht="15.75" customHeight="1">
      <c r="B1272" s="562"/>
      <c r="H1272" s="563"/>
      <c r="I1272" s="538"/>
      <c r="J1272" s="564"/>
      <c r="N1272" s="563"/>
      <c r="O1272" s="563"/>
      <c r="P1272" s="563"/>
    </row>
    <row r="1273" spans="2:16" ht="15.75" customHeight="1">
      <c r="B1273" s="562"/>
      <c r="H1273" s="563"/>
      <c r="I1273" s="538"/>
      <c r="J1273" s="564"/>
      <c r="N1273" s="563"/>
      <c r="O1273" s="563"/>
      <c r="P1273" s="563"/>
    </row>
    <row r="1274" spans="2:16" ht="15.75" customHeight="1">
      <c r="B1274" s="562"/>
      <c r="H1274" s="563"/>
      <c r="I1274" s="538"/>
      <c r="J1274" s="564"/>
      <c r="N1274" s="563"/>
      <c r="O1274" s="563"/>
      <c r="P1274" s="563"/>
    </row>
    <row r="1275" spans="2:16" ht="15.75" customHeight="1">
      <c r="B1275" s="562"/>
      <c r="H1275" s="563"/>
      <c r="I1275" s="538"/>
      <c r="J1275" s="564"/>
      <c r="N1275" s="563"/>
      <c r="O1275" s="563"/>
      <c r="P1275" s="563"/>
    </row>
    <row r="1276" spans="2:16" ht="15.75" customHeight="1">
      <c r="B1276" s="562"/>
      <c r="H1276" s="563"/>
      <c r="I1276" s="538"/>
      <c r="J1276" s="564"/>
      <c r="N1276" s="563"/>
      <c r="O1276" s="563"/>
      <c r="P1276" s="563"/>
    </row>
    <row r="1277" spans="2:16" ht="15.75" customHeight="1">
      <c r="B1277" s="562"/>
      <c r="H1277" s="563"/>
      <c r="I1277" s="538"/>
      <c r="J1277" s="564"/>
      <c r="N1277" s="563"/>
      <c r="O1277" s="563"/>
      <c r="P1277" s="563"/>
    </row>
    <row r="1278" spans="2:16" ht="15.75" customHeight="1">
      <c r="B1278" s="562"/>
      <c r="H1278" s="563"/>
      <c r="I1278" s="538"/>
      <c r="J1278" s="564"/>
      <c r="N1278" s="563"/>
      <c r="O1278" s="563"/>
      <c r="P1278" s="563"/>
    </row>
    <row r="1279" spans="2:16" ht="15.75" customHeight="1">
      <c r="B1279" s="562"/>
      <c r="H1279" s="563"/>
      <c r="I1279" s="538"/>
      <c r="J1279" s="564"/>
      <c r="N1279" s="563"/>
      <c r="O1279" s="563"/>
      <c r="P1279" s="563"/>
    </row>
    <row r="1280" spans="2:16" ht="15.75" customHeight="1">
      <c r="B1280" s="562"/>
      <c r="H1280" s="563"/>
      <c r="I1280" s="538"/>
      <c r="J1280" s="564"/>
      <c r="N1280" s="563"/>
      <c r="O1280" s="563"/>
      <c r="P1280" s="563"/>
    </row>
    <row r="1281" spans="2:16" ht="15.75" customHeight="1">
      <c r="B1281" s="562"/>
      <c r="H1281" s="563"/>
      <c r="I1281" s="538"/>
      <c r="J1281" s="564"/>
      <c r="N1281" s="563"/>
      <c r="O1281" s="563"/>
      <c r="P1281" s="563"/>
    </row>
    <row r="1282" spans="2:16" ht="15.75" customHeight="1">
      <c r="B1282" s="562"/>
      <c r="H1282" s="563"/>
      <c r="I1282" s="538"/>
      <c r="J1282" s="564"/>
      <c r="N1282" s="563"/>
      <c r="O1282" s="563"/>
      <c r="P1282" s="563"/>
    </row>
    <row r="1283" spans="2:16" ht="15.75" customHeight="1">
      <c r="B1283" s="562"/>
      <c r="H1283" s="563"/>
      <c r="I1283" s="538"/>
      <c r="J1283" s="564"/>
      <c r="N1283" s="563"/>
      <c r="O1283" s="563"/>
      <c r="P1283" s="563"/>
    </row>
    <row r="1284" spans="2:16" ht="15.75" customHeight="1">
      <c r="B1284" s="562"/>
      <c r="H1284" s="563"/>
      <c r="I1284" s="538"/>
      <c r="J1284" s="564"/>
      <c r="N1284" s="563"/>
      <c r="O1284" s="563"/>
      <c r="P1284" s="563"/>
    </row>
    <row r="1285" spans="2:16" ht="15.75" customHeight="1">
      <c r="B1285" s="562"/>
      <c r="H1285" s="563"/>
      <c r="I1285" s="538"/>
      <c r="J1285" s="564"/>
      <c r="N1285" s="563"/>
      <c r="O1285" s="563"/>
      <c r="P1285" s="563"/>
    </row>
    <row r="1286" spans="2:16" ht="15.75" customHeight="1">
      <c r="B1286" s="562"/>
      <c r="H1286" s="563"/>
      <c r="I1286" s="538"/>
      <c r="J1286" s="564"/>
      <c r="N1286" s="563"/>
      <c r="O1286" s="563"/>
      <c r="P1286" s="563"/>
    </row>
    <row r="1287" spans="2:16" ht="15.75" customHeight="1">
      <c r="B1287" s="562"/>
      <c r="H1287" s="563"/>
      <c r="I1287" s="538"/>
      <c r="J1287" s="564"/>
      <c r="N1287" s="563"/>
      <c r="O1287" s="563"/>
      <c r="P1287" s="563"/>
    </row>
    <row r="1288" spans="2:16" ht="15.75" customHeight="1">
      <c r="B1288" s="562"/>
      <c r="H1288" s="563"/>
      <c r="I1288" s="538"/>
      <c r="J1288" s="564"/>
      <c r="N1288" s="563"/>
      <c r="O1288" s="563"/>
      <c r="P1288" s="563"/>
    </row>
    <row r="1289" spans="2:16" ht="15.75" customHeight="1">
      <c r="B1289" s="562"/>
      <c r="H1289" s="563"/>
      <c r="I1289" s="538"/>
      <c r="J1289" s="564"/>
      <c r="N1289" s="563"/>
      <c r="O1289" s="563"/>
      <c r="P1289" s="563"/>
    </row>
    <row r="1290" spans="2:16" ht="15.75" customHeight="1">
      <c r="B1290" s="562"/>
      <c r="H1290" s="563"/>
      <c r="I1290" s="538"/>
      <c r="J1290" s="564"/>
      <c r="N1290" s="563"/>
      <c r="O1290" s="563"/>
      <c r="P1290" s="563"/>
    </row>
    <row r="1291" spans="2:16" ht="15.75" customHeight="1">
      <c r="B1291" s="562"/>
      <c r="H1291" s="563"/>
      <c r="I1291" s="538"/>
      <c r="J1291" s="564"/>
      <c r="N1291" s="563"/>
      <c r="O1291" s="563"/>
      <c r="P1291" s="563"/>
    </row>
    <row r="1292" spans="2:16" ht="15.75" customHeight="1">
      <c r="B1292" s="562"/>
      <c r="H1292" s="563"/>
      <c r="I1292" s="538"/>
      <c r="J1292" s="564"/>
      <c r="N1292" s="563"/>
      <c r="O1292" s="563"/>
      <c r="P1292" s="563"/>
    </row>
    <row r="1293" spans="2:16" ht="15.75" customHeight="1">
      <c r="B1293" s="562"/>
      <c r="H1293" s="563"/>
      <c r="I1293" s="538"/>
      <c r="J1293" s="564"/>
      <c r="N1293" s="563"/>
      <c r="O1293" s="563"/>
      <c r="P1293" s="563"/>
    </row>
    <row r="1294" spans="2:16" ht="15.75" customHeight="1">
      <c r="B1294" s="562"/>
      <c r="H1294" s="563"/>
      <c r="I1294" s="538"/>
      <c r="J1294" s="564"/>
      <c r="N1294" s="563"/>
      <c r="O1294" s="563"/>
      <c r="P1294" s="563"/>
    </row>
    <row r="1295" spans="2:16" ht="15.75" customHeight="1">
      <c r="B1295" s="562"/>
      <c r="H1295" s="563"/>
      <c r="I1295" s="538"/>
      <c r="J1295" s="564"/>
      <c r="N1295" s="563"/>
      <c r="O1295" s="563"/>
      <c r="P1295" s="563"/>
    </row>
    <row r="1296" spans="2:16" ht="15.75" customHeight="1">
      <c r="B1296" s="562"/>
      <c r="H1296" s="563"/>
      <c r="I1296" s="538"/>
      <c r="J1296" s="564"/>
      <c r="N1296" s="563"/>
      <c r="O1296" s="563"/>
      <c r="P1296" s="563"/>
    </row>
    <row r="1297" spans="2:16" ht="15.75" customHeight="1">
      <c r="B1297" s="562"/>
      <c r="H1297" s="563"/>
      <c r="I1297" s="538"/>
      <c r="J1297" s="564"/>
      <c r="N1297" s="563"/>
      <c r="O1297" s="563"/>
      <c r="P1297" s="563"/>
    </row>
    <row r="1298" spans="2:16" ht="15.75" customHeight="1">
      <c r="B1298" s="562"/>
      <c r="H1298" s="563"/>
      <c r="I1298" s="538"/>
      <c r="J1298" s="564"/>
      <c r="N1298" s="563"/>
      <c r="O1298" s="563"/>
      <c r="P1298" s="563"/>
    </row>
    <row r="1299" spans="2:16" ht="15.75" customHeight="1">
      <c r="B1299" s="562"/>
      <c r="H1299" s="563"/>
      <c r="I1299" s="538"/>
      <c r="J1299" s="564"/>
      <c r="N1299" s="563"/>
      <c r="O1299" s="563"/>
      <c r="P1299" s="563"/>
    </row>
    <row r="1300" spans="2:16" ht="15.75" customHeight="1">
      <c r="B1300" s="562"/>
      <c r="H1300" s="563"/>
      <c r="I1300" s="538"/>
      <c r="J1300" s="564"/>
      <c r="N1300" s="563"/>
      <c r="O1300" s="563"/>
      <c r="P1300" s="563"/>
    </row>
    <row r="1301" spans="2:16" ht="15.75" customHeight="1">
      <c r="B1301" s="562"/>
      <c r="H1301" s="563"/>
      <c r="I1301" s="538"/>
      <c r="J1301" s="564"/>
      <c r="N1301" s="563"/>
      <c r="O1301" s="563"/>
      <c r="P1301" s="563"/>
    </row>
    <row r="1302" spans="2:16" ht="15.75" customHeight="1">
      <c r="B1302" s="562"/>
      <c r="H1302" s="563"/>
      <c r="I1302" s="538"/>
      <c r="J1302" s="564"/>
      <c r="N1302" s="563"/>
      <c r="O1302" s="563"/>
      <c r="P1302" s="563"/>
    </row>
    <row r="1303" spans="2:16" ht="15.75" customHeight="1">
      <c r="B1303" s="562"/>
      <c r="H1303" s="563"/>
      <c r="I1303" s="538"/>
      <c r="J1303" s="564"/>
      <c r="N1303" s="563"/>
      <c r="O1303" s="563"/>
      <c r="P1303" s="563"/>
    </row>
    <row r="1304" spans="2:16" ht="15.75" customHeight="1">
      <c r="B1304" s="562"/>
      <c r="H1304" s="563"/>
      <c r="I1304" s="538"/>
      <c r="J1304" s="564"/>
      <c r="N1304" s="563"/>
      <c r="O1304" s="563"/>
      <c r="P1304" s="563"/>
    </row>
    <row r="1305" spans="2:16" ht="15.75" customHeight="1">
      <c r="B1305" s="562"/>
      <c r="H1305" s="563"/>
      <c r="I1305" s="538"/>
      <c r="J1305" s="564"/>
      <c r="N1305" s="563"/>
      <c r="O1305" s="563"/>
      <c r="P1305" s="563"/>
    </row>
    <row r="1306" spans="2:16" ht="15.75" customHeight="1">
      <c r="B1306" s="562"/>
      <c r="H1306" s="563"/>
      <c r="I1306" s="538"/>
      <c r="J1306" s="564"/>
      <c r="N1306" s="563"/>
      <c r="O1306" s="563"/>
      <c r="P1306" s="563"/>
    </row>
    <row r="1307" spans="2:16" ht="15.75" customHeight="1">
      <c r="B1307" s="562"/>
      <c r="H1307" s="563"/>
      <c r="I1307" s="538"/>
      <c r="J1307" s="564"/>
      <c r="N1307" s="563"/>
      <c r="O1307" s="563"/>
      <c r="P1307" s="563"/>
    </row>
    <row r="1308" spans="2:16" ht="15.75" customHeight="1">
      <c r="B1308" s="562"/>
      <c r="H1308" s="563"/>
      <c r="I1308" s="538"/>
      <c r="J1308" s="564"/>
      <c r="N1308" s="563"/>
      <c r="O1308" s="563"/>
      <c r="P1308" s="563"/>
    </row>
    <row r="1309" spans="2:16" ht="15.75" customHeight="1">
      <c r="B1309" s="562"/>
      <c r="H1309" s="563"/>
      <c r="I1309" s="538"/>
      <c r="J1309" s="564"/>
      <c r="N1309" s="563"/>
      <c r="O1309" s="563"/>
      <c r="P1309" s="563"/>
    </row>
    <row r="1310" spans="2:16" ht="15.75" customHeight="1">
      <c r="B1310" s="562"/>
      <c r="H1310" s="563"/>
      <c r="I1310" s="538"/>
      <c r="J1310" s="564"/>
      <c r="N1310" s="563"/>
      <c r="O1310" s="563"/>
      <c r="P1310" s="563"/>
    </row>
    <row r="1311" spans="2:16" ht="15.75" customHeight="1">
      <c r="B1311" s="562"/>
      <c r="H1311" s="563"/>
      <c r="I1311" s="538"/>
      <c r="J1311" s="564"/>
      <c r="N1311" s="563"/>
      <c r="O1311" s="563"/>
      <c r="P1311" s="563"/>
    </row>
    <row r="1312" spans="2:16" ht="15.75" customHeight="1">
      <c r="B1312" s="562"/>
      <c r="H1312" s="563"/>
      <c r="I1312" s="538"/>
      <c r="J1312" s="564"/>
      <c r="N1312" s="563"/>
      <c r="O1312" s="563"/>
      <c r="P1312" s="563"/>
    </row>
    <row r="1313" spans="2:16" ht="15.75" customHeight="1">
      <c r="B1313" s="562"/>
      <c r="H1313" s="563"/>
      <c r="I1313" s="538"/>
      <c r="J1313" s="564"/>
      <c r="N1313" s="563"/>
      <c r="O1313" s="563"/>
      <c r="P1313" s="563"/>
    </row>
    <row r="1314" spans="2:16" ht="15.75" customHeight="1">
      <c r="B1314" s="562"/>
      <c r="H1314" s="563"/>
      <c r="I1314" s="538"/>
      <c r="J1314" s="564"/>
      <c r="N1314" s="563"/>
      <c r="O1314" s="563"/>
      <c r="P1314" s="563"/>
    </row>
    <row r="1315" spans="2:16" ht="15.75" customHeight="1">
      <c r="B1315" s="562"/>
      <c r="H1315" s="563"/>
      <c r="I1315" s="538"/>
      <c r="J1315" s="564"/>
      <c r="N1315" s="563"/>
      <c r="O1315" s="563"/>
      <c r="P1315" s="563"/>
    </row>
    <row r="1316" spans="2:16" ht="15.75" customHeight="1">
      <c r="B1316" s="562"/>
      <c r="H1316" s="563"/>
      <c r="I1316" s="538"/>
      <c r="J1316" s="564"/>
      <c r="N1316" s="563"/>
      <c r="O1316" s="563"/>
      <c r="P1316" s="563"/>
    </row>
    <row r="1317" spans="2:16" ht="15.75" customHeight="1">
      <c r="B1317" s="562"/>
      <c r="H1317" s="563"/>
      <c r="I1317" s="538"/>
      <c r="J1317" s="564"/>
      <c r="N1317" s="563"/>
      <c r="O1317" s="563"/>
      <c r="P1317" s="563"/>
    </row>
    <row r="1318" spans="2:16" ht="15.75" customHeight="1">
      <c r="B1318" s="562"/>
      <c r="H1318" s="563"/>
      <c r="I1318" s="538"/>
      <c r="J1318" s="564"/>
      <c r="N1318" s="563"/>
      <c r="O1318" s="563"/>
      <c r="P1318" s="563"/>
    </row>
    <row r="1319" spans="2:16" ht="15.75" customHeight="1">
      <c r="B1319" s="562"/>
      <c r="H1319" s="563"/>
      <c r="I1319" s="538"/>
      <c r="J1319" s="564"/>
      <c r="N1319" s="563"/>
      <c r="O1319" s="563"/>
      <c r="P1319" s="563"/>
    </row>
    <row r="1320" spans="2:16" ht="15.75" customHeight="1">
      <c r="B1320" s="562"/>
      <c r="H1320" s="563"/>
      <c r="I1320" s="538"/>
      <c r="J1320" s="564"/>
      <c r="N1320" s="563"/>
      <c r="O1320" s="563"/>
      <c r="P1320" s="563"/>
    </row>
    <row r="1321" spans="2:16" ht="15.75" customHeight="1">
      <c r="B1321" s="562"/>
      <c r="H1321" s="563"/>
      <c r="I1321" s="538"/>
      <c r="J1321" s="564"/>
      <c r="N1321" s="563"/>
      <c r="O1321" s="563"/>
      <c r="P1321" s="563"/>
    </row>
    <row r="1322" spans="2:16" ht="15.75" customHeight="1">
      <c r="B1322" s="562"/>
      <c r="H1322" s="563"/>
      <c r="I1322" s="538"/>
      <c r="J1322" s="564"/>
      <c r="N1322" s="563"/>
      <c r="O1322" s="563"/>
      <c r="P1322" s="563"/>
    </row>
    <row r="1323" spans="2:16" ht="15.75" customHeight="1">
      <c r="B1323" s="562"/>
      <c r="H1323" s="563"/>
      <c r="I1323" s="538"/>
      <c r="J1323" s="564"/>
      <c r="N1323" s="563"/>
      <c r="O1323" s="563"/>
      <c r="P1323" s="563"/>
    </row>
    <row r="1324" spans="2:16" ht="15.75" customHeight="1">
      <c r="B1324" s="562"/>
      <c r="H1324" s="563"/>
      <c r="I1324" s="538"/>
      <c r="J1324" s="564"/>
      <c r="N1324" s="563"/>
      <c r="O1324" s="563"/>
      <c r="P1324" s="563"/>
    </row>
    <row r="1325" spans="2:16" ht="15.75" customHeight="1">
      <c r="B1325" s="562"/>
      <c r="H1325" s="563"/>
      <c r="I1325" s="538"/>
      <c r="J1325" s="564"/>
      <c r="N1325" s="563"/>
      <c r="O1325" s="563"/>
      <c r="P1325" s="563"/>
    </row>
    <row r="1326" spans="2:16" ht="15.75" customHeight="1">
      <c r="B1326" s="562"/>
      <c r="H1326" s="563"/>
      <c r="I1326" s="538"/>
      <c r="J1326" s="564"/>
      <c r="N1326" s="563"/>
      <c r="O1326" s="563"/>
      <c r="P1326" s="563"/>
    </row>
    <row r="1327" spans="2:16" ht="15.75" customHeight="1">
      <c r="B1327" s="562"/>
      <c r="H1327" s="563"/>
      <c r="I1327" s="538"/>
      <c r="J1327" s="564"/>
      <c r="N1327" s="563"/>
      <c r="O1327" s="563"/>
      <c r="P1327" s="563"/>
    </row>
    <row r="1328" spans="2:16" ht="15.75" customHeight="1">
      <c r="B1328" s="562"/>
      <c r="H1328" s="563"/>
      <c r="I1328" s="538"/>
      <c r="J1328" s="564"/>
      <c r="N1328" s="563"/>
      <c r="O1328" s="563"/>
      <c r="P1328" s="563"/>
    </row>
    <row r="1329" spans="2:16" ht="15.75" customHeight="1">
      <c r="B1329" s="562"/>
      <c r="H1329" s="563"/>
      <c r="I1329" s="538"/>
      <c r="J1329" s="564"/>
      <c r="N1329" s="563"/>
      <c r="O1329" s="563"/>
      <c r="P1329" s="563"/>
    </row>
    <row r="1330" spans="2:16" ht="15.75" customHeight="1">
      <c r="B1330" s="562"/>
      <c r="H1330" s="563"/>
      <c r="I1330" s="538"/>
      <c r="J1330" s="564"/>
      <c r="N1330" s="563"/>
      <c r="O1330" s="563"/>
      <c r="P1330" s="563"/>
    </row>
    <row r="1331" spans="2:16" ht="15.75" customHeight="1">
      <c r="B1331" s="562"/>
      <c r="H1331" s="563"/>
      <c r="I1331" s="538"/>
      <c r="J1331" s="564"/>
      <c r="N1331" s="563"/>
      <c r="O1331" s="563"/>
      <c r="P1331" s="563"/>
    </row>
    <row r="1332" spans="2:16" ht="15.75" customHeight="1">
      <c r="B1332" s="562"/>
      <c r="H1332" s="563"/>
      <c r="I1332" s="538"/>
      <c r="J1332" s="564"/>
      <c r="N1332" s="563"/>
      <c r="O1332" s="563"/>
      <c r="P1332" s="563"/>
    </row>
    <row r="1333" spans="2:16" ht="15.75" customHeight="1">
      <c r="B1333" s="562"/>
      <c r="H1333" s="563"/>
      <c r="I1333" s="538"/>
      <c r="J1333" s="564"/>
      <c r="N1333" s="563"/>
      <c r="O1333" s="563"/>
      <c r="P1333" s="563"/>
    </row>
    <row r="1334" spans="2:16" ht="15.75" customHeight="1">
      <c r="B1334" s="562"/>
      <c r="H1334" s="563"/>
      <c r="I1334" s="538"/>
      <c r="J1334" s="564"/>
      <c r="N1334" s="563"/>
      <c r="O1334" s="563"/>
      <c r="P1334" s="563"/>
    </row>
    <row r="1335" spans="2:16" ht="15.75" customHeight="1">
      <c r="B1335" s="562"/>
      <c r="H1335" s="563"/>
      <c r="I1335" s="538"/>
      <c r="J1335" s="564"/>
      <c r="N1335" s="563"/>
      <c r="O1335" s="563"/>
      <c r="P1335" s="563"/>
    </row>
    <row r="1336" spans="2:16" ht="15.75" customHeight="1">
      <c r="B1336" s="562"/>
      <c r="H1336" s="563"/>
      <c r="I1336" s="538"/>
      <c r="J1336" s="564"/>
      <c r="N1336" s="563"/>
      <c r="O1336" s="563"/>
      <c r="P1336" s="563"/>
    </row>
    <row r="1337" spans="2:16" ht="15.75" customHeight="1">
      <c r="B1337" s="562"/>
      <c r="H1337" s="563"/>
      <c r="I1337" s="538"/>
      <c r="J1337" s="564"/>
      <c r="N1337" s="563"/>
      <c r="O1337" s="563"/>
      <c r="P1337" s="563"/>
    </row>
    <row r="1338" spans="2:16" ht="15.75" customHeight="1">
      <c r="B1338" s="562"/>
      <c r="H1338" s="563"/>
      <c r="I1338" s="538"/>
      <c r="J1338" s="564"/>
      <c r="N1338" s="563"/>
      <c r="O1338" s="563"/>
      <c r="P1338" s="563"/>
    </row>
    <row r="1339" spans="2:16" ht="15.75" customHeight="1">
      <c r="B1339" s="562"/>
      <c r="H1339" s="563"/>
      <c r="I1339" s="538"/>
      <c r="J1339" s="564"/>
      <c r="N1339" s="563"/>
      <c r="O1339" s="563"/>
      <c r="P1339" s="563"/>
    </row>
    <row r="1340" spans="2:16" ht="15.75" customHeight="1">
      <c r="B1340" s="562"/>
      <c r="H1340" s="563"/>
      <c r="I1340" s="538"/>
      <c r="J1340" s="564"/>
      <c r="N1340" s="563"/>
      <c r="O1340" s="563"/>
      <c r="P1340" s="563"/>
    </row>
    <row r="1341" spans="2:16" ht="15.75" customHeight="1">
      <c r="B1341" s="562"/>
      <c r="H1341" s="563"/>
      <c r="I1341" s="538"/>
      <c r="J1341" s="564"/>
      <c r="N1341" s="563"/>
      <c r="O1341" s="563"/>
      <c r="P1341" s="563"/>
    </row>
    <row r="1342" spans="2:16" ht="15.75" customHeight="1">
      <c r="B1342" s="562"/>
      <c r="H1342" s="563"/>
      <c r="I1342" s="538"/>
      <c r="J1342" s="564"/>
      <c r="N1342" s="563"/>
      <c r="O1342" s="563"/>
      <c r="P1342" s="563"/>
    </row>
    <row r="1343" spans="2:16" ht="15.75" customHeight="1">
      <c r="B1343" s="562"/>
      <c r="H1343" s="563"/>
      <c r="I1343" s="538"/>
      <c r="J1343" s="564"/>
      <c r="N1343" s="563"/>
      <c r="O1343" s="563"/>
      <c r="P1343" s="563"/>
    </row>
    <row r="1344" spans="2:16" ht="15.75" customHeight="1">
      <c r="B1344" s="562"/>
      <c r="H1344" s="563"/>
      <c r="I1344" s="538"/>
      <c r="J1344" s="564"/>
      <c r="N1344" s="563"/>
      <c r="O1344" s="563"/>
      <c r="P1344" s="563"/>
    </row>
    <row r="1345" spans="2:16" ht="15.75" customHeight="1">
      <c r="B1345" s="562"/>
      <c r="H1345" s="563"/>
      <c r="I1345" s="538"/>
      <c r="J1345" s="564"/>
      <c r="N1345" s="563"/>
      <c r="O1345" s="563"/>
      <c r="P1345" s="563"/>
    </row>
    <row r="1346" spans="2:16" ht="15.75" customHeight="1">
      <c r="B1346" s="562"/>
      <c r="H1346" s="563"/>
      <c r="I1346" s="538"/>
      <c r="J1346" s="564"/>
      <c r="N1346" s="563"/>
      <c r="O1346" s="563"/>
      <c r="P1346" s="563"/>
    </row>
    <row r="1347" spans="2:16" ht="15.75" customHeight="1">
      <c r="B1347" s="562"/>
      <c r="H1347" s="563"/>
      <c r="I1347" s="538"/>
      <c r="J1347" s="564"/>
      <c r="N1347" s="563"/>
      <c r="O1347" s="563"/>
      <c r="P1347" s="563"/>
    </row>
    <row r="1348" spans="2:16" ht="15.75" customHeight="1">
      <c r="B1348" s="562"/>
      <c r="H1348" s="563"/>
      <c r="I1348" s="538"/>
      <c r="J1348" s="564"/>
      <c r="N1348" s="563"/>
      <c r="O1348" s="563"/>
      <c r="P1348" s="563"/>
    </row>
    <row r="1349" spans="2:16" ht="15.75" customHeight="1">
      <c r="B1349" s="562"/>
      <c r="H1349" s="563"/>
      <c r="I1349" s="538"/>
      <c r="J1349" s="564"/>
      <c r="N1349" s="563"/>
      <c r="O1349" s="563"/>
      <c r="P1349" s="563"/>
    </row>
    <row r="1350" spans="2:16" ht="15.75" customHeight="1">
      <c r="B1350" s="562"/>
      <c r="H1350" s="563"/>
      <c r="I1350" s="538"/>
      <c r="J1350" s="564"/>
      <c r="N1350" s="563"/>
      <c r="O1350" s="563"/>
      <c r="P1350" s="563"/>
    </row>
    <row r="1351" spans="2:16" ht="15.75" customHeight="1">
      <c r="B1351" s="562"/>
      <c r="H1351" s="563"/>
      <c r="I1351" s="538"/>
      <c r="J1351" s="564"/>
      <c r="N1351" s="563"/>
      <c r="O1351" s="563"/>
      <c r="P1351" s="563"/>
    </row>
    <row r="1352" spans="2:16" ht="15.75" customHeight="1">
      <c r="B1352" s="562"/>
      <c r="H1352" s="563"/>
      <c r="I1352" s="538"/>
      <c r="J1352" s="564"/>
      <c r="N1352" s="563"/>
      <c r="O1352" s="563"/>
      <c r="P1352" s="563"/>
    </row>
    <row r="1353" spans="2:16" ht="15.75" customHeight="1">
      <c r="B1353" s="562"/>
      <c r="H1353" s="563"/>
      <c r="I1353" s="538"/>
      <c r="J1353" s="564"/>
      <c r="N1353" s="563"/>
      <c r="O1353" s="563"/>
      <c r="P1353" s="563"/>
    </row>
    <row r="1354" spans="2:16" ht="15.75" customHeight="1">
      <c r="B1354" s="562"/>
      <c r="H1354" s="563"/>
      <c r="I1354" s="538"/>
      <c r="J1354" s="564"/>
      <c r="N1354" s="563"/>
      <c r="O1354" s="563"/>
      <c r="P1354" s="563"/>
    </row>
    <row r="1355" spans="2:16" ht="15.75" customHeight="1">
      <c r="B1355" s="562"/>
      <c r="H1355" s="563"/>
      <c r="I1355" s="538"/>
      <c r="J1355" s="564"/>
      <c r="N1355" s="563"/>
      <c r="O1355" s="563"/>
      <c r="P1355" s="563"/>
    </row>
    <row r="1356" spans="2:16" ht="15.75" customHeight="1">
      <c r="B1356" s="562"/>
      <c r="H1356" s="563"/>
      <c r="I1356" s="538"/>
      <c r="J1356" s="564"/>
      <c r="N1356" s="563"/>
      <c r="O1356" s="563"/>
      <c r="P1356" s="563"/>
    </row>
    <row r="1357" spans="2:16" ht="15.75" customHeight="1">
      <c r="B1357" s="562"/>
      <c r="H1357" s="563"/>
      <c r="I1357" s="538"/>
      <c r="J1357" s="564"/>
      <c r="N1357" s="563"/>
      <c r="O1357" s="563"/>
      <c r="P1357" s="563"/>
    </row>
    <row r="1358" spans="2:16" ht="15.75" customHeight="1">
      <c r="B1358" s="562"/>
      <c r="H1358" s="563"/>
      <c r="I1358" s="538"/>
      <c r="J1358" s="564"/>
      <c r="N1358" s="563"/>
      <c r="O1358" s="563"/>
      <c r="P1358" s="563"/>
    </row>
    <row r="1359" spans="2:16" ht="15.75" customHeight="1">
      <c r="B1359" s="562"/>
      <c r="H1359" s="563"/>
      <c r="I1359" s="538"/>
      <c r="J1359" s="564"/>
      <c r="N1359" s="563"/>
      <c r="O1359" s="563"/>
      <c r="P1359" s="563"/>
    </row>
    <row r="1360" spans="2:16" ht="15.75" customHeight="1">
      <c r="B1360" s="562"/>
      <c r="H1360" s="563"/>
      <c r="I1360" s="538"/>
      <c r="J1360" s="564"/>
      <c r="N1360" s="563"/>
      <c r="O1360" s="563"/>
      <c r="P1360" s="563"/>
    </row>
    <row r="1361" spans="2:16" ht="15.75" customHeight="1">
      <c r="B1361" s="562"/>
      <c r="H1361" s="563"/>
      <c r="I1361" s="538"/>
      <c r="J1361" s="564"/>
      <c r="N1361" s="563"/>
      <c r="O1361" s="563"/>
      <c r="P1361" s="563"/>
    </row>
    <row r="1362" spans="2:16" ht="15.75" customHeight="1">
      <c r="B1362" s="562"/>
      <c r="H1362" s="563"/>
      <c r="N1362" s="563"/>
      <c r="O1362" s="563"/>
      <c r="P1362" s="563"/>
    </row>
    <row r="1363" spans="2:16" ht="15.75" customHeight="1">
      <c r="B1363" s="562"/>
      <c r="H1363" s="563"/>
      <c r="I1363" s="538"/>
      <c r="J1363" s="564"/>
      <c r="O1363" s="563"/>
      <c r="P1363" s="563"/>
    </row>
    <row r="1364" spans="2:16" ht="15.75" customHeight="1">
      <c r="B1364" s="562"/>
      <c r="H1364" s="563"/>
      <c r="I1364" s="538"/>
      <c r="J1364" s="564"/>
      <c r="N1364" s="563"/>
      <c r="O1364" s="563"/>
      <c r="P1364" s="563"/>
    </row>
    <row r="1365" spans="2:16" ht="15.75" customHeight="1">
      <c r="B1365" s="562"/>
      <c r="H1365" s="563"/>
      <c r="I1365" s="538"/>
      <c r="J1365" s="564"/>
      <c r="N1365" s="563"/>
      <c r="O1365" s="563"/>
      <c r="P1365" s="563"/>
    </row>
    <row r="1366" spans="2:16" ht="15.75" customHeight="1">
      <c r="B1366" s="562"/>
      <c r="H1366" s="563"/>
      <c r="I1366" s="538"/>
      <c r="J1366" s="564"/>
      <c r="N1366" s="563"/>
      <c r="P1366" s="550"/>
    </row>
    <row r="1367" spans="2:16" ht="15.75" customHeight="1">
      <c r="B1367" s="562"/>
      <c r="H1367" s="563"/>
      <c r="I1367" s="538"/>
      <c r="J1367" s="564"/>
      <c r="N1367" s="563"/>
      <c r="P1367" s="550"/>
    </row>
    <row r="1368" spans="2:16" ht="15.75" customHeight="1">
      <c r="B1368" s="562"/>
      <c r="H1368" s="563"/>
      <c r="I1368" s="538"/>
      <c r="J1368" s="564"/>
      <c r="N1368" s="563"/>
      <c r="P1368" s="550"/>
    </row>
    <row r="1369" spans="2:16" ht="15.75" customHeight="1">
      <c r="B1369" s="562"/>
      <c r="H1369" s="563"/>
      <c r="I1369" s="538"/>
      <c r="J1369" s="564"/>
      <c r="N1369" s="563"/>
      <c r="P1369" s="563"/>
    </row>
    <row r="1370" spans="2:16" ht="15.75" customHeight="1">
      <c r="B1370" s="562"/>
      <c r="H1370" s="563"/>
      <c r="I1370" s="538"/>
      <c r="J1370" s="564"/>
      <c r="N1370" s="563"/>
      <c r="P1370" s="563"/>
    </row>
    <row r="1371" spans="2:16" ht="15.75" customHeight="1">
      <c r="B1371" s="562"/>
      <c r="H1371" s="563"/>
      <c r="I1371" s="538"/>
      <c r="J1371" s="564"/>
      <c r="N1371" s="563"/>
      <c r="O1371" s="563"/>
      <c r="P1371" s="563"/>
    </row>
    <row r="1372" spans="2:16" ht="15.75" customHeight="1">
      <c r="B1372" s="562"/>
      <c r="H1372" s="563"/>
      <c r="I1372" s="538"/>
      <c r="J1372" s="564"/>
      <c r="N1372" s="563"/>
      <c r="O1372" s="563"/>
      <c r="P1372" s="563"/>
    </row>
    <row r="1373" spans="2:16" ht="15.75" customHeight="1">
      <c r="B1373" s="562"/>
      <c r="H1373" s="563"/>
      <c r="I1373" s="538"/>
      <c r="J1373" s="564"/>
      <c r="N1373" s="563"/>
      <c r="O1373" s="563"/>
      <c r="P1373" s="563"/>
    </row>
    <row r="1374" spans="2:16" ht="15.75" customHeight="1">
      <c r="B1374" s="562"/>
      <c r="H1374" s="563"/>
      <c r="I1374" s="538"/>
      <c r="J1374" s="564"/>
      <c r="N1374" s="563"/>
      <c r="O1374" s="563"/>
      <c r="P1374" s="563"/>
    </row>
    <row r="1375" spans="2:16" ht="15.75" customHeight="1">
      <c r="B1375" s="562"/>
      <c r="H1375" s="563"/>
      <c r="I1375" s="538"/>
      <c r="J1375" s="564"/>
      <c r="N1375" s="563"/>
      <c r="O1375" s="563"/>
      <c r="P1375" s="563"/>
    </row>
    <row r="1376" spans="2:16" ht="15.75" customHeight="1">
      <c r="B1376" s="562"/>
      <c r="H1376" s="563"/>
      <c r="I1376" s="538"/>
      <c r="J1376" s="564"/>
      <c r="N1376" s="563"/>
      <c r="O1376" s="563"/>
      <c r="P1376" s="563"/>
    </row>
    <row r="1377" spans="2:16" ht="15.75" customHeight="1">
      <c r="B1377" s="562"/>
      <c r="H1377" s="563"/>
      <c r="I1377" s="538"/>
      <c r="J1377" s="564"/>
      <c r="N1377" s="563"/>
      <c r="O1377" s="563"/>
      <c r="P1377" s="563"/>
    </row>
    <row r="1378" spans="2:16" ht="15.75" customHeight="1">
      <c r="B1378" s="562"/>
      <c r="H1378" s="563"/>
      <c r="I1378" s="538"/>
      <c r="J1378" s="564"/>
      <c r="N1378" s="563"/>
      <c r="O1378" s="563"/>
      <c r="P1378" s="563"/>
    </row>
    <row r="1379" spans="2:16" ht="15.75" customHeight="1">
      <c r="B1379" s="562"/>
      <c r="H1379" s="563"/>
      <c r="I1379" s="538"/>
      <c r="J1379" s="564"/>
      <c r="N1379" s="563"/>
      <c r="O1379" s="563"/>
      <c r="P1379" s="563"/>
    </row>
    <row r="1380" spans="2:16" ht="15.75" customHeight="1">
      <c r="B1380" s="562"/>
      <c r="H1380" s="563"/>
      <c r="I1380" s="538"/>
      <c r="J1380" s="564"/>
      <c r="N1380" s="563"/>
      <c r="O1380" s="563"/>
      <c r="P1380" s="563"/>
    </row>
    <row r="1381" spans="2:16" ht="15.75" customHeight="1">
      <c r="B1381" s="562"/>
      <c r="H1381" s="563"/>
      <c r="I1381" s="538"/>
      <c r="J1381" s="564"/>
      <c r="N1381" s="563"/>
      <c r="O1381" s="563"/>
      <c r="P1381" s="563"/>
    </row>
    <row r="1382" spans="2:16" ht="15.75" customHeight="1">
      <c r="B1382" s="562"/>
      <c r="H1382" s="563"/>
      <c r="I1382" s="538"/>
      <c r="J1382" s="564"/>
      <c r="N1382" s="563"/>
      <c r="O1382" s="563"/>
      <c r="P1382" s="563"/>
    </row>
    <row r="1383" spans="2:16" ht="15.75" customHeight="1">
      <c r="B1383" s="562"/>
      <c r="H1383" s="563"/>
      <c r="I1383" s="538"/>
      <c r="J1383" s="564"/>
      <c r="N1383" s="563"/>
      <c r="O1383" s="563"/>
      <c r="P1383" s="563"/>
    </row>
    <row r="1384" spans="2:16" ht="15.75" customHeight="1">
      <c r="B1384" s="562"/>
      <c r="H1384" s="563"/>
      <c r="I1384" s="538"/>
      <c r="J1384" s="564"/>
      <c r="N1384" s="563"/>
      <c r="O1384" s="563"/>
      <c r="P1384" s="563"/>
    </row>
    <row r="1385" spans="2:16" ht="15.75" customHeight="1">
      <c r="B1385" s="562"/>
      <c r="H1385" s="563"/>
      <c r="I1385" s="538"/>
      <c r="J1385" s="564"/>
      <c r="N1385" s="563"/>
      <c r="O1385" s="563"/>
      <c r="P1385" s="563"/>
    </row>
    <row r="1386" spans="2:16" ht="15.75" customHeight="1">
      <c r="B1386" s="562"/>
      <c r="H1386" s="563"/>
      <c r="I1386" s="538"/>
      <c r="J1386" s="564"/>
      <c r="N1386" s="563"/>
      <c r="O1386" s="563"/>
      <c r="P1386" s="563"/>
    </row>
    <row r="1387" spans="2:16" ht="15.75" customHeight="1">
      <c r="B1387" s="562"/>
      <c r="H1387" s="563"/>
      <c r="I1387" s="538"/>
      <c r="J1387" s="564"/>
      <c r="N1387" s="563"/>
      <c r="O1387" s="563"/>
      <c r="P1387" s="563"/>
    </row>
    <row r="1388" spans="2:16" ht="15.75" customHeight="1">
      <c r="B1388" s="562"/>
      <c r="H1388" s="563"/>
      <c r="I1388" s="538"/>
      <c r="J1388" s="564"/>
      <c r="N1388" s="563"/>
      <c r="O1388" s="563"/>
      <c r="P1388" s="563"/>
    </row>
    <row r="1389" spans="2:16" ht="15.75" customHeight="1">
      <c r="B1389" s="562"/>
      <c r="H1389" s="563"/>
      <c r="I1389" s="538"/>
      <c r="J1389" s="564"/>
      <c r="N1389" s="563"/>
      <c r="O1389" s="563"/>
      <c r="P1389" s="563"/>
    </row>
    <row r="1390" spans="2:16" ht="15.75" customHeight="1">
      <c r="B1390" s="562"/>
      <c r="H1390" s="563"/>
      <c r="I1390" s="538"/>
      <c r="J1390" s="564"/>
      <c r="N1390" s="563"/>
      <c r="O1390" s="563"/>
      <c r="P1390" s="563"/>
    </row>
    <row r="1391" spans="2:16" ht="15.75" customHeight="1">
      <c r="B1391" s="562"/>
      <c r="H1391" s="563"/>
      <c r="I1391" s="538"/>
      <c r="J1391" s="564"/>
      <c r="N1391" s="563"/>
      <c r="O1391" s="563"/>
      <c r="P1391" s="563"/>
    </row>
    <row r="1392" spans="2:16" ht="15.75" customHeight="1">
      <c r="B1392" s="562"/>
      <c r="H1392" s="563"/>
      <c r="I1392" s="538"/>
      <c r="J1392" s="564"/>
      <c r="N1392" s="563"/>
      <c r="O1392" s="563"/>
      <c r="P1392" s="563"/>
    </row>
    <row r="1393" spans="2:16" ht="15.75" customHeight="1">
      <c r="B1393" s="562"/>
      <c r="H1393" s="563"/>
      <c r="I1393" s="538"/>
      <c r="J1393" s="564"/>
      <c r="N1393" s="563"/>
      <c r="O1393" s="563"/>
      <c r="P1393" s="563"/>
    </row>
    <row r="1394" spans="2:16" ht="15.75" customHeight="1">
      <c r="B1394" s="562"/>
      <c r="H1394" s="563"/>
      <c r="I1394" s="538"/>
      <c r="J1394" s="564"/>
      <c r="N1394" s="563"/>
      <c r="O1394" s="563"/>
      <c r="P1394" s="563"/>
    </row>
    <row r="1395" spans="2:16" ht="15.75" customHeight="1">
      <c r="B1395" s="562"/>
      <c r="H1395" s="563"/>
      <c r="I1395" s="538"/>
      <c r="J1395" s="564"/>
      <c r="N1395" s="563"/>
      <c r="O1395" s="563"/>
      <c r="P1395" s="563"/>
    </row>
    <row r="1396" spans="2:16" ht="15.75" customHeight="1">
      <c r="B1396" s="562"/>
      <c r="H1396" s="563"/>
      <c r="N1396" s="563"/>
      <c r="O1396" s="563"/>
      <c r="P1396" s="563"/>
    </row>
    <row r="1397" spans="2:16" ht="15.75" customHeight="1">
      <c r="B1397" s="562"/>
      <c r="H1397" s="563"/>
      <c r="N1397" s="563"/>
      <c r="O1397" s="563"/>
      <c r="P1397" s="563"/>
    </row>
    <row r="1398" spans="2:16" ht="15.75" customHeight="1">
      <c r="B1398" s="562"/>
      <c r="H1398" s="563"/>
      <c r="I1398" s="538"/>
      <c r="J1398" s="564"/>
      <c r="N1398" s="563"/>
      <c r="O1398" s="563"/>
      <c r="P1398" s="563"/>
    </row>
    <row r="1399" spans="2:16" ht="15.75" customHeight="1">
      <c r="B1399" s="562"/>
      <c r="H1399" s="563"/>
      <c r="I1399" s="538"/>
      <c r="J1399" s="564"/>
      <c r="N1399" s="563"/>
      <c r="O1399" s="563"/>
      <c r="P1399" s="563"/>
    </row>
    <row r="1400" spans="2:16" ht="15.75" customHeight="1">
      <c r="B1400" s="562"/>
      <c r="H1400" s="563"/>
      <c r="I1400" s="538"/>
      <c r="J1400" s="564"/>
      <c r="N1400" s="563"/>
      <c r="O1400" s="563"/>
      <c r="P1400" s="563"/>
    </row>
    <row r="1401" spans="2:16" ht="15.75" customHeight="1">
      <c r="B1401" s="562"/>
      <c r="H1401" s="563"/>
      <c r="I1401" s="538"/>
      <c r="J1401" s="564"/>
      <c r="N1401" s="563"/>
      <c r="O1401" s="563"/>
      <c r="P1401" s="563"/>
    </row>
    <row r="1402" spans="2:16" ht="15.75" customHeight="1">
      <c r="B1402" s="562"/>
      <c r="H1402" s="563"/>
      <c r="I1402" s="538"/>
      <c r="J1402" s="564"/>
      <c r="N1402" s="563"/>
      <c r="O1402" s="563"/>
      <c r="P1402" s="563"/>
    </row>
    <row r="1403" spans="2:16" ht="15.75" customHeight="1">
      <c r="B1403" s="562"/>
      <c r="H1403" s="563"/>
      <c r="N1403" s="563"/>
      <c r="O1403" s="563"/>
      <c r="P1403" s="563"/>
    </row>
    <row r="1404" spans="2:16" ht="15.75" customHeight="1">
      <c r="B1404" s="562"/>
      <c r="H1404" s="563"/>
      <c r="N1404" s="563"/>
      <c r="O1404" s="563"/>
      <c r="P1404" s="563"/>
    </row>
    <row r="1405" spans="2:16" ht="15.75" customHeight="1">
      <c r="B1405" s="562"/>
      <c r="H1405" s="563"/>
      <c r="I1405" s="538"/>
      <c r="J1405" s="564"/>
      <c r="N1405" s="563"/>
      <c r="O1405" s="563"/>
      <c r="P1405" s="563"/>
    </row>
    <row r="1406" spans="2:16" ht="15.75" customHeight="1">
      <c r="B1406" s="562"/>
      <c r="H1406" s="563"/>
      <c r="I1406" s="538"/>
      <c r="J1406" s="564"/>
      <c r="N1406" s="563"/>
      <c r="O1406" s="563"/>
      <c r="P1406" s="563"/>
    </row>
    <row r="1407" spans="2:16" ht="15.75" customHeight="1">
      <c r="B1407" s="562"/>
      <c r="H1407" s="563"/>
      <c r="I1407" s="538"/>
      <c r="J1407" s="564"/>
      <c r="N1407" s="563"/>
      <c r="O1407" s="563"/>
      <c r="P1407" s="563"/>
    </row>
    <row r="1408" spans="2:16" ht="15.75" customHeight="1">
      <c r="B1408" s="562"/>
      <c r="H1408" s="563"/>
      <c r="I1408" s="538"/>
      <c r="J1408" s="564"/>
      <c r="N1408" s="563"/>
      <c r="O1408" s="563"/>
      <c r="P1408" s="563"/>
    </row>
    <row r="1409" spans="2:16" ht="15.75" customHeight="1">
      <c r="B1409" s="562"/>
      <c r="H1409" s="563"/>
      <c r="I1409" s="538"/>
      <c r="J1409" s="564"/>
      <c r="N1409" s="563"/>
      <c r="O1409" s="563"/>
      <c r="P1409" s="563"/>
    </row>
    <row r="1410" spans="2:16" ht="15.75" customHeight="1">
      <c r="B1410" s="562"/>
      <c r="H1410" s="563"/>
      <c r="I1410" s="538"/>
      <c r="J1410" s="564"/>
      <c r="N1410" s="563"/>
      <c r="O1410" s="563"/>
      <c r="P1410" s="563"/>
    </row>
    <row r="1411" spans="2:16" ht="15.75" customHeight="1">
      <c r="B1411" s="562"/>
      <c r="H1411" s="563"/>
      <c r="I1411" s="538"/>
      <c r="J1411" s="564"/>
      <c r="N1411" s="563"/>
      <c r="O1411" s="563"/>
      <c r="P1411" s="563"/>
    </row>
    <row r="1412" spans="2:16" ht="15.75" customHeight="1">
      <c r="B1412" s="562"/>
      <c r="H1412" s="563"/>
      <c r="I1412" s="538"/>
      <c r="J1412" s="564"/>
      <c r="N1412" s="563"/>
      <c r="O1412" s="563"/>
      <c r="P1412" s="563"/>
    </row>
    <row r="1413" spans="2:16" ht="15.75" customHeight="1">
      <c r="B1413" s="562"/>
      <c r="H1413" s="563"/>
      <c r="I1413" s="538"/>
      <c r="J1413" s="564"/>
      <c r="N1413" s="563"/>
      <c r="O1413" s="563"/>
      <c r="P1413" s="563"/>
    </row>
    <row r="1414" spans="2:16" ht="15.75" customHeight="1">
      <c r="B1414" s="562"/>
      <c r="H1414" s="563"/>
      <c r="I1414" s="538"/>
      <c r="J1414" s="564"/>
      <c r="N1414" s="563"/>
      <c r="O1414" s="563"/>
      <c r="P1414" s="563"/>
    </row>
    <row r="1415" spans="2:16" ht="15.75" customHeight="1">
      <c r="B1415" s="562"/>
      <c r="H1415" s="563"/>
      <c r="I1415" s="538"/>
      <c r="J1415" s="564"/>
      <c r="N1415" s="563"/>
      <c r="O1415" s="563"/>
      <c r="P1415" s="563"/>
    </row>
    <row r="1416" spans="2:16" ht="15.75" customHeight="1">
      <c r="B1416" s="562"/>
      <c r="H1416" s="563"/>
      <c r="I1416" s="538"/>
      <c r="J1416" s="564"/>
      <c r="N1416" s="563"/>
      <c r="O1416" s="563"/>
      <c r="P1416" s="563"/>
    </row>
    <row r="1417" spans="2:16" ht="15.75" customHeight="1">
      <c r="B1417" s="562"/>
      <c r="H1417" s="563"/>
      <c r="I1417" s="538"/>
      <c r="J1417" s="564"/>
      <c r="N1417" s="563"/>
      <c r="O1417" s="563"/>
      <c r="P1417" s="563"/>
    </row>
    <row r="1418" spans="2:16" ht="15.75" customHeight="1">
      <c r="B1418" s="562"/>
      <c r="H1418" s="563"/>
      <c r="I1418" s="538"/>
      <c r="J1418" s="564"/>
      <c r="N1418" s="563"/>
      <c r="O1418" s="563"/>
      <c r="P1418" s="563"/>
    </row>
    <row r="1419" spans="2:16" ht="15.75" customHeight="1">
      <c r="B1419" s="562"/>
      <c r="H1419" s="563"/>
      <c r="I1419" s="538"/>
      <c r="J1419" s="564"/>
      <c r="N1419" s="563"/>
      <c r="O1419" s="563"/>
      <c r="P1419" s="563"/>
    </row>
    <row r="1420" spans="2:16" ht="15.75" customHeight="1">
      <c r="B1420" s="562"/>
      <c r="H1420" s="563"/>
      <c r="I1420" s="538"/>
      <c r="J1420" s="564"/>
      <c r="N1420" s="563"/>
      <c r="O1420" s="563"/>
      <c r="P1420" s="563"/>
    </row>
    <row r="1421" spans="2:16" ht="15.75" customHeight="1">
      <c r="B1421" s="562"/>
      <c r="H1421" s="563"/>
      <c r="I1421" s="538"/>
      <c r="J1421" s="564"/>
      <c r="N1421" s="563"/>
      <c r="O1421" s="563"/>
      <c r="P1421" s="563"/>
    </row>
    <row r="1422" spans="2:16" ht="15.75" customHeight="1">
      <c r="B1422" s="562"/>
      <c r="H1422" s="563"/>
      <c r="I1422" s="538"/>
      <c r="J1422" s="564"/>
      <c r="N1422" s="563"/>
      <c r="O1422" s="563"/>
      <c r="P1422" s="563"/>
    </row>
    <row r="1423" spans="2:16" ht="15.75" customHeight="1">
      <c r="B1423" s="562"/>
      <c r="H1423" s="563"/>
      <c r="I1423" s="538"/>
      <c r="J1423" s="564"/>
      <c r="N1423" s="563"/>
      <c r="O1423" s="563"/>
      <c r="P1423" s="563"/>
    </row>
    <row r="1424" spans="2:16" ht="15.75" customHeight="1">
      <c r="B1424" s="562"/>
      <c r="H1424" s="563"/>
      <c r="I1424" s="538"/>
      <c r="J1424" s="564"/>
      <c r="N1424" s="563"/>
      <c r="O1424" s="563"/>
      <c r="P1424" s="563"/>
    </row>
    <row r="1425" spans="2:16" ht="15.75" customHeight="1">
      <c r="B1425" s="562"/>
      <c r="H1425" s="563"/>
      <c r="I1425" s="538"/>
      <c r="J1425" s="564"/>
      <c r="N1425" s="563"/>
      <c r="O1425" s="563"/>
      <c r="P1425" s="563"/>
    </row>
    <row r="1426" spans="2:16" ht="15.75" customHeight="1">
      <c r="B1426" s="562"/>
      <c r="H1426" s="563"/>
      <c r="I1426" s="538"/>
      <c r="J1426" s="564"/>
      <c r="N1426" s="563"/>
      <c r="O1426" s="563"/>
      <c r="P1426" s="563"/>
    </row>
    <row r="1427" spans="2:16" ht="15.75" customHeight="1">
      <c r="B1427" s="562"/>
      <c r="H1427" s="563"/>
      <c r="I1427" s="538"/>
      <c r="J1427" s="564"/>
      <c r="N1427" s="563"/>
      <c r="O1427" s="563"/>
      <c r="P1427" s="563"/>
    </row>
    <row r="1428" spans="2:16" ht="15.75" customHeight="1">
      <c r="B1428" s="562"/>
      <c r="H1428" s="563"/>
      <c r="I1428" s="538"/>
      <c r="J1428" s="564"/>
      <c r="N1428" s="563"/>
      <c r="O1428" s="563"/>
      <c r="P1428" s="563"/>
    </row>
    <row r="1429" spans="2:16" ht="15.75" customHeight="1">
      <c r="B1429" s="562"/>
      <c r="H1429" s="563"/>
      <c r="I1429" s="538"/>
      <c r="J1429" s="564"/>
      <c r="N1429" s="563"/>
      <c r="O1429" s="563"/>
      <c r="P1429" s="563"/>
    </row>
    <row r="1430" spans="2:16" ht="15.75" customHeight="1">
      <c r="B1430" s="562"/>
      <c r="H1430" s="563"/>
      <c r="I1430" s="538"/>
      <c r="J1430" s="564"/>
      <c r="N1430" s="563"/>
      <c r="O1430" s="563"/>
      <c r="P1430" s="563"/>
    </row>
    <row r="1431" spans="2:16" ht="15.75" customHeight="1">
      <c r="B1431" s="562"/>
      <c r="H1431" s="563"/>
      <c r="I1431" s="538"/>
      <c r="J1431" s="564"/>
      <c r="N1431" s="563"/>
      <c r="O1431" s="563"/>
      <c r="P1431" s="563"/>
    </row>
    <row r="1432" spans="2:16" ht="15.75" customHeight="1">
      <c r="B1432" s="562"/>
      <c r="H1432" s="563"/>
      <c r="I1432" s="538"/>
      <c r="J1432" s="564"/>
      <c r="N1432" s="563"/>
      <c r="O1432" s="563"/>
      <c r="P1432" s="563"/>
    </row>
    <row r="1433" spans="2:16" ht="15.75" customHeight="1">
      <c r="B1433" s="562"/>
      <c r="H1433" s="563"/>
      <c r="I1433" s="538"/>
      <c r="J1433" s="564"/>
      <c r="N1433" s="563"/>
      <c r="O1433" s="563"/>
      <c r="P1433" s="563"/>
    </row>
    <row r="1434" spans="2:16" ht="15.75" customHeight="1">
      <c r="B1434" s="562"/>
      <c r="H1434" s="563"/>
      <c r="I1434" s="538"/>
      <c r="J1434" s="564"/>
      <c r="N1434" s="563"/>
      <c r="O1434" s="563"/>
      <c r="P1434" s="563"/>
    </row>
    <row r="1435" spans="2:16" ht="15.75" customHeight="1">
      <c r="B1435" s="562"/>
      <c r="H1435" s="563"/>
      <c r="I1435" s="538"/>
      <c r="J1435" s="564"/>
      <c r="N1435" s="563"/>
      <c r="O1435" s="563"/>
      <c r="P1435" s="563"/>
    </row>
    <row r="1436" spans="2:16" ht="15.75" customHeight="1">
      <c r="B1436" s="562"/>
      <c r="H1436" s="563"/>
      <c r="I1436" s="538"/>
      <c r="J1436" s="564"/>
      <c r="N1436" s="563"/>
      <c r="O1436" s="563"/>
      <c r="P1436" s="563"/>
    </row>
    <row r="1437" spans="2:16" ht="15.75" customHeight="1">
      <c r="B1437" s="562"/>
      <c r="H1437" s="563"/>
      <c r="I1437" s="538"/>
      <c r="J1437" s="564"/>
      <c r="N1437" s="563"/>
      <c r="O1437" s="563"/>
      <c r="P1437" s="563"/>
    </row>
    <row r="1438" spans="2:16" ht="15.75" customHeight="1">
      <c r="B1438" s="562"/>
      <c r="H1438" s="563"/>
      <c r="I1438" s="538"/>
      <c r="J1438" s="564"/>
      <c r="N1438" s="563"/>
      <c r="O1438" s="563"/>
      <c r="P1438" s="563"/>
    </row>
    <row r="1439" spans="2:16" ht="15.75" customHeight="1">
      <c r="B1439" s="562"/>
      <c r="H1439" s="563"/>
      <c r="I1439" s="538"/>
      <c r="J1439" s="564"/>
      <c r="N1439" s="563"/>
      <c r="O1439" s="563"/>
      <c r="P1439" s="563"/>
    </row>
    <row r="1440" spans="2:16" ht="15.75" customHeight="1">
      <c r="B1440" s="562"/>
      <c r="H1440" s="563"/>
      <c r="I1440" s="538"/>
      <c r="J1440" s="564"/>
      <c r="N1440" s="563"/>
      <c r="O1440" s="563"/>
      <c r="P1440" s="563"/>
    </row>
    <row r="1441" spans="2:16" ht="15.75" customHeight="1">
      <c r="B1441" s="562"/>
      <c r="H1441" s="563"/>
      <c r="I1441" s="538"/>
      <c r="J1441" s="564"/>
      <c r="N1441" s="563"/>
      <c r="O1441" s="563"/>
      <c r="P1441" s="563"/>
    </row>
    <row r="1442" spans="2:16" ht="15.75" customHeight="1">
      <c r="B1442" s="562"/>
      <c r="H1442" s="563"/>
      <c r="I1442" s="538"/>
      <c r="J1442" s="564"/>
      <c r="N1442" s="563"/>
      <c r="O1442" s="563"/>
      <c r="P1442" s="563"/>
    </row>
    <row r="1443" spans="2:16" ht="15.75" customHeight="1">
      <c r="B1443" s="562"/>
      <c r="H1443" s="563"/>
      <c r="I1443" s="538"/>
      <c r="J1443" s="564"/>
      <c r="N1443" s="563"/>
      <c r="O1443" s="563"/>
      <c r="P1443" s="563"/>
    </row>
    <row r="1444" spans="2:16" ht="15.75" customHeight="1">
      <c r="B1444" s="562"/>
      <c r="H1444" s="563"/>
      <c r="I1444" s="538"/>
      <c r="J1444" s="564"/>
      <c r="N1444" s="563"/>
      <c r="O1444" s="563"/>
      <c r="P1444" s="563"/>
    </row>
    <row r="1445" spans="2:16" ht="15.75" customHeight="1">
      <c r="B1445" s="562"/>
      <c r="H1445" s="563"/>
      <c r="I1445" s="538"/>
      <c r="J1445" s="564"/>
      <c r="N1445" s="563"/>
      <c r="O1445" s="563"/>
      <c r="P1445" s="563"/>
    </row>
    <row r="1446" spans="2:16" ht="15.75" customHeight="1">
      <c r="B1446" s="562"/>
      <c r="H1446" s="563"/>
      <c r="I1446" s="538"/>
      <c r="J1446" s="564"/>
      <c r="N1446" s="563"/>
      <c r="O1446" s="563"/>
      <c r="P1446" s="563"/>
    </row>
    <row r="1447" spans="2:16" ht="15.75" customHeight="1">
      <c r="B1447" s="562"/>
      <c r="H1447" s="563"/>
      <c r="I1447" s="538"/>
      <c r="J1447" s="564"/>
      <c r="N1447" s="563"/>
      <c r="O1447" s="563"/>
      <c r="P1447" s="563"/>
    </row>
    <row r="1448" spans="2:16" ht="15.75" customHeight="1">
      <c r="B1448" s="562"/>
      <c r="H1448" s="563"/>
      <c r="I1448" s="538"/>
      <c r="J1448" s="564"/>
      <c r="N1448" s="563"/>
      <c r="O1448" s="563"/>
      <c r="P1448" s="563"/>
    </row>
    <row r="1449" spans="2:16" ht="15.75" customHeight="1">
      <c r="B1449" s="562"/>
      <c r="H1449" s="563"/>
      <c r="I1449" s="538"/>
      <c r="J1449" s="564"/>
      <c r="N1449" s="563"/>
      <c r="O1449" s="563"/>
      <c r="P1449" s="563"/>
    </row>
    <row r="1450" spans="2:16" ht="15.75" customHeight="1">
      <c r="B1450" s="562"/>
      <c r="H1450" s="563"/>
      <c r="I1450" s="538"/>
      <c r="J1450" s="564"/>
      <c r="N1450" s="563"/>
      <c r="O1450" s="563"/>
      <c r="P1450" s="563"/>
    </row>
    <row r="1451" spans="2:16" ht="15.75" customHeight="1">
      <c r="B1451" s="562"/>
      <c r="H1451" s="563"/>
      <c r="I1451" s="538"/>
      <c r="J1451" s="564"/>
      <c r="N1451" s="563"/>
      <c r="O1451" s="563"/>
      <c r="P1451" s="563"/>
    </row>
    <row r="1452" spans="2:16" ht="15.75" customHeight="1">
      <c r="B1452" s="562"/>
      <c r="H1452" s="563"/>
      <c r="I1452" s="538"/>
      <c r="J1452" s="564"/>
      <c r="N1452" s="563"/>
      <c r="O1452" s="563"/>
      <c r="P1452" s="563"/>
    </row>
    <row r="1453" spans="2:16" ht="15.75" customHeight="1">
      <c r="B1453" s="562"/>
      <c r="H1453" s="563"/>
      <c r="I1453" s="538"/>
      <c r="J1453" s="564"/>
      <c r="N1453" s="563"/>
      <c r="O1453" s="563"/>
      <c r="P1453" s="563"/>
    </row>
    <row r="1454" spans="2:16" ht="15.75" customHeight="1">
      <c r="B1454" s="562"/>
      <c r="H1454" s="563"/>
      <c r="I1454" s="538"/>
      <c r="J1454" s="564"/>
      <c r="N1454" s="563"/>
      <c r="O1454" s="563"/>
      <c r="P1454" s="563"/>
    </row>
    <row r="1455" spans="2:16" ht="15.75" customHeight="1">
      <c r="B1455" s="562"/>
      <c r="H1455" s="563"/>
      <c r="I1455" s="538"/>
      <c r="J1455" s="564"/>
      <c r="N1455" s="563"/>
      <c r="O1455" s="563"/>
      <c r="P1455" s="563"/>
    </row>
    <row r="1456" spans="2:16" ht="15.75" customHeight="1">
      <c r="B1456" s="562"/>
      <c r="H1456" s="563"/>
      <c r="I1456" s="538"/>
      <c r="J1456" s="564"/>
      <c r="N1456" s="563"/>
      <c r="O1456" s="563"/>
      <c r="P1456" s="563"/>
    </row>
    <row r="1457" spans="2:16" ht="15.75" customHeight="1">
      <c r="B1457" s="562"/>
      <c r="H1457" s="563"/>
      <c r="I1457" s="538"/>
      <c r="J1457" s="564"/>
      <c r="N1457" s="563"/>
      <c r="O1457" s="563"/>
      <c r="P1457" s="563"/>
    </row>
    <row r="1458" spans="2:16" ht="15.75" customHeight="1">
      <c r="B1458" s="562"/>
      <c r="H1458" s="563"/>
      <c r="I1458" s="538"/>
      <c r="J1458" s="564"/>
      <c r="N1458" s="563"/>
      <c r="O1458" s="563"/>
      <c r="P1458" s="563"/>
    </row>
    <row r="1459" spans="2:16" ht="15.75" customHeight="1">
      <c r="B1459" s="562"/>
      <c r="H1459" s="563"/>
      <c r="I1459" s="538"/>
      <c r="J1459" s="564"/>
      <c r="N1459" s="563"/>
      <c r="O1459" s="563"/>
      <c r="P1459" s="563"/>
    </row>
    <row r="1460" spans="2:16" ht="15.75" customHeight="1">
      <c r="B1460" s="562"/>
      <c r="H1460" s="563"/>
      <c r="I1460" s="538"/>
      <c r="J1460" s="564"/>
      <c r="N1460" s="563"/>
      <c r="O1460" s="563"/>
      <c r="P1460" s="563"/>
    </row>
    <row r="1461" spans="2:16" ht="15.75" customHeight="1">
      <c r="B1461" s="562"/>
      <c r="H1461" s="563"/>
      <c r="I1461" s="538"/>
      <c r="J1461" s="564"/>
      <c r="N1461" s="563"/>
      <c r="O1461" s="563"/>
      <c r="P1461" s="563"/>
    </row>
    <row r="1462" spans="2:16" ht="15.75" customHeight="1">
      <c r="B1462" s="562"/>
      <c r="H1462" s="563"/>
      <c r="I1462" s="538"/>
      <c r="J1462" s="564"/>
      <c r="N1462" s="563"/>
      <c r="O1462" s="563"/>
      <c r="P1462" s="563"/>
    </row>
    <row r="1463" spans="2:16" ht="15.75" customHeight="1">
      <c r="B1463" s="562"/>
      <c r="H1463" s="563"/>
      <c r="I1463" s="538"/>
      <c r="J1463" s="564"/>
      <c r="N1463" s="563"/>
      <c r="O1463" s="563"/>
      <c r="P1463" s="563"/>
    </row>
    <row r="1464" spans="2:16" ht="15.75" customHeight="1">
      <c r="B1464" s="562"/>
      <c r="H1464" s="563"/>
      <c r="I1464" s="538"/>
      <c r="J1464" s="564"/>
      <c r="N1464" s="563"/>
      <c r="O1464" s="563"/>
      <c r="P1464" s="563"/>
    </row>
    <row r="1465" spans="2:16" ht="15.75" customHeight="1">
      <c r="B1465" s="562"/>
      <c r="H1465" s="563"/>
      <c r="I1465" s="538"/>
      <c r="J1465" s="564"/>
      <c r="N1465" s="563"/>
      <c r="O1465" s="563"/>
      <c r="P1465" s="563"/>
    </row>
    <row r="1466" spans="2:16" ht="15.75" customHeight="1">
      <c r="B1466" s="562"/>
      <c r="H1466" s="563"/>
      <c r="I1466" s="538"/>
      <c r="J1466" s="564"/>
      <c r="N1466" s="563"/>
      <c r="O1466" s="563"/>
      <c r="P1466" s="563"/>
    </row>
    <row r="1467" spans="2:16" ht="15.75" customHeight="1">
      <c r="B1467" s="562"/>
      <c r="H1467" s="563"/>
      <c r="I1467" s="538"/>
      <c r="J1467" s="564"/>
      <c r="N1467" s="563"/>
      <c r="O1467" s="563"/>
      <c r="P1467" s="563"/>
    </row>
    <row r="1468" spans="2:16" ht="15.75" customHeight="1">
      <c r="B1468" s="562"/>
      <c r="H1468" s="563"/>
      <c r="I1468" s="538"/>
      <c r="J1468" s="564"/>
      <c r="N1468" s="563"/>
      <c r="O1468" s="563"/>
      <c r="P1468" s="563"/>
    </row>
    <row r="1469" spans="2:16" ht="15.75" customHeight="1">
      <c r="B1469" s="562"/>
      <c r="H1469" s="563"/>
      <c r="I1469" s="538"/>
      <c r="J1469" s="564"/>
      <c r="N1469" s="563"/>
      <c r="O1469" s="563"/>
      <c r="P1469" s="563"/>
    </row>
    <row r="1470" spans="2:16" ht="15.75" customHeight="1">
      <c r="B1470" s="562"/>
      <c r="H1470" s="563"/>
      <c r="I1470" s="538"/>
      <c r="J1470" s="564"/>
      <c r="N1470" s="563"/>
      <c r="O1470" s="563"/>
      <c r="P1470" s="563"/>
    </row>
    <row r="1471" spans="2:16" ht="15.75" customHeight="1">
      <c r="B1471" s="562"/>
      <c r="H1471" s="563"/>
      <c r="I1471" s="538"/>
      <c r="J1471" s="564"/>
      <c r="N1471" s="563"/>
      <c r="O1471" s="563"/>
      <c r="P1471" s="563"/>
    </row>
    <row r="1472" spans="2:16" ht="15.75" customHeight="1">
      <c r="B1472" s="562"/>
      <c r="H1472" s="563"/>
      <c r="I1472" s="538"/>
      <c r="J1472" s="564"/>
      <c r="N1472" s="563"/>
      <c r="O1472" s="563"/>
      <c r="P1472" s="563"/>
    </row>
    <row r="1473" spans="2:16" ht="15.75" customHeight="1">
      <c r="B1473" s="562"/>
      <c r="H1473" s="563"/>
      <c r="I1473" s="538"/>
      <c r="J1473" s="564"/>
      <c r="N1473" s="563"/>
      <c r="O1473" s="563"/>
      <c r="P1473" s="563"/>
    </row>
    <row r="1474" spans="2:16" ht="15.75" customHeight="1">
      <c r="B1474" s="562"/>
      <c r="H1474" s="563"/>
      <c r="I1474" s="538"/>
      <c r="J1474" s="564"/>
      <c r="N1474" s="563"/>
      <c r="O1474" s="563"/>
      <c r="P1474" s="563"/>
    </row>
    <row r="1475" spans="2:16" ht="15.75" customHeight="1">
      <c r="B1475" s="562"/>
      <c r="H1475" s="563"/>
      <c r="I1475" s="538"/>
      <c r="J1475" s="564"/>
      <c r="N1475" s="563"/>
      <c r="O1475" s="563"/>
      <c r="P1475" s="563"/>
    </row>
    <row r="1476" spans="2:16" ht="15.75" customHeight="1">
      <c r="B1476" s="562"/>
      <c r="H1476" s="563"/>
      <c r="I1476" s="538"/>
      <c r="J1476" s="564"/>
      <c r="N1476" s="563"/>
      <c r="O1476" s="563"/>
      <c r="P1476" s="563"/>
    </row>
    <row r="1477" spans="2:16" ht="15.75" customHeight="1">
      <c r="B1477" s="562"/>
      <c r="H1477" s="563"/>
      <c r="I1477" s="538"/>
      <c r="J1477" s="564"/>
      <c r="N1477" s="563"/>
      <c r="O1477" s="563"/>
      <c r="P1477" s="563"/>
    </row>
    <row r="1478" spans="2:16" ht="15.75" customHeight="1">
      <c r="B1478" s="562"/>
      <c r="H1478" s="563"/>
      <c r="I1478" s="538"/>
      <c r="J1478" s="564"/>
      <c r="N1478" s="563"/>
      <c r="O1478" s="563"/>
      <c r="P1478" s="563"/>
    </row>
    <row r="1479" spans="2:16" ht="15.75" customHeight="1">
      <c r="B1479" s="562"/>
      <c r="H1479" s="563"/>
      <c r="I1479" s="538"/>
      <c r="J1479" s="564"/>
      <c r="N1479" s="563"/>
      <c r="O1479" s="563"/>
      <c r="P1479" s="563"/>
    </row>
    <row r="1480" spans="2:16" ht="15.75" customHeight="1">
      <c r="B1480" s="562"/>
      <c r="H1480" s="563"/>
      <c r="I1480" s="538"/>
      <c r="J1480" s="564"/>
      <c r="N1480" s="563"/>
      <c r="O1480" s="563"/>
      <c r="P1480" s="563"/>
    </row>
    <row r="1481" spans="2:16" ht="15.75" customHeight="1">
      <c r="B1481" s="562"/>
      <c r="H1481" s="563"/>
      <c r="I1481" s="538"/>
      <c r="J1481" s="564"/>
      <c r="N1481" s="563"/>
      <c r="O1481" s="563"/>
      <c r="P1481" s="563"/>
    </row>
    <row r="1482" spans="2:16" ht="15.75" customHeight="1">
      <c r="B1482" s="562"/>
      <c r="H1482" s="563"/>
      <c r="I1482" s="538"/>
      <c r="J1482" s="564"/>
      <c r="N1482" s="563"/>
      <c r="O1482" s="563"/>
      <c r="P1482" s="563"/>
    </row>
    <row r="1483" spans="2:16" ht="15.75" customHeight="1">
      <c r="B1483" s="562"/>
      <c r="H1483" s="563"/>
      <c r="I1483" s="538"/>
      <c r="J1483" s="564"/>
      <c r="N1483" s="563"/>
      <c r="O1483" s="563"/>
      <c r="P1483" s="563"/>
    </row>
    <row r="1484" spans="2:16" ht="15.75" customHeight="1">
      <c r="B1484" s="562"/>
      <c r="H1484" s="563"/>
      <c r="I1484" s="538"/>
      <c r="J1484" s="564"/>
      <c r="N1484" s="563"/>
      <c r="O1484" s="563"/>
      <c r="P1484" s="563"/>
    </row>
    <row r="1485" spans="2:16" ht="15.75" customHeight="1">
      <c r="B1485" s="562"/>
      <c r="H1485" s="563"/>
      <c r="I1485" s="538"/>
      <c r="J1485" s="564"/>
      <c r="N1485" s="563"/>
      <c r="O1485" s="563"/>
      <c r="P1485" s="563"/>
    </row>
    <row r="1486" spans="2:16" ht="15.75" customHeight="1">
      <c r="B1486" s="562"/>
      <c r="H1486" s="563"/>
      <c r="I1486" s="538"/>
      <c r="J1486" s="564"/>
      <c r="N1486" s="563"/>
      <c r="O1486" s="563"/>
      <c r="P1486" s="563"/>
    </row>
    <row r="1487" spans="2:16" ht="15.75" customHeight="1">
      <c r="B1487" s="562"/>
      <c r="H1487" s="563"/>
      <c r="I1487" s="538"/>
      <c r="J1487" s="564"/>
      <c r="N1487" s="563"/>
      <c r="O1487" s="563"/>
      <c r="P1487" s="563"/>
    </row>
    <row r="1488" spans="2:16" ht="15.75" customHeight="1">
      <c r="B1488" s="562"/>
      <c r="H1488" s="563"/>
      <c r="I1488" s="538"/>
      <c r="J1488" s="564"/>
      <c r="N1488" s="563"/>
      <c r="O1488" s="563"/>
      <c r="P1488" s="563"/>
    </row>
    <row r="1489" spans="2:16" ht="15.75" customHeight="1">
      <c r="B1489" s="562"/>
      <c r="H1489" s="563"/>
      <c r="I1489" s="538"/>
      <c r="J1489" s="564"/>
      <c r="N1489" s="563"/>
      <c r="O1489" s="563"/>
      <c r="P1489" s="563"/>
    </row>
    <row r="1490" spans="2:16" ht="15.75" customHeight="1">
      <c r="B1490" s="562"/>
      <c r="H1490" s="563"/>
      <c r="I1490" s="538"/>
      <c r="J1490" s="564"/>
      <c r="N1490" s="563"/>
      <c r="O1490" s="563"/>
      <c r="P1490" s="563"/>
    </row>
    <row r="1491" spans="2:16" ht="15.75" customHeight="1">
      <c r="B1491" s="562"/>
      <c r="H1491" s="563"/>
      <c r="I1491" s="538"/>
      <c r="J1491" s="564"/>
      <c r="N1491" s="563"/>
      <c r="O1491" s="563"/>
      <c r="P1491" s="563"/>
    </row>
    <row r="1492" spans="2:16" ht="15.75" customHeight="1">
      <c r="B1492" s="562"/>
      <c r="H1492" s="563"/>
      <c r="I1492" s="538"/>
      <c r="J1492" s="564"/>
      <c r="N1492" s="563"/>
      <c r="O1492" s="563"/>
      <c r="P1492" s="563"/>
    </row>
    <row r="1493" spans="2:16" ht="15.75" customHeight="1">
      <c r="B1493" s="562"/>
      <c r="H1493" s="563"/>
      <c r="I1493" s="538"/>
      <c r="J1493" s="564"/>
      <c r="N1493" s="563"/>
      <c r="O1493" s="563"/>
      <c r="P1493" s="563"/>
    </row>
    <row r="1494" spans="2:16" ht="15.75" customHeight="1">
      <c r="B1494" s="562"/>
      <c r="H1494" s="563"/>
      <c r="I1494" s="538"/>
      <c r="J1494" s="564"/>
      <c r="N1494" s="563"/>
      <c r="O1494" s="563"/>
      <c r="P1494" s="563"/>
    </row>
    <row r="1495" spans="2:16" ht="15.75" customHeight="1">
      <c r="B1495" s="562"/>
      <c r="H1495" s="563"/>
      <c r="I1495" s="538"/>
      <c r="J1495" s="564"/>
      <c r="N1495" s="563"/>
      <c r="O1495" s="563"/>
      <c r="P1495" s="563"/>
    </row>
    <row r="1496" spans="2:16" ht="15.75" customHeight="1">
      <c r="B1496" s="562"/>
      <c r="H1496" s="563"/>
      <c r="I1496" s="538"/>
      <c r="J1496" s="564"/>
      <c r="N1496" s="563"/>
      <c r="O1496" s="563"/>
      <c r="P1496" s="563"/>
    </row>
    <row r="1497" spans="2:16" ht="15.75" customHeight="1">
      <c r="B1497" s="562"/>
      <c r="H1497" s="563"/>
      <c r="I1497" s="538"/>
      <c r="J1497" s="564"/>
      <c r="N1497" s="563"/>
      <c r="O1497" s="563"/>
      <c r="P1497" s="563"/>
    </row>
    <row r="1498" spans="2:16" ht="15.75" customHeight="1">
      <c r="B1498" s="562"/>
      <c r="H1498" s="563"/>
      <c r="I1498" s="538"/>
      <c r="J1498" s="564"/>
      <c r="N1498" s="563"/>
      <c r="O1498" s="563"/>
      <c r="P1498" s="563"/>
    </row>
    <row r="1499" spans="2:16" ht="15.75" customHeight="1">
      <c r="B1499" s="562"/>
      <c r="H1499" s="563"/>
      <c r="I1499" s="538"/>
      <c r="J1499" s="564"/>
      <c r="N1499" s="563"/>
      <c r="O1499" s="563"/>
      <c r="P1499" s="563"/>
    </row>
    <row r="1500" spans="2:16" ht="15.75" customHeight="1">
      <c r="B1500" s="562"/>
      <c r="H1500" s="563"/>
      <c r="I1500" s="538"/>
      <c r="J1500" s="564"/>
      <c r="N1500" s="563"/>
      <c r="O1500" s="563"/>
      <c r="P1500" s="563"/>
    </row>
    <row r="1501" spans="2:16" ht="15.75" customHeight="1">
      <c r="B1501" s="562"/>
      <c r="H1501" s="563"/>
      <c r="I1501" s="538"/>
      <c r="J1501" s="564"/>
      <c r="N1501" s="563"/>
      <c r="O1501" s="563"/>
      <c r="P1501" s="563"/>
    </row>
    <row r="1502" spans="2:16" ht="15.75" customHeight="1">
      <c r="B1502" s="562"/>
      <c r="H1502" s="563"/>
      <c r="I1502" s="538"/>
      <c r="J1502" s="564"/>
      <c r="N1502" s="563"/>
      <c r="O1502" s="563"/>
      <c r="P1502" s="563"/>
    </row>
    <row r="1503" spans="2:16" ht="15.75" customHeight="1">
      <c r="B1503" s="562"/>
      <c r="H1503" s="563"/>
      <c r="I1503" s="538"/>
      <c r="J1503" s="564"/>
      <c r="N1503" s="563"/>
      <c r="O1503" s="563"/>
      <c r="P1503" s="563"/>
    </row>
    <row r="1504" spans="2:16" ht="15.75" customHeight="1">
      <c r="B1504" s="562"/>
      <c r="H1504" s="563"/>
      <c r="I1504" s="538"/>
      <c r="J1504" s="564"/>
      <c r="N1504" s="563"/>
      <c r="O1504" s="563"/>
      <c r="P1504" s="563"/>
    </row>
    <row r="1505" spans="2:16" ht="15.75" customHeight="1">
      <c r="B1505" s="562"/>
      <c r="H1505" s="563"/>
      <c r="I1505" s="538"/>
      <c r="J1505" s="564"/>
      <c r="N1505" s="563"/>
      <c r="O1505" s="563"/>
      <c r="P1505" s="563"/>
    </row>
    <row r="1506" spans="2:16" ht="15.75" customHeight="1">
      <c r="B1506" s="562"/>
      <c r="H1506" s="563"/>
      <c r="I1506" s="538"/>
      <c r="J1506" s="564"/>
      <c r="N1506" s="563"/>
      <c r="O1506" s="563"/>
      <c r="P1506" s="563"/>
    </row>
    <row r="1507" spans="2:16" ht="15.75" customHeight="1">
      <c r="B1507" s="562"/>
      <c r="H1507" s="563"/>
      <c r="I1507" s="538"/>
      <c r="J1507" s="564"/>
      <c r="N1507" s="563"/>
      <c r="O1507" s="563"/>
      <c r="P1507" s="563"/>
    </row>
    <row r="1508" spans="2:16" ht="15.75" customHeight="1">
      <c r="B1508" s="562"/>
      <c r="H1508" s="563"/>
      <c r="I1508" s="538"/>
      <c r="J1508" s="564"/>
      <c r="N1508" s="563"/>
      <c r="O1508" s="563"/>
      <c r="P1508" s="563"/>
    </row>
    <row r="1509" spans="2:16" ht="15.75" customHeight="1">
      <c r="B1509" s="562"/>
      <c r="H1509" s="563"/>
      <c r="I1509" s="538"/>
      <c r="J1509" s="564"/>
      <c r="N1509" s="563"/>
      <c r="O1509" s="563"/>
      <c r="P1509" s="563"/>
    </row>
    <row r="1510" spans="2:16" ht="15.75" customHeight="1">
      <c r="B1510" s="562"/>
      <c r="H1510" s="563"/>
      <c r="I1510" s="538"/>
      <c r="J1510" s="564"/>
      <c r="N1510" s="563"/>
      <c r="O1510" s="563"/>
      <c r="P1510" s="563"/>
    </row>
    <row r="1511" spans="2:16" ht="15.75" customHeight="1">
      <c r="B1511" s="562"/>
      <c r="H1511" s="563"/>
      <c r="I1511" s="538"/>
      <c r="J1511" s="564"/>
      <c r="N1511" s="563"/>
      <c r="O1511" s="563"/>
      <c r="P1511" s="563"/>
    </row>
    <row r="1512" spans="2:16" ht="15.75" customHeight="1">
      <c r="B1512" s="562"/>
      <c r="H1512" s="563"/>
      <c r="I1512" s="538"/>
      <c r="J1512" s="564"/>
      <c r="N1512" s="563"/>
      <c r="O1512" s="563"/>
      <c r="P1512" s="563"/>
    </row>
    <row r="1513" spans="2:16" ht="15.75" customHeight="1">
      <c r="B1513" s="562"/>
      <c r="H1513" s="563"/>
      <c r="I1513" s="538"/>
      <c r="J1513" s="564"/>
      <c r="N1513" s="563"/>
      <c r="O1513" s="563"/>
      <c r="P1513" s="563"/>
    </row>
    <row r="1514" spans="2:16" ht="15.75" customHeight="1">
      <c r="B1514" s="562"/>
      <c r="H1514" s="563"/>
      <c r="I1514" s="538"/>
      <c r="J1514" s="564"/>
      <c r="N1514" s="563"/>
      <c r="O1514" s="563"/>
      <c r="P1514" s="563"/>
    </row>
    <row r="1515" spans="2:16" ht="15.75" customHeight="1">
      <c r="B1515" s="562"/>
      <c r="H1515" s="563"/>
      <c r="I1515" s="538"/>
      <c r="J1515" s="564"/>
      <c r="N1515" s="563"/>
      <c r="O1515" s="563"/>
      <c r="P1515" s="563"/>
    </row>
    <row r="1516" spans="2:16" ht="15.75" customHeight="1">
      <c r="B1516" s="562"/>
      <c r="H1516" s="563"/>
      <c r="I1516" s="538"/>
      <c r="J1516" s="564"/>
      <c r="N1516" s="563"/>
      <c r="O1516" s="563"/>
      <c r="P1516" s="563"/>
    </row>
    <row r="1517" spans="2:16" ht="15.75" customHeight="1">
      <c r="B1517" s="562"/>
      <c r="H1517" s="563"/>
      <c r="I1517" s="538"/>
      <c r="J1517" s="564"/>
      <c r="N1517" s="563"/>
      <c r="O1517" s="563"/>
      <c r="P1517" s="563"/>
    </row>
    <row r="1518" spans="2:16" ht="15.75" customHeight="1">
      <c r="B1518" s="562"/>
      <c r="H1518" s="563"/>
      <c r="I1518" s="538"/>
      <c r="J1518" s="564"/>
      <c r="N1518" s="563"/>
      <c r="O1518" s="563"/>
      <c r="P1518" s="563"/>
    </row>
    <row r="1519" spans="2:16" ht="15.75" customHeight="1">
      <c r="B1519" s="562"/>
      <c r="H1519" s="563"/>
      <c r="I1519" s="538"/>
      <c r="J1519" s="564"/>
      <c r="N1519" s="563"/>
      <c r="O1519" s="563"/>
      <c r="P1519" s="563"/>
    </row>
    <row r="1520" spans="2:16" ht="15.75" customHeight="1">
      <c r="B1520" s="562"/>
      <c r="H1520" s="563"/>
      <c r="I1520" s="538"/>
      <c r="J1520" s="564"/>
      <c r="N1520" s="563"/>
      <c r="O1520" s="563"/>
      <c r="P1520" s="563"/>
    </row>
    <row r="1521" spans="2:16" ht="15.75" customHeight="1">
      <c r="B1521" s="562"/>
      <c r="H1521" s="563"/>
      <c r="I1521" s="538"/>
      <c r="J1521" s="564"/>
      <c r="N1521" s="563"/>
      <c r="O1521" s="563"/>
      <c r="P1521" s="563"/>
    </row>
    <row r="1522" spans="2:16" ht="15.75" customHeight="1">
      <c r="B1522" s="562"/>
      <c r="H1522" s="563"/>
      <c r="I1522" s="538"/>
      <c r="J1522" s="564"/>
      <c r="N1522" s="563"/>
      <c r="O1522" s="563"/>
      <c r="P1522" s="563"/>
    </row>
    <row r="1523" spans="2:16" ht="15.75" customHeight="1">
      <c r="B1523" s="562"/>
      <c r="H1523" s="563"/>
      <c r="I1523" s="538"/>
      <c r="J1523" s="564"/>
      <c r="N1523" s="563"/>
      <c r="O1523" s="563"/>
      <c r="P1523" s="563"/>
    </row>
    <row r="1524" spans="2:16" ht="15.75" customHeight="1">
      <c r="B1524" s="562"/>
      <c r="H1524" s="563"/>
      <c r="I1524" s="538"/>
      <c r="J1524" s="564"/>
      <c r="N1524" s="563"/>
      <c r="O1524" s="563"/>
      <c r="P1524" s="563"/>
    </row>
    <row r="1525" spans="2:16" ht="15.75" customHeight="1">
      <c r="B1525" s="562"/>
      <c r="H1525" s="563"/>
      <c r="I1525" s="538"/>
      <c r="J1525" s="564"/>
      <c r="N1525" s="563"/>
      <c r="O1525" s="563"/>
      <c r="P1525" s="563"/>
    </row>
    <row r="1526" spans="2:16" ht="15.75" customHeight="1">
      <c r="B1526" s="562"/>
      <c r="H1526" s="563"/>
      <c r="I1526" s="538"/>
      <c r="J1526" s="564"/>
      <c r="N1526" s="563"/>
      <c r="O1526" s="563"/>
      <c r="P1526" s="563"/>
    </row>
    <row r="1527" spans="2:16" ht="15.75" customHeight="1">
      <c r="B1527" s="562"/>
      <c r="H1527" s="563"/>
      <c r="I1527" s="538"/>
      <c r="J1527" s="564"/>
      <c r="N1527" s="563"/>
      <c r="O1527" s="563"/>
      <c r="P1527" s="563"/>
    </row>
    <row r="1528" spans="2:16" ht="15.75" customHeight="1">
      <c r="B1528" s="562"/>
      <c r="H1528" s="563"/>
      <c r="I1528" s="538"/>
      <c r="J1528" s="564"/>
      <c r="N1528" s="563"/>
      <c r="O1528" s="563"/>
      <c r="P1528" s="563"/>
    </row>
    <row r="1529" spans="2:16" ht="15.75" customHeight="1">
      <c r="B1529" s="562"/>
      <c r="H1529" s="563"/>
      <c r="I1529" s="538"/>
      <c r="J1529" s="564"/>
      <c r="N1529" s="563"/>
      <c r="O1529" s="563"/>
      <c r="P1529" s="563"/>
    </row>
    <row r="1530" spans="2:16" ht="15.75" customHeight="1">
      <c r="B1530" s="562"/>
      <c r="H1530" s="563"/>
      <c r="I1530" s="538"/>
      <c r="J1530" s="564"/>
      <c r="N1530" s="563"/>
      <c r="O1530" s="563"/>
      <c r="P1530" s="563"/>
    </row>
    <row r="1531" spans="2:16" ht="15.75" customHeight="1">
      <c r="B1531" s="562"/>
      <c r="H1531" s="563"/>
      <c r="I1531" s="538"/>
      <c r="J1531" s="564"/>
      <c r="N1531" s="563"/>
      <c r="O1531" s="563"/>
      <c r="P1531" s="563"/>
    </row>
    <row r="1532" spans="2:16" ht="15.75" customHeight="1">
      <c r="B1532" s="562"/>
      <c r="H1532" s="563"/>
      <c r="I1532" s="538"/>
      <c r="J1532" s="564"/>
      <c r="N1532" s="563"/>
      <c r="O1532" s="563"/>
      <c r="P1532" s="563"/>
    </row>
    <row r="1533" spans="2:16" ht="15.75" customHeight="1">
      <c r="B1533" s="562"/>
      <c r="H1533" s="563"/>
      <c r="I1533" s="538"/>
      <c r="J1533" s="564"/>
      <c r="N1533" s="563"/>
      <c r="O1533" s="563"/>
      <c r="P1533" s="563"/>
    </row>
    <row r="1534" spans="2:16" ht="15.75" customHeight="1">
      <c r="B1534" s="562"/>
      <c r="H1534" s="563"/>
      <c r="I1534" s="538"/>
      <c r="J1534" s="564"/>
      <c r="N1534" s="563"/>
      <c r="O1534" s="563"/>
      <c r="P1534" s="563"/>
    </row>
    <row r="1535" spans="2:16" ht="15.75" customHeight="1">
      <c r="B1535" s="562"/>
      <c r="H1535" s="563"/>
      <c r="I1535" s="538"/>
      <c r="J1535" s="564"/>
      <c r="N1535" s="563"/>
      <c r="O1535" s="563"/>
      <c r="P1535" s="563"/>
    </row>
    <row r="1536" spans="2:16" ht="15.75" customHeight="1">
      <c r="B1536" s="562"/>
      <c r="H1536" s="563"/>
      <c r="N1536" s="563"/>
      <c r="O1536" s="563"/>
      <c r="P1536" s="563"/>
    </row>
    <row r="1537" spans="2:16" ht="15.75" customHeight="1">
      <c r="B1537" s="562"/>
      <c r="H1537" s="563"/>
      <c r="N1537" s="563"/>
      <c r="O1537" s="563"/>
      <c r="P1537" s="563"/>
    </row>
    <row r="1538" spans="2:16" ht="15.75" customHeight="1">
      <c r="B1538" s="562"/>
      <c r="H1538" s="563"/>
      <c r="I1538" s="538"/>
      <c r="J1538" s="564"/>
      <c r="N1538" s="563"/>
      <c r="O1538" s="563"/>
      <c r="P1538" s="563"/>
    </row>
    <row r="1539" spans="2:16" ht="15.75" customHeight="1">
      <c r="B1539" s="562"/>
      <c r="H1539" s="563"/>
      <c r="I1539" s="538"/>
      <c r="J1539" s="564"/>
      <c r="N1539" s="563"/>
      <c r="O1539" s="563"/>
      <c r="P1539" s="563"/>
    </row>
    <row r="1540" spans="2:16" ht="15.75" customHeight="1">
      <c r="B1540" s="562"/>
      <c r="H1540" s="563"/>
      <c r="I1540" s="538"/>
      <c r="J1540" s="564"/>
      <c r="N1540" s="563"/>
      <c r="O1540" s="563"/>
      <c r="P1540" s="563"/>
    </row>
    <row r="1541" spans="2:16" ht="15.75" customHeight="1">
      <c r="B1541" s="562"/>
      <c r="H1541" s="563"/>
      <c r="I1541" s="538"/>
      <c r="J1541" s="564"/>
      <c r="N1541" s="563"/>
      <c r="O1541" s="563"/>
      <c r="P1541" s="563"/>
    </row>
    <row r="1542" spans="2:16" ht="15.75" customHeight="1">
      <c r="B1542" s="562"/>
      <c r="H1542" s="563"/>
      <c r="I1542" s="538"/>
      <c r="J1542" s="564"/>
      <c r="N1542" s="563"/>
      <c r="O1542" s="563"/>
      <c r="P1542" s="563"/>
    </row>
    <row r="1543" spans="2:16" ht="15.75" customHeight="1">
      <c r="B1543" s="562"/>
      <c r="H1543" s="563"/>
      <c r="I1543" s="538"/>
      <c r="J1543" s="564"/>
      <c r="N1543" s="563"/>
      <c r="O1543" s="563"/>
      <c r="P1543" s="563"/>
    </row>
    <row r="1544" spans="2:16" ht="15.75" customHeight="1">
      <c r="B1544" s="562"/>
      <c r="H1544" s="563"/>
      <c r="I1544" s="538"/>
      <c r="J1544" s="564"/>
      <c r="N1544" s="563"/>
      <c r="O1544" s="563"/>
      <c r="P1544" s="563"/>
    </row>
    <row r="1545" spans="2:16" ht="15.75" customHeight="1">
      <c r="B1545" s="562"/>
      <c r="H1545" s="563"/>
      <c r="I1545" s="538"/>
      <c r="J1545" s="564"/>
      <c r="N1545" s="563"/>
      <c r="O1545" s="563"/>
      <c r="P1545" s="563"/>
    </row>
    <row r="1546" spans="2:16" ht="15.75" customHeight="1">
      <c r="B1546" s="562"/>
      <c r="H1546" s="563"/>
      <c r="I1546" s="538"/>
      <c r="J1546" s="564"/>
      <c r="N1546" s="563"/>
      <c r="O1546" s="563"/>
      <c r="P1546" s="563"/>
    </row>
    <row r="1547" spans="2:16" ht="15.75" customHeight="1">
      <c r="B1547" s="562"/>
      <c r="H1547" s="563"/>
      <c r="I1547" s="538"/>
      <c r="J1547" s="564"/>
      <c r="N1547" s="563"/>
      <c r="O1547" s="563"/>
      <c r="P1547" s="563"/>
    </row>
    <row r="1548" spans="2:16" ht="15.75" customHeight="1">
      <c r="B1548" s="562"/>
      <c r="H1548" s="563"/>
      <c r="I1548" s="538"/>
      <c r="J1548" s="564"/>
      <c r="N1548" s="563"/>
      <c r="O1548" s="563"/>
      <c r="P1548" s="563"/>
    </row>
    <row r="1549" spans="2:16" ht="15.75" customHeight="1">
      <c r="B1549" s="562"/>
      <c r="H1549" s="563"/>
      <c r="N1549" s="563"/>
      <c r="O1549" s="563"/>
      <c r="P1549" s="563"/>
    </row>
    <row r="1550" spans="2:16" ht="15.75" customHeight="1">
      <c r="B1550" s="562"/>
      <c r="H1550" s="563"/>
      <c r="N1550" s="563"/>
      <c r="O1550" s="563"/>
      <c r="P1550" s="563"/>
    </row>
    <row r="1551" spans="2:16" ht="15.75" customHeight="1">
      <c r="B1551" s="562"/>
      <c r="H1551" s="563"/>
      <c r="N1551" s="563"/>
      <c r="O1551" s="563"/>
      <c r="P1551" s="563"/>
    </row>
    <row r="1552" spans="2:16" ht="15.75" customHeight="1">
      <c r="B1552" s="562"/>
      <c r="H1552" s="563"/>
      <c r="N1552" s="563"/>
      <c r="P1552" s="563"/>
    </row>
    <row r="1553" spans="2:16" ht="15.75" customHeight="1">
      <c r="B1553" s="562"/>
      <c r="H1553" s="563"/>
      <c r="I1553" s="538"/>
      <c r="J1553" s="564"/>
      <c r="N1553" s="563"/>
      <c r="P1553" s="563"/>
    </row>
    <row r="1554" spans="2:16" ht="15.75" customHeight="1">
      <c r="B1554" s="562"/>
      <c r="H1554" s="563"/>
      <c r="I1554" s="538"/>
      <c r="J1554" s="564"/>
      <c r="N1554" s="563"/>
      <c r="P1554" s="563"/>
    </row>
    <row r="1555" spans="2:16" ht="15.75" customHeight="1">
      <c r="B1555" s="562"/>
      <c r="H1555" s="563"/>
      <c r="I1555" s="538"/>
      <c r="J1555" s="564"/>
      <c r="N1555" s="563"/>
      <c r="O1555" s="563"/>
      <c r="P1555" s="563"/>
    </row>
    <row r="1556" spans="2:16" ht="15.75" customHeight="1">
      <c r="B1556" s="562"/>
      <c r="H1556" s="563"/>
      <c r="I1556" s="538"/>
      <c r="J1556" s="564"/>
      <c r="N1556" s="563"/>
      <c r="O1556" s="563"/>
      <c r="P1556" s="563"/>
    </row>
    <row r="1557" spans="2:16" ht="15.75" customHeight="1">
      <c r="B1557" s="562"/>
      <c r="H1557" s="563"/>
      <c r="I1557" s="538"/>
      <c r="J1557" s="564"/>
      <c r="N1557" s="563"/>
      <c r="O1557" s="563"/>
      <c r="P1557" s="563"/>
    </row>
    <row r="1558" spans="2:16" ht="15.75" customHeight="1">
      <c r="B1558" s="562"/>
      <c r="H1558" s="563"/>
      <c r="I1558" s="538"/>
      <c r="J1558" s="564"/>
      <c r="N1558" s="563"/>
      <c r="O1558" s="563"/>
      <c r="P1558" s="563"/>
    </row>
    <row r="1559" spans="2:16" ht="15.75" customHeight="1">
      <c r="B1559" s="562"/>
      <c r="H1559" s="563"/>
      <c r="I1559" s="538"/>
      <c r="J1559" s="564"/>
      <c r="N1559" s="563"/>
      <c r="O1559" s="563"/>
      <c r="P1559" s="563"/>
    </row>
    <row r="1560" spans="2:16" ht="15.75" customHeight="1">
      <c r="B1560" s="562"/>
      <c r="H1560" s="563"/>
      <c r="I1560" s="538"/>
      <c r="J1560" s="564"/>
      <c r="N1560" s="563"/>
      <c r="O1560" s="563"/>
      <c r="P1560" s="563"/>
    </row>
    <row r="1561" spans="2:16" ht="15.75" customHeight="1">
      <c r="B1561" s="562"/>
      <c r="H1561" s="563"/>
      <c r="I1561" s="538"/>
      <c r="J1561" s="564"/>
      <c r="N1561" s="563"/>
      <c r="O1561" s="563"/>
      <c r="P1561" s="563"/>
    </row>
    <row r="1562" spans="2:16" ht="15.75" customHeight="1">
      <c r="B1562" s="562"/>
      <c r="H1562" s="563"/>
      <c r="N1562" s="563"/>
      <c r="O1562" s="563"/>
      <c r="P1562" s="563"/>
    </row>
    <row r="1563" spans="2:16" ht="15.75" customHeight="1">
      <c r="B1563" s="562"/>
      <c r="H1563" s="563"/>
      <c r="I1563" s="538"/>
      <c r="J1563" s="564"/>
      <c r="N1563" s="563"/>
      <c r="O1563" s="563"/>
      <c r="P1563" s="563"/>
    </row>
    <row r="1564" spans="2:16" ht="15.75" customHeight="1">
      <c r="B1564" s="562"/>
      <c r="H1564" s="563"/>
      <c r="I1564" s="538"/>
      <c r="J1564" s="564"/>
      <c r="N1564" s="563"/>
      <c r="O1564" s="563"/>
      <c r="P1564" s="563"/>
    </row>
    <row r="1565" spans="2:16" ht="15.75" customHeight="1">
      <c r="B1565" s="562"/>
      <c r="H1565" s="563"/>
      <c r="N1565" s="563"/>
      <c r="O1565" s="563"/>
      <c r="P1565" s="563"/>
    </row>
    <row r="1566" spans="2:16" ht="15.75" customHeight="1">
      <c r="B1566" s="562"/>
      <c r="H1566" s="563"/>
      <c r="I1566" s="538"/>
      <c r="J1566" s="564"/>
      <c r="N1566" s="563"/>
      <c r="O1566" s="563"/>
      <c r="P1566" s="563"/>
    </row>
    <row r="1567" spans="2:16" ht="15.75" customHeight="1">
      <c r="B1567" s="562"/>
      <c r="H1567" s="563"/>
      <c r="I1567" s="538"/>
      <c r="J1567" s="564"/>
      <c r="N1567" s="563"/>
      <c r="O1567" s="563"/>
      <c r="P1567" s="550"/>
    </row>
    <row r="1568" spans="2:16" ht="15.75" customHeight="1">
      <c r="B1568" s="562"/>
      <c r="H1568" s="563"/>
      <c r="I1568" s="538"/>
      <c r="J1568" s="564"/>
      <c r="N1568" s="563"/>
      <c r="O1568" s="563"/>
      <c r="P1568" s="550"/>
    </row>
    <row r="1569" spans="2:16" ht="15.75" customHeight="1">
      <c r="B1569" s="562"/>
      <c r="H1569" s="563"/>
      <c r="I1569" s="538"/>
      <c r="J1569" s="564"/>
      <c r="N1569" s="563"/>
      <c r="O1569" s="563"/>
      <c r="P1569" s="550"/>
    </row>
    <row r="1570" spans="2:16" ht="15.75" customHeight="1">
      <c r="B1570" s="562"/>
      <c r="H1570" s="563"/>
      <c r="I1570" s="538"/>
      <c r="J1570" s="564"/>
      <c r="N1570" s="563"/>
      <c r="O1570" s="563"/>
      <c r="P1570" s="563"/>
    </row>
    <row r="1571" spans="2:16" ht="15.75" customHeight="1">
      <c r="B1571" s="562"/>
      <c r="H1571" s="563"/>
      <c r="N1571" s="563"/>
      <c r="O1571" s="563"/>
      <c r="P1571" s="563"/>
    </row>
    <row r="1572" spans="2:16" ht="15.75" customHeight="1">
      <c r="B1572" s="562"/>
      <c r="H1572" s="563"/>
      <c r="N1572" s="563"/>
      <c r="O1572" s="563"/>
      <c r="P1572" s="563"/>
    </row>
    <row r="1573" spans="2:16" ht="15.75" customHeight="1">
      <c r="B1573" s="562"/>
      <c r="H1573" s="563"/>
      <c r="N1573" s="563"/>
      <c r="O1573" s="563"/>
      <c r="P1573" s="563"/>
    </row>
    <row r="1574" spans="2:16" ht="15.75" customHeight="1">
      <c r="B1574" s="562"/>
      <c r="H1574" s="563"/>
      <c r="N1574" s="563"/>
      <c r="O1574" s="563"/>
      <c r="P1574" s="563"/>
    </row>
    <row r="1575" spans="2:16" ht="15.75" customHeight="1">
      <c r="B1575" s="562"/>
      <c r="H1575" s="563"/>
      <c r="I1575" s="538"/>
      <c r="J1575" s="564"/>
      <c r="N1575" s="563"/>
      <c r="O1575" s="563"/>
      <c r="P1575" s="563"/>
    </row>
    <row r="1576" spans="2:16" ht="15.75" customHeight="1">
      <c r="B1576" s="562"/>
      <c r="H1576" s="563"/>
      <c r="I1576" s="538"/>
      <c r="J1576" s="564"/>
      <c r="N1576" s="563"/>
      <c r="O1576" s="563"/>
      <c r="P1576" s="563"/>
    </row>
    <row r="1577" spans="2:16" ht="15.75" customHeight="1">
      <c r="B1577" s="562"/>
      <c r="H1577" s="563"/>
      <c r="I1577" s="538"/>
      <c r="J1577" s="564"/>
      <c r="N1577" s="563"/>
      <c r="O1577" s="563"/>
      <c r="P1577" s="563"/>
    </row>
    <row r="1578" spans="2:16" ht="15.75" customHeight="1">
      <c r="B1578" s="562"/>
      <c r="H1578" s="563"/>
      <c r="I1578" s="538"/>
      <c r="J1578" s="564"/>
      <c r="N1578" s="563"/>
      <c r="O1578" s="563"/>
      <c r="P1578" s="563"/>
    </row>
    <row r="1579" spans="2:16" ht="15.75" customHeight="1">
      <c r="B1579" s="562"/>
      <c r="H1579" s="563"/>
      <c r="I1579" s="538"/>
      <c r="J1579" s="564"/>
      <c r="N1579" s="563"/>
      <c r="O1579" s="563"/>
      <c r="P1579" s="563"/>
    </row>
    <row r="1580" spans="2:16" ht="15.75" customHeight="1">
      <c r="B1580" s="562"/>
      <c r="H1580" s="563"/>
      <c r="I1580" s="538"/>
      <c r="J1580" s="564"/>
      <c r="N1580" s="563"/>
      <c r="O1580" s="563"/>
      <c r="P1580" s="563"/>
    </row>
    <row r="1581" spans="2:16" ht="15.75" customHeight="1">
      <c r="B1581" s="562"/>
      <c r="H1581" s="563"/>
      <c r="I1581" s="538"/>
      <c r="J1581" s="564"/>
      <c r="N1581" s="563"/>
      <c r="O1581" s="563"/>
      <c r="P1581" s="563"/>
    </row>
    <row r="1582" spans="2:16" ht="15.75" customHeight="1">
      <c r="B1582" s="562"/>
      <c r="H1582" s="563"/>
      <c r="I1582" s="538"/>
      <c r="J1582" s="564"/>
      <c r="N1582" s="563"/>
      <c r="O1582" s="563"/>
      <c r="P1582" s="563"/>
    </row>
    <row r="1583" spans="2:16" ht="15.75" customHeight="1">
      <c r="B1583" s="562"/>
      <c r="H1583" s="563"/>
      <c r="I1583" s="538"/>
      <c r="J1583" s="564"/>
      <c r="N1583" s="563"/>
      <c r="O1583" s="563"/>
      <c r="P1583" s="563"/>
    </row>
    <row r="1584" spans="2:16" ht="15.75" customHeight="1">
      <c r="B1584" s="562"/>
      <c r="H1584" s="563"/>
      <c r="I1584" s="538"/>
      <c r="J1584" s="564"/>
      <c r="N1584" s="563"/>
      <c r="O1584" s="563"/>
      <c r="P1584" s="563"/>
    </row>
    <row r="1585" spans="2:16" ht="15.75" customHeight="1">
      <c r="B1585" s="562"/>
      <c r="H1585" s="563"/>
      <c r="I1585" s="538"/>
      <c r="J1585" s="564"/>
      <c r="N1585" s="563"/>
      <c r="O1585" s="563"/>
      <c r="P1585" s="563"/>
    </row>
    <row r="1586" spans="2:16" ht="15.75" customHeight="1">
      <c r="B1586" s="562"/>
      <c r="H1586" s="563"/>
      <c r="I1586" s="538"/>
      <c r="J1586" s="564"/>
      <c r="N1586" s="563"/>
      <c r="O1586" s="563"/>
      <c r="P1586" s="563"/>
    </row>
    <row r="1587" spans="2:16" ht="15.75" customHeight="1">
      <c r="B1587" s="562"/>
      <c r="H1587" s="563"/>
      <c r="I1587" s="538"/>
      <c r="J1587" s="564"/>
      <c r="N1587" s="563"/>
      <c r="O1587" s="563"/>
      <c r="P1587" s="563"/>
    </row>
    <row r="1588" spans="2:16" ht="15.75" customHeight="1">
      <c r="B1588" s="562"/>
      <c r="H1588" s="563"/>
      <c r="I1588" s="538"/>
      <c r="J1588" s="564"/>
      <c r="N1588" s="563"/>
      <c r="O1588" s="563"/>
      <c r="P1588" s="563"/>
    </row>
    <row r="1589" spans="2:16" ht="15.75" customHeight="1">
      <c r="B1589" s="562"/>
      <c r="H1589" s="563"/>
      <c r="I1589" s="538"/>
      <c r="J1589" s="564"/>
      <c r="N1589" s="563"/>
      <c r="O1589" s="563"/>
      <c r="P1589" s="563"/>
    </row>
    <row r="1590" spans="2:16" ht="15.75" customHeight="1">
      <c r="B1590" s="562"/>
      <c r="H1590" s="563"/>
      <c r="I1590" s="538"/>
      <c r="J1590" s="564"/>
      <c r="N1590" s="563"/>
      <c r="O1590" s="563"/>
      <c r="P1590" s="563"/>
    </row>
    <row r="1591" spans="2:16" ht="15.75" customHeight="1">
      <c r="B1591" s="562"/>
      <c r="H1591" s="563"/>
      <c r="I1591" s="538"/>
      <c r="J1591" s="564"/>
      <c r="N1591" s="563"/>
      <c r="O1591" s="563"/>
      <c r="P1591" s="563"/>
    </row>
    <row r="1592" spans="2:16" ht="15.75" customHeight="1">
      <c r="B1592" s="562"/>
      <c r="H1592" s="563"/>
      <c r="I1592" s="538"/>
      <c r="J1592" s="564"/>
      <c r="N1592" s="563"/>
      <c r="O1592" s="563"/>
      <c r="P1592" s="563"/>
    </row>
    <row r="1593" spans="2:16" ht="15.75" customHeight="1">
      <c r="B1593" s="562"/>
      <c r="H1593" s="563"/>
      <c r="I1593" s="538"/>
      <c r="J1593" s="564"/>
      <c r="N1593" s="563"/>
      <c r="O1593" s="563"/>
      <c r="P1593" s="563"/>
    </row>
    <row r="1594" spans="2:16" ht="15.75" customHeight="1">
      <c r="B1594" s="562"/>
      <c r="H1594" s="563"/>
      <c r="I1594" s="538"/>
      <c r="J1594" s="564"/>
      <c r="N1594" s="563"/>
      <c r="O1594" s="563"/>
      <c r="P1594" s="563"/>
    </row>
    <row r="1595" spans="2:16" ht="15.75" customHeight="1">
      <c r="B1595" s="562"/>
      <c r="H1595" s="563"/>
      <c r="I1595" s="538"/>
      <c r="J1595" s="564"/>
      <c r="N1595" s="563"/>
      <c r="O1595" s="563"/>
      <c r="P1595" s="563"/>
    </row>
    <row r="1596" spans="2:16" ht="15.75" customHeight="1">
      <c r="B1596" s="562"/>
      <c r="H1596" s="563"/>
      <c r="I1596" s="538"/>
      <c r="J1596" s="564"/>
      <c r="N1596" s="563"/>
      <c r="O1596" s="563"/>
      <c r="P1596" s="563"/>
    </row>
    <row r="1597" spans="2:16" ht="15.75" customHeight="1">
      <c r="B1597" s="562"/>
      <c r="H1597" s="563"/>
      <c r="I1597" s="538"/>
      <c r="J1597" s="564"/>
      <c r="N1597" s="563"/>
      <c r="O1597" s="563"/>
      <c r="P1597" s="563"/>
    </row>
    <row r="1598" spans="2:16" ht="15.75" customHeight="1">
      <c r="B1598" s="562"/>
      <c r="H1598" s="563"/>
      <c r="I1598" s="538"/>
      <c r="J1598" s="564"/>
      <c r="N1598" s="563"/>
      <c r="O1598" s="563"/>
      <c r="P1598" s="563"/>
    </row>
    <row r="1599" spans="2:16" ht="15.75" customHeight="1">
      <c r="B1599" s="562"/>
      <c r="H1599" s="563"/>
      <c r="I1599" s="538"/>
      <c r="J1599" s="564"/>
      <c r="N1599" s="563"/>
      <c r="O1599" s="563"/>
      <c r="P1599" s="563"/>
    </row>
    <row r="1600" spans="2:16" ht="15.75" customHeight="1">
      <c r="B1600" s="562"/>
      <c r="H1600" s="563"/>
      <c r="I1600" s="538"/>
      <c r="J1600" s="564"/>
      <c r="N1600" s="563"/>
      <c r="O1600" s="563"/>
      <c r="P1600" s="563"/>
    </row>
    <row r="1601" spans="2:16" ht="15.75" customHeight="1">
      <c r="B1601" s="562"/>
      <c r="H1601" s="563"/>
      <c r="I1601" s="538"/>
      <c r="J1601" s="564"/>
      <c r="N1601" s="563"/>
      <c r="O1601" s="563"/>
      <c r="P1601" s="563"/>
    </row>
    <row r="1602" spans="2:16" ht="15.75" customHeight="1">
      <c r="B1602" s="562"/>
      <c r="H1602" s="563"/>
      <c r="I1602" s="538"/>
      <c r="J1602" s="564"/>
      <c r="N1602" s="563"/>
      <c r="O1602" s="563"/>
      <c r="P1602" s="563"/>
    </row>
    <row r="1603" spans="2:16" ht="15.75" customHeight="1">
      <c r="B1603" s="562"/>
      <c r="H1603" s="563"/>
      <c r="I1603" s="538"/>
      <c r="J1603" s="564"/>
      <c r="N1603" s="563"/>
      <c r="O1603" s="563"/>
      <c r="P1603" s="563"/>
    </row>
    <row r="1604" spans="2:16" ht="15.75" customHeight="1">
      <c r="B1604" s="562"/>
      <c r="H1604" s="563"/>
      <c r="I1604" s="538"/>
      <c r="J1604" s="564"/>
      <c r="N1604" s="563"/>
      <c r="O1604" s="563"/>
      <c r="P1604" s="563"/>
    </row>
    <row r="1605" spans="2:16" ht="15.75" customHeight="1">
      <c r="B1605" s="562"/>
      <c r="H1605" s="563"/>
      <c r="I1605" s="538"/>
      <c r="J1605" s="564"/>
      <c r="N1605" s="563"/>
      <c r="O1605" s="563"/>
      <c r="P1605" s="563"/>
    </row>
    <row r="1606" spans="2:16" ht="15.75" customHeight="1">
      <c r="B1606" s="562"/>
      <c r="H1606" s="563"/>
      <c r="I1606" s="538"/>
      <c r="J1606" s="564"/>
      <c r="N1606" s="563"/>
      <c r="O1606" s="563"/>
      <c r="P1606" s="563"/>
    </row>
    <row r="1607" spans="2:16" ht="15.75" customHeight="1">
      <c r="B1607" s="562"/>
      <c r="H1607" s="563"/>
      <c r="I1607" s="538"/>
      <c r="J1607" s="564"/>
      <c r="N1607" s="563"/>
      <c r="O1607" s="563"/>
      <c r="P1607" s="563"/>
    </row>
    <row r="1608" spans="2:16" ht="15.75" customHeight="1">
      <c r="B1608" s="562"/>
      <c r="H1608" s="563"/>
      <c r="I1608" s="538"/>
      <c r="J1608" s="564"/>
      <c r="N1608" s="563"/>
      <c r="O1608" s="563"/>
      <c r="P1608" s="563"/>
    </row>
    <row r="1609" spans="2:16" ht="15.75" customHeight="1">
      <c r="B1609" s="562"/>
      <c r="H1609" s="563"/>
      <c r="I1609" s="538"/>
      <c r="J1609" s="564"/>
      <c r="N1609" s="563"/>
      <c r="O1609" s="563"/>
      <c r="P1609" s="563"/>
    </row>
    <row r="1610" spans="2:16" ht="15.75" customHeight="1">
      <c r="B1610" s="562"/>
      <c r="H1610" s="563"/>
      <c r="I1610" s="538"/>
      <c r="J1610" s="564"/>
      <c r="N1610" s="563"/>
      <c r="O1610" s="563"/>
      <c r="P1610" s="563"/>
    </row>
    <row r="1611" spans="2:16" ht="15.75" customHeight="1">
      <c r="B1611" s="562"/>
      <c r="H1611" s="563"/>
      <c r="I1611" s="538"/>
      <c r="J1611" s="564"/>
      <c r="N1611" s="563"/>
      <c r="O1611" s="563"/>
      <c r="P1611" s="563"/>
    </row>
    <row r="1612" spans="2:16" ht="15.75" customHeight="1">
      <c r="B1612" s="562"/>
      <c r="H1612" s="563"/>
      <c r="I1612" s="538"/>
      <c r="J1612" s="564"/>
      <c r="N1612" s="563"/>
      <c r="O1612" s="563"/>
      <c r="P1612" s="563"/>
    </row>
    <row r="1613" spans="2:16" ht="15.75" customHeight="1">
      <c r="B1613" s="562"/>
      <c r="H1613" s="563"/>
      <c r="I1613" s="538"/>
      <c r="J1613" s="564"/>
      <c r="N1613" s="563"/>
      <c r="O1613" s="563"/>
      <c r="P1613" s="563"/>
    </row>
    <row r="1614" spans="2:16" ht="15.75" customHeight="1">
      <c r="B1614" s="562"/>
      <c r="H1614" s="563"/>
      <c r="I1614" s="538"/>
      <c r="J1614" s="564"/>
      <c r="N1614" s="563"/>
      <c r="O1614" s="563"/>
      <c r="P1614" s="563"/>
    </row>
    <row r="1615" spans="2:16" ht="15.75" customHeight="1">
      <c r="B1615" s="562"/>
      <c r="H1615" s="563"/>
      <c r="I1615" s="538"/>
      <c r="J1615" s="564"/>
      <c r="N1615" s="563"/>
      <c r="O1615" s="563"/>
      <c r="P1615" s="563"/>
    </row>
    <row r="1616" spans="2:16" ht="15.75" customHeight="1">
      <c r="B1616" s="562"/>
      <c r="H1616" s="563"/>
      <c r="I1616" s="538"/>
      <c r="J1616" s="564"/>
      <c r="N1616" s="563"/>
      <c r="O1616" s="563"/>
      <c r="P1616" s="563"/>
    </row>
    <row r="1617" spans="2:16" ht="15.75" customHeight="1">
      <c r="B1617" s="562"/>
      <c r="H1617" s="563"/>
      <c r="I1617" s="538"/>
      <c r="J1617" s="564"/>
      <c r="N1617" s="563"/>
      <c r="O1617" s="563"/>
      <c r="P1617" s="563"/>
    </row>
    <row r="1618" spans="2:16" ht="15.75" customHeight="1">
      <c r="B1618" s="562"/>
      <c r="H1618" s="563"/>
      <c r="I1618" s="538"/>
      <c r="J1618" s="564"/>
      <c r="N1618" s="563"/>
      <c r="O1618" s="563"/>
      <c r="P1618" s="563"/>
    </row>
    <row r="1619" spans="2:16" ht="15.75" customHeight="1">
      <c r="B1619" s="562"/>
      <c r="H1619" s="563"/>
      <c r="I1619" s="538"/>
      <c r="J1619" s="564"/>
      <c r="N1619" s="563"/>
      <c r="O1619" s="563"/>
      <c r="P1619" s="563"/>
    </row>
    <row r="1620" spans="2:16" ht="15.75" customHeight="1">
      <c r="B1620" s="562"/>
      <c r="H1620" s="563"/>
      <c r="I1620" s="538"/>
      <c r="J1620" s="564"/>
      <c r="N1620" s="563"/>
      <c r="O1620" s="563"/>
      <c r="P1620" s="563"/>
    </row>
    <row r="1621" spans="2:16" ht="15.75" customHeight="1">
      <c r="B1621" s="562"/>
      <c r="H1621" s="563"/>
      <c r="I1621" s="538"/>
      <c r="J1621" s="564"/>
      <c r="N1621" s="563"/>
      <c r="O1621" s="563"/>
      <c r="P1621" s="563"/>
    </row>
    <row r="1622" spans="2:16" ht="15.75" customHeight="1">
      <c r="B1622" s="562"/>
      <c r="H1622" s="563"/>
      <c r="I1622" s="538"/>
      <c r="J1622" s="564"/>
      <c r="N1622" s="563"/>
      <c r="O1622" s="563"/>
      <c r="P1622" s="563"/>
    </row>
    <row r="1623" spans="2:16" ht="15.75" customHeight="1">
      <c r="B1623" s="562"/>
      <c r="H1623" s="563"/>
      <c r="I1623" s="538"/>
      <c r="J1623" s="564"/>
      <c r="N1623" s="563"/>
      <c r="O1623" s="563"/>
      <c r="P1623" s="563"/>
    </row>
    <row r="1624" spans="2:16" ht="15.75" customHeight="1">
      <c r="B1624" s="562"/>
      <c r="H1624" s="563"/>
      <c r="I1624" s="538"/>
      <c r="J1624" s="564"/>
      <c r="N1624" s="563"/>
      <c r="O1624" s="563"/>
      <c r="P1624" s="563"/>
    </row>
    <row r="1625" spans="2:16" ht="15.75" customHeight="1">
      <c r="B1625" s="562"/>
      <c r="H1625" s="563"/>
      <c r="I1625" s="538"/>
      <c r="J1625" s="564"/>
      <c r="N1625" s="563"/>
      <c r="O1625" s="563"/>
      <c r="P1625" s="563"/>
    </row>
    <row r="1626" spans="2:16" ht="15.75" customHeight="1">
      <c r="B1626" s="562"/>
      <c r="H1626" s="563"/>
      <c r="I1626" s="538"/>
      <c r="J1626" s="564"/>
      <c r="N1626" s="563"/>
      <c r="O1626" s="563"/>
      <c r="P1626" s="563"/>
    </row>
    <row r="1627" spans="2:16" ht="15.75" customHeight="1">
      <c r="B1627" s="562"/>
      <c r="H1627" s="563"/>
      <c r="I1627" s="538"/>
      <c r="J1627" s="564"/>
      <c r="N1627" s="563"/>
      <c r="O1627" s="563"/>
      <c r="P1627" s="563"/>
    </row>
    <row r="1628" spans="2:16" ht="15.75" customHeight="1">
      <c r="B1628" s="562"/>
      <c r="H1628" s="563"/>
      <c r="I1628" s="538"/>
      <c r="J1628" s="564"/>
      <c r="N1628" s="563"/>
      <c r="O1628" s="563"/>
      <c r="P1628" s="563"/>
    </row>
    <row r="1629" spans="2:16" ht="15.75" customHeight="1">
      <c r="B1629" s="562"/>
      <c r="H1629" s="563"/>
      <c r="I1629" s="538"/>
      <c r="J1629" s="564"/>
      <c r="N1629" s="563"/>
      <c r="O1629" s="563"/>
      <c r="P1629" s="563"/>
    </row>
    <row r="1630" spans="2:16" ht="15.75" customHeight="1">
      <c r="B1630" s="562"/>
      <c r="H1630" s="563"/>
      <c r="I1630" s="538"/>
      <c r="J1630" s="564"/>
      <c r="N1630" s="563"/>
      <c r="O1630" s="563"/>
      <c r="P1630" s="563"/>
    </row>
    <row r="1631" spans="2:16" ht="15.75" customHeight="1">
      <c r="B1631" s="562"/>
      <c r="H1631" s="563"/>
      <c r="I1631" s="538"/>
      <c r="J1631" s="564"/>
      <c r="N1631" s="563"/>
      <c r="O1631" s="563"/>
      <c r="P1631" s="563"/>
    </row>
    <row r="1632" spans="2:16" ht="15.75" customHeight="1">
      <c r="B1632" s="562"/>
      <c r="H1632" s="563"/>
      <c r="N1632" s="563"/>
      <c r="O1632" s="563"/>
      <c r="P1632" s="563"/>
    </row>
    <row r="1633" spans="2:16" ht="15.75" customHeight="1">
      <c r="B1633" s="562"/>
      <c r="H1633" s="563"/>
      <c r="N1633" s="563"/>
      <c r="O1633" s="563"/>
      <c r="P1633" s="563"/>
    </row>
    <row r="1634" spans="2:16" ht="15.75" customHeight="1">
      <c r="B1634" s="562"/>
      <c r="H1634" s="563"/>
      <c r="I1634" s="538"/>
      <c r="J1634" s="564"/>
      <c r="N1634" s="563"/>
      <c r="O1634" s="563"/>
      <c r="P1634" s="563"/>
    </row>
    <row r="1635" spans="2:16" ht="15.75" customHeight="1">
      <c r="B1635" s="562"/>
      <c r="H1635" s="563"/>
      <c r="I1635" s="538"/>
      <c r="J1635" s="564"/>
      <c r="N1635" s="563"/>
      <c r="O1635" s="563"/>
      <c r="P1635" s="563"/>
    </row>
    <row r="1636" spans="2:16" ht="15.75" customHeight="1">
      <c r="B1636" s="562"/>
      <c r="H1636" s="563"/>
      <c r="I1636" s="538"/>
      <c r="J1636" s="564"/>
      <c r="N1636" s="563"/>
      <c r="O1636" s="563"/>
      <c r="P1636" s="563"/>
    </row>
    <row r="1637" spans="2:16" ht="15.75" customHeight="1">
      <c r="B1637" s="562"/>
      <c r="H1637" s="563"/>
      <c r="I1637" s="538"/>
      <c r="J1637" s="564"/>
      <c r="N1637" s="563"/>
      <c r="O1637" s="563"/>
      <c r="P1637" s="563"/>
    </row>
    <row r="1638" spans="2:16" ht="15.75" customHeight="1">
      <c r="B1638" s="562"/>
      <c r="H1638" s="563"/>
      <c r="I1638" s="538"/>
      <c r="J1638" s="564"/>
      <c r="N1638" s="563"/>
      <c r="O1638" s="563"/>
      <c r="P1638" s="563"/>
    </row>
    <row r="1639" spans="2:16" ht="15.75" customHeight="1">
      <c r="B1639" s="562"/>
      <c r="H1639" s="563"/>
      <c r="N1639" s="563"/>
      <c r="O1639" s="563"/>
      <c r="P1639" s="563"/>
    </row>
    <row r="1640" spans="2:16" ht="15.75" customHeight="1">
      <c r="B1640" s="562"/>
      <c r="H1640" s="563"/>
      <c r="N1640" s="563"/>
      <c r="O1640" s="563"/>
      <c r="P1640" s="563"/>
    </row>
    <row r="1641" spans="2:16" ht="15.75" customHeight="1">
      <c r="B1641" s="562"/>
      <c r="H1641" s="563"/>
      <c r="I1641" s="538"/>
      <c r="J1641" s="564"/>
      <c r="N1641" s="563"/>
      <c r="O1641" s="563"/>
      <c r="P1641" s="563"/>
    </row>
    <row r="1642" spans="2:16" ht="15.75" customHeight="1">
      <c r="B1642" s="562"/>
      <c r="H1642" s="563"/>
      <c r="I1642" s="538"/>
      <c r="J1642" s="564"/>
      <c r="N1642" s="563"/>
      <c r="O1642" s="563"/>
      <c r="P1642" s="563"/>
    </row>
    <row r="1643" spans="2:16" ht="15.75" customHeight="1">
      <c r="B1643" s="562"/>
      <c r="H1643" s="563"/>
      <c r="I1643" s="538"/>
      <c r="J1643" s="564"/>
      <c r="N1643" s="563"/>
      <c r="O1643" s="563"/>
      <c r="P1643" s="563"/>
    </row>
    <row r="1644" spans="2:16" ht="15.75" customHeight="1">
      <c r="B1644" s="562"/>
      <c r="H1644" s="563"/>
      <c r="I1644" s="538"/>
      <c r="J1644" s="564"/>
      <c r="N1644" s="563"/>
      <c r="O1644" s="563"/>
      <c r="P1644" s="563"/>
    </row>
    <row r="1645" spans="2:16" ht="15.75" customHeight="1">
      <c r="B1645" s="562"/>
      <c r="H1645" s="563"/>
      <c r="I1645" s="538"/>
      <c r="J1645" s="564"/>
      <c r="N1645" s="563"/>
      <c r="O1645" s="563"/>
      <c r="P1645" s="563"/>
    </row>
    <row r="1646" spans="2:16" ht="15.75" customHeight="1">
      <c r="B1646" s="562"/>
      <c r="H1646" s="563"/>
      <c r="I1646" s="538"/>
      <c r="J1646" s="564"/>
      <c r="N1646" s="563"/>
      <c r="O1646" s="563"/>
      <c r="P1646" s="563"/>
    </row>
    <row r="1647" spans="2:16" ht="15.75" customHeight="1">
      <c r="B1647" s="562"/>
      <c r="H1647" s="563"/>
      <c r="I1647" s="538"/>
      <c r="J1647" s="564"/>
      <c r="N1647" s="563"/>
      <c r="O1647" s="563"/>
      <c r="P1647" s="563"/>
    </row>
    <row r="1648" spans="2:16" ht="15.75" customHeight="1">
      <c r="B1648" s="562"/>
      <c r="H1648" s="563"/>
      <c r="I1648" s="538"/>
      <c r="J1648" s="564"/>
      <c r="N1648" s="563"/>
      <c r="O1648" s="563"/>
      <c r="P1648" s="563"/>
    </row>
    <row r="1649" spans="2:16" ht="15.75" customHeight="1">
      <c r="B1649" s="562"/>
      <c r="H1649" s="563"/>
      <c r="I1649" s="538"/>
      <c r="J1649" s="564"/>
      <c r="N1649" s="563"/>
      <c r="O1649" s="563"/>
      <c r="P1649" s="563"/>
    </row>
    <row r="1650" spans="2:16" ht="15.75" customHeight="1">
      <c r="B1650" s="562"/>
      <c r="H1650" s="563"/>
      <c r="I1650" s="538"/>
      <c r="J1650" s="564"/>
      <c r="N1650" s="563"/>
      <c r="O1650" s="563"/>
      <c r="P1650" s="563"/>
    </row>
    <row r="1651" spans="2:16" ht="15.75" customHeight="1">
      <c r="B1651" s="562"/>
      <c r="H1651" s="563"/>
      <c r="I1651" s="538"/>
      <c r="J1651" s="564"/>
      <c r="N1651" s="563"/>
      <c r="O1651" s="563"/>
      <c r="P1651" s="563"/>
    </row>
    <row r="1652" spans="2:16" ht="15.75" customHeight="1">
      <c r="B1652" s="562"/>
      <c r="H1652" s="563"/>
      <c r="I1652" s="538"/>
      <c r="J1652" s="564"/>
      <c r="N1652" s="563"/>
      <c r="O1652" s="563"/>
      <c r="P1652" s="563"/>
    </row>
    <row r="1653" spans="2:16" ht="15.75" customHeight="1">
      <c r="B1653" s="562"/>
      <c r="H1653" s="563"/>
      <c r="I1653" s="538"/>
      <c r="J1653" s="564"/>
      <c r="N1653" s="563"/>
      <c r="O1653" s="563"/>
      <c r="P1653" s="563"/>
    </row>
    <row r="1654" spans="2:16" ht="15.75" customHeight="1">
      <c r="B1654" s="562"/>
      <c r="H1654" s="563"/>
      <c r="I1654" s="538"/>
      <c r="J1654" s="564"/>
      <c r="N1654" s="563"/>
      <c r="O1654" s="563"/>
      <c r="P1654" s="563"/>
    </row>
    <row r="1655" spans="2:16" ht="15.75" customHeight="1">
      <c r="B1655" s="562"/>
      <c r="H1655" s="563"/>
      <c r="I1655" s="538"/>
      <c r="J1655" s="564"/>
      <c r="N1655" s="563"/>
      <c r="O1655" s="563"/>
      <c r="P1655" s="563"/>
    </row>
    <row r="1656" spans="2:16" ht="15.75" customHeight="1">
      <c r="B1656" s="562"/>
      <c r="H1656" s="563"/>
      <c r="I1656" s="538"/>
      <c r="J1656" s="564"/>
      <c r="N1656" s="563"/>
      <c r="P1656" s="563"/>
    </row>
    <row r="1657" spans="2:16" ht="15.75" customHeight="1">
      <c r="B1657" s="562"/>
      <c r="H1657" s="563"/>
      <c r="I1657" s="538"/>
      <c r="J1657" s="564"/>
      <c r="N1657" s="563"/>
      <c r="P1657" s="563"/>
    </row>
    <row r="1658" spans="2:16" ht="15.75" customHeight="1">
      <c r="B1658" s="562"/>
      <c r="H1658" s="563"/>
      <c r="I1658" s="538"/>
      <c r="J1658" s="564"/>
      <c r="N1658" s="563"/>
      <c r="O1658" s="563"/>
      <c r="P1658" s="563"/>
    </row>
    <row r="1659" spans="2:16" ht="15.75" customHeight="1">
      <c r="B1659" s="562"/>
      <c r="H1659" s="563"/>
      <c r="I1659" s="538"/>
      <c r="J1659" s="564"/>
      <c r="N1659" s="563"/>
      <c r="O1659" s="563"/>
      <c r="P1659" s="563"/>
    </row>
    <row r="1660" spans="2:16" ht="15.75" customHeight="1">
      <c r="B1660" s="562"/>
      <c r="H1660" s="563"/>
      <c r="I1660" s="538"/>
      <c r="J1660" s="564"/>
      <c r="N1660" s="563"/>
      <c r="O1660" s="563"/>
      <c r="P1660" s="563"/>
    </row>
    <row r="1661" spans="2:16" ht="15.75" customHeight="1">
      <c r="B1661" s="562"/>
      <c r="H1661" s="563"/>
      <c r="I1661" s="538"/>
      <c r="J1661" s="564"/>
      <c r="N1661" s="563"/>
      <c r="O1661" s="563"/>
      <c r="P1661" s="563"/>
    </row>
    <row r="1662" spans="2:16" ht="15.75" customHeight="1">
      <c r="B1662" s="562"/>
      <c r="H1662" s="563"/>
      <c r="I1662" s="538"/>
      <c r="J1662" s="564"/>
      <c r="N1662" s="563"/>
      <c r="O1662" s="563"/>
      <c r="P1662" s="563"/>
    </row>
    <row r="1663" spans="2:16" ht="15.75" customHeight="1">
      <c r="B1663" s="562"/>
      <c r="H1663" s="563"/>
      <c r="I1663" s="538"/>
      <c r="J1663" s="564"/>
      <c r="N1663" s="563"/>
      <c r="O1663" s="563"/>
      <c r="P1663" s="563"/>
    </row>
    <row r="1664" spans="2:16" ht="15.75" customHeight="1">
      <c r="B1664" s="562"/>
      <c r="H1664" s="563"/>
      <c r="N1664" s="563"/>
      <c r="O1664" s="563"/>
      <c r="P1664" s="563"/>
    </row>
    <row r="1665" spans="2:16" ht="15.75" customHeight="1">
      <c r="B1665" s="562"/>
      <c r="H1665" s="563"/>
      <c r="N1665" s="563"/>
      <c r="O1665" s="563"/>
      <c r="P1665" s="563"/>
    </row>
    <row r="1666" spans="2:16" ht="15.75" customHeight="1">
      <c r="B1666" s="562"/>
      <c r="H1666" s="563"/>
      <c r="I1666" s="538"/>
      <c r="J1666" s="564"/>
      <c r="N1666" s="563"/>
      <c r="O1666" s="563"/>
      <c r="P1666" s="563"/>
    </row>
    <row r="1667" spans="2:16" ht="15.75" customHeight="1">
      <c r="B1667" s="562"/>
      <c r="H1667" s="563"/>
      <c r="I1667" s="538"/>
      <c r="J1667" s="564"/>
      <c r="N1667" s="563"/>
      <c r="O1667" s="563"/>
      <c r="P1667" s="563"/>
    </row>
    <row r="1668" spans="2:16" ht="15.75" customHeight="1">
      <c r="B1668" s="562"/>
      <c r="H1668" s="563"/>
      <c r="I1668" s="538"/>
      <c r="J1668" s="564"/>
      <c r="N1668" s="563"/>
      <c r="O1668" s="563"/>
      <c r="P1668" s="563"/>
    </row>
    <row r="1669" spans="2:16" ht="15.75" customHeight="1">
      <c r="B1669" s="562"/>
      <c r="H1669" s="563"/>
      <c r="I1669" s="538"/>
      <c r="J1669" s="564"/>
      <c r="N1669" s="563"/>
      <c r="O1669" s="563"/>
      <c r="P1669" s="563"/>
    </row>
    <row r="1670" spans="2:16" ht="15.75" customHeight="1">
      <c r="B1670" s="562"/>
      <c r="H1670" s="563"/>
      <c r="I1670" s="538"/>
      <c r="J1670" s="564"/>
      <c r="N1670" s="563"/>
      <c r="O1670" s="563"/>
      <c r="P1670" s="563"/>
    </row>
    <row r="1671" spans="2:16" ht="15.75" customHeight="1">
      <c r="B1671" s="562"/>
      <c r="H1671" s="563"/>
      <c r="I1671" s="538"/>
      <c r="J1671" s="564"/>
      <c r="N1671" s="563"/>
      <c r="O1671" s="563"/>
      <c r="P1671" s="563"/>
    </row>
    <row r="1672" spans="2:16" ht="15.75" customHeight="1">
      <c r="B1672" s="562"/>
      <c r="H1672" s="563"/>
      <c r="I1672" s="538"/>
      <c r="J1672" s="564"/>
      <c r="N1672" s="563"/>
      <c r="O1672" s="563"/>
      <c r="P1672" s="563"/>
    </row>
    <row r="1673" spans="2:16" ht="15.75" customHeight="1">
      <c r="B1673" s="562"/>
      <c r="H1673" s="563"/>
      <c r="I1673" s="538"/>
      <c r="J1673" s="564"/>
      <c r="N1673" s="563"/>
      <c r="O1673" s="563"/>
      <c r="P1673" s="563"/>
    </row>
    <row r="1674" spans="2:16" ht="15.75" customHeight="1">
      <c r="B1674" s="562"/>
      <c r="H1674" s="563"/>
      <c r="I1674" s="538"/>
      <c r="J1674" s="564"/>
      <c r="N1674" s="563"/>
      <c r="O1674" s="563"/>
      <c r="P1674" s="563"/>
    </row>
    <row r="1675" spans="2:16" ht="15.75" customHeight="1">
      <c r="B1675" s="562"/>
      <c r="H1675" s="563"/>
      <c r="I1675" s="538"/>
      <c r="J1675" s="564"/>
      <c r="N1675" s="563"/>
      <c r="O1675" s="563"/>
      <c r="P1675" s="563"/>
    </row>
    <row r="1676" spans="2:16" ht="15.75" customHeight="1">
      <c r="B1676" s="562"/>
      <c r="H1676" s="563"/>
      <c r="I1676" s="538"/>
      <c r="J1676" s="564"/>
      <c r="N1676" s="563"/>
      <c r="O1676" s="563"/>
      <c r="P1676" s="563"/>
    </row>
    <row r="1677" spans="2:16" ht="15.75" customHeight="1">
      <c r="B1677" s="562"/>
      <c r="H1677" s="563"/>
      <c r="I1677" s="538"/>
      <c r="J1677" s="564"/>
      <c r="N1677" s="563"/>
      <c r="O1677" s="563"/>
      <c r="P1677" s="563"/>
    </row>
    <row r="1678" spans="2:16" ht="15.75" customHeight="1">
      <c r="B1678" s="562"/>
      <c r="H1678" s="563"/>
      <c r="I1678" s="538"/>
      <c r="J1678" s="564"/>
      <c r="N1678" s="563"/>
      <c r="O1678" s="563"/>
      <c r="P1678" s="563"/>
    </row>
    <row r="1679" spans="2:16" ht="15.75" customHeight="1">
      <c r="B1679" s="562"/>
      <c r="H1679" s="563"/>
      <c r="I1679" s="538"/>
      <c r="J1679" s="564"/>
      <c r="N1679" s="563"/>
      <c r="O1679" s="563"/>
      <c r="P1679" s="563"/>
    </row>
    <row r="1680" spans="2:16" ht="15.75" customHeight="1">
      <c r="B1680" s="562"/>
      <c r="H1680" s="563"/>
      <c r="I1680" s="538"/>
      <c r="J1680" s="564"/>
      <c r="N1680" s="563"/>
      <c r="O1680" s="563"/>
      <c r="P1680" s="563"/>
    </row>
    <row r="1681" spans="2:16" ht="15.75" customHeight="1">
      <c r="B1681" s="562"/>
      <c r="H1681" s="563"/>
      <c r="I1681" s="538"/>
      <c r="J1681" s="564"/>
      <c r="N1681" s="563"/>
      <c r="O1681" s="563"/>
      <c r="P1681" s="563"/>
    </row>
    <row r="1682" spans="2:16" ht="15.75" customHeight="1">
      <c r="B1682" s="562"/>
      <c r="H1682" s="563"/>
      <c r="I1682" s="538"/>
      <c r="J1682" s="564"/>
      <c r="N1682" s="563"/>
      <c r="O1682" s="563"/>
      <c r="P1682" s="563"/>
    </row>
    <row r="1683" spans="2:16" ht="15.75" customHeight="1">
      <c r="B1683" s="562"/>
      <c r="H1683" s="563"/>
      <c r="I1683" s="538"/>
      <c r="J1683" s="564"/>
      <c r="N1683" s="563"/>
      <c r="O1683" s="563"/>
      <c r="P1683" s="563"/>
    </row>
    <row r="1684" spans="2:16" ht="15.75" customHeight="1">
      <c r="B1684" s="562"/>
      <c r="H1684" s="563"/>
      <c r="I1684" s="538"/>
      <c r="J1684" s="564"/>
      <c r="N1684" s="563"/>
      <c r="O1684" s="563"/>
      <c r="P1684" s="563"/>
    </row>
    <row r="1685" spans="2:16" ht="15.75" customHeight="1">
      <c r="B1685" s="562"/>
      <c r="H1685" s="563"/>
      <c r="I1685" s="538"/>
      <c r="J1685" s="564"/>
      <c r="N1685" s="563"/>
      <c r="O1685" s="563"/>
      <c r="P1685" s="563"/>
    </row>
    <row r="1686" spans="2:16" ht="15.75" customHeight="1">
      <c r="B1686" s="562"/>
      <c r="H1686" s="563"/>
      <c r="I1686" s="538"/>
      <c r="J1686" s="564"/>
      <c r="N1686" s="563"/>
      <c r="O1686" s="563"/>
      <c r="P1686" s="563"/>
    </row>
    <row r="1687" spans="2:16" ht="15.75" customHeight="1">
      <c r="B1687" s="562"/>
      <c r="H1687" s="563"/>
      <c r="I1687" s="538"/>
      <c r="J1687" s="564"/>
      <c r="N1687" s="563"/>
      <c r="O1687" s="563"/>
      <c r="P1687" s="563"/>
    </row>
    <row r="1688" spans="2:16" ht="15.75" customHeight="1">
      <c r="B1688" s="562"/>
      <c r="H1688" s="563"/>
      <c r="I1688" s="538"/>
      <c r="J1688" s="564"/>
      <c r="N1688" s="563"/>
      <c r="O1688" s="563"/>
      <c r="P1688" s="563"/>
    </row>
    <row r="1689" spans="2:16" ht="15.75" customHeight="1">
      <c r="B1689" s="562"/>
      <c r="H1689" s="563"/>
      <c r="I1689" s="538"/>
      <c r="J1689" s="564"/>
      <c r="N1689" s="563"/>
      <c r="O1689" s="563"/>
      <c r="P1689" s="563"/>
    </row>
    <row r="1690" spans="2:16" ht="15.75" customHeight="1">
      <c r="B1690" s="562"/>
      <c r="H1690" s="563"/>
      <c r="I1690" s="538"/>
      <c r="J1690" s="564"/>
      <c r="N1690" s="563"/>
      <c r="O1690" s="563"/>
      <c r="P1690" s="563"/>
    </row>
    <row r="1691" spans="2:16" ht="15.75" customHeight="1">
      <c r="B1691" s="562"/>
      <c r="H1691" s="563"/>
      <c r="I1691" s="538"/>
      <c r="J1691" s="564"/>
      <c r="N1691" s="563"/>
      <c r="O1691" s="563"/>
      <c r="P1691" s="563"/>
    </row>
    <row r="1692" spans="2:16" ht="15.75" customHeight="1">
      <c r="B1692" s="562"/>
      <c r="H1692" s="563"/>
      <c r="I1692" s="538"/>
      <c r="J1692" s="564"/>
      <c r="N1692" s="563"/>
      <c r="O1692" s="563"/>
      <c r="P1692" s="563"/>
    </row>
    <row r="1693" spans="2:16" ht="15.75" customHeight="1">
      <c r="B1693" s="562"/>
      <c r="H1693" s="563"/>
      <c r="I1693" s="538"/>
      <c r="J1693" s="564"/>
      <c r="N1693" s="563"/>
      <c r="O1693" s="563"/>
      <c r="P1693" s="563"/>
    </row>
    <row r="1694" spans="2:16" ht="15.75" customHeight="1">
      <c r="B1694" s="562"/>
      <c r="H1694" s="563"/>
      <c r="I1694" s="538"/>
      <c r="J1694" s="564"/>
      <c r="N1694" s="563"/>
      <c r="O1694" s="563"/>
      <c r="P1694" s="563"/>
    </row>
    <row r="1695" spans="2:16" ht="15.75" customHeight="1">
      <c r="B1695" s="562"/>
      <c r="H1695" s="563"/>
      <c r="I1695" s="538"/>
      <c r="J1695" s="564"/>
      <c r="N1695" s="563"/>
      <c r="O1695" s="563"/>
      <c r="P1695" s="563"/>
    </row>
    <row r="1696" spans="2:16" ht="15.75" customHeight="1">
      <c r="B1696" s="562"/>
      <c r="H1696" s="563"/>
      <c r="I1696" s="538"/>
      <c r="J1696" s="564"/>
      <c r="N1696" s="563"/>
      <c r="O1696" s="563"/>
      <c r="P1696" s="563"/>
    </row>
    <row r="1697" spans="2:16" ht="15.75" customHeight="1">
      <c r="B1697" s="562"/>
      <c r="H1697" s="563"/>
      <c r="I1697" s="538"/>
      <c r="J1697" s="564"/>
      <c r="N1697" s="563"/>
      <c r="O1697" s="563"/>
      <c r="P1697" s="563"/>
    </row>
    <row r="1698" spans="2:16" ht="15.75" customHeight="1">
      <c r="B1698" s="562"/>
      <c r="H1698" s="563"/>
      <c r="I1698" s="538"/>
      <c r="J1698" s="564"/>
      <c r="N1698" s="563"/>
      <c r="O1698" s="563"/>
      <c r="P1698" s="563"/>
    </row>
    <row r="1699" spans="2:16" ht="15.75" customHeight="1">
      <c r="B1699" s="562"/>
      <c r="H1699" s="563"/>
      <c r="I1699" s="538"/>
      <c r="J1699" s="564"/>
      <c r="N1699" s="563"/>
      <c r="O1699" s="563"/>
      <c r="P1699" s="563"/>
    </row>
    <row r="1700" spans="2:16" ht="15.75" customHeight="1">
      <c r="B1700" s="562"/>
      <c r="H1700" s="563"/>
      <c r="I1700" s="538"/>
      <c r="J1700" s="564"/>
      <c r="N1700" s="563"/>
      <c r="O1700" s="563"/>
      <c r="P1700" s="563"/>
    </row>
    <row r="1701" spans="2:16" ht="15.75" customHeight="1">
      <c r="B1701" s="562"/>
      <c r="H1701" s="563"/>
      <c r="I1701" s="538"/>
      <c r="J1701" s="564"/>
      <c r="N1701" s="563"/>
      <c r="O1701" s="563"/>
      <c r="P1701" s="563"/>
    </row>
    <row r="1702" spans="2:16" ht="15.75" customHeight="1">
      <c r="B1702" s="562"/>
      <c r="H1702" s="563"/>
      <c r="I1702" s="538"/>
      <c r="J1702" s="564"/>
      <c r="N1702" s="563"/>
      <c r="O1702" s="563"/>
      <c r="P1702" s="563"/>
    </row>
    <row r="1703" spans="2:16" ht="15.75" customHeight="1">
      <c r="B1703" s="562"/>
      <c r="H1703" s="563"/>
      <c r="I1703" s="538"/>
      <c r="J1703" s="564"/>
      <c r="N1703" s="563"/>
      <c r="O1703" s="563"/>
      <c r="P1703" s="563"/>
    </row>
    <row r="1704" spans="2:16" ht="15.75" customHeight="1">
      <c r="B1704" s="562"/>
      <c r="H1704" s="563"/>
      <c r="I1704" s="538"/>
      <c r="J1704" s="564"/>
      <c r="N1704" s="563"/>
      <c r="O1704" s="563"/>
      <c r="P1704" s="563"/>
    </row>
    <row r="1705" spans="2:16" ht="15.75" customHeight="1">
      <c r="B1705" s="562"/>
      <c r="H1705" s="563"/>
      <c r="I1705" s="538"/>
      <c r="J1705" s="564"/>
      <c r="N1705" s="563"/>
      <c r="O1705" s="563"/>
      <c r="P1705" s="563"/>
    </row>
    <row r="1706" spans="2:16" ht="15.75" customHeight="1">
      <c r="B1706" s="562"/>
      <c r="H1706" s="563"/>
      <c r="I1706" s="538"/>
      <c r="J1706" s="564"/>
      <c r="N1706" s="563"/>
      <c r="O1706" s="563"/>
      <c r="P1706" s="563"/>
    </row>
    <row r="1707" spans="2:16" ht="15.75" customHeight="1">
      <c r="B1707" s="562"/>
      <c r="H1707" s="563"/>
      <c r="I1707" s="538"/>
      <c r="J1707" s="564"/>
      <c r="N1707" s="563"/>
      <c r="O1707" s="563"/>
      <c r="P1707" s="563"/>
    </row>
    <row r="1708" spans="2:16" ht="15.75" customHeight="1">
      <c r="B1708" s="562"/>
      <c r="H1708" s="563"/>
      <c r="I1708" s="538"/>
      <c r="J1708" s="564"/>
      <c r="N1708" s="563"/>
      <c r="O1708" s="563"/>
      <c r="P1708" s="563"/>
    </row>
    <row r="1709" spans="2:16" ht="15.75" customHeight="1">
      <c r="B1709" s="562"/>
      <c r="H1709" s="563"/>
      <c r="I1709" s="538"/>
      <c r="J1709" s="564"/>
      <c r="N1709" s="563"/>
      <c r="O1709" s="563"/>
      <c r="P1709" s="563"/>
    </row>
    <row r="1710" spans="2:16" ht="15.75" customHeight="1">
      <c r="B1710" s="562"/>
      <c r="H1710" s="563"/>
      <c r="I1710" s="538"/>
      <c r="J1710" s="564"/>
      <c r="N1710" s="563"/>
      <c r="O1710" s="563"/>
      <c r="P1710" s="563"/>
    </row>
    <row r="1711" spans="2:16" ht="15.75" customHeight="1">
      <c r="B1711" s="562"/>
      <c r="H1711" s="563"/>
      <c r="I1711" s="538"/>
      <c r="J1711" s="564"/>
      <c r="N1711" s="563"/>
      <c r="O1711" s="563"/>
      <c r="P1711" s="563"/>
    </row>
    <row r="1712" spans="2:16" ht="15.75" customHeight="1">
      <c r="B1712" s="562"/>
      <c r="H1712" s="563"/>
      <c r="I1712" s="538"/>
      <c r="J1712" s="564"/>
      <c r="N1712" s="563"/>
      <c r="O1712" s="563"/>
      <c r="P1712" s="563"/>
    </row>
    <row r="1713" spans="2:16" ht="15.75" customHeight="1">
      <c r="B1713" s="562"/>
      <c r="H1713" s="563"/>
      <c r="I1713" s="538"/>
      <c r="J1713" s="564"/>
      <c r="N1713" s="563"/>
      <c r="O1713" s="563"/>
      <c r="P1713" s="563"/>
    </row>
    <row r="1714" spans="2:16" ht="15.75" customHeight="1">
      <c r="B1714" s="562"/>
      <c r="H1714" s="563"/>
      <c r="I1714" s="538"/>
      <c r="J1714" s="564"/>
      <c r="N1714" s="563"/>
      <c r="O1714" s="563"/>
      <c r="P1714" s="563"/>
    </row>
    <row r="1715" spans="2:16" ht="15.75" customHeight="1">
      <c r="B1715" s="562"/>
      <c r="H1715" s="563"/>
      <c r="I1715" s="538"/>
      <c r="J1715" s="564"/>
      <c r="N1715" s="563"/>
      <c r="O1715" s="563"/>
      <c r="P1715" s="563"/>
    </row>
    <row r="1716" spans="2:16" ht="15.75" customHeight="1">
      <c r="B1716" s="562"/>
      <c r="H1716" s="563"/>
      <c r="I1716" s="538"/>
      <c r="J1716" s="564"/>
      <c r="N1716" s="563"/>
      <c r="O1716" s="563"/>
      <c r="P1716" s="563"/>
    </row>
    <row r="1717" spans="2:16" ht="15.75" customHeight="1">
      <c r="B1717" s="562"/>
      <c r="H1717" s="563"/>
      <c r="I1717" s="538"/>
      <c r="J1717" s="564"/>
      <c r="N1717" s="563"/>
      <c r="O1717" s="563"/>
      <c r="P1717" s="563"/>
    </row>
    <row r="1718" spans="2:16" ht="15.75" customHeight="1">
      <c r="B1718" s="562"/>
      <c r="H1718" s="563"/>
      <c r="I1718" s="538"/>
      <c r="J1718" s="564"/>
      <c r="N1718" s="563"/>
      <c r="O1718" s="563"/>
      <c r="P1718" s="563"/>
    </row>
    <row r="1719" spans="2:16" ht="15.75" customHeight="1">
      <c r="B1719" s="562"/>
      <c r="H1719" s="563"/>
      <c r="I1719" s="538"/>
      <c r="J1719" s="564"/>
      <c r="N1719" s="563"/>
      <c r="O1719" s="563"/>
      <c r="P1719" s="563"/>
    </row>
    <row r="1720" spans="2:16" ht="15.75" customHeight="1">
      <c r="B1720" s="562"/>
      <c r="H1720" s="563"/>
      <c r="I1720" s="538"/>
      <c r="J1720" s="564"/>
      <c r="N1720" s="563"/>
      <c r="O1720" s="563"/>
      <c r="P1720" s="563"/>
    </row>
    <row r="1721" spans="2:16" ht="15.75" customHeight="1">
      <c r="B1721" s="562"/>
      <c r="H1721" s="563"/>
      <c r="I1721" s="538"/>
      <c r="J1721" s="564"/>
      <c r="N1721" s="563"/>
      <c r="O1721" s="563"/>
      <c r="P1721" s="563"/>
    </row>
    <row r="1722" spans="2:16" ht="15.75" customHeight="1">
      <c r="B1722" s="562"/>
      <c r="H1722" s="563"/>
      <c r="I1722" s="538"/>
      <c r="J1722" s="564"/>
      <c r="N1722" s="563"/>
      <c r="O1722" s="563"/>
      <c r="P1722" s="563"/>
    </row>
    <row r="1723" spans="2:16" ht="15.75" customHeight="1">
      <c r="B1723" s="562"/>
      <c r="H1723" s="563"/>
      <c r="I1723" s="538"/>
      <c r="J1723" s="564"/>
      <c r="N1723" s="563"/>
      <c r="O1723" s="563"/>
      <c r="P1723" s="563"/>
    </row>
    <row r="1724" spans="2:16" ht="15.75" customHeight="1">
      <c r="B1724" s="562"/>
      <c r="H1724" s="563"/>
      <c r="I1724" s="538"/>
      <c r="J1724" s="564"/>
      <c r="N1724" s="563"/>
      <c r="O1724" s="563"/>
      <c r="P1724" s="563"/>
    </row>
    <row r="1725" spans="2:16" ht="15.75" customHeight="1">
      <c r="B1725" s="562"/>
      <c r="H1725" s="563"/>
      <c r="I1725" s="538"/>
      <c r="J1725" s="564"/>
      <c r="N1725" s="563"/>
      <c r="O1725" s="563"/>
      <c r="P1725" s="563"/>
    </row>
    <row r="1726" spans="2:16" ht="15.75" customHeight="1">
      <c r="B1726" s="562"/>
      <c r="H1726" s="563"/>
      <c r="I1726" s="538"/>
      <c r="J1726" s="564"/>
      <c r="N1726" s="563"/>
      <c r="O1726" s="563"/>
      <c r="P1726" s="563"/>
    </row>
    <row r="1727" spans="2:16" ht="15.75" customHeight="1">
      <c r="B1727" s="562"/>
      <c r="H1727" s="563"/>
      <c r="I1727" s="538"/>
      <c r="J1727" s="564"/>
      <c r="N1727" s="563"/>
      <c r="O1727" s="563"/>
      <c r="P1727" s="563"/>
    </row>
    <row r="1728" spans="2:16" ht="15.75" customHeight="1">
      <c r="B1728" s="562"/>
      <c r="H1728" s="563"/>
      <c r="I1728" s="538"/>
      <c r="J1728" s="564"/>
      <c r="N1728" s="563"/>
      <c r="O1728" s="563"/>
      <c r="P1728" s="563"/>
    </row>
    <row r="1729" spans="2:16" ht="15.75" customHeight="1">
      <c r="B1729" s="562"/>
      <c r="H1729" s="563"/>
      <c r="I1729" s="538"/>
      <c r="J1729" s="564"/>
      <c r="N1729" s="563"/>
      <c r="O1729" s="563"/>
      <c r="P1729" s="563"/>
    </row>
    <row r="1730" spans="2:16" ht="15.75" customHeight="1">
      <c r="B1730" s="562"/>
      <c r="H1730" s="563"/>
      <c r="I1730" s="538"/>
      <c r="J1730" s="564"/>
      <c r="N1730" s="563"/>
      <c r="O1730" s="563"/>
      <c r="P1730" s="563"/>
    </row>
    <row r="1731" spans="2:16" ht="15.75" customHeight="1">
      <c r="B1731" s="562"/>
      <c r="H1731" s="563"/>
      <c r="I1731" s="538"/>
      <c r="J1731" s="564"/>
      <c r="N1731" s="563"/>
      <c r="O1731" s="563"/>
      <c r="P1731" s="563"/>
    </row>
    <row r="1732" spans="2:16" ht="15.75" customHeight="1">
      <c r="B1732" s="562"/>
      <c r="H1732" s="563"/>
      <c r="I1732" s="538"/>
      <c r="J1732" s="564"/>
      <c r="N1732" s="563"/>
      <c r="O1732" s="563"/>
      <c r="P1732" s="563"/>
    </row>
    <row r="1733" spans="2:16" ht="15.75" customHeight="1">
      <c r="B1733" s="562"/>
      <c r="H1733" s="563"/>
      <c r="I1733" s="538"/>
      <c r="J1733" s="564"/>
      <c r="N1733" s="563"/>
      <c r="O1733" s="563"/>
      <c r="P1733" s="563"/>
    </row>
    <row r="1734" spans="2:16" ht="15.75" customHeight="1">
      <c r="B1734" s="562"/>
      <c r="H1734" s="563"/>
      <c r="I1734" s="538"/>
      <c r="J1734" s="564"/>
      <c r="N1734" s="563"/>
      <c r="O1734" s="563"/>
      <c r="P1734" s="563"/>
    </row>
    <row r="1735" spans="2:16" ht="15.75" customHeight="1">
      <c r="B1735" s="562"/>
      <c r="H1735" s="563"/>
      <c r="I1735" s="538"/>
      <c r="J1735" s="564"/>
      <c r="N1735" s="563"/>
      <c r="O1735" s="563"/>
      <c r="P1735" s="563"/>
    </row>
    <row r="1736" spans="2:16" ht="15.75" customHeight="1">
      <c r="B1736" s="562"/>
      <c r="H1736" s="563"/>
      <c r="I1736" s="538"/>
      <c r="J1736" s="564"/>
      <c r="N1736" s="563"/>
      <c r="O1736" s="563"/>
      <c r="P1736" s="563"/>
    </row>
    <row r="1737" spans="2:16" ht="15.75" customHeight="1">
      <c r="B1737" s="562"/>
      <c r="H1737" s="563"/>
      <c r="I1737" s="538"/>
      <c r="J1737" s="564"/>
      <c r="N1737" s="563"/>
      <c r="O1737" s="563"/>
      <c r="P1737" s="563"/>
    </row>
    <row r="1738" spans="2:16" ht="15.75" customHeight="1">
      <c r="B1738" s="562"/>
      <c r="H1738" s="563"/>
      <c r="I1738" s="538"/>
      <c r="J1738" s="564"/>
      <c r="N1738" s="563"/>
      <c r="O1738" s="563"/>
      <c r="P1738" s="563"/>
    </row>
    <row r="1739" spans="2:16" ht="15.75" customHeight="1">
      <c r="B1739" s="562"/>
      <c r="H1739" s="563"/>
      <c r="I1739" s="538"/>
      <c r="J1739" s="564"/>
      <c r="N1739" s="563"/>
      <c r="O1739" s="563"/>
      <c r="P1739" s="563"/>
    </row>
    <row r="1740" spans="2:16" ht="15.75" customHeight="1">
      <c r="B1740" s="562"/>
      <c r="H1740" s="563"/>
      <c r="I1740" s="538"/>
      <c r="J1740" s="564"/>
      <c r="N1740" s="563"/>
      <c r="O1740" s="563"/>
      <c r="P1740" s="563"/>
    </row>
    <row r="1741" spans="2:16" ht="15.75" customHeight="1">
      <c r="B1741" s="562"/>
      <c r="H1741" s="563"/>
      <c r="I1741" s="538"/>
      <c r="J1741" s="564"/>
      <c r="N1741" s="563"/>
      <c r="O1741" s="563"/>
      <c r="P1741" s="563"/>
    </row>
    <row r="1742" spans="2:16" ht="15.75" customHeight="1">
      <c r="B1742" s="562"/>
      <c r="H1742" s="563"/>
      <c r="I1742" s="538"/>
      <c r="J1742" s="564"/>
      <c r="N1742" s="563"/>
      <c r="O1742" s="563"/>
      <c r="P1742" s="563"/>
    </row>
    <row r="1743" spans="2:16" ht="15.75" customHeight="1">
      <c r="B1743" s="562"/>
      <c r="H1743" s="563"/>
      <c r="I1743" s="538"/>
      <c r="J1743" s="564"/>
      <c r="N1743" s="563"/>
      <c r="O1743" s="563"/>
      <c r="P1743" s="563"/>
    </row>
    <row r="1744" spans="2:16" ht="15.75" customHeight="1">
      <c r="B1744" s="562"/>
      <c r="H1744" s="563"/>
      <c r="I1744" s="538"/>
      <c r="J1744" s="564"/>
      <c r="N1744" s="563"/>
      <c r="O1744" s="563"/>
      <c r="P1744" s="563"/>
    </row>
    <row r="1745" spans="2:16" ht="15.75" customHeight="1">
      <c r="B1745" s="562"/>
      <c r="H1745" s="563"/>
      <c r="I1745" s="538"/>
      <c r="J1745" s="564"/>
      <c r="N1745" s="563"/>
      <c r="O1745" s="563"/>
      <c r="P1745" s="563"/>
    </row>
    <row r="1746" spans="2:16" ht="15.75" customHeight="1">
      <c r="B1746" s="562"/>
      <c r="H1746" s="563"/>
      <c r="I1746" s="538"/>
      <c r="J1746" s="564"/>
      <c r="N1746" s="563"/>
      <c r="O1746" s="563"/>
      <c r="P1746" s="563"/>
    </row>
    <row r="1747" spans="2:16" ht="15.75" customHeight="1">
      <c r="B1747" s="562"/>
      <c r="H1747" s="563"/>
      <c r="I1747" s="538"/>
      <c r="J1747" s="564"/>
      <c r="N1747" s="563"/>
      <c r="O1747" s="563"/>
      <c r="P1747" s="563"/>
    </row>
    <row r="1748" spans="2:16" ht="15.75" customHeight="1">
      <c r="B1748" s="562"/>
      <c r="H1748" s="563"/>
      <c r="I1748" s="538"/>
      <c r="J1748" s="564"/>
      <c r="N1748" s="563"/>
      <c r="O1748" s="563"/>
      <c r="P1748" s="563"/>
    </row>
    <row r="1749" spans="2:16" ht="15.75" customHeight="1">
      <c r="B1749" s="562"/>
      <c r="H1749" s="563"/>
      <c r="I1749" s="538"/>
      <c r="J1749" s="564"/>
      <c r="N1749" s="563"/>
      <c r="O1749" s="563"/>
      <c r="P1749" s="563"/>
    </row>
    <row r="1750" spans="2:16" ht="15.75" customHeight="1">
      <c r="B1750" s="562"/>
      <c r="H1750" s="563"/>
      <c r="I1750" s="538"/>
      <c r="J1750" s="564"/>
      <c r="N1750" s="563"/>
      <c r="O1750" s="563"/>
      <c r="P1750" s="563"/>
    </row>
    <row r="1751" spans="2:16" ht="15.75" customHeight="1">
      <c r="B1751" s="562"/>
      <c r="H1751" s="563"/>
      <c r="I1751" s="538"/>
      <c r="J1751" s="564"/>
      <c r="N1751" s="563"/>
      <c r="O1751" s="563"/>
      <c r="P1751" s="563"/>
    </row>
    <row r="1752" spans="2:16" ht="15.75" customHeight="1">
      <c r="B1752" s="562"/>
      <c r="H1752" s="563"/>
      <c r="I1752" s="538"/>
      <c r="J1752" s="564"/>
      <c r="N1752" s="563"/>
      <c r="O1752" s="563"/>
      <c r="P1752" s="563"/>
    </row>
    <row r="1753" spans="2:16" ht="15.75" customHeight="1">
      <c r="B1753" s="562"/>
      <c r="H1753" s="563"/>
      <c r="I1753" s="538"/>
      <c r="J1753" s="564"/>
      <c r="N1753" s="563"/>
      <c r="O1753" s="563"/>
      <c r="P1753" s="563"/>
    </row>
    <row r="1754" spans="2:16" ht="15.75" customHeight="1">
      <c r="B1754" s="562"/>
      <c r="H1754" s="563"/>
      <c r="I1754" s="538"/>
      <c r="J1754" s="564"/>
      <c r="N1754" s="563"/>
      <c r="O1754" s="563"/>
      <c r="P1754" s="563"/>
    </row>
    <row r="1755" spans="2:16" ht="15.75" customHeight="1">
      <c r="B1755" s="562"/>
      <c r="H1755" s="563"/>
      <c r="I1755" s="538"/>
      <c r="J1755" s="564"/>
      <c r="N1755" s="563"/>
      <c r="O1755" s="563"/>
      <c r="P1755" s="563"/>
    </row>
    <row r="1756" spans="2:16" ht="15.75" customHeight="1">
      <c r="B1756" s="562"/>
      <c r="H1756" s="563"/>
      <c r="I1756" s="538"/>
      <c r="J1756" s="564"/>
      <c r="N1756" s="563"/>
      <c r="O1756" s="563"/>
      <c r="P1756" s="563"/>
    </row>
    <row r="1757" spans="2:16" ht="15.75" customHeight="1">
      <c r="B1757" s="562"/>
      <c r="H1757" s="563"/>
      <c r="I1757" s="538"/>
      <c r="J1757" s="564"/>
      <c r="N1757" s="563"/>
      <c r="O1757" s="563"/>
      <c r="P1757" s="563"/>
    </row>
    <row r="1758" spans="2:16" ht="15.75" customHeight="1">
      <c r="B1758" s="562"/>
      <c r="H1758" s="563"/>
      <c r="I1758" s="538"/>
      <c r="J1758" s="564"/>
      <c r="N1758" s="563"/>
      <c r="O1758" s="563"/>
      <c r="P1758" s="563"/>
    </row>
    <row r="1759" spans="2:16" ht="15.75" customHeight="1">
      <c r="B1759" s="562"/>
      <c r="H1759" s="563"/>
      <c r="I1759" s="538"/>
      <c r="J1759" s="564"/>
      <c r="N1759" s="563"/>
      <c r="O1759" s="563"/>
      <c r="P1759" s="563"/>
    </row>
    <row r="1760" spans="2:16" ht="15.75" customHeight="1">
      <c r="B1760" s="562"/>
      <c r="H1760" s="563"/>
      <c r="I1760" s="538"/>
      <c r="J1760" s="564"/>
      <c r="N1760" s="563"/>
      <c r="O1760" s="563"/>
      <c r="P1760" s="563"/>
    </row>
    <row r="1761" spans="2:16" ht="15.75" customHeight="1">
      <c r="B1761" s="562"/>
      <c r="H1761" s="563"/>
      <c r="I1761" s="538"/>
      <c r="J1761" s="564"/>
      <c r="N1761" s="563"/>
      <c r="O1761" s="563"/>
      <c r="P1761" s="563"/>
    </row>
    <row r="1762" spans="2:16" ht="15.75" customHeight="1">
      <c r="B1762" s="562"/>
      <c r="H1762" s="563"/>
      <c r="I1762" s="538"/>
      <c r="J1762" s="564"/>
      <c r="N1762" s="563"/>
      <c r="O1762" s="563"/>
      <c r="P1762" s="563"/>
    </row>
    <row r="1763" spans="2:16" ht="15.75" customHeight="1">
      <c r="B1763" s="562"/>
      <c r="H1763" s="563"/>
      <c r="I1763" s="538"/>
      <c r="J1763" s="564"/>
      <c r="N1763" s="563"/>
      <c r="O1763" s="563"/>
      <c r="P1763" s="563"/>
    </row>
    <row r="1764" spans="2:16" ht="15.75" customHeight="1">
      <c r="B1764" s="562"/>
      <c r="H1764" s="563"/>
      <c r="I1764" s="538"/>
      <c r="J1764" s="564"/>
      <c r="N1764" s="563"/>
      <c r="O1764" s="563"/>
      <c r="P1764" s="563"/>
    </row>
    <row r="1765" spans="2:16" ht="15.75" customHeight="1">
      <c r="B1765" s="562"/>
      <c r="H1765" s="563"/>
      <c r="I1765" s="538"/>
      <c r="J1765" s="564"/>
      <c r="N1765" s="563"/>
      <c r="O1765" s="563"/>
      <c r="P1765" s="563"/>
    </row>
    <row r="1766" spans="2:16" ht="15.75" customHeight="1">
      <c r="B1766" s="562"/>
      <c r="H1766" s="563"/>
      <c r="I1766" s="538"/>
      <c r="J1766" s="564"/>
      <c r="N1766" s="563"/>
      <c r="O1766" s="563"/>
      <c r="P1766" s="563"/>
    </row>
    <row r="1767" spans="2:16" ht="15.75" customHeight="1">
      <c r="B1767" s="562"/>
      <c r="H1767" s="563"/>
      <c r="I1767" s="538"/>
      <c r="J1767" s="564"/>
      <c r="N1767" s="563"/>
      <c r="O1767" s="563"/>
      <c r="P1767" s="563"/>
    </row>
    <row r="1768" spans="2:16" ht="15.75" customHeight="1">
      <c r="B1768" s="562"/>
      <c r="H1768" s="563"/>
      <c r="I1768" s="538"/>
      <c r="J1768" s="564"/>
      <c r="N1768" s="563"/>
      <c r="P1768" s="563"/>
    </row>
    <row r="1769" spans="2:16" ht="15.75" customHeight="1">
      <c r="B1769" s="562"/>
      <c r="H1769" s="563"/>
      <c r="N1769" s="563"/>
      <c r="P1769" s="563"/>
    </row>
    <row r="1770" spans="2:16" ht="15.75" customHeight="1">
      <c r="B1770" s="562"/>
      <c r="H1770" s="563"/>
      <c r="N1770" s="563"/>
      <c r="P1770" s="563"/>
    </row>
    <row r="1771" spans="2:16" ht="15.75" customHeight="1">
      <c r="B1771" s="562"/>
      <c r="H1771" s="563"/>
      <c r="N1771" s="563"/>
      <c r="O1771" s="563"/>
      <c r="P1771" s="563"/>
    </row>
    <row r="1772" spans="2:16" ht="15.75" customHeight="1">
      <c r="B1772" s="562"/>
      <c r="H1772" s="563"/>
      <c r="I1772" s="538"/>
      <c r="J1772" s="564"/>
      <c r="N1772" s="563"/>
      <c r="O1772" s="563"/>
      <c r="P1772" s="563"/>
    </row>
    <row r="1773" spans="2:16" ht="15.75" customHeight="1">
      <c r="B1773" s="562"/>
      <c r="H1773" s="563"/>
      <c r="I1773" s="538"/>
      <c r="J1773" s="564"/>
      <c r="N1773" s="563"/>
      <c r="O1773" s="563"/>
      <c r="P1773" s="563"/>
    </row>
    <row r="1774" spans="2:16" ht="15.75" customHeight="1">
      <c r="B1774" s="562"/>
      <c r="H1774" s="563"/>
      <c r="I1774" s="538"/>
      <c r="J1774" s="564"/>
      <c r="N1774" s="563"/>
      <c r="O1774" s="563"/>
      <c r="P1774" s="563"/>
    </row>
    <row r="1775" spans="2:16" ht="15.75" customHeight="1">
      <c r="B1775" s="562"/>
      <c r="H1775" s="563"/>
      <c r="I1775" s="538"/>
      <c r="J1775" s="564"/>
      <c r="N1775" s="563"/>
      <c r="O1775" s="563"/>
      <c r="P1775" s="563"/>
    </row>
    <row r="1776" spans="2:16" ht="15.75" customHeight="1">
      <c r="B1776" s="562"/>
      <c r="H1776" s="563"/>
      <c r="I1776" s="538"/>
      <c r="J1776" s="564"/>
      <c r="N1776" s="563"/>
      <c r="O1776" s="563"/>
      <c r="P1776" s="563"/>
    </row>
    <row r="1777" spans="2:16" ht="15.75" customHeight="1">
      <c r="B1777" s="562"/>
      <c r="H1777" s="563"/>
      <c r="I1777" s="538"/>
      <c r="J1777" s="564"/>
      <c r="N1777" s="563"/>
      <c r="O1777" s="563"/>
      <c r="P1777" s="563"/>
    </row>
    <row r="1778" spans="2:16" ht="15.75" customHeight="1">
      <c r="B1778" s="562"/>
      <c r="H1778" s="563"/>
      <c r="I1778" s="538"/>
      <c r="J1778" s="564"/>
      <c r="N1778" s="563"/>
      <c r="O1778" s="563"/>
      <c r="P1778" s="563"/>
    </row>
    <row r="1779" spans="2:16" ht="15.75" customHeight="1">
      <c r="B1779" s="562"/>
      <c r="H1779" s="563"/>
      <c r="I1779" s="538"/>
      <c r="J1779" s="564"/>
      <c r="N1779" s="563"/>
      <c r="O1779" s="563"/>
      <c r="P1779" s="563"/>
    </row>
    <row r="1780" spans="2:16" ht="15.75" customHeight="1">
      <c r="B1780" s="562"/>
      <c r="H1780" s="563"/>
      <c r="I1780" s="538"/>
      <c r="J1780" s="564"/>
      <c r="N1780" s="563"/>
      <c r="O1780" s="563"/>
      <c r="P1780" s="563"/>
    </row>
    <row r="1781" spans="2:16" ht="15.75" customHeight="1">
      <c r="B1781" s="562"/>
      <c r="H1781" s="563"/>
      <c r="I1781" s="538"/>
      <c r="J1781" s="564"/>
      <c r="N1781" s="563"/>
      <c r="O1781" s="563"/>
      <c r="P1781" s="563"/>
    </row>
    <row r="1782" spans="2:16" ht="15.75" customHeight="1">
      <c r="B1782" s="562"/>
      <c r="H1782" s="563"/>
      <c r="I1782" s="538"/>
      <c r="J1782" s="564"/>
      <c r="N1782" s="563"/>
      <c r="O1782" s="563"/>
      <c r="P1782" s="563"/>
    </row>
    <row r="1783" spans="2:16" ht="15.75" customHeight="1">
      <c r="B1783" s="562"/>
      <c r="H1783" s="563"/>
      <c r="I1783" s="538"/>
      <c r="J1783" s="564"/>
      <c r="N1783" s="563"/>
      <c r="O1783" s="563"/>
      <c r="P1783" s="563"/>
    </row>
    <row r="1784" spans="2:16" ht="15.75" customHeight="1">
      <c r="B1784" s="562"/>
      <c r="H1784" s="563"/>
      <c r="I1784" s="538"/>
      <c r="J1784" s="564"/>
      <c r="N1784" s="563"/>
      <c r="O1784" s="563"/>
      <c r="P1784" s="563"/>
    </row>
    <row r="1785" spans="2:16" ht="15.75" customHeight="1">
      <c r="B1785" s="562"/>
      <c r="H1785" s="563"/>
      <c r="I1785" s="538"/>
      <c r="J1785" s="564"/>
      <c r="N1785" s="563"/>
      <c r="O1785" s="563"/>
      <c r="P1785" s="563"/>
    </row>
    <row r="1786" spans="2:16" ht="15.75" customHeight="1">
      <c r="B1786" s="562"/>
      <c r="H1786" s="563"/>
      <c r="I1786" s="538"/>
      <c r="J1786" s="564"/>
      <c r="N1786" s="563"/>
      <c r="O1786" s="563"/>
      <c r="P1786" s="563"/>
    </row>
    <row r="1787" spans="2:16" ht="15.75" customHeight="1">
      <c r="B1787" s="562"/>
      <c r="H1787" s="563"/>
      <c r="I1787" s="538"/>
      <c r="J1787" s="564"/>
      <c r="N1787" s="563"/>
      <c r="O1787" s="563"/>
      <c r="P1787" s="563"/>
    </row>
    <row r="1788" spans="2:16" ht="15.75" customHeight="1">
      <c r="B1788" s="562"/>
      <c r="H1788" s="563"/>
      <c r="N1788" s="563"/>
      <c r="O1788" s="563"/>
      <c r="P1788" s="563"/>
    </row>
    <row r="1789" spans="2:16" ht="15.75" customHeight="1">
      <c r="B1789" s="562"/>
      <c r="H1789" s="563"/>
      <c r="N1789" s="563"/>
      <c r="O1789" s="563"/>
      <c r="P1789" s="563"/>
    </row>
    <row r="1790" spans="2:16" ht="15.75" customHeight="1">
      <c r="B1790" s="562"/>
      <c r="H1790" s="563"/>
      <c r="N1790" s="563"/>
      <c r="O1790" s="563"/>
      <c r="P1790" s="563"/>
    </row>
    <row r="1791" spans="2:16" ht="15.75" customHeight="1">
      <c r="B1791" s="562"/>
      <c r="H1791" s="563"/>
      <c r="N1791" s="563"/>
      <c r="O1791" s="563"/>
      <c r="P1791" s="563"/>
    </row>
    <row r="1792" spans="2:16" ht="15.75" customHeight="1">
      <c r="B1792" s="562"/>
      <c r="H1792" s="563"/>
      <c r="N1792" s="563"/>
      <c r="O1792" s="563"/>
      <c r="P1792" s="563"/>
    </row>
    <row r="1793" spans="2:16" ht="15.75" customHeight="1">
      <c r="B1793" s="562"/>
      <c r="H1793" s="563"/>
      <c r="N1793" s="563"/>
      <c r="O1793" s="563"/>
      <c r="P1793" s="563"/>
    </row>
    <row r="1794" spans="2:16" ht="15.75" customHeight="1">
      <c r="B1794" s="562"/>
      <c r="H1794" s="563"/>
      <c r="I1794" s="538"/>
      <c r="J1794" s="564"/>
      <c r="N1794" s="563"/>
      <c r="O1794" s="563"/>
      <c r="P1794" s="563"/>
    </row>
    <row r="1795" spans="2:16" ht="15.75" customHeight="1">
      <c r="B1795" s="562"/>
      <c r="H1795" s="563"/>
      <c r="I1795" s="538"/>
      <c r="J1795" s="564"/>
      <c r="N1795" s="563"/>
      <c r="O1795" s="563"/>
      <c r="P1795" s="563"/>
    </row>
    <row r="1796" spans="2:16" ht="15.75" customHeight="1">
      <c r="B1796" s="562"/>
      <c r="H1796" s="563"/>
      <c r="I1796" s="538"/>
      <c r="J1796" s="564"/>
      <c r="N1796" s="563"/>
      <c r="O1796" s="563"/>
      <c r="P1796" s="563"/>
    </row>
    <row r="1797" spans="2:16" ht="15.75" customHeight="1">
      <c r="B1797" s="562"/>
      <c r="H1797" s="563"/>
      <c r="I1797" s="538"/>
      <c r="J1797" s="564"/>
      <c r="N1797" s="563"/>
      <c r="O1797" s="563"/>
      <c r="P1797" s="563"/>
    </row>
    <row r="1798" spans="2:16" ht="15.75" customHeight="1">
      <c r="B1798" s="562"/>
      <c r="H1798" s="563"/>
      <c r="I1798" s="538"/>
      <c r="J1798" s="564"/>
      <c r="N1798" s="563"/>
      <c r="O1798" s="563"/>
      <c r="P1798" s="563"/>
    </row>
    <row r="1799" spans="2:16" ht="15.75" customHeight="1">
      <c r="B1799" s="562"/>
      <c r="H1799" s="563"/>
      <c r="I1799" s="538"/>
      <c r="J1799" s="564"/>
      <c r="N1799" s="563"/>
      <c r="O1799" s="563"/>
      <c r="P1799" s="563"/>
    </row>
    <row r="1800" spans="2:16" ht="15.75" customHeight="1">
      <c r="B1800" s="562"/>
      <c r="H1800" s="563"/>
      <c r="I1800" s="538"/>
      <c r="J1800" s="564"/>
      <c r="N1800" s="563"/>
      <c r="O1800" s="563"/>
      <c r="P1800" s="563"/>
    </row>
    <row r="1801" spans="2:16" ht="15.75" customHeight="1">
      <c r="B1801" s="562"/>
      <c r="H1801" s="563"/>
      <c r="I1801" s="538"/>
      <c r="J1801" s="564"/>
      <c r="N1801" s="563"/>
      <c r="O1801" s="563"/>
      <c r="P1801" s="563"/>
    </row>
    <row r="1802" spans="2:16" ht="15.75" customHeight="1">
      <c r="B1802" s="562"/>
      <c r="H1802" s="563"/>
      <c r="I1802" s="538"/>
      <c r="J1802" s="564"/>
      <c r="N1802" s="563"/>
      <c r="O1802" s="563"/>
      <c r="P1802" s="563"/>
    </row>
    <row r="1803" spans="2:16" ht="15.75" customHeight="1">
      <c r="B1803" s="562"/>
      <c r="H1803" s="563"/>
      <c r="I1803" s="538"/>
      <c r="J1803" s="564"/>
      <c r="N1803" s="563"/>
      <c r="O1803" s="563"/>
      <c r="P1803" s="563"/>
    </row>
    <row r="1804" spans="2:16" ht="15.75" customHeight="1">
      <c r="B1804" s="562"/>
      <c r="H1804" s="563"/>
      <c r="I1804" s="538"/>
      <c r="J1804" s="564"/>
      <c r="N1804" s="563"/>
      <c r="O1804" s="563"/>
      <c r="P1804" s="563"/>
    </row>
    <row r="1805" spans="2:16" ht="15.75" customHeight="1">
      <c r="B1805" s="562"/>
      <c r="H1805" s="563"/>
      <c r="I1805" s="538"/>
      <c r="J1805" s="564"/>
      <c r="N1805" s="563"/>
      <c r="O1805" s="563"/>
      <c r="P1805" s="563"/>
    </row>
    <row r="1806" spans="2:16" ht="15.75" customHeight="1">
      <c r="B1806" s="562"/>
      <c r="H1806" s="563"/>
      <c r="I1806" s="538"/>
      <c r="J1806" s="564"/>
      <c r="N1806" s="563"/>
      <c r="P1806" s="563"/>
    </row>
    <row r="1807" spans="2:16" ht="15.75" customHeight="1">
      <c r="B1807" s="562"/>
      <c r="H1807" s="563"/>
      <c r="I1807" s="538"/>
      <c r="J1807" s="564"/>
      <c r="N1807" s="563"/>
      <c r="P1807" s="563"/>
    </row>
    <row r="1808" spans="2:16" ht="15.75" customHeight="1">
      <c r="B1808" s="562"/>
      <c r="H1808" s="563"/>
      <c r="I1808" s="538"/>
      <c r="J1808" s="564"/>
      <c r="N1808" s="563"/>
      <c r="O1808" s="563"/>
      <c r="P1808" s="563"/>
    </row>
    <row r="1809" spans="2:16" ht="15.75" customHeight="1">
      <c r="B1809" s="562"/>
      <c r="H1809" s="563"/>
      <c r="I1809" s="538"/>
      <c r="J1809" s="564"/>
      <c r="N1809" s="563"/>
      <c r="O1809" s="563"/>
      <c r="P1809" s="563"/>
    </row>
    <row r="1810" spans="2:16" ht="15.75" customHeight="1">
      <c r="B1810" s="562"/>
      <c r="H1810" s="563"/>
      <c r="I1810" s="538"/>
      <c r="J1810" s="564"/>
      <c r="N1810" s="563"/>
      <c r="O1810" s="563"/>
      <c r="P1810" s="563"/>
    </row>
    <row r="1811" spans="2:16" ht="15.75" customHeight="1">
      <c r="B1811" s="562"/>
      <c r="H1811" s="563"/>
      <c r="I1811" s="538"/>
      <c r="J1811" s="564"/>
      <c r="N1811" s="563"/>
      <c r="O1811" s="563"/>
      <c r="P1811" s="563"/>
    </row>
    <row r="1812" spans="2:16" ht="15.75" customHeight="1">
      <c r="B1812" s="562"/>
      <c r="H1812" s="563"/>
      <c r="I1812" s="538"/>
      <c r="J1812" s="564"/>
      <c r="N1812" s="563"/>
      <c r="O1812" s="563"/>
      <c r="P1812" s="563"/>
    </row>
    <row r="1813" spans="2:16" ht="15.75" customHeight="1">
      <c r="B1813" s="562"/>
      <c r="H1813" s="563"/>
      <c r="I1813" s="538"/>
      <c r="J1813" s="564"/>
      <c r="N1813" s="563"/>
      <c r="O1813" s="563"/>
      <c r="P1813" s="563"/>
    </row>
    <row r="1814" spans="2:16" ht="15.75" customHeight="1">
      <c r="B1814" s="562"/>
      <c r="H1814" s="563"/>
      <c r="I1814" s="538"/>
      <c r="J1814" s="564"/>
      <c r="N1814" s="563"/>
      <c r="O1814" s="563"/>
      <c r="P1814" s="563"/>
    </row>
    <row r="1815" spans="2:16" ht="15.75" customHeight="1">
      <c r="B1815" s="562"/>
      <c r="H1815" s="563"/>
      <c r="I1815" s="538"/>
      <c r="J1815" s="564"/>
      <c r="N1815" s="563"/>
      <c r="O1815" s="563"/>
      <c r="P1815" s="563"/>
    </row>
    <row r="1816" spans="2:16" ht="15.75" customHeight="1">
      <c r="B1816" s="562"/>
      <c r="H1816" s="563"/>
      <c r="I1816" s="538"/>
      <c r="J1816" s="564"/>
      <c r="N1816" s="563"/>
      <c r="O1816" s="563"/>
      <c r="P1816" s="563"/>
    </row>
    <row r="1817" spans="2:16" ht="15.75" customHeight="1">
      <c r="B1817" s="562"/>
      <c r="H1817" s="563"/>
      <c r="I1817" s="538"/>
      <c r="J1817" s="564"/>
      <c r="N1817" s="563"/>
      <c r="O1817" s="563"/>
      <c r="P1817" s="563"/>
    </row>
    <row r="1818" spans="2:16" ht="15.75" customHeight="1">
      <c r="B1818" s="562"/>
      <c r="H1818" s="563"/>
      <c r="I1818" s="538"/>
      <c r="J1818" s="564"/>
      <c r="N1818" s="563"/>
      <c r="O1818" s="563"/>
      <c r="P1818" s="563"/>
    </row>
    <row r="1819" spans="2:16" ht="15.75" customHeight="1">
      <c r="B1819" s="562"/>
      <c r="H1819" s="563"/>
      <c r="I1819" s="538"/>
      <c r="J1819" s="564"/>
      <c r="N1819" s="563"/>
      <c r="O1819" s="563"/>
      <c r="P1819" s="563"/>
    </row>
    <row r="1820" spans="2:16" ht="15.75" customHeight="1">
      <c r="B1820" s="562"/>
      <c r="H1820" s="563"/>
      <c r="I1820" s="538"/>
      <c r="J1820" s="564"/>
      <c r="N1820" s="563"/>
      <c r="O1820" s="563"/>
      <c r="P1820" s="563"/>
    </row>
    <row r="1821" spans="2:16" ht="15.75" customHeight="1">
      <c r="B1821" s="562"/>
      <c r="H1821" s="563"/>
      <c r="I1821" s="538"/>
      <c r="J1821" s="564"/>
      <c r="N1821" s="563"/>
      <c r="O1821" s="563"/>
      <c r="P1821" s="563"/>
    </row>
    <row r="1822" spans="2:16" ht="15.75" customHeight="1">
      <c r="B1822" s="562"/>
      <c r="H1822" s="563"/>
      <c r="I1822" s="538"/>
      <c r="J1822" s="564"/>
      <c r="N1822" s="563"/>
      <c r="O1822" s="563"/>
      <c r="P1822" s="563"/>
    </row>
    <row r="1823" spans="2:16" ht="15.75" customHeight="1">
      <c r="B1823" s="562"/>
      <c r="H1823" s="563"/>
      <c r="I1823" s="538"/>
      <c r="J1823" s="564"/>
      <c r="N1823" s="563"/>
      <c r="O1823" s="563"/>
      <c r="P1823" s="563"/>
    </row>
    <row r="1824" spans="2:16" ht="15.75" customHeight="1">
      <c r="B1824" s="562"/>
      <c r="H1824" s="563"/>
      <c r="I1824" s="538"/>
      <c r="J1824" s="564"/>
      <c r="N1824" s="563"/>
      <c r="O1824" s="563"/>
      <c r="P1824" s="563"/>
    </row>
    <row r="1825" spans="2:16" ht="15.75" customHeight="1">
      <c r="B1825" s="562"/>
      <c r="H1825" s="563"/>
      <c r="I1825" s="538"/>
      <c r="J1825" s="564"/>
      <c r="N1825" s="563"/>
      <c r="O1825" s="563"/>
      <c r="P1825" s="563"/>
    </row>
    <row r="1826" spans="2:16" ht="15.75" customHeight="1">
      <c r="B1826" s="562"/>
      <c r="H1826" s="563"/>
      <c r="I1826" s="538"/>
      <c r="J1826" s="564"/>
      <c r="N1826" s="563"/>
      <c r="O1826" s="563"/>
      <c r="P1826" s="563"/>
    </row>
    <row r="1827" spans="2:16" ht="15.75" customHeight="1">
      <c r="B1827" s="562"/>
      <c r="H1827" s="563"/>
      <c r="I1827" s="538"/>
      <c r="J1827" s="564"/>
      <c r="N1827" s="563"/>
      <c r="O1827" s="563"/>
      <c r="P1827" s="563"/>
    </row>
    <row r="1828" spans="2:16" ht="15.75" customHeight="1">
      <c r="B1828" s="562"/>
      <c r="H1828" s="563"/>
      <c r="I1828" s="538"/>
      <c r="J1828" s="564"/>
      <c r="N1828" s="563"/>
      <c r="O1828" s="563"/>
      <c r="P1828" s="563"/>
    </row>
    <row r="1829" spans="2:16" ht="15.75" customHeight="1">
      <c r="B1829" s="562"/>
      <c r="H1829" s="563"/>
      <c r="I1829" s="538"/>
      <c r="J1829" s="564"/>
      <c r="N1829" s="563"/>
      <c r="O1829" s="563"/>
      <c r="P1829" s="563"/>
    </row>
    <row r="1830" spans="2:16" ht="15.75" customHeight="1">
      <c r="B1830" s="562"/>
      <c r="H1830" s="563"/>
      <c r="I1830" s="538"/>
      <c r="J1830" s="564"/>
      <c r="N1830" s="563"/>
      <c r="O1830" s="563"/>
      <c r="P1830" s="563"/>
    </row>
    <row r="1831" spans="2:16" ht="15.75" customHeight="1">
      <c r="B1831" s="562"/>
      <c r="H1831" s="563"/>
      <c r="I1831" s="538"/>
      <c r="J1831" s="564"/>
      <c r="N1831" s="563"/>
      <c r="O1831" s="563"/>
      <c r="P1831" s="563"/>
    </row>
    <row r="1832" spans="2:16" ht="15.75" customHeight="1">
      <c r="B1832" s="562"/>
      <c r="H1832" s="563"/>
      <c r="I1832" s="538"/>
      <c r="J1832" s="564"/>
      <c r="N1832" s="563"/>
      <c r="O1832" s="563"/>
      <c r="P1832" s="563"/>
    </row>
    <row r="1833" spans="2:16" ht="15.75" customHeight="1">
      <c r="B1833" s="562"/>
      <c r="H1833" s="563"/>
      <c r="I1833" s="538"/>
      <c r="J1833" s="564"/>
      <c r="N1833" s="563"/>
      <c r="O1833" s="563"/>
      <c r="P1833" s="563"/>
    </row>
    <row r="1834" spans="2:16" ht="15.75" customHeight="1">
      <c r="B1834" s="562"/>
      <c r="H1834" s="563"/>
      <c r="I1834" s="538"/>
      <c r="J1834" s="564"/>
      <c r="N1834" s="563"/>
      <c r="O1834" s="563"/>
      <c r="P1834" s="563"/>
    </row>
    <row r="1835" spans="2:16" ht="15.75" customHeight="1">
      <c r="B1835" s="562"/>
      <c r="H1835" s="563"/>
      <c r="I1835" s="538"/>
      <c r="J1835" s="564"/>
      <c r="N1835" s="563"/>
      <c r="O1835" s="563"/>
      <c r="P1835" s="563"/>
    </row>
    <row r="1836" spans="2:16" ht="15.75" customHeight="1">
      <c r="B1836" s="562"/>
      <c r="H1836" s="563"/>
      <c r="I1836" s="538"/>
      <c r="J1836" s="564"/>
      <c r="N1836" s="563"/>
      <c r="O1836" s="563"/>
      <c r="P1836" s="563"/>
    </row>
    <row r="1837" spans="2:16" ht="15.75" customHeight="1">
      <c r="B1837" s="562"/>
      <c r="H1837" s="563"/>
      <c r="I1837" s="538"/>
      <c r="J1837" s="564"/>
      <c r="N1837" s="563"/>
      <c r="O1837" s="563"/>
      <c r="P1837" s="563"/>
    </row>
    <row r="1838" spans="2:16" ht="15.75" customHeight="1">
      <c r="B1838" s="562"/>
      <c r="H1838" s="563"/>
      <c r="I1838" s="538"/>
      <c r="J1838" s="564"/>
      <c r="N1838" s="563"/>
      <c r="O1838" s="563"/>
      <c r="P1838" s="563"/>
    </row>
    <row r="1839" spans="2:16" ht="15.75" customHeight="1">
      <c r="B1839" s="562"/>
      <c r="H1839" s="563"/>
      <c r="I1839" s="538"/>
      <c r="J1839" s="564"/>
      <c r="N1839" s="563"/>
      <c r="O1839" s="563"/>
      <c r="P1839" s="563"/>
    </row>
    <row r="1840" spans="2:16" ht="15.75" customHeight="1">
      <c r="B1840" s="562"/>
      <c r="H1840" s="563"/>
      <c r="I1840" s="538"/>
      <c r="J1840" s="564"/>
      <c r="N1840" s="563"/>
      <c r="O1840" s="563"/>
      <c r="P1840" s="563"/>
    </row>
    <row r="1841" spans="2:16" ht="15.75" customHeight="1">
      <c r="B1841" s="562"/>
      <c r="H1841" s="563"/>
      <c r="I1841" s="538"/>
      <c r="J1841" s="564"/>
      <c r="N1841" s="563"/>
      <c r="O1841" s="563"/>
      <c r="P1841" s="563"/>
    </row>
    <row r="1842" spans="2:16" ht="15.75" customHeight="1">
      <c r="B1842" s="562"/>
      <c r="H1842" s="563"/>
      <c r="I1842" s="538"/>
      <c r="J1842" s="564"/>
      <c r="N1842" s="563"/>
      <c r="O1842" s="563"/>
      <c r="P1842" s="563"/>
    </row>
    <row r="1843" spans="2:16" ht="15.75" customHeight="1">
      <c r="B1843" s="562"/>
      <c r="H1843" s="563"/>
      <c r="I1843" s="538"/>
      <c r="J1843" s="564"/>
      <c r="N1843" s="563"/>
      <c r="O1843" s="563"/>
      <c r="P1843" s="563"/>
    </row>
    <row r="1844" spans="2:16" ht="15.75" customHeight="1">
      <c r="B1844" s="562"/>
      <c r="H1844" s="563"/>
      <c r="I1844" s="538"/>
      <c r="J1844" s="564"/>
      <c r="N1844" s="563"/>
      <c r="O1844" s="563"/>
      <c r="P1844" s="563"/>
    </row>
    <row r="1845" spans="2:16" ht="15.75" customHeight="1">
      <c r="B1845" s="562"/>
      <c r="H1845" s="563"/>
      <c r="I1845" s="538"/>
      <c r="J1845" s="564"/>
      <c r="N1845" s="563"/>
      <c r="O1845" s="563"/>
      <c r="P1845" s="563"/>
    </row>
    <row r="1846" spans="2:16" ht="15.75" customHeight="1">
      <c r="B1846" s="562"/>
      <c r="H1846" s="563"/>
      <c r="N1846" s="563"/>
      <c r="O1846" s="563"/>
      <c r="P1846" s="563"/>
    </row>
    <row r="1847" spans="2:16" ht="15.75" customHeight="1">
      <c r="B1847" s="562"/>
      <c r="H1847" s="563"/>
      <c r="I1847" s="538"/>
      <c r="J1847" s="564"/>
      <c r="N1847" s="563"/>
      <c r="O1847" s="563"/>
      <c r="P1847" s="563"/>
    </row>
    <row r="1848" spans="2:16" ht="15.75" customHeight="1">
      <c r="B1848" s="562"/>
      <c r="H1848" s="563"/>
      <c r="N1848" s="563"/>
      <c r="O1848" s="563"/>
      <c r="P1848" s="563"/>
    </row>
    <row r="1849" spans="2:16" ht="15.75" customHeight="1">
      <c r="B1849" s="562"/>
      <c r="H1849" s="563"/>
      <c r="N1849" s="563"/>
      <c r="O1849" s="563"/>
      <c r="P1849" s="563"/>
    </row>
    <row r="1850" spans="2:16" ht="15.75" customHeight="1">
      <c r="B1850" s="562"/>
      <c r="H1850" s="563"/>
      <c r="N1850" s="563"/>
      <c r="O1850" s="563"/>
      <c r="P1850" s="563"/>
    </row>
    <row r="1851" spans="2:16" ht="15.75" customHeight="1">
      <c r="B1851" s="562"/>
      <c r="H1851" s="563"/>
      <c r="N1851" s="563"/>
      <c r="O1851" s="563"/>
      <c r="P1851" s="563"/>
    </row>
    <row r="1852" spans="2:16" ht="15.75" customHeight="1">
      <c r="B1852" s="562"/>
      <c r="H1852" s="563"/>
      <c r="N1852" s="563"/>
      <c r="O1852" s="563"/>
      <c r="P1852" s="563"/>
    </row>
    <row r="1853" spans="2:16" ht="15.75" customHeight="1">
      <c r="B1853" s="562"/>
      <c r="H1853" s="563"/>
      <c r="N1853" s="563"/>
      <c r="O1853" s="563"/>
      <c r="P1853" s="563"/>
    </row>
    <row r="1854" spans="2:16" ht="15.75" customHeight="1">
      <c r="B1854" s="562"/>
      <c r="H1854" s="563"/>
      <c r="N1854" s="563"/>
      <c r="O1854" s="563"/>
      <c r="P1854" s="563"/>
    </row>
    <row r="1855" spans="2:16" ht="15.75" customHeight="1">
      <c r="B1855" s="562"/>
      <c r="H1855" s="563"/>
      <c r="I1855" s="538"/>
      <c r="J1855" s="564"/>
      <c r="N1855" s="563"/>
      <c r="O1855" s="563"/>
      <c r="P1855" s="563"/>
    </row>
    <row r="1856" spans="2:16" ht="15.75" customHeight="1">
      <c r="B1856" s="562"/>
      <c r="H1856" s="563"/>
      <c r="I1856" s="538"/>
      <c r="J1856" s="564"/>
      <c r="N1856" s="563"/>
      <c r="O1856" s="563"/>
      <c r="P1856" s="563"/>
    </row>
    <row r="1857" spans="2:16" ht="15.75" customHeight="1">
      <c r="B1857" s="562"/>
      <c r="H1857" s="563"/>
      <c r="I1857" s="538"/>
      <c r="J1857" s="564"/>
      <c r="N1857" s="563"/>
      <c r="O1857" s="563"/>
      <c r="P1857" s="563"/>
    </row>
    <row r="1858" spans="2:16" ht="15.75" customHeight="1">
      <c r="B1858" s="562"/>
      <c r="H1858" s="563"/>
      <c r="I1858" s="538"/>
      <c r="J1858" s="564"/>
      <c r="N1858" s="563"/>
      <c r="O1858" s="563"/>
      <c r="P1858" s="563"/>
    </row>
    <row r="1859" spans="2:16" ht="15.75" customHeight="1">
      <c r="B1859" s="562"/>
      <c r="H1859" s="563"/>
      <c r="I1859" s="538"/>
      <c r="J1859" s="564"/>
      <c r="N1859" s="563"/>
      <c r="O1859" s="563"/>
      <c r="P1859" s="563"/>
    </row>
    <row r="1860" spans="2:16" ht="15.75" customHeight="1">
      <c r="B1860" s="562"/>
      <c r="H1860" s="563"/>
      <c r="I1860" s="538"/>
      <c r="J1860" s="564"/>
      <c r="N1860" s="563"/>
      <c r="O1860" s="563"/>
      <c r="P1860" s="563"/>
    </row>
    <row r="1861" spans="2:16" ht="15.75" customHeight="1">
      <c r="B1861" s="562"/>
      <c r="H1861" s="563"/>
      <c r="I1861" s="538"/>
      <c r="J1861" s="564"/>
      <c r="N1861" s="563"/>
      <c r="O1861" s="563"/>
      <c r="P1861" s="563"/>
    </row>
    <row r="1862" spans="2:16" ht="15.75" customHeight="1">
      <c r="B1862" s="562"/>
      <c r="H1862" s="563"/>
      <c r="I1862" s="538"/>
      <c r="J1862" s="564"/>
      <c r="N1862" s="563"/>
      <c r="O1862" s="563"/>
      <c r="P1862" s="563"/>
    </row>
    <row r="1863" spans="2:16" ht="15.75" customHeight="1">
      <c r="B1863" s="562"/>
      <c r="H1863" s="563"/>
      <c r="I1863" s="538"/>
      <c r="J1863" s="564"/>
      <c r="N1863" s="563"/>
      <c r="O1863" s="563"/>
      <c r="P1863" s="563"/>
    </row>
    <row r="1864" spans="2:16" ht="15.75" customHeight="1">
      <c r="B1864" s="562"/>
      <c r="H1864" s="563"/>
      <c r="N1864" s="563"/>
      <c r="O1864" s="563"/>
      <c r="P1864" s="563"/>
    </row>
    <row r="1865" spans="2:16" ht="15.75" customHeight="1">
      <c r="B1865" s="562"/>
      <c r="H1865" s="563"/>
      <c r="N1865" s="563"/>
      <c r="O1865" s="563"/>
      <c r="P1865" s="563"/>
    </row>
    <row r="1866" spans="2:16" ht="15.75" customHeight="1">
      <c r="B1866" s="562"/>
      <c r="H1866" s="563"/>
      <c r="N1866" s="563"/>
      <c r="O1866" s="563"/>
      <c r="P1866" s="563"/>
    </row>
    <row r="1867" spans="2:16" ht="15.75" customHeight="1">
      <c r="B1867" s="562"/>
      <c r="H1867" s="563"/>
      <c r="I1867" s="538"/>
      <c r="J1867" s="564"/>
      <c r="N1867" s="563"/>
      <c r="O1867" s="563"/>
      <c r="P1867" s="563"/>
    </row>
    <row r="1868" spans="2:16" ht="15.75" customHeight="1">
      <c r="B1868" s="562"/>
      <c r="H1868" s="563"/>
      <c r="I1868" s="538"/>
      <c r="J1868" s="564"/>
      <c r="N1868" s="563"/>
      <c r="O1868" s="563"/>
      <c r="P1868" s="563"/>
    </row>
    <row r="1869" spans="2:16" ht="15.75" customHeight="1">
      <c r="B1869" s="562"/>
      <c r="H1869" s="563"/>
      <c r="I1869" s="538"/>
      <c r="J1869" s="564"/>
      <c r="N1869" s="563"/>
      <c r="O1869" s="563"/>
      <c r="P1869" s="563"/>
    </row>
    <row r="1870" spans="2:16" ht="15.75" customHeight="1">
      <c r="B1870" s="562"/>
      <c r="H1870" s="563"/>
      <c r="I1870" s="538"/>
      <c r="J1870" s="564"/>
      <c r="N1870" s="563"/>
      <c r="O1870" s="563"/>
      <c r="P1870" s="563"/>
    </row>
    <row r="1871" spans="2:16" ht="15.75" customHeight="1">
      <c r="B1871" s="562"/>
      <c r="H1871" s="563"/>
      <c r="I1871" s="538"/>
      <c r="J1871" s="564"/>
      <c r="N1871" s="563"/>
      <c r="O1871" s="563"/>
      <c r="P1871" s="563"/>
    </row>
    <row r="1872" spans="2:16" ht="15.75" customHeight="1">
      <c r="B1872" s="562"/>
      <c r="H1872" s="563"/>
      <c r="I1872" s="538"/>
      <c r="J1872" s="564"/>
      <c r="N1872" s="563"/>
      <c r="O1872" s="563"/>
      <c r="P1872" s="563"/>
    </row>
    <row r="1873" spans="2:16" ht="15.75" customHeight="1">
      <c r="B1873" s="562"/>
      <c r="H1873" s="563"/>
      <c r="I1873" s="538"/>
      <c r="J1873" s="564"/>
      <c r="N1873" s="563"/>
      <c r="O1873" s="563"/>
      <c r="P1873" s="563"/>
    </row>
    <row r="1874" spans="2:16" ht="15.75" customHeight="1">
      <c r="B1874" s="562"/>
      <c r="H1874" s="563"/>
      <c r="I1874" s="538"/>
      <c r="J1874" s="564"/>
      <c r="N1874" s="563"/>
      <c r="O1874" s="563"/>
      <c r="P1874" s="563"/>
    </row>
    <row r="1875" spans="2:16" ht="15.75" customHeight="1">
      <c r="B1875" s="562"/>
      <c r="H1875" s="563"/>
      <c r="I1875" s="538"/>
      <c r="J1875" s="564"/>
      <c r="N1875" s="563"/>
      <c r="O1875" s="563"/>
      <c r="P1875" s="563"/>
    </row>
    <row r="1876" spans="2:16" ht="15.75" customHeight="1">
      <c r="B1876" s="562"/>
      <c r="H1876" s="563"/>
      <c r="I1876" s="538"/>
      <c r="J1876" s="564"/>
      <c r="N1876" s="563"/>
      <c r="O1876" s="563"/>
      <c r="P1876" s="563"/>
    </row>
    <row r="1877" spans="2:16" ht="15.75" customHeight="1">
      <c r="B1877" s="562"/>
      <c r="H1877" s="563"/>
      <c r="I1877" s="538"/>
      <c r="J1877" s="564"/>
      <c r="N1877" s="563"/>
      <c r="O1877" s="563"/>
      <c r="P1877" s="563"/>
    </row>
    <row r="1878" spans="2:16" ht="15.75" customHeight="1">
      <c r="B1878" s="562"/>
      <c r="H1878" s="563"/>
      <c r="I1878" s="538"/>
      <c r="J1878" s="564"/>
      <c r="N1878" s="563"/>
      <c r="O1878" s="563"/>
      <c r="P1878" s="563"/>
    </row>
    <row r="1879" spans="2:16" ht="15.75" customHeight="1">
      <c r="B1879" s="562"/>
      <c r="H1879" s="563"/>
      <c r="I1879" s="538"/>
      <c r="J1879" s="564"/>
      <c r="N1879" s="563"/>
      <c r="O1879" s="563"/>
      <c r="P1879" s="563"/>
    </row>
    <row r="1880" spans="2:16" ht="15.75" customHeight="1">
      <c r="B1880" s="562"/>
      <c r="H1880" s="563"/>
      <c r="I1880" s="538"/>
      <c r="J1880" s="564"/>
      <c r="N1880" s="563"/>
      <c r="O1880" s="563"/>
      <c r="P1880" s="563"/>
    </row>
    <row r="1881" spans="2:16" ht="15.75" customHeight="1">
      <c r="B1881" s="562"/>
      <c r="H1881" s="563"/>
      <c r="I1881" s="538"/>
      <c r="J1881" s="564"/>
      <c r="N1881" s="563"/>
      <c r="O1881" s="563"/>
      <c r="P1881" s="563"/>
    </row>
    <row r="1882" spans="2:16" ht="15.75" customHeight="1">
      <c r="B1882" s="562"/>
      <c r="H1882" s="563"/>
      <c r="I1882" s="538"/>
      <c r="J1882" s="564"/>
      <c r="N1882" s="563"/>
      <c r="O1882" s="563"/>
      <c r="P1882" s="563"/>
    </row>
    <row r="1883" spans="2:16" ht="15.75" customHeight="1">
      <c r="B1883" s="562"/>
      <c r="H1883" s="563"/>
      <c r="I1883" s="538"/>
      <c r="J1883" s="564"/>
      <c r="N1883" s="563"/>
      <c r="O1883" s="563"/>
      <c r="P1883" s="563"/>
    </row>
    <row r="1884" spans="2:16" ht="15.75" customHeight="1">
      <c r="B1884" s="562"/>
      <c r="H1884" s="563"/>
      <c r="I1884" s="538"/>
      <c r="J1884" s="564"/>
      <c r="N1884" s="563"/>
      <c r="O1884" s="563"/>
      <c r="P1884" s="563"/>
    </row>
    <row r="1885" spans="2:16" ht="15.75" customHeight="1">
      <c r="B1885" s="562"/>
      <c r="H1885" s="563"/>
      <c r="I1885" s="538"/>
      <c r="J1885" s="564"/>
      <c r="N1885" s="563"/>
      <c r="O1885" s="563"/>
      <c r="P1885" s="563"/>
    </row>
    <row r="1886" spans="2:16" ht="15.75" customHeight="1">
      <c r="B1886" s="562"/>
      <c r="H1886" s="563"/>
      <c r="I1886" s="538"/>
      <c r="J1886" s="564"/>
      <c r="N1886" s="563"/>
      <c r="O1886" s="563"/>
      <c r="P1886" s="563"/>
    </row>
    <row r="1887" spans="2:16" ht="15.75" customHeight="1">
      <c r="B1887" s="562"/>
      <c r="H1887" s="563"/>
      <c r="I1887" s="538"/>
      <c r="J1887" s="564"/>
      <c r="N1887" s="563"/>
      <c r="O1887" s="563"/>
      <c r="P1887" s="563"/>
    </row>
    <row r="1888" spans="2:16" ht="15.75" customHeight="1">
      <c r="B1888" s="562"/>
      <c r="H1888" s="563"/>
      <c r="I1888" s="538"/>
      <c r="J1888" s="564"/>
      <c r="N1888" s="563"/>
      <c r="O1888" s="563"/>
      <c r="P1888" s="563"/>
    </row>
    <row r="1889" spans="2:16" ht="15.75" customHeight="1">
      <c r="B1889" s="562"/>
      <c r="H1889" s="563"/>
      <c r="I1889" s="538"/>
      <c r="J1889" s="564"/>
      <c r="N1889" s="563"/>
      <c r="O1889" s="563"/>
      <c r="P1889" s="563"/>
    </row>
    <row r="1890" spans="2:16" ht="15.75" customHeight="1">
      <c r="B1890" s="562"/>
      <c r="H1890" s="563"/>
      <c r="I1890" s="538"/>
      <c r="J1890" s="564"/>
      <c r="N1890" s="563"/>
      <c r="O1890" s="563"/>
      <c r="P1890" s="563"/>
    </row>
    <row r="1891" spans="2:16" ht="15.75" customHeight="1">
      <c r="B1891" s="562"/>
      <c r="H1891" s="563"/>
      <c r="I1891" s="538"/>
      <c r="J1891" s="564"/>
      <c r="N1891" s="563"/>
      <c r="O1891" s="563"/>
      <c r="P1891" s="563"/>
    </row>
    <row r="1892" spans="2:16" ht="15.75" customHeight="1">
      <c r="B1892" s="562"/>
      <c r="H1892" s="563"/>
      <c r="I1892" s="538"/>
      <c r="J1892" s="564"/>
      <c r="N1892" s="563"/>
      <c r="O1892" s="563"/>
      <c r="P1892" s="563"/>
    </row>
    <row r="1893" spans="2:16" ht="15.75" customHeight="1">
      <c r="B1893" s="562"/>
      <c r="H1893" s="563"/>
      <c r="I1893" s="538"/>
      <c r="J1893" s="564"/>
      <c r="N1893" s="563"/>
      <c r="O1893" s="563"/>
      <c r="P1893" s="563"/>
    </row>
    <row r="1894" spans="2:16" ht="15.75" customHeight="1">
      <c r="B1894" s="562"/>
      <c r="H1894" s="563"/>
      <c r="I1894" s="538"/>
      <c r="J1894" s="564"/>
      <c r="N1894" s="563"/>
      <c r="O1894" s="563"/>
      <c r="P1894" s="563"/>
    </row>
    <row r="1895" spans="2:16" ht="15.75" customHeight="1">
      <c r="B1895" s="562"/>
      <c r="H1895" s="563"/>
      <c r="I1895" s="538"/>
      <c r="J1895" s="564"/>
      <c r="N1895" s="563"/>
      <c r="O1895" s="563"/>
      <c r="P1895" s="563"/>
    </row>
    <row r="1896" spans="2:16" ht="15.75" customHeight="1">
      <c r="B1896" s="562"/>
      <c r="H1896" s="563"/>
      <c r="I1896" s="538"/>
      <c r="J1896" s="564"/>
      <c r="N1896" s="563"/>
      <c r="O1896" s="563"/>
      <c r="P1896" s="563"/>
    </row>
    <row r="1897" spans="2:16" ht="15.75" customHeight="1">
      <c r="B1897" s="562"/>
      <c r="H1897" s="563"/>
      <c r="I1897" s="538"/>
      <c r="J1897" s="564"/>
      <c r="N1897" s="563"/>
      <c r="O1897" s="563"/>
      <c r="P1897" s="563"/>
    </row>
    <row r="1898" spans="2:16" ht="15.75" customHeight="1">
      <c r="B1898" s="562"/>
      <c r="H1898" s="563"/>
      <c r="I1898" s="538"/>
      <c r="J1898" s="564"/>
      <c r="N1898" s="563"/>
      <c r="O1898" s="563"/>
      <c r="P1898" s="563"/>
    </row>
    <row r="1899" spans="2:16" ht="15.75" customHeight="1">
      <c r="B1899" s="562"/>
      <c r="H1899" s="563"/>
      <c r="I1899" s="538"/>
      <c r="J1899" s="564"/>
      <c r="N1899" s="563"/>
      <c r="O1899" s="563"/>
      <c r="P1899" s="563"/>
    </row>
    <row r="1900" spans="2:16" ht="15.75" customHeight="1">
      <c r="B1900" s="562"/>
      <c r="H1900" s="563"/>
      <c r="I1900" s="538"/>
      <c r="J1900" s="564"/>
      <c r="N1900" s="563"/>
      <c r="O1900" s="563"/>
      <c r="P1900" s="563"/>
    </row>
    <row r="1901" spans="2:16" ht="15.75" customHeight="1">
      <c r="B1901" s="562"/>
      <c r="H1901" s="563"/>
      <c r="I1901" s="538"/>
      <c r="J1901" s="564"/>
      <c r="N1901" s="563"/>
      <c r="O1901" s="563"/>
      <c r="P1901" s="563"/>
    </row>
    <row r="1902" spans="2:16" ht="15.75" customHeight="1">
      <c r="B1902" s="562"/>
      <c r="H1902" s="563"/>
      <c r="I1902" s="538"/>
      <c r="J1902" s="564"/>
      <c r="N1902" s="563"/>
      <c r="O1902" s="563"/>
      <c r="P1902" s="563"/>
    </row>
    <row r="1903" spans="2:16" ht="15.75" customHeight="1">
      <c r="B1903" s="562"/>
      <c r="H1903" s="563"/>
      <c r="I1903" s="538"/>
      <c r="J1903" s="564"/>
      <c r="N1903" s="563"/>
      <c r="O1903" s="563"/>
      <c r="P1903" s="563"/>
    </row>
    <row r="1904" spans="2:16" ht="15.75" customHeight="1">
      <c r="B1904" s="562"/>
      <c r="H1904" s="563"/>
      <c r="I1904" s="538"/>
      <c r="J1904" s="564"/>
      <c r="N1904" s="563"/>
      <c r="O1904" s="563"/>
      <c r="P1904" s="563"/>
    </row>
    <row r="1905" spans="2:16" ht="15.75" customHeight="1">
      <c r="B1905" s="562"/>
      <c r="H1905" s="563"/>
      <c r="I1905" s="538"/>
      <c r="J1905" s="564"/>
      <c r="N1905" s="563"/>
      <c r="O1905" s="563"/>
      <c r="P1905" s="563"/>
    </row>
    <row r="1906" spans="2:16" ht="15.75" customHeight="1">
      <c r="B1906" s="562"/>
      <c r="H1906" s="563"/>
      <c r="I1906" s="538"/>
      <c r="J1906" s="564"/>
      <c r="N1906" s="563"/>
      <c r="O1906" s="563"/>
      <c r="P1906" s="563"/>
    </row>
    <row r="1907" spans="2:16" ht="15.75" customHeight="1">
      <c r="B1907" s="562"/>
      <c r="H1907" s="563"/>
      <c r="I1907" s="538"/>
      <c r="J1907" s="564"/>
      <c r="N1907" s="563"/>
      <c r="O1907" s="563"/>
      <c r="P1907" s="563"/>
    </row>
    <row r="1908" spans="2:16" ht="15.75" customHeight="1">
      <c r="B1908" s="562"/>
      <c r="H1908" s="563"/>
      <c r="I1908" s="538"/>
      <c r="J1908" s="564"/>
      <c r="N1908" s="563"/>
      <c r="O1908" s="563"/>
      <c r="P1908" s="563"/>
    </row>
    <row r="1909" spans="2:16" ht="15.75" customHeight="1">
      <c r="B1909" s="562"/>
      <c r="H1909" s="563"/>
      <c r="I1909" s="538"/>
      <c r="J1909" s="564"/>
      <c r="N1909" s="563"/>
      <c r="O1909" s="563"/>
      <c r="P1909" s="563"/>
    </row>
    <row r="1910" spans="2:16" ht="15.75" customHeight="1">
      <c r="B1910" s="562"/>
      <c r="H1910" s="563"/>
      <c r="I1910" s="538"/>
      <c r="J1910" s="564"/>
      <c r="N1910" s="563"/>
      <c r="O1910" s="563"/>
      <c r="P1910" s="563"/>
    </row>
    <row r="1911" spans="2:16" ht="15.75" customHeight="1">
      <c r="B1911" s="562"/>
      <c r="H1911" s="563"/>
      <c r="I1911" s="538"/>
      <c r="J1911" s="564"/>
      <c r="N1911" s="563"/>
      <c r="O1911" s="563"/>
      <c r="P1911" s="563"/>
    </row>
    <row r="1912" spans="2:16" ht="15.75" customHeight="1">
      <c r="B1912" s="562"/>
      <c r="H1912" s="563"/>
      <c r="N1912" s="563"/>
      <c r="O1912" s="563"/>
      <c r="P1912" s="563"/>
    </row>
    <row r="1913" spans="2:16" ht="15.75" customHeight="1">
      <c r="B1913" s="562"/>
      <c r="H1913" s="563"/>
      <c r="N1913" s="563"/>
      <c r="O1913" s="563"/>
      <c r="P1913" s="563"/>
    </row>
    <row r="1914" spans="2:16" ht="15.75" customHeight="1">
      <c r="B1914" s="562"/>
      <c r="H1914" s="563"/>
      <c r="N1914" s="563"/>
      <c r="O1914" s="563"/>
      <c r="P1914" s="563"/>
    </row>
    <row r="1915" spans="2:16" ht="15.75" customHeight="1">
      <c r="B1915" s="562"/>
      <c r="H1915" s="563"/>
      <c r="N1915" s="563"/>
      <c r="O1915" s="563"/>
      <c r="P1915" s="563"/>
    </row>
    <row r="1916" spans="2:16" ht="15.75" customHeight="1">
      <c r="B1916" s="562"/>
      <c r="H1916" s="563"/>
      <c r="I1916" s="538"/>
      <c r="J1916" s="564"/>
      <c r="N1916" s="563"/>
      <c r="O1916" s="563"/>
      <c r="P1916" s="563"/>
    </row>
    <row r="1917" spans="2:16" ht="15.75" customHeight="1">
      <c r="B1917" s="562"/>
      <c r="H1917" s="563"/>
      <c r="I1917" s="538"/>
      <c r="J1917" s="564"/>
      <c r="N1917" s="563"/>
      <c r="O1917" s="563"/>
      <c r="P1917" s="563"/>
    </row>
    <row r="1918" spans="2:16" ht="15.75" customHeight="1">
      <c r="B1918" s="562"/>
      <c r="H1918" s="563"/>
      <c r="I1918" s="538"/>
      <c r="J1918" s="564"/>
      <c r="N1918" s="563"/>
      <c r="O1918" s="563"/>
      <c r="P1918" s="563"/>
    </row>
    <row r="1919" spans="2:16" ht="15.75" customHeight="1">
      <c r="B1919" s="562"/>
      <c r="H1919" s="563"/>
      <c r="I1919" s="538"/>
      <c r="J1919" s="564"/>
      <c r="N1919" s="563"/>
      <c r="O1919" s="563"/>
      <c r="P1919" s="563"/>
    </row>
    <row r="1920" spans="2:16" ht="15.75" customHeight="1">
      <c r="B1920" s="562"/>
      <c r="H1920" s="563"/>
      <c r="I1920" s="538"/>
      <c r="J1920" s="564"/>
      <c r="N1920" s="563"/>
      <c r="O1920" s="563"/>
      <c r="P1920" s="563"/>
    </row>
    <row r="1921" spans="2:16" ht="15.75" customHeight="1">
      <c r="B1921" s="562"/>
      <c r="H1921" s="563"/>
      <c r="N1921" s="563"/>
      <c r="O1921" s="563"/>
      <c r="P1921" s="563"/>
    </row>
    <row r="1922" spans="2:16" ht="15.75" customHeight="1">
      <c r="B1922" s="562"/>
      <c r="H1922" s="563"/>
      <c r="N1922" s="563"/>
      <c r="O1922" s="563"/>
      <c r="P1922" s="563"/>
    </row>
    <row r="1923" spans="2:16" ht="15.75" customHeight="1">
      <c r="B1923" s="562"/>
      <c r="H1923" s="563"/>
      <c r="I1923" s="538"/>
      <c r="J1923" s="564"/>
      <c r="N1923" s="563"/>
      <c r="O1923" s="563"/>
      <c r="P1923" s="563"/>
    </row>
    <row r="1924" spans="2:16" ht="15.75" customHeight="1">
      <c r="B1924" s="562"/>
      <c r="H1924" s="563"/>
      <c r="I1924" s="538"/>
      <c r="J1924" s="564"/>
      <c r="N1924" s="563"/>
      <c r="O1924" s="563"/>
      <c r="P1924" s="563"/>
    </row>
    <row r="1925" spans="2:16" ht="15.75" customHeight="1">
      <c r="B1925" s="562"/>
      <c r="H1925" s="563"/>
      <c r="N1925" s="563"/>
      <c r="O1925" s="563"/>
      <c r="P1925" s="563"/>
    </row>
    <row r="1926" spans="2:16" ht="15.75" customHeight="1">
      <c r="B1926" s="562"/>
      <c r="H1926" s="563"/>
      <c r="N1926" s="563"/>
      <c r="O1926" s="563"/>
      <c r="P1926" s="563"/>
    </row>
    <row r="1927" spans="2:16" ht="15.75" customHeight="1">
      <c r="B1927" s="562"/>
      <c r="H1927" s="563"/>
      <c r="N1927" s="563"/>
      <c r="O1927" s="563"/>
      <c r="P1927" s="563"/>
    </row>
    <row r="1928" spans="2:16" ht="15.75" customHeight="1">
      <c r="B1928" s="562"/>
      <c r="H1928" s="563"/>
      <c r="N1928" s="563"/>
      <c r="O1928" s="563"/>
      <c r="P1928" s="563"/>
    </row>
    <row r="1929" spans="2:16" ht="15.75" customHeight="1">
      <c r="B1929" s="562"/>
      <c r="H1929" s="563"/>
      <c r="N1929" s="563"/>
      <c r="O1929" s="563"/>
      <c r="P1929" s="563"/>
    </row>
    <row r="1930" spans="2:16" ht="15.75" customHeight="1">
      <c r="B1930" s="562"/>
      <c r="H1930" s="563"/>
      <c r="N1930" s="563"/>
      <c r="O1930" s="563"/>
      <c r="P1930" s="563"/>
    </row>
    <row r="1931" spans="2:16" ht="15.75" customHeight="1">
      <c r="B1931" s="562"/>
      <c r="H1931" s="563"/>
      <c r="N1931" s="563"/>
      <c r="O1931" s="563"/>
      <c r="P1931" s="563"/>
    </row>
    <row r="1932" spans="2:16" ht="15.75" customHeight="1">
      <c r="B1932" s="562"/>
      <c r="H1932" s="563"/>
      <c r="N1932" s="563"/>
      <c r="O1932" s="563"/>
      <c r="P1932" s="563"/>
    </row>
    <row r="1933" spans="2:16" ht="15.75" customHeight="1">
      <c r="B1933" s="562"/>
      <c r="H1933" s="563"/>
      <c r="I1933" s="538"/>
      <c r="J1933" s="564"/>
      <c r="N1933" s="563"/>
      <c r="O1933" s="563"/>
      <c r="P1933" s="563"/>
    </row>
    <row r="1934" spans="2:16" ht="15.75" customHeight="1">
      <c r="B1934" s="562"/>
      <c r="H1934" s="563"/>
      <c r="I1934" s="538"/>
      <c r="J1934" s="564"/>
      <c r="N1934" s="563"/>
      <c r="O1934" s="563"/>
      <c r="P1934" s="563"/>
    </row>
    <row r="1935" spans="2:16" ht="15.75" customHeight="1">
      <c r="B1935" s="562"/>
      <c r="H1935" s="563"/>
      <c r="I1935" s="538"/>
      <c r="J1935" s="564"/>
      <c r="N1935" s="563"/>
      <c r="O1935" s="563"/>
      <c r="P1935" s="563"/>
    </row>
    <row r="1936" spans="2:16" ht="15.75" customHeight="1">
      <c r="B1936" s="562"/>
      <c r="H1936" s="563"/>
      <c r="I1936" s="538"/>
      <c r="J1936" s="564"/>
      <c r="N1936" s="563"/>
      <c r="O1936" s="563"/>
      <c r="P1936" s="563"/>
    </row>
    <row r="1937" spans="2:16" ht="15.75" customHeight="1">
      <c r="B1937" s="562"/>
      <c r="H1937" s="563"/>
      <c r="I1937" s="538"/>
      <c r="J1937" s="564"/>
      <c r="N1937" s="563"/>
      <c r="O1937" s="563"/>
      <c r="P1937" s="563"/>
    </row>
    <row r="1938" spans="2:16" ht="15.75" customHeight="1">
      <c r="B1938" s="562"/>
      <c r="H1938" s="563"/>
      <c r="I1938" s="538"/>
      <c r="J1938" s="564"/>
      <c r="N1938" s="563"/>
      <c r="O1938" s="563"/>
      <c r="P1938" s="563"/>
    </row>
    <row r="1939" spans="2:16" ht="15.75" customHeight="1">
      <c r="B1939" s="562"/>
      <c r="H1939" s="563"/>
      <c r="I1939" s="538"/>
      <c r="J1939" s="564"/>
      <c r="N1939" s="563"/>
      <c r="O1939" s="563"/>
      <c r="P1939" s="563"/>
    </row>
    <row r="1940" spans="2:16" ht="15.75" customHeight="1">
      <c r="B1940" s="562"/>
      <c r="H1940" s="563"/>
      <c r="I1940" s="538"/>
      <c r="J1940" s="564"/>
      <c r="N1940" s="563"/>
      <c r="O1940" s="563"/>
      <c r="P1940" s="563"/>
    </row>
    <row r="1941" spans="2:16" ht="15.75" customHeight="1">
      <c r="B1941" s="562"/>
      <c r="H1941" s="563"/>
      <c r="I1941" s="538"/>
      <c r="J1941" s="564"/>
      <c r="N1941" s="563"/>
      <c r="O1941" s="563"/>
      <c r="P1941" s="563"/>
    </row>
    <row r="1942" spans="2:16" ht="15.75" customHeight="1">
      <c r="B1942" s="562"/>
      <c r="H1942" s="563"/>
      <c r="N1942" s="563"/>
      <c r="O1942" s="563"/>
      <c r="P1942" s="563"/>
    </row>
    <row r="1943" spans="2:16" ht="15.75" customHeight="1">
      <c r="B1943" s="562"/>
      <c r="H1943" s="563"/>
      <c r="N1943" s="563"/>
      <c r="O1943" s="563"/>
      <c r="P1943" s="563"/>
    </row>
    <row r="1944" spans="2:16" ht="15.75" customHeight="1">
      <c r="B1944" s="562"/>
      <c r="H1944" s="563"/>
      <c r="I1944" s="538"/>
      <c r="J1944" s="564"/>
      <c r="N1944" s="563"/>
      <c r="O1944" s="563"/>
      <c r="P1944" s="563"/>
    </row>
    <row r="1945" spans="2:16" ht="15.75" customHeight="1">
      <c r="B1945" s="562"/>
      <c r="H1945" s="563"/>
      <c r="I1945" s="538"/>
      <c r="J1945" s="564"/>
      <c r="N1945" s="563"/>
      <c r="O1945" s="563"/>
      <c r="P1945" s="563"/>
    </row>
    <row r="1946" spans="2:16" ht="15.75" customHeight="1">
      <c r="B1946" s="562"/>
      <c r="H1946" s="563"/>
      <c r="I1946" s="538"/>
      <c r="J1946" s="564"/>
      <c r="N1946" s="563"/>
      <c r="O1946" s="563"/>
      <c r="P1946" s="563"/>
    </row>
    <row r="1947" spans="2:16" ht="15.75" customHeight="1">
      <c r="B1947" s="562"/>
      <c r="H1947" s="563"/>
      <c r="I1947" s="538"/>
      <c r="J1947" s="564"/>
      <c r="N1947" s="563"/>
      <c r="O1947" s="563"/>
      <c r="P1947" s="563"/>
    </row>
    <row r="1948" spans="2:16" ht="15.75" customHeight="1">
      <c r="B1948" s="562"/>
      <c r="H1948" s="563"/>
      <c r="I1948" s="538"/>
      <c r="J1948" s="564"/>
      <c r="N1948" s="563"/>
      <c r="O1948" s="563"/>
      <c r="P1948" s="563"/>
    </row>
    <row r="1949" spans="2:16" ht="15.75" customHeight="1">
      <c r="B1949" s="562"/>
      <c r="H1949" s="563"/>
      <c r="I1949" s="538"/>
      <c r="J1949" s="564"/>
      <c r="N1949" s="563"/>
      <c r="O1949" s="563"/>
      <c r="P1949" s="563"/>
    </row>
    <row r="1950" spans="2:16" ht="15.75" customHeight="1">
      <c r="B1950" s="562"/>
      <c r="H1950" s="563"/>
      <c r="I1950" s="538"/>
      <c r="J1950" s="564"/>
      <c r="N1950" s="563"/>
      <c r="O1950" s="563"/>
      <c r="P1950" s="563"/>
    </row>
    <row r="1951" spans="2:16" ht="15.75" customHeight="1">
      <c r="B1951" s="562"/>
      <c r="H1951" s="563"/>
      <c r="I1951" s="538"/>
      <c r="J1951" s="564"/>
      <c r="N1951" s="563"/>
      <c r="O1951" s="563"/>
      <c r="P1951" s="563"/>
    </row>
    <row r="1952" spans="2:16" ht="15.75" customHeight="1">
      <c r="B1952" s="562"/>
      <c r="H1952" s="563"/>
      <c r="I1952" s="538"/>
      <c r="J1952" s="564"/>
      <c r="N1952" s="563"/>
      <c r="O1952" s="563"/>
      <c r="P1952" s="563"/>
    </row>
    <row r="1953" spans="2:16" ht="15.75" customHeight="1">
      <c r="B1953" s="562"/>
      <c r="H1953" s="563"/>
      <c r="I1953" s="538"/>
      <c r="J1953" s="564"/>
      <c r="N1953" s="563"/>
      <c r="O1953" s="563"/>
      <c r="P1953" s="563"/>
    </row>
    <row r="1954" spans="2:16" ht="15.75" customHeight="1">
      <c r="B1954" s="562"/>
      <c r="H1954" s="563"/>
      <c r="N1954" s="563"/>
      <c r="O1954" s="563"/>
      <c r="P1954" s="563"/>
    </row>
    <row r="1955" spans="2:16" ht="15.75" customHeight="1">
      <c r="B1955" s="562"/>
      <c r="H1955" s="563"/>
      <c r="I1955" s="538"/>
      <c r="J1955" s="564"/>
      <c r="N1955" s="563"/>
      <c r="O1955" s="563"/>
      <c r="P1955" s="563"/>
    </row>
    <row r="1956" spans="2:16" ht="15.75" customHeight="1">
      <c r="B1956" s="562"/>
      <c r="H1956" s="563"/>
      <c r="I1956" s="538"/>
      <c r="J1956" s="564"/>
      <c r="N1956" s="563"/>
      <c r="O1956" s="563"/>
      <c r="P1956" s="563"/>
    </row>
    <row r="1957" spans="2:16" ht="15.75" customHeight="1">
      <c r="B1957" s="562"/>
      <c r="H1957" s="563"/>
      <c r="I1957" s="538"/>
      <c r="J1957" s="564"/>
      <c r="N1957" s="563"/>
      <c r="O1957" s="563"/>
      <c r="P1957" s="563"/>
    </row>
    <row r="1958" spans="2:16" ht="15.75" customHeight="1">
      <c r="B1958" s="562"/>
      <c r="H1958" s="563"/>
      <c r="I1958" s="538"/>
      <c r="J1958" s="564"/>
      <c r="N1958" s="563"/>
      <c r="O1958" s="563"/>
      <c r="P1958" s="563"/>
    </row>
    <row r="1959" spans="2:16" ht="15.75" customHeight="1">
      <c r="B1959" s="562"/>
      <c r="H1959" s="563"/>
      <c r="I1959" s="538"/>
      <c r="J1959" s="564"/>
      <c r="N1959" s="563"/>
      <c r="O1959" s="563"/>
      <c r="P1959" s="563"/>
    </row>
    <row r="1960" spans="2:16" ht="15.75" customHeight="1">
      <c r="B1960" s="562"/>
      <c r="H1960" s="563"/>
      <c r="I1960" s="538"/>
      <c r="J1960" s="564"/>
      <c r="N1960" s="563"/>
      <c r="O1960" s="563"/>
      <c r="P1960" s="563"/>
    </row>
    <row r="1961" spans="2:16" ht="15.75" customHeight="1">
      <c r="B1961" s="562"/>
      <c r="H1961" s="563"/>
      <c r="I1961" s="538"/>
      <c r="J1961" s="564"/>
      <c r="N1961" s="563"/>
      <c r="O1961" s="563"/>
      <c r="P1961" s="563"/>
    </row>
    <row r="1962" spans="2:16" ht="15.75" customHeight="1">
      <c r="B1962" s="562"/>
      <c r="H1962" s="563"/>
      <c r="I1962" s="538"/>
      <c r="J1962" s="564"/>
      <c r="N1962" s="563"/>
      <c r="O1962" s="563"/>
      <c r="P1962" s="563"/>
    </row>
    <row r="1963" spans="2:16" ht="15.75" customHeight="1">
      <c r="B1963" s="562"/>
      <c r="H1963" s="563"/>
      <c r="I1963" s="538"/>
      <c r="J1963" s="564"/>
      <c r="N1963" s="563"/>
      <c r="O1963" s="563"/>
      <c r="P1963" s="563"/>
    </row>
    <row r="1964" spans="2:16" ht="15.75" customHeight="1">
      <c r="B1964" s="562"/>
      <c r="H1964" s="563"/>
      <c r="I1964" s="538"/>
      <c r="J1964" s="564"/>
      <c r="N1964" s="563"/>
      <c r="O1964" s="563"/>
      <c r="P1964" s="563"/>
    </row>
    <row r="1965" spans="2:16" ht="15.75" customHeight="1">
      <c r="B1965" s="562"/>
      <c r="H1965" s="563"/>
      <c r="I1965" s="538"/>
      <c r="J1965" s="564"/>
      <c r="N1965" s="563"/>
      <c r="O1965" s="563"/>
      <c r="P1965" s="563"/>
    </row>
    <row r="1966" spans="2:16" ht="15.75" customHeight="1">
      <c r="B1966" s="562"/>
      <c r="H1966" s="563"/>
      <c r="I1966" s="538"/>
      <c r="J1966" s="564"/>
      <c r="N1966" s="563"/>
      <c r="O1966" s="563"/>
      <c r="P1966" s="563"/>
    </row>
    <row r="1967" spans="2:16" ht="15.75" customHeight="1">
      <c r="B1967" s="562"/>
      <c r="H1967" s="563"/>
      <c r="I1967" s="538"/>
      <c r="J1967" s="564"/>
      <c r="N1967" s="563"/>
      <c r="O1967" s="563"/>
      <c r="P1967" s="563"/>
    </row>
    <row r="1968" spans="2:16" ht="15.75" customHeight="1">
      <c r="B1968" s="562"/>
      <c r="H1968" s="563"/>
      <c r="I1968" s="538"/>
      <c r="J1968" s="564"/>
      <c r="N1968" s="563"/>
      <c r="O1968" s="563"/>
      <c r="P1968" s="563"/>
    </row>
    <row r="1969" spans="2:16" ht="15.75" customHeight="1">
      <c r="B1969" s="562"/>
      <c r="H1969" s="563"/>
      <c r="I1969" s="538"/>
      <c r="J1969" s="564"/>
      <c r="N1969" s="563"/>
      <c r="O1969" s="563"/>
      <c r="P1969" s="563"/>
    </row>
    <row r="1970" spans="2:16" ht="15.75" customHeight="1">
      <c r="B1970" s="562"/>
      <c r="H1970" s="563"/>
      <c r="I1970" s="538"/>
      <c r="J1970" s="564"/>
      <c r="N1970" s="563"/>
      <c r="O1970" s="563"/>
      <c r="P1970" s="563"/>
    </row>
    <row r="1971" spans="2:16" ht="15.75" customHeight="1">
      <c r="B1971" s="562"/>
      <c r="H1971" s="563"/>
      <c r="I1971" s="538"/>
      <c r="J1971" s="564"/>
      <c r="N1971" s="563"/>
      <c r="O1971" s="563"/>
      <c r="P1971" s="563"/>
    </row>
    <row r="1972" spans="2:16" ht="15.75" customHeight="1">
      <c r="B1972" s="562"/>
      <c r="H1972" s="563"/>
      <c r="I1972" s="538"/>
      <c r="J1972" s="564"/>
      <c r="N1972" s="563"/>
      <c r="O1972" s="563"/>
      <c r="P1972" s="563"/>
    </row>
    <row r="1973" spans="2:16" ht="15.75" customHeight="1">
      <c r="B1973" s="562"/>
      <c r="H1973" s="563"/>
      <c r="I1973" s="538"/>
      <c r="J1973" s="564"/>
      <c r="N1973" s="563"/>
      <c r="O1973" s="563"/>
      <c r="P1973" s="563"/>
    </row>
    <row r="1974" spans="2:16" ht="15.75" customHeight="1">
      <c r="B1974" s="562"/>
      <c r="H1974" s="563"/>
      <c r="I1974" s="538"/>
      <c r="J1974" s="564"/>
      <c r="N1974" s="563"/>
      <c r="O1974" s="563"/>
      <c r="P1974" s="563"/>
    </row>
    <row r="1975" spans="2:16" ht="15.75" customHeight="1">
      <c r="B1975" s="562"/>
      <c r="H1975" s="563"/>
      <c r="I1975" s="538"/>
      <c r="J1975" s="564"/>
      <c r="N1975" s="563"/>
      <c r="O1975" s="563"/>
      <c r="P1975" s="563"/>
    </row>
    <row r="1976" spans="2:16" ht="15.75" customHeight="1">
      <c r="B1976" s="562"/>
      <c r="H1976" s="563"/>
      <c r="I1976" s="538"/>
      <c r="J1976" s="564"/>
      <c r="N1976" s="563"/>
      <c r="O1976" s="563"/>
      <c r="P1976" s="563"/>
    </row>
    <row r="1977" spans="2:16" ht="15.75" customHeight="1">
      <c r="B1977" s="562"/>
      <c r="H1977" s="563"/>
      <c r="I1977" s="538"/>
      <c r="J1977" s="564"/>
      <c r="N1977" s="563"/>
      <c r="O1977" s="563"/>
      <c r="P1977" s="563"/>
    </row>
    <row r="1978" spans="2:16" ht="15.75" customHeight="1">
      <c r="B1978" s="562"/>
      <c r="H1978" s="563"/>
      <c r="I1978" s="538"/>
      <c r="J1978" s="564"/>
      <c r="N1978" s="563"/>
      <c r="O1978" s="563"/>
      <c r="P1978" s="563"/>
    </row>
    <row r="1979" spans="2:16" ht="15.75" customHeight="1">
      <c r="B1979" s="562"/>
      <c r="H1979" s="563"/>
      <c r="I1979" s="538"/>
      <c r="J1979" s="564"/>
      <c r="N1979" s="563"/>
      <c r="O1979" s="563"/>
      <c r="P1979" s="563"/>
    </row>
    <row r="1980" spans="2:16" ht="15.75" customHeight="1">
      <c r="B1980" s="562"/>
      <c r="H1980" s="563"/>
      <c r="I1980" s="538"/>
      <c r="J1980" s="564"/>
      <c r="N1980" s="563"/>
      <c r="O1980" s="563"/>
      <c r="P1980" s="563"/>
    </row>
    <row r="1981" spans="2:16" ht="15.75" customHeight="1">
      <c r="B1981" s="562"/>
      <c r="H1981" s="563"/>
      <c r="I1981" s="538"/>
      <c r="J1981" s="564"/>
      <c r="N1981" s="563"/>
      <c r="O1981" s="563"/>
      <c r="P1981" s="563"/>
    </row>
    <row r="1982" spans="2:16" ht="15.75" customHeight="1">
      <c r="B1982" s="562"/>
      <c r="H1982" s="563"/>
      <c r="I1982" s="538"/>
      <c r="J1982" s="564"/>
      <c r="N1982" s="563"/>
      <c r="O1982" s="563"/>
      <c r="P1982" s="563"/>
    </row>
    <row r="1983" spans="2:16" ht="15.75" customHeight="1">
      <c r="B1983" s="562"/>
      <c r="H1983" s="563"/>
      <c r="I1983" s="538"/>
      <c r="J1983" s="564"/>
      <c r="N1983" s="563"/>
      <c r="O1983" s="563"/>
      <c r="P1983" s="563"/>
    </row>
    <row r="1984" spans="2:16" ht="15.75" customHeight="1">
      <c r="B1984" s="562"/>
      <c r="H1984" s="563"/>
      <c r="I1984" s="538"/>
      <c r="J1984" s="564"/>
      <c r="N1984" s="563"/>
      <c r="O1984" s="563"/>
      <c r="P1984" s="563"/>
    </row>
    <row r="1985" spans="2:16" ht="15.75" customHeight="1">
      <c r="B1985" s="562"/>
      <c r="H1985" s="563"/>
      <c r="I1985" s="538"/>
      <c r="J1985" s="564"/>
      <c r="N1985" s="563"/>
      <c r="O1985" s="563"/>
      <c r="P1985" s="563"/>
    </row>
    <row r="1986" spans="2:16" ht="15.75" customHeight="1">
      <c r="B1986" s="562"/>
      <c r="H1986" s="563"/>
      <c r="I1986" s="538"/>
      <c r="J1986" s="564"/>
      <c r="N1986" s="563"/>
      <c r="O1986" s="563"/>
      <c r="P1986" s="563"/>
    </row>
    <row r="1987" spans="2:16" ht="15.75" customHeight="1">
      <c r="B1987" s="562"/>
      <c r="H1987" s="563"/>
      <c r="I1987" s="538"/>
      <c r="J1987" s="564"/>
      <c r="N1987" s="563"/>
      <c r="O1987" s="563"/>
      <c r="P1987" s="563"/>
    </row>
    <row r="1988" spans="2:16" ht="15.75" customHeight="1">
      <c r="B1988" s="562"/>
      <c r="H1988" s="563"/>
      <c r="I1988" s="538"/>
      <c r="J1988" s="564"/>
      <c r="N1988" s="563"/>
      <c r="O1988" s="563"/>
      <c r="P1988" s="563"/>
    </row>
    <row r="1989" spans="2:16" ht="15.75" customHeight="1">
      <c r="B1989" s="562"/>
      <c r="H1989" s="563"/>
      <c r="I1989" s="538"/>
      <c r="J1989" s="564"/>
      <c r="N1989" s="563"/>
      <c r="O1989" s="563"/>
      <c r="P1989" s="563"/>
    </row>
    <row r="1990" spans="2:16" ht="15.75" customHeight="1">
      <c r="B1990" s="562"/>
      <c r="H1990" s="563"/>
      <c r="I1990" s="538"/>
      <c r="J1990" s="564"/>
      <c r="N1990" s="563"/>
      <c r="O1990" s="563"/>
      <c r="P1990" s="563"/>
    </row>
    <row r="1991" spans="2:16" ht="15.75" customHeight="1">
      <c r="B1991" s="562"/>
      <c r="H1991" s="563"/>
      <c r="I1991" s="538"/>
      <c r="J1991" s="564"/>
      <c r="N1991" s="563"/>
      <c r="O1991" s="563"/>
      <c r="P1991" s="563"/>
    </row>
    <row r="1992" spans="2:16" ht="15.75" customHeight="1">
      <c r="B1992" s="562"/>
      <c r="H1992" s="563"/>
      <c r="I1992" s="538"/>
      <c r="J1992" s="564"/>
      <c r="N1992" s="563"/>
      <c r="O1992" s="563"/>
      <c r="P1992" s="563"/>
    </row>
    <row r="1993" spans="2:16" ht="15.75" customHeight="1">
      <c r="B1993" s="562"/>
      <c r="H1993" s="563"/>
      <c r="I1993" s="538"/>
      <c r="J1993" s="564"/>
      <c r="N1993" s="563"/>
      <c r="O1993" s="563"/>
      <c r="P1993" s="563"/>
    </row>
    <row r="1994" spans="2:16" ht="15.75" customHeight="1">
      <c r="B1994" s="562"/>
      <c r="H1994" s="563"/>
      <c r="I1994" s="538"/>
      <c r="J1994" s="564"/>
      <c r="N1994" s="563"/>
      <c r="O1994" s="563"/>
      <c r="P1994" s="563"/>
    </row>
    <row r="1995" spans="2:16" ht="15.75" customHeight="1">
      <c r="B1995" s="562"/>
      <c r="H1995" s="563"/>
      <c r="I1995" s="565"/>
      <c r="J1995" s="564"/>
      <c r="N1995" s="563"/>
      <c r="O1995" s="563"/>
      <c r="P1995" s="563"/>
    </row>
    <row r="1996" spans="2:16" ht="15.75" customHeight="1">
      <c r="B1996" s="562"/>
      <c r="H1996" s="563"/>
      <c r="I1996" s="565"/>
      <c r="J1996" s="564"/>
      <c r="N1996" s="563"/>
      <c r="O1996" s="563"/>
      <c r="P1996" s="563"/>
    </row>
    <row r="1997" spans="2:16" ht="15.75" customHeight="1">
      <c r="B1997" s="562"/>
      <c r="H1997" s="563"/>
      <c r="I1997" s="538"/>
      <c r="J1997" s="564"/>
      <c r="N1997" s="563"/>
      <c r="O1997" s="563"/>
      <c r="P1997" s="563"/>
    </row>
    <row r="1998" spans="2:16" ht="15.75" customHeight="1">
      <c r="B1998" s="562"/>
      <c r="H1998" s="563"/>
      <c r="I1998" s="538"/>
      <c r="J1998" s="564"/>
      <c r="N1998" s="563"/>
      <c r="O1998" s="563"/>
      <c r="P1998" s="563"/>
    </row>
    <row r="1999" spans="2:16" ht="15.75" customHeight="1">
      <c r="B1999" s="562"/>
      <c r="H1999" s="563"/>
      <c r="I1999" s="538"/>
      <c r="J1999" s="564"/>
      <c r="N1999" s="563"/>
      <c r="O1999" s="563"/>
      <c r="P1999" s="563"/>
    </row>
    <row r="2000" spans="2:16" ht="15.75" customHeight="1">
      <c r="B2000" s="562"/>
      <c r="H2000" s="563"/>
      <c r="I2000" s="538"/>
      <c r="J2000" s="564"/>
      <c r="N2000" s="563"/>
      <c r="O2000" s="563"/>
      <c r="P2000" s="563"/>
    </row>
    <row r="2001" spans="2:16" ht="15.75" customHeight="1">
      <c r="B2001" s="562"/>
      <c r="H2001" s="563"/>
      <c r="I2001" s="538"/>
      <c r="J2001" s="564"/>
      <c r="N2001" s="563"/>
      <c r="O2001" s="563"/>
      <c r="P2001" s="563"/>
    </row>
    <row r="2002" spans="2:16" ht="15.75" customHeight="1">
      <c r="B2002" s="562"/>
      <c r="H2002" s="563"/>
      <c r="I2002" s="538"/>
      <c r="J2002" s="564"/>
      <c r="N2002" s="563"/>
      <c r="O2002" s="563"/>
      <c r="P2002" s="563"/>
    </row>
    <row r="2003" spans="2:16" ht="15.75" customHeight="1">
      <c r="B2003" s="562"/>
      <c r="H2003" s="563"/>
      <c r="I2003" s="538"/>
      <c r="J2003" s="564"/>
      <c r="N2003" s="563"/>
      <c r="O2003" s="563"/>
      <c r="P2003" s="563"/>
    </row>
    <row r="2004" spans="2:16" ht="15.75" customHeight="1">
      <c r="B2004" s="562"/>
      <c r="H2004" s="563"/>
      <c r="I2004" s="538"/>
      <c r="J2004" s="564"/>
      <c r="N2004" s="563"/>
      <c r="O2004" s="563"/>
      <c r="P2004" s="563"/>
    </row>
    <row r="2005" spans="2:16" ht="15.75" customHeight="1">
      <c r="B2005" s="562"/>
      <c r="H2005" s="563"/>
      <c r="I2005" s="538"/>
      <c r="J2005" s="564"/>
      <c r="N2005" s="563"/>
      <c r="O2005" s="563"/>
      <c r="P2005" s="563"/>
    </row>
    <row r="2006" spans="2:16" ht="15.75" customHeight="1">
      <c r="B2006" s="562"/>
      <c r="H2006" s="563"/>
      <c r="I2006" s="538"/>
      <c r="J2006" s="564"/>
      <c r="N2006" s="563"/>
      <c r="O2006" s="563"/>
      <c r="P2006" s="563"/>
    </row>
    <row r="2007" spans="2:16" ht="15.75" customHeight="1">
      <c r="B2007" s="562"/>
      <c r="H2007" s="563"/>
      <c r="I2007" s="538"/>
      <c r="J2007" s="564"/>
      <c r="N2007" s="563"/>
      <c r="O2007" s="563"/>
      <c r="P2007" s="563"/>
    </row>
    <row r="2008" spans="2:16" ht="15.75" customHeight="1">
      <c r="B2008" s="562"/>
      <c r="H2008" s="563"/>
      <c r="I2008" s="538"/>
      <c r="J2008" s="564"/>
      <c r="N2008" s="563"/>
      <c r="O2008" s="563"/>
      <c r="P2008" s="550"/>
    </row>
    <row r="2009" spans="2:16" ht="15.75" customHeight="1">
      <c r="B2009" s="562"/>
      <c r="H2009" s="563"/>
      <c r="I2009" s="538"/>
      <c r="J2009" s="564"/>
      <c r="N2009" s="563"/>
      <c r="O2009" s="563"/>
      <c r="P2009" s="550"/>
    </row>
    <row r="2010" spans="2:16" ht="15.75" customHeight="1">
      <c r="B2010" s="562"/>
      <c r="H2010" s="563"/>
      <c r="I2010" s="538"/>
      <c r="J2010" s="564"/>
      <c r="N2010" s="563"/>
      <c r="O2010" s="563"/>
      <c r="P2010" s="563"/>
    </row>
    <row r="2011" spans="2:16" ht="15.75" customHeight="1">
      <c r="B2011" s="562"/>
      <c r="H2011" s="563"/>
      <c r="I2011" s="538"/>
      <c r="J2011" s="564"/>
      <c r="N2011" s="563"/>
      <c r="O2011" s="563"/>
      <c r="P2011" s="563"/>
    </row>
    <row r="2012" spans="2:16" ht="15.75" customHeight="1">
      <c r="B2012" s="562"/>
      <c r="H2012" s="563"/>
      <c r="I2012" s="538"/>
      <c r="J2012" s="564"/>
      <c r="N2012" s="563"/>
      <c r="O2012" s="563"/>
      <c r="P2012" s="563"/>
    </row>
    <row r="2013" spans="2:16" ht="15.75" customHeight="1">
      <c r="B2013" s="562"/>
      <c r="H2013" s="563"/>
      <c r="I2013" s="538"/>
      <c r="J2013" s="564"/>
      <c r="N2013" s="563"/>
      <c r="O2013" s="563"/>
      <c r="P2013" s="563"/>
    </row>
    <row r="2014" spans="2:16" ht="15.75" customHeight="1">
      <c r="B2014" s="562"/>
      <c r="H2014" s="563"/>
      <c r="I2014" s="538"/>
      <c r="J2014" s="564"/>
      <c r="N2014" s="563"/>
      <c r="O2014" s="563"/>
      <c r="P2014" s="563"/>
    </row>
    <row r="2015" spans="2:16" ht="15.75" customHeight="1">
      <c r="B2015" s="562"/>
      <c r="H2015" s="563"/>
      <c r="I2015" s="538"/>
      <c r="J2015" s="564"/>
      <c r="N2015" s="563"/>
      <c r="O2015" s="563"/>
      <c r="P2015" s="563"/>
    </row>
    <row r="2016" spans="2:16" ht="15.75" customHeight="1">
      <c r="B2016" s="562"/>
      <c r="H2016" s="563"/>
      <c r="I2016" s="538"/>
      <c r="J2016" s="564"/>
      <c r="N2016" s="563"/>
      <c r="O2016" s="563"/>
      <c r="P2016" s="563"/>
    </row>
    <row r="2017" spans="2:16" ht="15.75" customHeight="1">
      <c r="B2017" s="562"/>
      <c r="H2017" s="563"/>
      <c r="I2017" s="538"/>
      <c r="J2017" s="564"/>
      <c r="N2017" s="563"/>
      <c r="O2017" s="563"/>
      <c r="P2017" s="563"/>
    </row>
    <row r="2018" spans="2:16" ht="15.75" customHeight="1">
      <c r="B2018" s="562"/>
      <c r="H2018" s="563"/>
      <c r="I2018" s="538"/>
      <c r="J2018" s="564"/>
      <c r="N2018" s="563"/>
      <c r="O2018" s="563"/>
      <c r="P2018" s="563"/>
    </row>
    <row r="2019" spans="2:16" ht="15.75" customHeight="1">
      <c r="B2019" s="562"/>
      <c r="H2019" s="563"/>
      <c r="I2019" s="538"/>
      <c r="J2019" s="564"/>
      <c r="N2019" s="563"/>
      <c r="O2019" s="563"/>
      <c r="P2019" s="563"/>
    </row>
    <row r="2020" spans="2:16" ht="15.75" customHeight="1">
      <c r="B2020" s="562"/>
      <c r="H2020" s="563"/>
      <c r="I2020" s="538"/>
      <c r="J2020" s="564"/>
      <c r="N2020" s="563"/>
      <c r="O2020" s="563"/>
      <c r="P2020" s="563"/>
    </row>
    <row r="2021" spans="2:16" ht="15.75" customHeight="1">
      <c r="B2021" s="562"/>
      <c r="H2021" s="563"/>
      <c r="I2021" s="538"/>
      <c r="J2021" s="564"/>
      <c r="N2021" s="563"/>
      <c r="O2021" s="563"/>
      <c r="P2021" s="563"/>
    </row>
    <row r="2022" spans="2:16" ht="15.75" customHeight="1">
      <c r="B2022" s="562"/>
      <c r="H2022" s="563"/>
      <c r="I2022" s="538"/>
      <c r="J2022" s="564"/>
      <c r="N2022" s="563"/>
      <c r="O2022" s="563"/>
      <c r="P2022" s="563"/>
    </row>
    <row r="2023" spans="2:16" ht="15.75" customHeight="1">
      <c r="B2023" s="562"/>
      <c r="H2023" s="563"/>
      <c r="I2023" s="538"/>
      <c r="J2023" s="564"/>
      <c r="N2023" s="563"/>
      <c r="O2023" s="563"/>
      <c r="P2023" s="563"/>
    </row>
    <row r="2024" spans="2:16" ht="15.75" customHeight="1">
      <c r="B2024" s="562"/>
      <c r="H2024" s="563"/>
      <c r="I2024" s="538"/>
      <c r="J2024" s="564"/>
      <c r="N2024" s="563"/>
      <c r="O2024" s="563"/>
      <c r="P2024" s="563"/>
    </row>
    <row r="2025" spans="2:16" ht="15.75" customHeight="1">
      <c r="B2025" s="562"/>
      <c r="H2025" s="563"/>
      <c r="I2025" s="538"/>
      <c r="J2025" s="564"/>
      <c r="N2025" s="563"/>
      <c r="O2025" s="563"/>
      <c r="P2025" s="563"/>
    </row>
    <row r="2026" spans="2:16" ht="15.75" customHeight="1">
      <c r="B2026" s="562"/>
      <c r="H2026" s="563"/>
      <c r="I2026" s="538"/>
      <c r="J2026" s="564"/>
      <c r="N2026" s="563"/>
      <c r="O2026" s="563"/>
      <c r="P2026" s="563"/>
    </row>
    <row r="2027" spans="2:16" ht="15.75" customHeight="1">
      <c r="B2027" s="562"/>
      <c r="H2027" s="563"/>
      <c r="I2027" s="538"/>
      <c r="J2027" s="564"/>
      <c r="N2027" s="563"/>
      <c r="O2027" s="563"/>
      <c r="P2027" s="563"/>
    </row>
    <row r="2028" spans="2:16" ht="15.75" customHeight="1">
      <c r="B2028" s="562"/>
      <c r="H2028" s="563"/>
      <c r="I2028" s="538"/>
      <c r="J2028" s="564"/>
      <c r="N2028" s="563"/>
      <c r="O2028" s="563"/>
      <c r="P2028" s="563"/>
    </row>
    <row r="2029" spans="2:16" ht="15.75" customHeight="1">
      <c r="B2029" s="562"/>
      <c r="H2029" s="563"/>
      <c r="I2029" s="538"/>
      <c r="J2029" s="564"/>
      <c r="N2029" s="563"/>
      <c r="O2029" s="563"/>
      <c r="P2029" s="563"/>
    </row>
    <row r="2030" spans="2:16" ht="15.75" customHeight="1">
      <c r="B2030" s="562"/>
      <c r="H2030" s="563"/>
      <c r="I2030" s="538"/>
      <c r="J2030" s="564"/>
      <c r="N2030" s="563"/>
      <c r="O2030" s="563"/>
      <c r="P2030" s="563"/>
    </row>
    <row r="2031" spans="2:16" ht="15.75" customHeight="1">
      <c r="B2031" s="562"/>
      <c r="H2031" s="563"/>
      <c r="I2031" s="538"/>
      <c r="J2031" s="564"/>
      <c r="N2031" s="563"/>
      <c r="O2031" s="563"/>
      <c r="P2031" s="563"/>
    </row>
    <row r="2032" spans="2:16" ht="15.75" customHeight="1">
      <c r="B2032" s="562"/>
      <c r="H2032" s="563"/>
      <c r="I2032" s="538"/>
      <c r="J2032" s="564"/>
      <c r="N2032" s="563"/>
      <c r="O2032" s="563"/>
      <c r="P2032" s="563"/>
    </row>
    <row r="2033" spans="2:16" ht="15.75" customHeight="1">
      <c r="B2033" s="562"/>
      <c r="H2033" s="563"/>
      <c r="I2033" s="538"/>
      <c r="J2033" s="564"/>
      <c r="N2033" s="563"/>
      <c r="O2033" s="563"/>
      <c r="P2033" s="563"/>
    </row>
    <row r="2034" spans="2:16" ht="15.75" customHeight="1">
      <c r="B2034" s="562"/>
      <c r="H2034" s="563"/>
      <c r="I2034" s="538"/>
      <c r="J2034" s="564"/>
      <c r="N2034" s="563"/>
      <c r="O2034" s="563"/>
      <c r="P2034" s="563"/>
    </row>
    <row r="2035" spans="2:16" ht="15.75" customHeight="1">
      <c r="B2035" s="562"/>
      <c r="H2035" s="563"/>
      <c r="I2035" s="538"/>
      <c r="J2035" s="564"/>
      <c r="N2035" s="563"/>
      <c r="O2035" s="563"/>
      <c r="P2035" s="563"/>
    </row>
    <row r="2036" spans="2:16" ht="15.75" customHeight="1">
      <c r="B2036" s="562"/>
      <c r="H2036" s="563"/>
      <c r="I2036" s="538"/>
      <c r="J2036" s="564"/>
      <c r="N2036" s="563"/>
      <c r="O2036" s="563"/>
      <c r="P2036" s="563"/>
    </row>
    <row r="2037" spans="2:16" ht="15.75" customHeight="1">
      <c r="B2037" s="562"/>
      <c r="H2037" s="563"/>
      <c r="I2037" s="538"/>
      <c r="J2037" s="564"/>
      <c r="N2037" s="563"/>
      <c r="O2037" s="563"/>
      <c r="P2037" s="563"/>
    </row>
    <row r="2038" spans="2:16" ht="15.75" customHeight="1">
      <c r="B2038" s="562"/>
      <c r="H2038" s="563"/>
      <c r="I2038" s="538"/>
      <c r="J2038" s="564"/>
      <c r="N2038" s="563"/>
      <c r="O2038" s="563"/>
      <c r="P2038" s="563"/>
    </row>
    <row r="2039" spans="2:16" ht="15.75" customHeight="1">
      <c r="B2039" s="562"/>
      <c r="H2039" s="563"/>
      <c r="I2039" s="538"/>
      <c r="J2039" s="564"/>
      <c r="N2039" s="563"/>
      <c r="O2039" s="563"/>
      <c r="P2039" s="563"/>
    </row>
    <row r="2040" spans="2:16" ht="15.75" customHeight="1">
      <c r="B2040" s="562"/>
      <c r="H2040" s="563"/>
      <c r="I2040" s="538"/>
      <c r="J2040" s="564"/>
      <c r="N2040" s="563"/>
      <c r="O2040" s="563"/>
      <c r="P2040" s="563"/>
    </row>
    <row r="2041" spans="2:16" ht="15.75" customHeight="1">
      <c r="B2041" s="562"/>
      <c r="H2041" s="563"/>
      <c r="I2041" s="538"/>
      <c r="J2041" s="564"/>
      <c r="N2041" s="563"/>
      <c r="O2041" s="563"/>
      <c r="P2041" s="563"/>
    </row>
    <row r="2042" spans="2:16" ht="15.75" customHeight="1">
      <c r="B2042" s="562"/>
      <c r="H2042" s="563"/>
      <c r="I2042" s="538"/>
      <c r="J2042" s="564"/>
      <c r="N2042" s="563"/>
      <c r="O2042" s="563"/>
      <c r="P2042" s="563"/>
    </row>
    <row r="2043" spans="2:16" ht="15.75" customHeight="1">
      <c r="B2043" s="562"/>
      <c r="H2043" s="563"/>
      <c r="I2043" s="538"/>
      <c r="J2043" s="564"/>
      <c r="N2043" s="563"/>
      <c r="O2043" s="563"/>
      <c r="P2043" s="563"/>
    </row>
    <row r="2044" spans="2:16" ht="15.75" customHeight="1">
      <c r="B2044" s="562"/>
      <c r="H2044" s="563"/>
      <c r="N2044" s="563"/>
      <c r="P2044" s="563"/>
    </row>
    <row r="2045" spans="2:16" ht="15.75" customHeight="1">
      <c r="B2045" s="562"/>
      <c r="H2045" s="563"/>
      <c r="N2045" s="563"/>
      <c r="P2045" s="563"/>
    </row>
    <row r="2046" spans="2:16" ht="15.75" customHeight="1">
      <c r="B2046" s="562"/>
      <c r="H2046" s="563"/>
      <c r="N2046" s="563"/>
      <c r="P2046" s="563"/>
    </row>
    <row r="2047" spans="2:16" ht="15.75" customHeight="1">
      <c r="B2047" s="562"/>
      <c r="H2047" s="563"/>
      <c r="N2047" s="563"/>
      <c r="P2047" s="563"/>
    </row>
    <row r="2048" spans="2:16" ht="15.75" customHeight="1">
      <c r="B2048" s="562"/>
      <c r="H2048" s="563"/>
      <c r="N2048" s="563"/>
      <c r="P2048" s="563"/>
    </row>
    <row r="2049" spans="2:16" ht="15.75" customHeight="1">
      <c r="B2049" s="562"/>
      <c r="H2049" s="563"/>
      <c r="P2049" s="563"/>
    </row>
    <row r="2050" spans="2:16" ht="15.75" customHeight="1">
      <c r="B2050" s="562"/>
      <c r="H2050" s="563"/>
      <c r="I2050" s="538"/>
      <c r="J2050" s="564"/>
      <c r="N2050" s="563"/>
      <c r="O2050" s="563"/>
      <c r="P2050" s="563"/>
    </row>
    <row r="2051" spans="2:16" ht="15.75" customHeight="1">
      <c r="B2051" s="562"/>
      <c r="H2051" s="563"/>
      <c r="I2051" s="538"/>
      <c r="J2051" s="564"/>
      <c r="N2051" s="563"/>
      <c r="O2051" s="563"/>
      <c r="P2051" s="563"/>
    </row>
    <row r="2052" spans="2:16" ht="15.75" customHeight="1">
      <c r="B2052" s="562"/>
      <c r="H2052" s="563"/>
      <c r="I2052" s="538"/>
      <c r="J2052" s="564"/>
      <c r="N2052" s="563"/>
      <c r="O2052" s="563"/>
      <c r="P2052" s="563"/>
    </row>
    <row r="2053" spans="2:16" ht="15.75" customHeight="1">
      <c r="B2053" s="562"/>
      <c r="H2053" s="563"/>
      <c r="I2053" s="538"/>
      <c r="J2053" s="564"/>
      <c r="N2053" s="563"/>
      <c r="O2053" s="563"/>
      <c r="P2053" s="563"/>
    </row>
    <row r="2054" spans="2:16" ht="15.75" customHeight="1">
      <c r="B2054" s="562"/>
      <c r="H2054" s="563"/>
      <c r="I2054" s="538"/>
      <c r="J2054" s="564"/>
      <c r="N2054" s="563"/>
      <c r="O2054" s="563"/>
      <c r="P2054" s="563"/>
    </row>
    <row r="2055" spans="2:16" ht="15.75" customHeight="1">
      <c r="B2055" s="562"/>
      <c r="H2055" s="563"/>
      <c r="I2055" s="538"/>
      <c r="J2055" s="564"/>
      <c r="N2055" s="563"/>
      <c r="O2055" s="563"/>
      <c r="P2055" s="563"/>
    </row>
    <row r="2056" spans="2:16" ht="15.75" customHeight="1">
      <c r="B2056" s="562"/>
      <c r="H2056" s="563"/>
      <c r="I2056" s="538"/>
      <c r="J2056" s="564"/>
      <c r="N2056" s="563"/>
      <c r="O2056" s="563"/>
      <c r="P2056" s="563"/>
    </row>
    <row r="2057" spans="2:16" ht="15.75" customHeight="1">
      <c r="B2057" s="562"/>
      <c r="H2057" s="563"/>
      <c r="I2057" s="538"/>
      <c r="J2057" s="564"/>
      <c r="N2057" s="563"/>
      <c r="O2057" s="563"/>
      <c r="P2057" s="563"/>
    </row>
    <row r="2058" spans="2:16" ht="15.75" customHeight="1">
      <c r="B2058" s="562"/>
      <c r="H2058" s="563"/>
      <c r="I2058" s="538"/>
      <c r="J2058" s="564"/>
      <c r="N2058" s="563"/>
      <c r="O2058" s="563"/>
      <c r="P2058" s="563"/>
    </row>
    <row r="2059" spans="2:16" ht="15.75" customHeight="1">
      <c r="B2059" s="562"/>
      <c r="H2059" s="563"/>
      <c r="I2059" s="538"/>
      <c r="J2059" s="564"/>
      <c r="N2059" s="563"/>
      <c r="O2059" s="563"/>
      <c r="P2059" s="563"/>
    </row>
    <row r="2060" spans="2:16" ht="15.75" customHeight="1">
      <c r="B2060" s="562"/>
      <c r="H2060" s="563"/>
      <c r="I2060" s="538"/>
      <c r="J2060" s="564"/>
      <c r="N2060" s="563"/>
      <c r="O2060" s="563"/>
      <c r="P2060" s="563"/>
    </row>
    <row r="2061" spans="2:16" ht="15.75" customHeight="1">
      <c r="B2061" s="562"/>
      <c r="H2061" s="563"/>
      <c r="I2061" s="538"/>
      <c r="J2061" s="564"/>
      <c r="N2061" s="563"/>
      <c r="O2061" s="563"/>
      <c r="P2061" s="563"/>
    </row>
    <row r="2062" spans="2:16" ht="15.75" customHeight="1">
      <c r="B2062" s="562"/>
      <c r="H2062" s="563"/>
      <c r="I2062" s="538"/>
      <c r="J2062" s="564"/>
      <c r="N2062" s="563"/>
      <c r="O2062" s="563"/>
      <c r="P2062" s="563"/>
    </row>
    <row r="2063" spans="2:16" ht="15.75" customHeight="1">
      <c r="B2063" s="562"/>
      <c r="H2063" s="563"/>
      <c r="I2063" s="538"/>
      <c r="J2063" s="564"/>
      <c r="N2063" s="563"/>
      <c r="O2063" s="563"/>
      <c r="P2063" s="563"/>
    </row>
    <row r="2064" spans="2:16" ht="15.75" customHeight="1">
      <c r="B2064" s="562"/>
      <c r="H2064" s="563"/>
      <c r="I2064" s="538"/>
      <c r="J2064" s="564"/>
      <c r="N2064" s="563"/>
      <c r="O2064" s="563"/>
      <c r="P2064" s="563"/>
    </row>
    <row r="2065" spans="2:16" ht="15.75" customHeight="1">
      <c r="B2065" s="562"/>
      <c r="H2065" s="563"/>
      <c r="I2065" s="538"/>
      <c r="J2065" s="564"/>
      <c r="N2065" s="563"/>
      <c r="O2065" s="563"/>
      <c r="P2065" s="563"/>
    </row>
    <row r="2066" spans="2:16" ht="15.75" customHeight="1">
      <c r="B2066" s="562"/>
      <c r="H2066" s="563"/>
      <c r="I2066" s="538"/>
      <c r="J2066" s="564"/>
      <c r="N2066" s="563"/>
      <c r="O2066" s="563"/>
      <c r="P2066" s="563"/>
    </row>
    <row r="2067" spans="2:16" ht="15.75" customHeight="1">
      <c r="B2067" s="562"/>
      <c r="H2067" s="563"/>
      <c r="I2067" s="538"/>
      <c r="J2067" s="564"/>
      <c r="N2067" s="563"/>
      <c r="O2067" s="563"/>
      <c r="P2067" s="563"/>
    </row>
    <row r="2068" spans="2:16" ht="15.75" customHeight="1">
      <c r="B2068" s="562"/>
      <c r="H2068" s="563"/>
      <c r="I2068" s="538"/>
      <c r="J2068" s="564"/>
      <c r="N2068" s="563"/>
      <c r="O2068" s="563"/>
      <c r="P2068" s="563"/>
    </row>
    <row r="2069" spans="2:16" ht="15.75" customHeight="1">
      <c r="B2069" s="562"/>
      <c r="H2069" s="563"/>
      <c r="I2069" s="538"/>
      <c r="J2069" s="564"/>
      <c r="N2069" s="563"/>
      <c r="O2069" s="563"/>
      <c r="P2069" s="563"/>
    </row>
    <row r="2070" spans="2:16" ht="15.75" customHeight="1">
      <c r="B2070" s="562"/>
      <c r="H2070" s="563"/>
      <c r="I2070" s="538"/>
      <c r="J2070" s="564"/>
      <c r="N2070" s="563"/>
      <c r="O2070" s="563"/>
      <c r="P2070" s="563"/>
    </row>
    <row r="2071" spans="2:16" ht="15.75" customHeight="1">
      <c r="B2071" s="562"/>
      <c r="H2071" s="563"/>
      <c r="I2071" s="538"/>
      <c r="J2071" s="564"/>
      <c r="N2071" s="563"/>
      <c r="O2071" s="563"/>
      <c r="P2071" s="563"/>
    </row>
    <row r="2072" spans="2:16" ht="15.75" customHeight="1">
      <c r="B2072" s="562"/>
      <c r="H2072" s="563"/>
      <c r="I2072" s="538"/>
      <c r="J2072" s="564"/>
      <c r="N2072" s="563"/>
      <c r="O2072" s="563"/>
      <c r="P2072" s="563"/>
    </row>
    <row r="2073" spans="2:16" ht="15.75" customHeight="1">
      <c r="B2073" s="562"/>
      <c r="H2073" s="563"/>
      <c r="I2073" s="538"/>
      <c r="J2073" s="564"/>
      <c r="N2073" s="563"/>
      <c r="O2073" s="563"/>
      <c r="P2073" s="563"/>
    </row>
    <row r="2074" spans="2:16" ht="15.75" customHeight="1">
      <c r="B2074" s="562"/>
      <c r="H2074" s="563"/>
      <c r="I2074" s="538"/>
      <c r="J2074" s="564"/>
      <c r="N2074" s="563"/>
      <c r="O2074" s="563"/>
      <c r="P2074" s="563"/>
    </row>
    <row r="2075" spans="2:16" ht="15.75" customHeight="1">
      <c r="B2075" s="562"/>
      <c r="H2075" s="563"/>
      <c r="I2075" s="538"/>
      <c r="J2075" s="564"/>
      <c r="N2075" s="563"/>
      <c r="O2075" s="563"/>
      <c r="P2075" s="563"/>
    </row>
    <row r="2076" spans="2:16" ht="15.75" customHeight="1">
      <c r="B2076" s="562"/>
      <c r="H2076" s="563"/>
      <c r="I2076" s="538"/>
      <c r="J2076" s="564"/>
      <c r="N2076" s="563"/>
      <c r="O2076" s="563"/>
      <c r="P2076" s="563"/>
    </row>
    <row r="2077" spans="2:16" ht="15.75" customHeight="1">
      <c r="B2077" s="562"/>
      <c r="H2077" s="563"/>
      <c r="I2077" s="538"/>
      <c r="J2077" s="564"/>
      <c r="N2077" s="563"/>
      <c r="O2077" s="563"/>
      <c r="P2077" s="563"/>
    </row>
    <row r="2078" spans="2:16" ht="15.75" customHeight="1">
      <c r="B2078" s="562"/>
      <c r="H2078" s="563"/>
      <c r="I2078" s="538"/>
      <c r="J2078" s="564"/>
      <c r="N2078" s="563"/>
      <c r="O2078" s="563"/>
      <c r="P2078" s="563"/>
    </row>
    <row r="2079" spans="2:16" ht="15.75" customHeight="1">
      <c r="B2079" s="562"/>
      <c r="H2079" s="563"/>
      <c r="I2079" s="538"/>
      <c r="J2079" s="564"/>
      <c r="N2079" s="563"/>
      <c r="O2079" s="563"/>
      <c r="P2079" s="563"/>
    </row>
    <row r="2080" spans="2:16" ht="15.75" customHeight="1">
      <c r="B2080" s="562"/>
      <c r="H2080" s="563"/>
      <c r="I2080" s="538"/>
      <c r="J2080" s="564"/>
      <c r="N2080" s="563"/>
      <c r="O2080" s="563"/>
      <c r="P2080" s="563"/>
    </row>
    <row r="2081" spans="2:16" ht="15.75" customHeight="1">
      <c r="B2081" s="562"/>
      <c r="H2081" s="563"/>
      <c r="I2081" s="538"/>
      <c r="J2081" s="564"/>
      <c r="N2081" s="563"/>
      <c r="O2081" s="563"/>
      <c r="P2081" s="563"/>
    </row>
    <row r="2082" spans="2:16" ht="15.75" customHeight="1">
      <c r="B2082" s="562"/>
      <c r="H2082" s="563"/>
      <c r="I2082" s="538"/>
      <c r="J2082" s="564"/>
      <c r="N2082" s="563"/>
      <c r="O2082" s="563"/>
      <c r="P2082" s="563"/>
    </row>
    <row r="2083" spans="2:16" ht="15.75" customHeight="1">
      <c r="B2083" s="562"/>
      <c r="H2083" s="563"/>
      <c r="I2083" s="538"/>
      <c r="J2083" s="564"/>
      <c r="N2083" s="563"/>
      <c r="O2083" s="563"/>
      <c r="P2083" s="563"/>
    </row>
    <row r="2084" spans="2:16" ht="15.75" customHeight="1">
      <c r="B2084" s="562"/>
      <c r="H2084" s="563"/>
      <c r="I2084" s="538"/>
      <c r="J2084" s="564"/>
      <c r="N2084" s="563"/>
      <c r="O2084" s="563"/>
      <c r="P2084" s="563"/>
    </row>
    <row r="2085" spans="2:16" ht="15.75" customHeight="1">
      <c r="B2085" s="562"/>
      <c r="H2085" s="563"/>
      <c r="I2085" s="538"/>
      <c r="J2085" s="564"/>
      <c r="N2085" s="563"/>
      <c r="O2085" s="563"/>
      <c r="P2085" s="563"/>
    </row>
    <row r="2086" spans="2:16" ht="15.75" customHeight="1">
      <c r="B2086" s="562"/>
      <c r="H2086" s="563"/>
      <c r="I2086" s="538"/>
      <c r="J2086" s="564"/>
      <c r="N2086" s="563"/>
      <c r="O2086" s="563"/>
      <c r="P2086" s="563"/>
    </row>
    <row r="2087" spans="2:16" ht="15.75" customHeight="1">
      <c r="B2087" s="562"/>
      <c r="H2087" s="563"/>
      <c r="I2087" s="538"/>
      <c r="J2087" s="564"/>
      <c r="N2087" s="563"/>
      <c r="O2087" s="563"/>
      <c r="P2087" s="563"/>
    </row>
    <row r="2088" spans="2:16" ht="15.75" customHeight="1">
      <c r="B2088" s="562"/>
      <c r="H2088" s="563"/>
      <c r="I2088" s="538"/>
      <c r="J2088" s="564"/>
      <c r="N2088" s="563"/>
      <c r="O2088" s="563"/>
      <c r="P2088" s="563"/>
    </row>
    <row r="2089" spans="2:16" ht="15.75" customHeight="1">
      <c r="B2089" s="562"/>
      <c r="H2089" s="563"/>
      <c r="I2089" s="538"/>
      <c r="J2089" s="564"/>
      <c r="N2089" s="563"/>
      <c r="O2089" s="563"/>
      <c r="P2089" s="563"/>
    </row>
    <row r="2090" spans="2:16" ht="15.75" customHeight="1">
      <c r="B2090" s="562"/>
      <c r="H2090" s="563"/>
      <c r="I2090" s="538"/>
      <c r="J2090" s="564"/>
      <c r="N2090" s="563"/>
      <c r="O2090" s="563"/>
      <c r="P2090" s="563"/>
    </row>
    <row r="2091" spans="2:16" ht="15.75" customHeight="1">
      <c r="B2091" s="562"/>
      <c r="H2091" s="563"/>
      <c r="I2091" s="538"/>
      <c r="J2091" s="564"/>
      <c r="N2091" s="563"/>
      <c r="O2091" s="563"/>
      <c r="P2091" s="563"/>
    </row>
    <row r="2092" spans="2:16" ht="15.75" customHeight="1">
      <c r="B2092" s="562"/>
      <c r="H2092" s="563"/>
      <c r="I2092" s="538"/>
      <c r="J2092" s="564"/>
      <c r="N2092" s="563"/>
      <c r="O2092" s="563"/>
      <c r="P2092" s="563"/>
    </row>
    <row r="2093" spans="2:16" ht="15.75" customHeight="1">
      <c r="B2093" s="562"/>
      <c r="H2093" s="563"/>
      <c r="I2093" s="538"/>
      <c r="J2093" s="564"/>
      <c r="N2093" s="563"/>
      <c r="O2093" s="563"/>
      <c r="P2093" s="563"/>
    </row>
    <row r="2094" spans="2:16" ht="15.75" customHeight="1">
      <c r="B2094" s="562"/>
      <c r="N2094" s="563"/>
      <c r="O2094" s="563"/>
      <c r="P2094" s="563"/>
    </row>
    <row r="2095" spans="2:16" ht="15.75" customHeight="1">
      <c r="B2095" s="562"/>
      <c r="N2095" s="563"/>
      <c r="O2095" s="563"/>
      <c r="P2095" s="563"/>
    </row>
    <row r="2096" spans="2:16" ht="15.75" customHeight="1">
      <c r="B2096" s="562"/>
      <c r="N2096" s="563"/>
      <c r="O2096" s="563"/>
      <c r="P2096" s="563"/>
    </row>
    <row r="2097" spans="2:16" ht="15.75" customHeight="1">
      <c r="B2097" s="562"/>
      <c r="N2097" s="563"/>
      <c r="O2097" s="563"/>
      <c r="P2097" s="563"/>
    </row>
    <row r="2098" spans="2:16" ht="15.75" customHeight="1">
      <c r="B2098" s="562"/>
      <c r="H2098" s="563"/>
      <c r="I2098" s="538"/>
      <c r="J2098" s="564"/>
      <c r="N2098" s="563"/>
      <c r="O2098" s="563"/>
      <c r="P2098" s="563"/>
    </row>
    <row r="2099" spans="2:16" ht="15.75" customHeight="1">
      <c r="B2099" s="562"/>
      <c r="H2099" s="563"/>
      <c r="I2099" s="538"/>
      <c r="J2099" s="564"/>
      <c r="N2099" s="563"/>
      <c r="O2099" s="563"/>
      <c r="P2099" s="563"/>
    </row>
    <row r="2100" spans="2:16" ht="15.75" customHeight="1">
      <c r="B2100" s="562"/>
      <c r="H2100" s="563"/>
      <c r="I2100" s="538"/>
      <c r="J2100" s="564"/>
      <c r="N2100" s="563"/>
      <c r="O2100" s="563"/>
      <c r="P2100" s="563"/>
    </row>
    <row r="2101" spans="2:16" ht="15.75" customHeight="1">
      <c r="B2101" s="562"/>
      <c r="H2101" s="563"/>
      <c r="I2101" s="538"/>
      <c r="J2101" s="564"/>
      <c r="N2101" s="563"/>
      <c r="O2101" s="563"/>
      <c r="P2101" s="563"/>
    </row>
    <row r="2102" spans="2:16" ht="15.75" customHeight="1">
      <c r="B2102" s="562"/>
      <c r="H2102" s="563"/>
      <c r="I2102" s="538"/>
      <c r="J2102" s="564"/>
      <c r="N2102" s="563"/>
      <c r="O2102" s="563"/>
      <c r="P2102" s="563"/>
    </row>
    <row r="2103" spans="2:16" ht="15.75" customHeight="1">
      <c r="B2103" s="562"/>
      <c r="H2103" s="563"/>
      <c r="I2103" s="538"/>
      <c r="J2103" s="564"/>
      <c r="N2103" s="563"/>
      <c r="O2103" s="563"/>
      <c r="P2103" s="563"/>
    </row>
    <row r="2104" spans="2:16" ht="15.75" customHeight="1">
      <c r="B2104" s="562"/>
      <c r="H2104" s="563"/>
      <c r="I2104" s="538"/>
      <c r="J2104" s="564"/>
      <c r="N2104" s="563"/>
      <c r="O2104" s="563"/>
      <c r="P2104" s="563"/>
    </row>
    <row r="2105" spans="2:16" ht="15.75" customHeight="1">
      <c r="B2105" s="562"/>
      <c r="H2105" s="563"/>
      <c r="I2105" s="538"/>
      <c r="J2105" s="564"/>
      <c r="N2105" s="563"/>
      <c r="O2105" s="563"/>
      <c r="P2105" s="563"/>
    </row>
    <row r="2106" spans="2:16" ht="15.75" customHeight="1">
      <c r="B2106" s="562"/>
      <c r="H2106" s="563"/>
      <c r="I2106" s="538"/>
      <c r="J2106" s="564"/>
      <c r="N2106" s="563"/>
      <c r="O2106" s="563"/>
      <c r="P2106" s="563"/>
    </row>
    <row r="2107" spans="2:16" ht="15.75" customHeight="1">
      <c r="B2107" s="562"/>
      <c r="H2107" s="563"/>
      <c r="I2107" s="538"/>
      <c r="J2107" s="564"/>
      <c r="N2107" s="563"/>
      <c r="O2107" s="563"/>
      <c r="P2107" s="563"/>
    </row>
    <row r="2108" spans="2:16" ht="15.75" customHeight="1">
      <c r="B2108" s="562"/>
      <c r="H2108" s="563"/>
      <c r="I2108" s="538"/>
      <c r="J2108" s="564"/>
      <c r="N2108" s="563"/>
      <c r="O2108" s="563"/>
      <c r="P2108" s="563"/>
    </row>
    <row r="2109" spans="2:16" ht="15.75" customHeight="1">
      <c r="B2109" s="562"/>
      <c r="H2109" s="563"/>
      <c r="I2109" s="538"/>
      <c r="J2109" s="564"/>
      <c r="N2109" s="563"/>
      <c r="O2109" s="563"/>
      <c r="P2109" s="563"/>
    </row>
    <row r="2110" spans="2:16" ht="15.75" customHeight="1">
      <c r="B2110" s="562"/>
      <c r="H2110" s="563"/>
      <c r="I2110" s="538"/>
      <c r="J2110" s="564"/>
      <c r="N2110" s="563"/>
      <c r="O2110" s="563"/>
      <c r="P2110" s="563"/>
    </row>
    <row r="2111" spans="2:16" ht="15.75" customHeight="1">
      <c r="B2111" s="562"/>
      <c r="N2111" s="563"/>
      <c r="O2111" s="563"/>
      <c r="P2111" s="563"/>
    </row>
    <row r="2112" spans="2:16" ht="15.75" customHeight="1">
      <c r="B2112" s="562"/>
      <c r="N2112" s="563"/>
      <c r="P2112" s="563"/>
    </row>
    <row r="2113" spans="2:16" ht="15.75" customHeight="1">
      <c r="B2113" s="562"/>
      <c r="N2113" s="563"/>
      <c r="P2113" s="563"/>
    </row>
    <row r="2114" spans="2:16" ht="15.75" customHeight="1">
      <c r="B2114" s="562"/>
      <c r="N2114" s="563"/>
      <c r="P2114" s="563"/>
    </row>
    <row r="2115" spans="2:16" ht="15.75" customHeight="1">
      <c r="B2115" s="562"/>
      <c r="N2115" s="563"/>
      <c r="O2115" s="563"/>
      <c r="P2115" s="563"/>
    </row>
    <row r="2116" spans="2:16" ht="15.75" customHeight="1">
      <c r="B2116" s="562"/>
      <c r="N2116" s="563"/>
      <c r="O2116" s="563"/>
      <c r="P2116" s="563"/>
    </row>
    <row r="2117" spans="2:16" ht="15.75" customHeight="1">
      <c r="B2117" s="562"/>
      <c r="N2117" s="563"/>
      <c r="O2117" s="563"/>
      <c r="P2117" s="563"/>
    </row>
    <row r="2118" spans="2:16" ht="15.75" customHeight="1">
      <c r="B2118" s="562"/>
      <c r="N2118" s="563"/>
      <c r="O2118" s="563"/>
      <c r="P2118" s="563"/>
    </row>
    <row r="2119" spans="2:16" ht="15.75" customHeight="1">
      <c r="B2119" s="562"/>
      <c r="N2119" s="563"/>
      <c r="O2119" s="563"/>
      <c r="P2119" s="563"/>
    </row>
    <row r="2120" spans="2:16" ht="15.75" customHeight="1">
      <c r="B2120" s="562"/>
      <c r="N2120" s="563"/>
      <c r="O2120" s="563"/>
      <c r="P2120" s="563"/>
    </row>
    <row r="2121" spans="2:16" ht="15.75" customHeight="1">
      <c r="B2121" s="562"/>
      <c r="H2121" s="563"/>
      <c r="I2121" s="538"/>
      <c r="J2121" s="564"/>
      <c r="N2121" s="563"/>
      <c r="O2121" s="563"/>
      <c r="P2121" s="563"/>
    </row>
    <row r="2122" spans="2:16" ht="15.75" customHeight="1">
      <c r="B2122" s="562"/>
      <c r="H2122" s="563"/>
      <c r="I2122" s="538"/>
      <c r="J2122" s="564"/>
      <c r="N2122" s="563"/>
      <c r="O2122" s="563"/>
      <c r="P2122" s="563"/>
    </row>
    <row r="2123" spans="2:16" ht="15.75" customHeight="1">
      <c r="B2123" s="562"/>
      <c r="H2123" s="563"/>
      <c r="I2123" s="538"/>
      <c r="J2123" s="564"/>
      <c r="N2123" s="563"/>
      <c r="O2123" s="563"/>
      <c r="P2123" s="563"/>
    </row>
    <row r="2124" spans="2:16" ht="15.75" customHeight="1">
      <c r="B2124" s="562"/>
      <c r="H2124" s="563"/>
      <c r="I2124" s="538"/>
      <c r="J2124" s="564"/>
      <c r="N2124" s="563"/>
      <c r="O2124" s="563"/>
      <c r="P2124" s="563"/>
    </row>
    <row r="2125" spans="2:16" ht="15.75" customHeight="1">
      <c r="B2125" s="562"/>
      <c r="H2125" s="563"/>
      <c r="I2125" s="538"/>
      <c r="J2125" s="564"/>
      <c r="N2125" s="563"/>
      <c r="O2125" s="563"/>
      <c r="P2125" s="563"/>
    </row>
    <row r="2126" spans="2:16" ht="15.75" customHeight="1">
      <c r="B2126" s="562"/>
      <c r="H2126" s="563"/>
      <c r="I2126" s="538"/>
      <c r="J2126" s="564"/>
      <c r="N2126" s="563"/>
      <c r="O2126" s="563"/>
      <c r="P2126" s="563"/>
    </row>
    <row r="2127" spans="2:16" ht="15.75" customHeight="1">
      <c r="B2127" s="562"/>
      <c r="H2127" s="563"/>
      <c r="I2127" s="538"/>
      <c r="J2127" s="564"/>
      <c r="N2127" s="563"/>
      <c r="O2127" s="563"/>
      <c r="P2127" s="563"/>
    </row>
    <row r="2128" spans="2:16" ht="15.75" customHeight="1">
      <c r="B2128" s="562"/>
      <c r="H2128" s="563"/>
      <c r="I2128" s="538"/>
      <c r="J2128" s="564"/>
      <c r="N2128" s="563"/>
      <c r="O2128" s="563"/>
      <c r="P2128" s="563"/>
    </row>
    <row r="2129" spans="2:16" ht="15.75" customHeight="1">
      <c r="B2129" s="562"/>
      <c r="H2129" s="563"/>
      <c r="I2129" s="538"/>
      <c r="J2129" s="564"/>
      <c r="N2129" s="563"/>
      <c r="O2129" s="563"/>
      <c r="P2129" s="563"/>
    </row>
    <row r="2130" spans="2:16" ht="15.75" customHeight="1">
      <c r="B2130" s="562"/>
      <c r="H2130" s="563"/>
      <c r="I2130" s="538"/>
      <c r="J2130" s="564"/>
      <c r="N2130" s="563"/>
      <c r="O2130" s="563"/>
      <c r="P2130" s="563"/>
    </row>
    <row r="2131" spans="2:16" ht="15.75" customHeight="1">
      <c r="B2131" s="562"/>
      <c r="H2131" s="563"/>
      <c r="I2131" s="538"/>
      <c r="J2131" s="564"/>
      <c r="N2131" s="563"/>
      <c r="O2131" s="563"/>
      <c r="P2131" s="563"/>
    </row>
    <row r="2132" spans="2:16" ht="15.75" customHeight="1">
      <c r="B2132" s="562"/>
      <c r="H2132" s="563"/>
      <c r="I2132" s="538"/>
      <c r="J2132" s="564"/>
      <c r="N2132" s="563"/>
      <c r="O2132" s="563"/>
      <c r="P2132" s="563"/>
    </row>
    <row r="2133" spans="2:16" ht="15.75" customHeight="1">
      <c r="B2133" s="562"/>
      <c r="H2133" s="563"/>
      <c r="I2133" s="538"/>
      <c r="J2133" s="564"/>
      <c r="N2133" s="563"/>
      <c r="O2133" s="563"/>
      <c r="P2133" s="563"/>
    </row>
    <row r="2134" spans="2:16" ht="15.75" customHeight="1">
      <c r="B2134" s="562"/>
      <c r="H2134" s="563"/>
      <c r="I2134" s="538"/>
      <c r="J2134" s="564"/>
      <c r="N2134" s="563"/>
      <c r="O2134" s="563"/>
      <c r="P2134" s="563"/>
    </row>
    <row r="2135" spans="2:16" ht="15.75" customHeight="1">
      <c r="B2135" s="562"/>
      <c r="H2135" s="563"/>
      <c r="I2135" s="538"/>
      <c r="J2135" s="564"/>
      <c r="N2135" s="563"/>
      <c r="O2135" s="563"/>
      <c r="P2135" s="563"/>
    </row>
    <row r="2136" spans="2:16" ht="15.75" customHeight="1">
      <c r="B2136" s="562"/>
      <c r="H2136" s="563"/>
      <c r="I2136" s="538"/>
      <c r="J2136" s="564"/>
      <c r="N2136" s="563"/>
      <c r="O2136" s="563"/>
      <c r="P2136" s="563"/>
    </row>
    <row r="2137" spans="2:16" ht="15.75" customHeight="1">
      <c r="B2137" s="562"/>
      <c r="H2137" s="563"/>
      <c r="I2137" s="538"/>
      <c r="J2137" s="564"/>
      <c r="N2137" s="563"/>
      <c r="O2137" s="563"/>
      <c r="P2137" s="563"/>
    </row>
    <row r="2138" spans="2:16" ht="15.75" customHeight="1">
      <c r="B2138" s="562"/>
      <c r="H2138" s="563"/>
      <c r="I2138" s="538"/>
      <c r="J2138" s="564"/>
      <c r="N2138" s="563"/>
      <c r="O2138" s="563"/>
      <c r="P2138" s="563"/>
    </row>
    <row r="2139" spans="2:16" ht="15.75" customHeight="1">
      <c r="B2139" s="562"/>
      <c r="H2139" s="563"/>
      <c r="I2139" s="538"/>
      <c r="J2139" s="564"/>
      <c r="N2139" s="563"/>
      <c r="O2139" s="563"/>
      <c r="P2139" s="563"/>
    </row>
    <row r="2140" spans="2:16" ht="15.75" customHeight="1">
      <c r="B2140" s="562"/>
      <c r="H2140" s="563"/>
      <c r="I2140" s="538"/>
      <c r="J2140" s="564"/>
      <c r="N2140" s="563"/>
      <c r="O2140" s="563"/>
      <c r="P2140" s="563"/>
    </row>
    <row r="2141" spans="2:16" ht="15.75" customHeight="1">
      <c r="B2141" s="562"/>
      <c r="N2141" s="563"/>
    </row>
    <row r="2142" spans="2:16" ht="15.75" customHeight="1">
      <c r="B2142" s="562"/>
      <c r="H2142" s="563"/>
      <c r="I2142" s="538"/>
      <c r="J2142" s="564"/>
      <c r="N2142" s="563"/>
      <c r="O2142" s="563"/>
      <c r="P2142" s="563"/>
    </row>
    <row r="2143" spans="2:16" ht="15.75" customHeight="1">
      <c r="B2143" s="562"/>
      <c r="H2143" s="563"/>
      <c r="I2143" s="538"/>
      <c r="J2143" s="564"/>
      <c r="N2143" s="563"/>
      <c r="O2143" s="563"/>
      <c r="P2143" s="563"/>
    </row>
    <row r="2144" spans="2:16" ht="15.75" customHeight="1">
      <c r="B2144" s="562"/>
      <c r="H2144" s="563"/>
      <c r="I2144" s="538"/>
      <c r="J2144" s="564"/>
      <c r="N2144" s="563"/>
      <c r="O2144" s="563"/>
      <c r="P2144" s="563"/>
    </row>
    <row r="2145" spans="2:16" ht="15.75" customHeight="1">
      <c r="B2145" s="562"/>
      <c r="H2145" s="563"/>
      <c r="I2145" s="538"/>
      <c r="J2145" s="564"/>
      <c r="N2145" s="563"/>
      <c r="O2145" s="563"/>
      <c r="P2145" s="563"/>
    </row>
    <row r="2146" spans="2:16" ht="15.75" customHeight="1">
      <c r="B2146" s="562"/>
      <c r="H2146" s="563"/>
      <c r="I2146" s="538"/>
      <c r="J2146" s="564"/>
      <c r="N2146" s="563"/>
      <c r="O2146" s="563"/>
      <c r="P2146" s="563"/>
    </row>
    <row r="2147" spans="2:16" ht="15.75" customHeight="1">
      <c r="B2147" s="562"/>
      <c r="H2147" s="563"/>
      <c r="I2147" s="538"/>
      <c r="J2147" s="564"/>
      <c r="N2147" s="563"/>
      <c r="O2147" s="563"/>
      <c r="P2147" s="563"/>
    </row>
    <row r="2148" spans="2:16" ht="15.75" customHeight="1">
      <c r="B2148" s="562"/>
      <c r="H2148" s="563"/>
      <c r="I2148" s="538"/>
      <c r="J2148" s="564"/>
      <c r="N2148" s="563"/>
      <c r="O2148" s="563"/>
      <c r="P2148" s="563"/>
    </row>
    <row r="2149" spans="2:16" ht="15.75" customHeight="1">
      <c r="B2149" s="562"/>
      <c r="H2149" s="563"/>
      <c r="I2149" s="538"/>
      <c r="J2149" s="564"/>
      <c r="N2149" s="563"/>
      <c r="O2149" s="563"/>
      <c r="P2149" s="563"/>
    </row>
    <row r="2150" spans="2:16" ht="15.75" customHeight="1">
      <c r="B2150" s="562"/>
      <c r="H2150" s="563"/>
      <c r="I2150" s="538"/>
      <c r="J2150" s="564"/>
      <c r="N2150" s="563"/>
      <c r="O2150" s="563"/>
      <c r="P2150" s="563"/>
    </row>
    <row r="2151" spans="2:16" ht="15.75" customHeight="1">
      <c r="B2151" s="562"/>
      <c r="H2151" s="563"/>
      <c r="I2151" s="538"/>
      <c r="J2151" s="564"/>
      <c r="N2151" s="563"/>
      <c r="O2151" s="563"/>
      <c r="P2151" s="563"/>
    </row>
    <row r="2152" spans="2:16" ht="15.75" customHeight="1">
      <c r="B2152" s="562"/>
      <c r="H2152" s="563"/>
      <c r="I2152" s="538"/>
      <c r="J2152" s="564"/>
      <c r="N2152" s="563"/>
      <c r="O2152" s="563"/>
      <c r="P2152" s="563"/>
    </row>
    <row r="2153" spans="2:16" ht="15.75" customHeight="1">
      <c r="B2153" s="562"/>
      <c r="H2153" s="563"/>
      <c r="I2153" s="538"/>
      <c r="J2153" s="564"/>
      <c r="N2153" s="563"/>
      <c r="O2153" s="563"/>
      <c r="P2153" s="563"/>
    </row>
    <row r="2154" spans="2:16" ht="15.75" customHeight="1">
      <c r="B2154" s="562"/>
      <c r="N2154" s="563"/>
      <c r="O2154" s="563"/>
      <c r="P2154" s="563"/>
    </row>
    <row r="2155" spans="2:16" ht="15.75" customHeight="1">
      <c r="B2155" s="566"/>
      <c r="H2155" s="563"/>
      <c r="I2155" s="538"/>
      <c r="J2155" s="564"/>
      <c r="N2155" s="563"/>
      <c r="O2155" s="563"/>
      <c r="P2155" s="563"/>
    </row>
    <row r="2156" spans="2:16" ht="15.75" customHeight="1">
      <c r="B2156" s="562"/>
      <c r="H2156" s="563"/>
      <c r="I2156" s="538"/>
      <c r="J2156" s="564"/>
      <c r="N2156" s="563"/>
      <c r="O2156" s="563"/>
      <c r="P2156" s="563"/>
    </row>
    <row r="2157" spans="2:16" ht="15.75" customHeight="1">
      <c r="B2157" s="562"/>
      <c r="H2157" s="563"/>
      <c r="I2157" s="538"/>
      <c r="J2157" s="564"/>
      <c r="N2157" s="563"/>
      <c r="O2157" s="563"/>
      <c r="P2157" s="563"/>
    </row>
    <row r="2158" spans="2:16" ht="15.75" customHeight="1">
      <c r="B2158" s="562"/>
      <c r="H2158" s="563"/>
      <c r="I2158" s="538"/>
      <c r="J2158" s="564"/>
      <c r="N2158" s="563"/>
      <c r="O2158" s="563"/>
      <c r="P2158" s="563"/>
    </row>
    <row r="2159" spans="2:16" ht="15.75" customHeight="1">
      <c r="B2159" s="562"/>
      <c r="H2159" s="563"/>
      <c r="I2159" s="538"/>
      <c r="J2159" s="564"/>
      <c r="N2159" s="563"/>
      <c r="O2159" s="563"/>
      <c r="P2159" s="563"/>
    </row>
    <row r="2160" spans="2:16" ht="15.75" customHeight="1">
      <c r="B2160" s="562"/>
      <c r="H2160" s="563"/>
      <c r="I2160" s="538"/>
      <c r="J2160" s="564"/>
      <c r="N2160" s="563"/>
      <c r="O2160" s="563"/>
      <c r="P2160" s="563"/>
    </row>
    <row r="2161" spans="2:16" ht="15.75" customHeight="1">
      <c r="B2161" s="562"/>
      <c r="H2161" s="563"/>
      <c r="I2161" s="538"/>
      <c r="J2161" s="564"/>
      <c r="N2161" s="563"/>
      <c r="O2161" s="563"/>
      <c r="P2161" s="563"/>
    </row>
    <row r="2162" spans="2:16" ht="15.75" customHeight="1">
      <c r="B2162" s="562"/>
      <c r="H2162" s="563"/>
      <c r="I2162" s="538"/>
      <c r="J2162" s="564"/>
      <c r="N2162" s="563"/>
      <c r="O2162" s="563"/>
      <c r="P2162" s="563"/>
    </row>
    <row r="2163" spans="2:16" ht="15.75" customHeight="1">
      <c r="B2163" s="562"/>
      <c r="H2163" s="563"/>
      <c r="I2163" s="538"/>
      <c r="J2163" s="564"/>
      <c r="N2163" s="563"/>
      <c r="O2163" s="563"/>
      <c r="P2163" s="563"/>
    </row>
    <row r="2164" spans="2:16" ht="15.75" customHeight="1">
      <c r="B2164" s="562"/>
      <c r="H2164" s="563"/>
      <c r="I2164" s="538"/>
      <c r="J2164" s="564"/>
      <c r="N2164" s="563"/>
      <c r="O2164" s="563"/>
      <c r="P2164" s="563"/>
    </row>
    <row r="2165" spans="2:16" ht="15.75" customHeight="1">
      <c r="B2165" s="562"/>
      <c r="H2165" s="563"/>
      <c r="I2165" s="538"/>
      <c r="J2165" s="564"/>
      <c r="N2165" s="563"/>
      <c r="O2165" s="563"/>
      <c r="P2165" s="563"/>
    </row>
    <row r="2166" spans="2:16" ht="15.75" customHeight="1">
      <c r="B2166" s="562"/>
      <c r="H2166" s="563"/>
      <c r="I2166" s="538"/>
      <c r="J2166" s="564"/>
      <c r="N2166" s="563"/>
      <c r="O2166" s="563"/>
      <c r="P2166" s="563"/>
    </row>
    <row r="2167" spans="2:16" ht="15.75" customHeight="1">
      <c r="B2167" s="562"/>
      <c r="H2167" s="563"/>
      <c r="I2167" s="538"/>
      <c r="J2167" s="564"/>
      <c r="N2167" s="563"/>
      <c r="O2167" s="563"/>
      <c r="P2167" s="563"/>
    </row>
    <row r="2168" spans="2:16" ht="15.75" customHeight="1">
      <c r="B2168" s="562"/>
      <c r="H2168" s="563"/>
      <c r="I2168" s="538"/>
      <c r="J2168" s="564"/>
      <c r="N2168" s="563"/>
      <c r="O2168" s="563"/>
      <c r="P2168" s="563"/>
    </row>
    <row r="2170" spans="2:16" ht="15.75" customHeight="1">
      <c r="B2170" s="562"/>
      <c r="H2170" s="563"/>
      <c r="I2170" s="538"/>
      <c r="J2170" s="564"/>
      <c r="N2170" s="563"/>
      <c r="O2170" s="563"/>
      <c r="P2170" s="563"/>
    </row>
    <row r="2171" spans="2:16" ht="15.75" customHeight="1">
      <c r="B2171" s="562"/>
      <c r="H2171" s="563"/>
      <c r="I2171" s="538"/>
      <c r="J2171" s="564"/>
      <c r="N2171" s="563"/>
      <c r="O2171" s="563"/>
      <c r="P2171" s="563"/>
    </row>
    <row r="2172" spans="2:16" ht="15.75" customHeight="1">
      <c r="B2172" s="562"/>
      <c r="H2172" s="563"/>
      <c r="I2172" s="538"/>
      <c r="J2172" s="564"/>
      <c r="N2172" s="563"/>
      <c r="O2172" s="563"/>
      <c r="P2172" s="563"/>
    </row>
    <row r="2173" spans="2:16" ht="15.75" customHeight="1">
      <c r="B2173" s="562"/>
      <c r="H2173" s="563"/>
      <c r="I2173" s="538"/>
      <c r="J2173" s="564"/>
      <c r="N2173" s="563"/>
      <c r="O2173" s="563"/>
      <c r="P2173" s="563"/>
    </row>
    <row r="2174" spans="2:16" ht="15.75" customHeight="1">
      <c r="B2174" s="562"/>
      <c r="H2174" s="563"/>
      <c r="I2174" s="538"/>
      <c r="J2174" s="564"/>
      <c r="N2174" s="563"/>
      <c r="O2174" s="563"/>
      <c r="P2174" s="563"/>
    </row>
    <row r="2175" spans="2:16" ht="15.75" customHeight="1">
      <c r="B2175" s="562"/>
      <c r="H2175" s="563"/>
      <c r="I2175" s="538"/>
      <c r="J2175" s="564"/>
      <c r="N2175" s="563"/>
      <c r="O2175" s="563"/>
      <c r="P2175" s="563"/>
    </row>
    <row r="2176" spans="2:16" ht="15.75" customHeight="1">
      <c r="B2176" s="562"/>
      <c r="H2176" s="563"/>
      <c r="I2176" s="538"/>
      <c r="J2176" s="564"/>
      <c r="N2176" s="563"/>
      <c r="O2176" s="563"/>
      <c r="P2176" s="563"/>
    </row>
    <row r="2177" spans="2:16" ht="15.75" customHeight="1">
      <c r="B2177" s="562"/>
      <c r="H2177" s="563"/>
      <c r="I2177" s="538"/>
      <c r="J2177" s="564"/>
      <c r="N2177" s="563"/>
      <c r="O2177" s="563"/>
      <c r="P2177" s="563"/>
    </row>
    <row r="2178" spans="2:16" ht="15.75" customHeight="1">
      <c r="B2178" s="562"/>
      <c r="H2178" s="563"/>
      <c r="I2178" s="538"/>
      <c r="J2178" s="564"/>
      <c r="N2178" s="563"/>
      <c r="O2178" s="563"/>
      <c r="P2178" s="563"/>
    </row>
    <row r="2179" spans="2:16" ht="15.75" customHeight="1">
      <c r="B2179" s="562"/>
      <c r="H2179" s="563"/>
      <c r="I2179" s="538"/>
      <c r="J2179" s="564"/>
      <c r="N2179" s="563"/>
      <c r="O2179" s="563"/>
      <c r="P2179" s="563"/>
    </row>
    <row r="2180" spans="2:16" ht="15.75" customHeight="1">
      <c r="B2180" s="562"/>
      <c r="H2180" s="563"/>
      <c r="I2180" s="538"/>
      <c r="J2180" s="564"/>
      <c r="N2180" s="563"/>
      <c r="O2180" s="563"/>
      <c r="P2180" s="563"/>
    </row>
    <row r="2181" spans="2:16" ht="15.75" customHeight="1">
      <c r="B2181" s="562"/>
      <c r="H2181" s="563"/>
      <c r="I2181" s="538"/>
      <c r="J2181" s="564"/>
      <c r="N2181" s="563"/>
      <c r="O2181" s="563"/>
      <c r="P2181" s="563"/>
    </row>
    <row r="2182" spans="2:16" ht="15.75" customHeight="1">
      <c r="B2182" s="562"/>
      <c r="H2182" s="550"/>
      <c r="I2182" s="565"/>
      <c r="J2182" s="564"/>
      <c r="N2182" s="563"/>
      <c r="O2182" s="563"/>
      <c r="P2182" s="563"/>
    </row>
    <row r="2183" spans="2:16" ht="15.75" customHeight="1">
      <c r="B2183" s="562"/>
      <c r="H2183" s="563"/>
      <c r="I2183" s="538"/>
      <c r="J2183" s="564"/>
      <c r="N2183" s="563"/>
      <c r="O2183" s="563"/>
      <c r="P2183" s="563"/>
    </row>
    <row r="2184" spans="2:16" ht="15.75" customHeight="1">
      <c r="B2184" s="562"/>
      <c r="H2184" s="563"/>
      <c r="I2184" s="538"/>
      <c r="J2184" s="564"/>
      <c r="N2184" s="563"/>
      <c r="O2184" s="563"/>
      <c r="P2184" s="563"/>
    </row>
    <row r="2185" spans="2:16" ht="15.75" customHeight="1">
      <c r="B2185" s="562"/>
      <c r="H2185" s="563"/>
      <c r="I2185" s="538"/>
      <c r="J2185" s="564"/>
      <c r="N2185" s="563"/>
      <c r="O2185" s="563"/>
      <c r="P2185" s="563"/>
    </row>
    <row r="2186" spans="2:16" ht="15.75" customHeight="1">
      <c r="B2186" s="562"/>
      <c r="H2186" s="563"/>
      <c r="I2186" s="538"/>
      <c r="J2186" s="564"/>
      <c r="N2186" s="563"/>
      <c r="O2186" s="563"/>
      <c r="P2186" s="563"/>
    </row>
    <row r="2187" spans="2:16" ht="15.75" customHeight="1">
      <c r="B2187" s="562"/>
      <c r="H2187" s="563"/>
      <c r="I2187" s="538"/>
      <c r="J2187" s="564"/>
      <c r="N2187" s="563"/>
      <c r="O2187" s="563"/>
      <c r="P2187" s="563"/>
    </row>
    <row r="2188" spans="2:16" ht="15.75" customHeight="1">
      <c r="B2188" s="562"/>
      <c r="H2188" s="563"/>
      <c r="I2188" s="538"/>
      <c r="J2188" s="564"/>
      <c r="N2188" s="563"/>
      <c r="O2188" s="563"/>
      <c r="P2188" s="563"/>
    </row>
    <row r="2189" spans="2:16" ht="15.75" customHeight="1">
      <c r="B2189" s="562"/>
      <c r="H2189" s="563"/>
      <c r="I2189" s="538"/>
      <c r="J2189" s="564"/>
      <c r="N2189" s="563"/>
      <c r="O2189" s="563"/>
      <c r="P2189" s="563"/>
    </row>
    <row r="2190" spans="2:16" ht="15.75" customHeight="1">
      <c r="B2190" s="562"/>
      <c r="H2190" s="563"/>
      <c r="I2190" s="538"/>
      <c r="J2190" s="564"/>
      <c r="N2190" s="563"/>
      <c r="O2190" s="563"/>
      <c r="P2190" s="563"/>
    </row>
    <row r="2191" spans="2:16" ht="15.75" customHeight="1">
      <c r="B2191" s="562"/>
      <c r="H2191" s="563"/>
      <c r="I2191" s="538"/>
      <c r="J2191" s="564"/>
      <c r="N2191" s="563"/>
      <c r="O2191" s="563"/>
      <c r="P2191" s="563"/>
    </row>
    <row r="2192" spans="2:16" ht="15.75" customHeight="1">
      <c r="B2192" s="562"/>
      <c r="H2192" s="563"/>
      <c r="I2192" s="538"/>
      <c r="J2192" s="564"/>
      <c r="N2192" s="563"/>
      <c r="O2192" s="563"/>
      <c r="P2192" s="563"/>
    </row>
    <row r="2193" spans="2:16" ht="15.75" customHeight="1">
      <c r="B2193" s="562"/>
      <c r="H2193" s="563"/>
      <c r="I2193" s="538"/>
      <c r="J2193" s="564"/>
      <c r="N2193" s="563"/>
      <c r="O2193" s="563"/>
      <c r="P2193" s="563"/>
    </row>
    <row r="2194" spans="2:16" ht="15.75" customHeight="1">
      <c r="B2194" s="562"/>
      <c r="H2194" s="563"/>
      <c r="I2194" s="538"/>
      <c r="J2194" s="564"/>
      <c r="N2194" s="563"/>
      <c r="O2194" s="563"/>
      <c r="P2194" s="563"/>
    </row>
    <row r="2195" spans="2:16" ht="15.75" customHeight="1">
      <c r="B2195" s="562"/>
      <c r="H2195" s="563"/>
      <c r="I2195" s="538"/>
      <c r="J2195" s="564"/>
      <c r="N2195" s="563"/>
      <c r="O2195" s="563"/>
      <c r="P2195" s="550"/>
    </row>
    <row r="2196" spans="2:16" ht="15.75" customHeight="1">
      <c r="B2196" s="562"/>
      <c r="H2196" s="563"/>
      <c r="I2196" s="538"/>
      <c r="J2196" s="564"/>
      <c r="N2196" s="563"/>
      <c r="O2196" s="563"/>
      <c r="P2196" s="563"/>
    </row>
    <row r="2197" spans="2:16" ht="15.75" customHeight="1">
      <c r="B2197" s="562"/>
      <c r="H2197" s="563"/>
      <c r="I2197" s="538"/>
      <c r="J2197" s="564"/>
      <c r="N2197" s="563"/>
      <c r="O2197" s="563"/>
      <c r="P2197" s="563"/>
    </row>
    <row r="2198" spans="2:16" ht="15.75" customHeight="1">
      <c r="B2198" s="562"/>
      <c r="H2198" s="563"/>
      <c r="I2198" s="538"/>
      <c r="J2198" s="564"/>
      <c r="N2198" s="563"/>
      <c r="O2198" s="563"/>
      <c r="P2198" s="563"/>
    </row>
    <row r="2199" spans="2:16" ht="15.75" customHeight="1">
      <c r="B2199" s="562"/>
      <c r="H2199" s="563"/>
      <c r="I2199" s="538"/>
      <c r="J2199" s="564"/>
      <c r="N2199" s="563"/>
      <c r="O2199" s="563"/>
      <c r="P2199" s="563"/>
    </row>
    <row r="2200" spans="2:16" ht="15.75" customHeight="1">
      <c r="B2200" s="562"/>
      <c r="H2200" s="563"/>
      <c r="I2200" s="538"/>
      <c r="J2200" s="564"/>
      <c r="N2200" s="563"/>
      <c r="O2200" s="563"/>
      <c r="P2200" s="563"/>
    </row>
    <row r="2201" spans="2:16" ht="15.75" customHeight="1">
      <c r="B2201" s="562"/>
      <c r="H2201" s="563"/>
      <c r="I2201" s="538"/>
      <c r="J2201" s="564"/>
      <c r="N2201" s="563"/>
      <c r="O2201" s="563"/>
      <c r="P2201" s="563"/>
    </row>
    <row r="2202" spans="2:16" ht="15.75" customHeight="1">
      <c r="B2202" s="562"/>
      <c r="H2202" s="563"/>
      <c r="I2202" s="538"/>
      <c r="J2202" s="564"/>
      <c r="N2202" s="563"/>
      <c r="O2202" s="563"/>
      <c r="P2202" s="563"/>
    </row>
    <row r="2203" spans="2:16" ht="15.75" customHeight="1">
      <c r="B2203" s="562"/>
      <c r="H2203" s="563"/>
      <c r="I2203" s="538"/>
      <c r="J2203" s="564"/>
      <c r="N2203" s="563"/>
      <c r="O2203" s="563"/>
      <c r="P2203" s="563"/>
    </row>
    <row r="2204" spans="2:16" ht="15.75" customHeight="1">
      <c r="B2204" s="562"/>
      <c r="H2204" s="563"/>
      <c r="I2204" s="538"/>
      <c r="J2204" s="564"/>
      <c r="N2204" s="563"/>
      <c r="O2204" s="563"/>
      <c r="P2204" s="563"/>
    </row>
    <row r="2205" spans="2:16" ht="15.75" customHeight="1">
      <c r="B2205" s="562"/>
      <c r="H2205" s="563"/>
      <c r="I2205" s="538"/>
      <c r="J2205" s="564"/>
      <c r="N2205" s="563"/>
      <c r="O2205" s="563"/>
      <c r="P2205" s="563"/>
    </row>
    <row r="2206" spans="2:16" ht="15.75" customHeight="1">
      <c r="B2206" s="562"/>
      <c r="H2206" s="563"/>
      <c r="I2206" s="538"/>
      <c r="J2206" s="564"/>
      <c r="N2206" s="563"/>
      <c r="O2206" s="563"/>
      <c r="P2206" s="563"/>
    </row>
    <row r="2207" spans="2:16" ht="15.75" customHeight="1">
      <c r="B2207" s="562"/>
      <c r="H2207" s="563"/>
      <c r="I2207" s="538"/>
      <c r="J2207" s="564"/>
      <c r="N2207" s="563"/>
      <c r="O2207" s="563"/>
      <c r="P2207" s="563"/>
    </row>
    <row r="2208" spans="2:16" ht="15.75" customHeight="1">
      <c r="B2208" s="562"/>
      <c r="H2208" s="563"/>
      <c r="I2208" s="538"/>
      <c r="J2208" s="564"/>
      <c r="N2208" s="563"/>
      <c r="O2208" s="563"/>
      <c r="P2208" s="563"/>
    </row>
    <row r="2209" spans="2:16" ht="15.75" customHeight="1">
      <c r="B2209" s="562"/>
      <c r="H2209" s="563"/>
      <c r="I2209" s="538"/>
      <c r="J2209" s="564"/>
      <c r="N2209" s="563"/>
      <c r="O2209" s="563"/>
      <c r="P2209" s="563"/>
    </row>
    <row r="2210" spans="2:16" ht="15.75" customHeight="1">
      <c r="B2210" s="562"/>
      <c r="H2210" s="563"/>
      <c r="I2210" s="538"/>
      <c r="J2210" s="564"/>
      <c r="N2210" s="563"/>
      <c r="O2210" s="563"/>
      <c r="P2210" s="563"/>
    </row>
    <row r="2211" spans="2:16" ht="15.75" customHeight="1">
      <c r="B2211" s="562"/>
      <c r="H2211" s="563"/>
      <c r="I2211" s="538"/>
      <c r="J2211" s="564"/>
      <c r="N2211" s="563"/>
      <c r="O2211" s="563"/>
      <c r="P2211" s="563"/>
    </row>
    <row r="2212" spans="2:16" ht="15.75" customHeight="1">
      <c r="B2212" s="562"/>
      <c r="H2212" s="563"/>
      <c r="I2212" s="538"/>
      <c r="J2212" s="564"/>
      <c r="N2212" s="563"/>
      <c r="O2212" s="563"/>
      <c r="P2212" s="563"/>
    </row>
    <row r="2213" spans="2:16" ht="15.75" customHeight="1">
      <c r="B2213" s="562"/>
      <c r="H2213" s="563"/>
      <c r="I2213" s="538"/>
      <c r="J2213" s="564"/>
      <c r="N2213" s="563"/>
      <c r="O2213" s="563"/>
      <c r="P2213" s="563"/>
    </row>
    <row r="2214" spans="2:16" ht="15.75" customHeight="1">
      <c r="B2214" s="562"/>
      <c r="H2214" s="563"/>
      <c r="I2214" s="538"/>
      <c r="J2214" s="564"/>
      <c r="N2214" s="563"/>
      <c r="O2214" s="563"/>
      <c r="P2214" s="563"/>
    </row>
    <row r="2215" spans="2:16" ht="15.75" customHeight="1">
      <c r="B2215" s="562"/>
      <c r="H2215" s="563"/>
      <c r="I2215" s="538"/>
      <c r="J2215" s="564"/>
      <c r="N2215" s="563"/>
      <c r="O2215" s="563"/>
      <c r="P2215" s="563"/>
    </row>
    <row r="2216" spans="2:16" ht="15.75" customHeight="1">
      <c r="B2216" s="562"/>
      <c r="H2216" s="563"/>
      <c r="I2216" s="538"/>
      <c r="J2216" s="564"/>
      <c r="N2216" s="563"/>
      <c r="O2216" s="563"/>
      <c r="P2216" s="563"/>
    </row>
    <row r="2217" spans="2:16" ht="15.75" customHeight="1">
      <c r="B2217" s="562"/>
      <c r="H2217" s="563"/>
      <c r="I2217" s="538"/>
      <c r="J2217" s="564"/>
      <c r="N2217" s="563"/>
      <c r="O2217" s="563"/>
      <c r="P2217" s="563"/>
    </row>
    <row r="2218" spans="2:16" ht="15.75" customHeight="1">
      <c r="B2218" s="562"/>
      <c r="H2218" s="563"/>
      <c r="I2218" s="538"/>
      <c r="J2218" s="564"/>
      <c r="N2218" s="563"/>
      <c r="O2218" s="563"/>
      <c r="P2218" s="563"/>
    </row>
    <row r="2219" spans="2:16" ht="15.75" customHeight="1">
      <c r="B2219" s="562"/>
      <c r="H2219" s="563"/>
      <c r="I2219" s="538"/>
      <c r="J2219" s="564"/>
      <c r="N2219" s="563"/>
      <c r="O2219" s="563"/>
      <c r="P2219" s="563"/>
    </row>
    <row r="2220" spans="2:16" ht="15.75" customHeight="1">
      <c r="B2220" s="562"/>
      <c r="H2220" s="563"/>
      <c r="I2220" s="538"/>
      <c r="J2220" s="564"/>
      <c r="N2220" s="563"/>
      <c r="O2220" s="563"/>
      <c r="P2220" s="563"/>
    </row>
    <row r="2221" spans="2:16" ht="15.75" customHeight="1">
      <c r="B2221" s="562"/>
      <c r="H2221" s="563"/>
      <c r="I2221" s="538"/>
      <c r="J2221" s="564"/>
      <c r="N2221" s="563"/>
      <c r="O2221" s="563"/>
      <c r="P2221" s="563"/>
    </row>
    <row r="2222" spans="2:16" ht="15.75" customHeight="1">
      <c r="B2222" s="562"/>
      <c r="H2222" s="563"/>
      <c r="I2222" s="538"/>
      <c r="J2222" s="564"/>
      <c r="N2222" s="563"/>
      <c r="O2222" s="563"/>
      <c r="P2222" s="563"/>
    </row>
    <row r="2223" spans="2:16" ht="15.75" customHeight="1">
      <c r="B2223" s="562"/>
      <c r="H2223" s="563"/>
      <c r="I2223" s="538"/>
      <c r="J2223" s="564"/>
      <c r="N2223" s="563"/>
      <c r="O2223" s="563"/>
      <c r="P2223" s="563"/>
    </row>
    <row r="2224" spans="2:16" ht="15.75" customHeight="1">
      <c r="B2224" s="562"/>
      <c r="H2224" s="563"/>
      <c r="I2224" s="538"/>
      <c r="J2224" s="564"/>
      <c r="N2224" s="563"/>
      <c r="O2224" s="563"/>
      <c r="P2224" s="563"/>
    </row>
    <row r="2225" spans="2:16" ht="15.75" customHeight="1">
      <c r="B2225" s="562"/>
      <c r="H2225" s="563"/>
      <c r="I2225" s="538"/>
      <c r="J2225" s="564"/>
      <c r="N2225" s="563"/>
      <c r="O2225" s="563"/>
      <c r="P2225" s="563"/>
    </row>
    <row r="2226" spans="2:16" ht="15.75" customHeight="1">
      <c r="B2226" s="562"/>
      <c r="H2226" s="563"/>
      <c r="I2226" s="538"/>
      <c r="J2226" s="564"/>
      <c r="N2226" s="563"/>
      <c r="O2226" s="563"/>
      <c r="P2226" s="563"/>
    </row>
    <row r="2227" spans="2:16" ht="15.75" customHeight="1">
      <c r="B2227" s="562"/>
      <c r="H2227" s="563"/>
      <c r="I2227" s="538"/>
      <c r="J2227" s="564"/>
      <c r="N2227" s="563"/>
      <c r="O2227" s="563"/>
      <c r="P2227" s="563"/>
    </row>
    <row r="2228" spans="2:16" ht="15.75" customHeight="1">
      <c r="B2228" s="562"/>
      <c r="H2228" s="563"/>
      <c r="I2228" s="538"/>
      <c r="J2228" s="564"/>
      <c r="N2228" s="563"/>
      <c r="O2228" s="563"/>
      <c r="P2228" s="563"/>
    </row>
    <row r="2229" spans="2:16" ht="15.75" customHeight="1">
      <c r="B2229" s="562"/>
      <c r="H2229" s="563"/>
      <c r="I2229" s="538"/>
      <c r="J2229" s="564"/>
      <c r="N2229" s="563"/>
      <c r="O2229" s="563"/>
      <c r="P2229" s="563"/>
    </row>
    <row r="2230" spans="2:16" ht="15.75" customHeight="1">
      <c r="B2230" s="562"/>
      <c r="H2230" s="563"/>
      <c r="I2230" s="538"/>
      <c r="J2230" s="564"/>
      <c r="N2230" s="563"/>
      <c r="O2230" s="563"/>
      <c r="P2230" s="563"/>
    </row>
    <row r="2231" spans="2:16" ht="15.75" customHeight="1">
      <c r="B2231" s="562"/>
      <c r="H2231" s="563"/>
      <c r="I2231" s="538"/>
      <c r="J2231" s="564"/>
      <c r="N2231" s="563"/>
      <c r="O2231" s="563"/>
      <c r="P2231" s="563"/>
    </row>
    <row r="2232" spans="2:16" ht="15.75" customHeight="1">
      <c r="B2232" s="562"/>
      <c r="H2232" s="563"/>
      <c r="I2232" s="538"/>
      <c r="J2232" s="564"/>
      <c r="N2232" s="563"/>
      <c r="O2232" s="563"/>
      <c r="P2232" s="563"/>
    </row>
    <row r="2233" spans="2:16" ht="15.75" customHeight="1">
      <c r="B2233" s="562"/>
      <c r="H2233" s="563"/>
      <c r="I2233" s="538"/>
      <c r="J2233" s="564"/>
      <c r="N2233" s="563"/>
      <c r="O2233" s="563"/>
      <c r="P2233" s="563"/>
    </row>
    <row r="2234" spans="2:16" ht="15.75" customHeight="1">
      <c r="B2234" s="562"/>
      <c r="H2234" s="563"/>
      <c r="I2234" s="538"/>
      <c r="J2234" s="564"/>
      <c r="N2234" s="563"/>
      <c r="O2234" s="563"/>
      <c r="P2234" s="563"/>
    </row>
    <row r="2235" spans="2:16" ht="15.75" customHeight="1">
      <c r="B2235" s="562"/>
      <c r="H2235" s="563"/>
      <c r="I2235" s="538"/>
      <c r="J2235" s="564"/>
      <c r="N2235" s="563"/>
      <c r="O2235" s="563"/>
      <c r="P2235" s="563"/>
    </row>
    <row r="2236" spans="2:16" ht="15.75" customHeight="1">
      <c r="B2236" s="562"/>
      <c r="H2236" s="563"/>
      <c r="I2236" s="538"/>
      <c r="J2236" s="564"/>
      <c r="N2236" s="563"/>
      <c r="O2236" s="563"/>
      <c r="P2236" s="563"/>
    </row>
    <row r="2237" spans="2:16" ht="15.75" customHeight="1">
      <c r="B2237" s="562"/>
      <c r="H2237" s="563"/>
      <c r="I2237" s="538"/>
      <c r="J2237" s="564"/>
      <c r="N2237" s="563"/>
      <c r="O2237" s="563"/>
      <c r="P2237" s="563"/>
    </row>
    <row r="2238" spans="2:16" ht="15.75" customHeight="1">
      <c r="B2238" s="562"/>
      <c r="H2238" s="563"/>
      <c r="I2238" s="538"/>
      <c r="J2238" s="564"/>
      <c r="N2238" s="563"/>
      <c r="O2238" s="563"/>
      <c r="P2238" s="563"/>
    </row>
    <row r="2239" spans="2:16" ht="15.75" customHeight="1">
      <c r="B2239" s="562"/>
      <c r="H2239" s="563"/>
      <c r="I2239" s="538"/>
      <c r="J2239" s="564"/>
      <c r="N2239" s="563"/>
      <c r="O2239" s="563"/>
      <c r="P2239" s="563"/>
    </row>
    <row r="2240" spans="2:16" ht="15.75" customHeight="1">
      <c r="B2240" s="562"/>
      <c r="H2240" s="563"/>
      <c r="I2240" s="538"/>
      <c r="J2240" s="564"/>
      <c r="N2240" s="563"/>
      <c r="O2240" s="563"/>
      <c r="P2240" s="563"/>
    </row>
    <row r="2241" spans="2:16" ht="15.75" customHeight="1">
      <c r="B2241" s="562"/>
      <c r="H2241" s="563"/>
      <c r="I2241" s="538"/>
      <c r="J2241" s="564"/>
      <c r="N2241" s="563"/>
      <c r="O2241" s="563"/>
      <c r="P2241" s="563"/>
    </row>
    <row r="2242" spans="2:16" ht="15.75" customHeight="1">
      <c r="B2242" s="562"/>
      <c r="H2242" s="563"/>
      <c r="I2242" s="538"/>
      <c r="J2242" s="564"/>
      <c r="N2242" s="563"/>
      <c r="O2242" s="563"/>
      <c r="P2242" s="563"/>
    </row>
    <row r="2243" spans="2:16" ht="15.75" customHeight="1">
      <c r="B2243" s="562"/>
      <c r="H2243" s="563"/>
      <c r="I2243" s="538"/>
      <c r="J2243" s="564"/>
      <c r="N2243" s="563"/>
      <c r="O2243" s="563"/>
      <c r="P2243" s="563"/>
    </row>
    <row r="2244" spans="2:16" ht="15.75" customHeight="1">
      <c r="B2244" s="562"/>
      <c r="H2244" s="563"/>
      <c r="I2244" s="538"/>
      <c r="J2244" s="564"/>
      <c r="N2244" s="563"/>
      <c r="O2244" s="563"/>
      <c r="P2244" s="563"/>
    </row>
    <row r="2245" spans="2:16" ht="15.75" customHeight="1">
      <c r="B2245" s="562"/>
      <c r="H2245" s="563"/>
      <c r="I2245" s="538"/>
      <c r="J2245" s="564"/>
      <c r="N2245" s="563"/>
      <c r="O2245" s="563"/>
      <c r="P2245" s="563"/>
    </row>
    <row r="2246" spans="2:16" ht="15.75" customHeight="1">
      <c r="B2246" s="562"/>
      <c r="H2246" s="563"/>
      <c r="I2246" s="538"/>
      <c r="J2246" s="564"/>
      <c r="N2246" s="563"/>
      <c r="O2246" s="563"/>
      <c r="P2246" s="563"/>
    </row>
    <row r="2247" spans="2:16" ht="15.75" customHeight="1">
      <c r="B2247" s="562"/>
      <c r="H2247" s="563"/>
      <c r="I2247" s="538"/>
      <c r="J2247" s="564"/>
      <c r="N2247" s="563"/>
      <c r="O2247" s="563"/>
      <c r="P2247" s="563"/>
    </row>
    <row r="2248" spans="2:16" ht="15.75" customHeight="1">
      <c r="B2248" s="562"/>
      <c r="H2248" s="563"/>
      <c r="I2248" s="538"/>
      <c r="J2248" s="564"/>
      <c r="N2248" s="563"/>
      <c r="O2248" s="563"/>
      <c r="P2248" s="563"/>
    </row>
    <row r="2249" spans="2:16" ht="15.75" customHeight="1">
      <c r="B2249" s="562"/>
      <c r="H2249" s="563"/>
      <c r="I2249" s="538"/>
      <c r="J2249" s="564"/>
      <c r="N2249" s="563"/>
      <c r="O2249" s="563"/>
      <c r="P2249" s="563"/>
    </row>
    <row r="2250" spans="2:16" ht="15.75" customHeight="1">
      <c r="B2250" s="562"/>
      <c r="H2250" s="563"/>
      <c r="I2250" s="538"/>
      <c r="J2250" s="564"/>
      <c r="N2250" s="563"/>
      <c r="O2250" s="563"/>
      <c r="P2250" s="563"/>
    </row>
    <row r="2251" spans="2:16" ht="15.75" customHeight="1">
      <c r="B2251" s="562"/>
      <c r="H2251" s="563"/>
      <c r="I2251" s="538"/>
      <c r="J2251" s="564"/>
      <c r="N2251" s="563"/>
      <c r="O2251" s="563"/>
      <c r="P2251" s="563"/>
    </row>
    <row r="2252" spans="2:16" ht="15.75" customHeight="1">
      <c r="B2252" s="562"/>
      <c r="H2252" s="563"/>
      <c r="I2252" s="538"/>
      <c r="J2252" s="564"/>
      <c r="N2252" s="563"/>
      <c r="O2252" s="563"/>
      <c r="P2252" s="563"/>
    </row>
    <row r="2253" spans="2:16" ht="15.75" customHeight="1">
      <c r="B2253" s="562"/>
      <c r="H2253" s="563"/>
      <c r="I2253" s="538"/>
      <c r="J2253" s="564"/>
      <c r="N2253" s="563"/>
      <c r="O2253" s="563"/>
      <c r="P2253" s="563"/>
    </row>
    <row r="2254" spans="2:16" ht="15.75" customHeight="1">
      <c r="B2254" s="562"/>
      <c r="H2254" s="563"/>
      <c r="I2254" s="538"/>
      <c r="J2254" s="564"/>
      <c r="N2254" s="563"/>
      <c r="O2254" s="563"/>
      <c r="P2254" s="563"/>
    </row>
    <row r="2255" spans="2:16" ht="15.75" customHeight="1">
      <c r="B2255" s="562"/>
      <c r="H2255" s="563"/>
      <c r="I2255" s="538"/>
      <c r="J2255" s="564"/>
      <c r="N2255" s="563"/>
      <c r="O2255" s="563"/>
      <c r="P2255" s="563"/>
    </row>
    <row r="2256" spans="2:16" ht="15.75" customHeight="1">
      <c r="B2256" s="562"/>
      <c r="H2256" s="563"/>
      <c r="I2256" s="538"/>
      <c r="J2256" s="564"/>
      <c r="N2256" s="563"/>
      <c r="O2256" s="563"/>
      <c r="P2256" s="563"/>
    </row>
    <row r="2257" spans="2:16" ht="15.75" customHeight="1">
      <c r="B2257" s="562"/>
      <c r="H2257" s="563"/>
      <c r="I2257" s="538"/>
      <c r="J2257" s="564"/>
      <c r="N2257" s="563"/>
      <c r="O2257" s="563"/>
      <c r="P2257" s="563"/>
    </row>
    <row r="2258" spans="2:16" ht="15.75" customHeight="1">
      <c r="B2258" s="562"/>
      <c r="H2258" s="563"/>
      <c r="I2258" s="538"/>
      <c r="J2258" s="564"/>
      <c r="N2258" s="563"/>
      <c r="O2258" s="563"/>
      <c r="P2258" s="563"/>
    </row>
    <row r="2259" spans="2:16" ht="15.75" customHeight="1">
      <c r="B2259" s="562"/>
      <c r="H2259" s="563"/>
      <c r="I2259" s="538"/>
      <c r="J2259" s="564"/>
      <c r="N2259" s="563"/>
      <c r="O2259" s="563"/>
      <c r="P2259" s="563"/>
    </row>
    <row r="2260" spans="2:16" ht="15.75" customHeight="1">
      <c r="B2260" s="562"/>
      <c r="H2260" s="563"/>
      <c r="I2260" s="538"/>
      <c r="J2260" s="564"/>
      <c r="N2260" s="563"/>
      <c r="O2260" s="563"/>
      <c r="P2260" s="563"/>
    </row>
    <row r="2261" spans="2:16" ht="15.75" customHeight="1">
      <c r="B2261" s="562"/>
      <c r="H2261" s="563"/>
      <c r="I2261" s="538"/>
      <c r="J2261" s="564"/>
      <c r="N2261" s="563"/>
      <c r="O2261" s="563"/>
      <c r="P2261" s="563"/>
    </row>
    <row r="2262" spans="2:16" ht="15.75" customHeight="1">
      <c r="B2262" s="562"/>
      <c r="H2262" s="563"/>
      <c r="I2262" s="538"/>
      <c r="J2262" s="564"/>
      <c r="N2262" s="563"/>
      <c r="O2262" s="563"/>
      <c r="P2262" s="563"/>
    </row>
    <row r="2263" spans="2:16" ht="15.75" customHeight="1">
      <c r="B2263" s="562"/>
      <c r="H2263" s="563"/>
      <c r="I2263" s="538"/>
      <c r="J2263" s="564"/>
      <c r="N2263" s="563"/>
      <c r="O2263" s="563"/>
      <c r="P2263" s="563"/>
    </row>
    <row r="2264" spans="2:16" ht="15.75" customHeight="1">
      <c r="B2264" s="562"/>
      <c r="H2264" s="563"/>
      <c r="I2264" s="538"/>
      <c r="J2264" s="564"/>
      <c r="N2264" s="563"/>
      <c r="O2264" s="563"/>
      <c r="P2264" s="563"/>
    </row>
    <row r="2265" spans="2:16" ht="15.75" customHeight="1">
      <c r="B2265" s="562"/>
      <c r="H2265" s="563"/>
      <c r="I2265" s="538"/>
      <c r="J2265" s="564"/>
      <c r="N2265" s="563"/>
      <c r="O2265" s="563"/>
      <c r="P2265" s="563"/>
    </row>
    <row r="2266" spans="2:16" ht="15.75" customHeight="1">
      <c r="B2266" s="562"/>
      <c r="H2266" s="563"/>
      <c r="I2266" s="538"/>
      <c r="J2266" s="564"/>
      <c r="N2266" s="563"/>
      <c r="O2266" s="563"/>
      <c r="P2266" s="563"/>
    </row>
    <row r="2267" spans="2:16" ht="15.75" customHeight="1">
      <c r="B2267" s="562"/>
      <c r="H2267" s="563"/>
      <c r="I2267" s="538"/>
      <c r="J2267" s="564"/>
      <c r="N2267" s="563"/>
      <c r="O2267" s="563"/>
      <c r="P2267" s="563"/>
    </row>
    <row r="2268" spans="2:16" ht="15.75" customHeight="1">
      <c r="B2268" s="562"/>
      <c r="H2268" s="563"/>
      <c r="I2268" s="538"/>
      <c r="J2268" s="564"/>
      <c r="N2268" s="563"/>
      <c r="O2268" s="563"/>
      <c r="P2268" s="563"/>
    </row>
    <row r="2269" spans="2:16" ht="15.75" customHeight="1">
      <c r="B2269" s="562"/>
      <c r="H2269" s="563"/>
      <c r="I2269" s="538"/>
      <c r="J2269" s="564"/>
      <c r="N2269" s="563"/>
      <c r="O2269" s="563"/>
      <c r="P2269" s="563"/>
    </row>
    <row r="2270" spans="2:16" ht="15.75" customHeight="1">
      <c r="B2270" s="562"/>
      <c r="H2270" s="563"/>
      <c r="I2270" s="538"/>
      <c r="J2270" s="564"/>
      <c r="N2270" s="563"/>
      <c r="O2270" s="563"/>
      <c r="P2270" s="563"/>
    </row>
    <row r="2271" spans="2:16" ht="15.75" customHeight="1">
      <c r="B2271" s="562"/>
      <c r="H2271" s="563"/>
      <c r="I2271" s="538"/>
      <c r="J2271" s="564"/>
      <c r="N2271" s="563"/>
      <c r="O2271" s="563"/>
      <c r="P2271" s="563"/>
    </row>
    <row r="2272" spans="2:16" ht="15.75" customHeight="1">
      <c r="B2272" s="562"/>
      <c r="H2272" s="563"/>
      <c r="I2272" s="538"/>
      <c r="J2272" s="564"/>
      <c r="N2272" s="563"/>
      <c r="O2272" s="563"/>
      <c r="P2272" s="563"/>
    </row>
    <row r="2273" spans="2:16" ht="15.75" customHeight="1">
      <c r="B2273" s="562"/>
      <c r="H2273" s="563"/>
      <c r="I2273" s="538"/>
      <c r="J2273" s="564"/>
      <c r="N2273" s="563"/>
      <c r="O2273" s="563"/>
      <c r="P2273" s="563"/>
    </row>
    <row r="2274" spans="2:16" ht="15.75" customHeight="1">
      <c r="B2274" s="562"/>
      <c r="H2274" s="563"/>
      <c r="I2274" s="538"/>
      <c r="J2274" s="564"/>
      <c r="N2274" s="563"/>
      <c r="O2274" s="563"/>
      <c r="P2274" s="563"/>
    </row>
    <row r="2275" spans="2:16" ht="15.75" customHeight="1">
      <c r="B2275" s="562"/>
      <c r="H2275" s="563"/>
      <c r="I2275" s="538"/>
      <c r="J2275" s="564"/>
      <c r="N2275" s="563"/>
      <c r="O2275" s="563"/>
      <c r="P2275" s="563"/>
    </row>
    <row r="2276" spans="2:16" ht="15.75" customHeight="1">
      <c r="B2276" s="562"/>
      <c r="H2276" s="563"/>
      <c r="I2276" s="538"/>
      <c r="J2276" s="564"/>
      <c r="N2276" s="563"/>
      <c r="O2276" s="563"/>
      <c r="P2276" s="563"/>
    </row>
    <row r="2277" spans="2:16" ht="15.75" customHeight="1">
      <c r="B2277" s="562"/>
      <c r="H2277" s="563"/>
      <c r="I2277" s="538"/>
      <c r="J2277" s="564"/>
      <c r="N2277" s="563"/>
      <c r="O2277" s="563"/>
      <c r="P2277" s="563"/>
    </row>
    <row r="2278" spans="2:16" ht="15.75" customHeight="1">
      <c r="B2278" s="562"/>
      <c r="H2278" s="563"/>
      <c r="I2278" s="538"/>
      <c r="J2278" s="564"/>
      <c r="N2278" s="563"/>
      <c r="O2278" s="563"/>
      <c r="P2278" s="563"/>
    </row>
    <row r="2279" spans="2:16" ht="15.75" customHeight="1">
      <c r="B2279" s="562"/>
      <c r="H2279" s="563"/>
      <c r="I2279" s="538"/>
      <c r="J2279" s="564"/>
      <c r="N2279" s="563"/>
      <c r="O2279" s="563"/>
      <c r="P2279" s="563"/>
    </row>
    <row r="2280" spans="2:16" ht="15.75" customHeight="1">
      <c r="B2280" s="562"/>
      <c r="H2280" s="563"/>
      <c r="I2280" s="538"/>
      <c r="J2280" s="564"/>
      <c r="N2280" s="563"/>
      <c r="O2280" s="563"/>
      <c r="P2280" s="563"/>
    </row>
    <row r="2281" spans="2:16" ht="15.75" customHeight="1">
      <c r="B2281" s="562"/>
      <c r="H2281" s="563"/>
      <c r="I2281" s="538"/>
      <c r="J2281" s="564"/>
      <c r="N2281" s="563"/>
      <c r="O2281" s="563"/>
      <c r="P2281" s="563"/>
    </row>
    <row r="2282" spans="2:16" ht="15.75" customHeight="1">
      <c r="B2282" s="562"/>
      <c r="H2282" s="563"/>
      <c r="I2282" s="538"/>
      <c r="J2282" s="564"/>
      <c r="N2282" s="563"/>
      <c r="O2282" s="563"/>
      <c r="P2282" s="563"/>
    </row>
    <row r="2283" spans="2:16" ht="15.75" customHeight="1">
      <c r="B2283" s="562"/>
      <c r="H2283" s="563"/>
      <c r="I2283" s="538"/>
      <c r="J2283" s="564"/>
      <c r="N2283" s="563"/>
      <c r="O2283" s="563"/>
      <c r="P2283" s="563"/>
    </row>
    <row r="2284" spans="2:16" ht="15.75" customHeight="1">
      <c r="B2284" s="562"/>
      <c r="H2284" s="563"/>
      <c r="I2284" s="538"/>
      <c r="J2284" s="564"/>
      <c r="N2284" s="563"/>
      <c r="O2284" s="563"/>
      <c r="P2284" s="563"/>
    </row>
    <row r="2285" spans="2:16" ht="15.75" customHeight="1">
      <c r="B2285" s="562"/>
      <c r="H2285" s="563"/>
      <c r="I2285" s="538"/>
      <c r="J2285" s="564"/>
      <c r="N2285" s="563"/>
      <c r="O2285" s="563"/>
      <c r="P2285" s="563"/>
    </row>
    <row r="2286" spans="2:16" ht="15.75" customHeight="1">
      <c r="B2286" s="567"/>
      <c r="H2286" s="563"/>
      <c r="I2286" s="538"/>
      <c r="J2286" s="564"/>
      <c r="N2286" s="563"/>
      <c r="O2286" s="563"/>
      <c r="P2286" s="563"/>
    </row>
    <row r="2287" spans="2:16" ht="15.75" customHeight="1">
      <c r="B2287" s="567"/>
      <c r="H2287" s="563"/>
      <c r="I2287" s="538"/>
      <c r="J2287" s="564"/>
      <c r="N2287" s="563"/>
      <c r="O2287" s="563"/>
      <c r="P2287" s="563"/>
    </row>
    <row r="2288" spans="2:16" ht="15.75" customHeight="1">
      <c r="B2288" s="567"/>
      <c r="H2288" s="563"/>
      <c r="I2288" s="538"/>
      <c r="J2288" s="564"/>
      <c r="N2288" s="563"/>
      <c r="O2288" s="563"/>
      <c r="P2288" s="563"/>
    </row>
    <row r="2289" spans="2:16" ht="15.75" customHeight="1">
      <c r="B2289" s="567"/>
      <c r="H2289" s="563"/>
      <c r="I2289" s="538"/>
      <c r="J2289" s="564"/>
      <c r="N2289" s="563"/>
      <c r="O2289" s="563"/>
      <c r="P2289" s="563"/>
    </row>
    <row r="2290" spans="2:16" ht="15.75" customHeight="1">
      <c r="B2290" s="567"/>
      <c r="H2290" s="563"/>
      <c r="I2290" s="538"/>
      <c r="J2290" s="564"/>
      <c r="N2290" s="563"/>
      <c r="O2290" s="563"/>
      <c r="P2290" s="563"/>
    </row>
    <row r="2291" spans="2:16" ht="15.75" customHeight="1">
      <c r="B2291" s="567"/>
      <c r="H2291" s="563"/>
      <c r="I2291" s="538"/>
      <c r="J2291" s="564"/>
      <c r="N2291" s="563"/>
      <c r="O2291" s="563"/>
      <c r="P2291" s="563"/>
    </row>
    <row r="2292" spans="2:16" ht="15.75" customHeight="1">
      <c r="B2292" s="567"/>
      <c r="H2292" s="563"/>
      <c r="I2292" s="538"/>
      <c r="J2292" s="564"/>
      <c r="N2292" s="563"/>
      <c r="O2292" s="563"/>
      <c r="P2292" s="563"/>
    </row>
    <row r="2293" spans="2:16" ht="15.75" customHeight="1">
      <c r="B2293" s="567"/>
      <c r="H2293" s="563"/>
      <c r="I2293" s="538"/>
      <c r="J2293" s="564"/>
      <c r="N2293" s="563"/>
      <c r="O2293" s="563"/>
      <c r="P2293" s="563"/>
    </row>
    <row r="2294" spans="2:16" ht="15.75" customHeight="1">
      <c r="B2294" s="567"/>
      <c r="H2294" s="563"/>
      <c r="I2294" s="538"/>
      <c r="J2294" s="564"/>
      <c r="N2294" s="563"/>
      <c r="O2294" s="563"/>
      <c r="P2294" s="563"/>
    </row>
    <row r="2295" spans="2:16" ht="15.75" customHeight="1">
      <c r="B2295" s="567"/>
      <c r="H2295" s="563"/>
      <c r="I2295" s="538"/>
      <c r="J2295" s="564"/>
      <c r="N2295" s="563"/>
      <c r="O2295" s="563"/>
      <c r="P2295" s="563"/>
    </row>
    <row r="2296" spans="2:16" ht="15.75" customHeight="1">
      <c r="B2296" s="567"/>
      <c r="H2296" s="563"/>
      <c r="I2296" s="538"/>
      <c r="J2296" s="564"/>
      <c r="N2296" s="563"/>
      <c r="O2296" s="563"/>
      <c r="P2296" s="563"/>
    </row>
    <row r="2297" spans="2:16" ht="15.75" customHeight="1">
      <c r="B2297" s="567"/>
      <c r="H2297" s="563"/>
      <c r="I2297" s="538"/>
      <c r="J2297" s="564"/>
      <c r="N2297" s="563"/>
      <c r="O2297" s="563"/>
      <c r="P2297" s="563"/>
    </row>
    <row r="2298" spans="2:16" ht="15.75" customHeight="1">
      <c r="B2298" s="567"/>
      <c r="H2298" s="563"/>
      <c r="I2298" s="538"/>
      <c r="J2298" s="564"/>
      <c r="N2298" s="563"/>
      <c r="O2298" s="563"/>
      <c r="P2298" s="563"/>
    </row>
    <row r="2299" spans="2:16" ht="15.75" customHeight="1">
      <c r="B2299" s="567"/>
      <c r="H2299" s="563"/>
      <c r="I2299" s="538"/>
      <c r="J2299" s="564"/>
      <c r="N2299" s="563"/>
      <c r="O2299" s="563"/>
      <c r="P2299" s="563"/>
    </row>
    <row r="2300" spans="2:16" ht="15.75" customHeight="1">
      <c r="B2300" s="567"/>
      <c r="H2300" s="563"/>
      <c r="I2300" s="538"/>
      <c r="J2300" s="564"/>
      <c r="N2300" s="563"/>
      <c r="O2300" s="563"/>
      <c r="P2300" s="563"/>
    </row>
    <row r="2301" spans="2:16" ht="15.75" customHeight="1">
      <c r="B2301" s="567"/>
      <c r="H2301" s="563"/>
      <c r="I2301" s="538"/>
      <c r="J2301" s="564"/>
      <c r="N2301" s="563"/>
      <c r="O2301" s="563"/>
      <c r="P2301" s="563"/>
    </row>
    <row r="2302" spans="2:16" ht="15.75" customHeight="1">
      <c r="B2302" s="567"/>
      <c r="H2302" s="563"/>
      <c r="I2302" s="538"/>
      <c r="J2302" s="564"/>
      <c r="N2302" s="563"/>
      <c r="O2302" s="563"/>
      <c r="P2302" s="563"/>
    </row>
    <row r="2303" spans="2:16" ht="15.75" customHeight="1">
      <c r="B2303" s="567"/>
      <c r="H2303" s="563"/>
      <c r="I2303" s="538"/>
      <c r="J2303" s="564"/>
      <c r="N2303" s="563"/>
      <c r="O2303" s="563"/>
      <c r="P2303" s="563"/>
    </row>
    <row r="2304" spans="2:16" ht="15.75" customHeight="1">
      <c r="B2304" s="567"/>
      <c r="H2304" s="563"/>
      <c r="I2304" s="538"/>
      <c r="J2304" s="564"/>
      <c r="N2304" s="563"/>
      <c r="O2304" s="563"/>
      <c r="P2304" s="563"/>
    </row>
    <row r="2305" spans="2:16" ht="15.75" customHeight="1">
      <c r="B2305" s="567"/>
      <c r="H2305" s="563"/>
      <c r="I2305" s="538"/>
      <c r="J2305" s="564"/>
      <c r="N2305" s="563"/>
      <c r="O2305" s="563"/>
      <c r="P2305" s="563"/>
    </row>
    <row r="2306" spans="2:16" ht="15.75" customHeight="1">
      <c r="B2306" s="567"/>
      <c r="H2306" s="563"/>
      <c r="I2306" s="538"/>
      <c r="J2306" s="564"/>
      <c r="N2306" s="563"/>
      <c r="O2306" s="563"/>
      <c r="P2306" s="563"/>
    </row>
    <row r="2307" spans="2:16" ht="15.75" customHeight="1">
      <c r="B2307" s="567"/>
      <c r="H2307" s="563"/>
      <c r="I2307" s="538"/>
      <c r="J2307" s="564"/>
      <c r="N2307" s="563"/>
      <c r="O2307" s="563"/>
      <c r="P2307" s="563"/>
    </row>
    <row r="2308" spans="2:16" ht="15.75" customHeight="1">
      <c r="B2308" s="567"/>
      <c r="H2308" s="563"/>
      <c r="I2308" s="538"/>
      <c r="J2308" s="564"/>
      <c r="N2308" s="563"/>
      <c r="O2308" s="563"/>
      <c r="P2308" s="563"/>
    </row>
    <row r="2309" spans="2:16" ht="15.75" customHeight="1">
      <c r="B2309" s="567"/>
      <c r="H2309" s="563"/>
      <c r="I2309" s="538"/>
      <c r="J2309" s="564"/>
      <c r="N2309" s="563"/>
      <c r="O2309" s="563"/>
      <c r="P2309" s="563"/>
    </row>
    <row r="2310" spans="2:16" ht="15.75" customHeight="1">
      <c r="B2310" s="567"/>
      <c r="H2310" s="563"/>
      <c r="I2310" s="538"/>
      <c r="J2310" s="564"/>
      <c r="N2310" s="563"/>
      <c r="O2310" s="563"/>
      <c r="P2310" s="563"/>
    </row>
    <row r="2311" spans="2:16" ht="15.75" customHeight="1">
      <c r="B2311" s="567"/>
      <c r="H2311" s="563"/>
      <c r="I2311" s="538"/>
      <c r="J2311" s="564"/>
      <c r="N2311" s="563"/>
      <c r="O2311" s="563"/>
      <c r="P2311" s="563"/>
    </row>
    <row r="2312" spans="2:16" ht="15.75" customHeight="1">
      <c r="B2312" s="567"/>
      <c r="H2312" s="563"/>
      <c r="I2312" s="538"/>
      <c r="J2312" s="564"/>
      <c r="N2312" s="563"/>
      <c r="O2312" s="563"/>
      <c r="P2312" s="563"/>
    </row>
    <row r="2313" spans="2:16" ht="15.75" customHeight="1">
      <c r="B2313" s="567"/>
      <c r="H2313" s="563"/>
      <c r="I2313" s="538"/>
      <c r="J2313" s="564"/>
      <c r="N2313" s="563"/>
      <c r="O2313" s="563"/>
      <c r="P2313" s="563"/>
    </row>
    <row r="2314" spans="2:16" ht="15.75" customHeight="1">
      <c r="B2314" s="567"/>
      <c r="H2314" s="563"/>
      <c r="I2314" s="538"/>
      <c r="J2314" s="564"/>
      <c r="N2314" s="563"/>
      <c r="O2314" s="563"/>
      <c r="P2314" s="563"/>
    </row>
    <row r="2315" spans="2:16" ht="15.75" customHeight="1">
      <c r="B2315" s="567"/>
      <c r="H2315" s="563"/>
      <c r="I2315" s="538"/>
      <c r="J2315" s="564"/>
      <c r="N2315" s="563"/>
      <c r="O2315" s="563"/>
      <c r="P2315" s="563"/>
    </row>
    <row r="2316" spans="2:16" ht="15.75" customHeight="1">
      <c r="B2316" s="567"/>
      <c r="H2316" s="563"/>
      <c r="I2316" s="538"/>
      <c r="J2316" s="564"/>
      <c r="N2316" s="563"/>
      <c r="O2316" s="563"/>
      <c r="P2316" s="563"/>
    </row>
    <row r="2317" spans="2:16" ht="15.75" customHeight="1">
      <c r="B2317" s="567"/>
      <c r="H2317" s="563"/>
      <c r="I2317" s="538"/>
      <c r="J2317" s="564"/>
      <c r="N2317" s="563"/>
      <c r="O2317" s="563"/>
      <c r="P2317" s="563"/>
    </row>
    <row r="2318" spans="2:16" ht="15.75" customHeight="1">
      <c r="B2318" s="567"/>
      <c r="H2318" s="563"/>
      <c r="I2318" s="538"/>
      <c r="J2318" s="564"/>
      <c r="N2318" s="563"/>
      <c r="O2318" s="563"/>
      <c r="P2318" s="563"/>
    </row>
    <row r="2319" spans="2:16" ht="15.75" customHeight="1">
      <c r="B2319" s="567"/>
      <c r="H2319" s="563"/>
      <c r="I2319" s="538"/>
      <c r="J2319" s="564"/>
      <c r="N2319" s="563"/>
      <c r="O2319" s="563"/>
      <c r="P2319" s="563"/>
    </row>
    <row r="2320" spans="2:16" ht="15.75" customHeight="1">
      <c r="B2320" s="567"/>
      <c r="H2320" s="563"/>
      <c r="I2320" s="538"/>
      <c r="J2320" s="564"/>
      <c r="N2320" s="563"/>
      <c r="O2320" s="563"/>
      <c r="P2320" s="563"/>
    </row>
    <row r="2321" spans="2:16" ht="15.75" customHeight="1">
      <c r="B2321" s="567"/>
      <c r="H2321" s="563"/>
      <c r="I2321" s="538"/>
      <c r="J2321" s="564"/>
      <c r="N2321" s="563"/>
      <c r="O2321" s="563"/>
      <c r="P2321" s="563"/>
    </row>
    <row r="2322" spans="2:16" ht="15.75" customHeight="1">
      <c r="B2322" s="567"/>
      <c r="H2322" s="563"/>
      <c r="I2322" s="538"/>
      <c r="J2322" s="564"/>
      <c r="N2322" s="563"/>
      <c r="O2322" s="563"/>
      <c r="P2322" s="563"/>
    </row>
    <row r="2323" spans="2:16" ht="15.75" customHeight="1">
      <c r="B2323" s="567"/>
      <c r="H2323" s="563"/>
      <c r="I2323" s="538"/>
      <c r="J2323" s="564"/>
      <c r="N2323" s="563"/>
      <c r="O2323" s="563"/>
      <c r="P2323" s="563"/>
    </row>
    <row r="2324" spans="2:16" ht="15.75" customHeight="1">
      <c r="B2324" s="567"/>
      <c r="H2324" s="563"/>
      <c r="I2324" s="538"/>
      <c r="J2324" s="564"/>
      <c r="N2324" s="563"/>
      <c r="O2324" s="563"/>
      <c r="P2324" s="563"/>
    </row>
    <row r="2325" spans="2:16" ht="15.75" customHeight="1">
      <c r="B2325" s="567"/>
      <c r="H2325" s="563"/>
      <c r="I2325" s="538"/>
      <c r="J2325" s="564"/>
      <c r="N2325" s="563"/>
      <c r="O2325" s="563"/>
      <c r="P2325" s="563"/>
    </row>
    <row r="2326" spans="2:16" ht="15.75" customHeight="1">
      <c r="B2326" s="567"/>
      <c r="H2326" s="563"/>
      <c r="I2326" s="538"/>
      <c r="J2326" s="564"/>
      <c r="N2326" s="563"/>
      <c r="O2326" s="563"/>
      <c r="P2326" s="563"/>
    </row>
    <row r="2327" spans="2:16" ht="15.75" customHeight="1">
      <c r="B2327" s="567"/>
      <c r="H2327" s="563"/>
      <c r="I2327" s="538"/>
      <c r="J2327" s="564"/>
      <c r="N2327" s="563"/>
      <c r="O2327" s="563"/>
      <c r="P2327" s="563"/>
    </row>
    <row r="2328" spans="2:16" ht="15.75" customHeight="1">
      <c r="B2328" s="567"/>
      <c r="H2328" s="563"/>
      <c r="I2328" s="538"/>
      <c r="J2328" s="564"/>
      <c r="N2328" s="563"/>
      <c r="O2328" s="563"/>
      <c r="P2328" s="563"/>
    </row>
    <row r="2329" spans="2:16" ht="15.75" customHeight="1">
      <c r="B2329" s="567"/>
      <c r="H2329" s="563"/>
      <c r="I2329" s="538"/>
      <c r="J2329" s="564"/>
      <c r="N2329" s="563"/>
      <c r="O2329" s="563"/>
      <c r="P2329" s="563"/>
    </row>
    <row r="2330" spans="2:16" ht="15.75" customHeight="1">
      <c r="B2330" s="567"/>
      <c r="H2330" s="563"/>
      <c r="I2330" s="538"/>
      <c r="J2330" s="564"/>
      <c r="N2330" s="563"/>
      <c r="O2330" s="563"/>
      <c r="P2330" s="563"/>
    </row>
    <row r="2331" spans="2:16" ht="15.75" customHeight="1">
      <c r="B2331" s="567"/>
      <c r="H2331" s="563"/>
      <c r="I2331" s="538"/>
      <c r="J2331" s="564"/>
      <c r="N2331" s="563"/>
      <c r="O2331" s="563"/>
      <c r="P2331" s="563"/>
    </row>
    <row r="2332" spans="2:16" ht="15.75" customHeight="1">
      <c r="B2332" s="567"/>
      <c r="H2332" s="563"/>
      <c r="I2332" s="538"/>
      <c r="J2332" s="564"/>
      <c r="N2332" s="563"/>
      <c r="O2332" s="563"/>
      <c r="P2332" s="563"/>
    </row>
    <row r="2333" spans="2:16" ht="15.75" customHeight="1">
      <c r="B2333" s="567"/>
      <c r="H2333" s="563"/>
      <c r="I2333" s="538"/>
      <c r="J2333" s="564"/>
      <c r="N2333" s="563"/>
      <c r="O2333" s="563"/>
      <c r="P2333" s="563"/>
    </row>
    <row r="2334" spans="2:16" ht="15.75" customHeight="1">
      <c r="B2334" s="567"/>
      <c r="H2334" s="563"/>
      <c r="I2334" s="538"/>
      <c r="J2334" s="564"/>
      <c r="N2334" s="563"/>
      <c r="O2334" s="563"/>
      <c r="P2334" s="563"/>
    </row>
    <row r="2335" spans="2:16" ht="15.75" customHeight="1">
      <c r="B2335" s="567"/>
      <c r="H2335" s="563"/>
      <c r="I2335" s="538"/>
      <c r="J2335" s="564"/>
      <c r="N2335" s="563"/>
      <c r="O2335" s="563"/>
      <c r="P2335" s="563"/>
    </row>
    <row r="2336" spans="2:16" ht="15.75" customHeight="1">
      <c r="B2336" s="567"/>
      <c r="H2336" s="563"/>
      <c r="I2336" s="538"/>
      <c r="J2336" s="564"/>
      <c r="N2336" s="563"/>
      <c r="O2336" s="563"/>
      <c r="P2336" s="563"/>
    </row>
    <row r="2337" spans="2:16" ht="15.75" customHeight="1">
      <c r="B2337" s="567"/>
      <c r="H2337" s="563"/>
      <c r="I2337" s="538"/>
      <c r="J2337" s="564"/>
      <c r="N2337" s="563"/>
      <c r="O2337" s="563"/>
      <c r="P2337" s="563"/>
    </row>
    <row r="2338" spans="2:16" ht="15.75" customHeight="1">
      <c r="B2338" s="567"/>
      <c r="H2338" s="563"/>
      <c r="I2338" s="538"/>
      <c r="J2338" s="564"/>
      <c r="N2338" s="563"/>
      <c r="O2338" s="563"/>
      <c r="P2338" s="563"/>
    </row>
    <row r="2339" spans="2:16" ht="15.75" customHeight="1">
      <c r="B2339" s="567"/>
      <c r="H2339" s="563"/>
      <c r="I2339" s="538"/>
      <c r="J2339" s="564"/>
      <c r="N2339" s="563"/>
      <c r="O2339" s="563"/>
      <c r="P2339" s="563"/>
    </row>
    <row r="2340" spans="2:16" ht="15.75" customHeight="1">
      <c r="B2340" s="567"/>
      <c r="H2340" s="563"/>
      <c r="I2340" s="538"/>
      <c r="J2340" s="564"/>
      <c r="N2340" s="563"/>
      <c r="O2340" s="563"/>
      <c r="P2340" s="563"/>
    </row>
    <row r="2341" spans="2:16" ht="15.75" customHeight="1">
      <c r="B2341" s="567"/>
      <c r="H2341" s="563"/>
      <c r="I2341" s="538"/>
      <c r="J2341" s="564"/>
      <c r="N2341" s="563"/>
      <c r="O2341" s="563"/>
      <c r="P2341" s="563"/>
    </row>
    <row r="2342" spans="2:16" ht="15.75" customHeight="1">
      <c r="B2342" s="567"/>
      <c r="H2342" s="563"/>
      <c r="I2342" s="538"/>
      <c r="J2342" s="564"/>
      <c r="N2342" s="563"/>
      <c r="O2342" s="563"/>
      <c r="P2342" s="563"/>
    </row>
    <row r="2343" spans="2:16" ht="15.75" customHeight="1">
      <c r="B2343" s="567"/>
      <c r="H2343" s="563"/>
      <c r="I2343" s="538"/>
      <c r="J2343" s="564"/>
      <c r="N2343" s="563"/>
      <c r="O2343" s="563"/>
      <c r="P2343" s="563"/>
    </row>
    <row r="2344" spans="2:16" ht="15.75" customHeight="1">
      <c r="B2344" s="567"/>
      <c r="H2344" s="563"/>
      <c r="I2344" s="538"/>
      <c r="J2344" s="564"/>
      <c r="N2344" s="563"/>
      <c r="O2344" s="563"/>
      <c r="P2344" s="563"/>
    </row>
    <row r="2345" spans="2:16" ht="15.75" customHeight="1">
      <c r="B2345" s="567"/>
      <c r="H2345" s="563"/>
      <c r="I2345" s="538"/>
      <c r="J2345" s="564"/>
      <c r="N2345" s="563"/>
      <c r="O2345" s="563"/>
      <c r="P2345" s="563"/>
    </row>
    <row r="2346" spans="2:16" ht="15.75" customHeight="1">
      <c r="B2346" s="567"/>
      <c r="H2346" s="563"/>
      <c r="I2346" s="538"/>
      <c r="J2346" s="564"/>
      <c r="N2346" s="563"/>
      <c r="O2346" s="563"/>
      <c r="P2346" s="563"/>
    </row>
    <row r="2347" spans="2:16" ht="15.75" customHeight="1">
      <c r="B2347" s="567"/>
      <c r="H2347" s="563"/>
      <c r="I2347" s="538"/>
      <c r="J2347" s="564"/>
      <c r="N2347" s="563"/>
      <c r="O2347" s="563"/>
      <c r="P2347" s="563"/>
    </row>
    <row r="2348" spans="2:16" ht="15.75" customHeight="1">
      <c r="B2348" s="567"/>
      <c r="H2348" s="563"/>
      <c r="I2348" s="538"/>
      <c r="J2348" s="564"/>
      <c r="N2348" s="563"/>
      <c r="O2348" s="563"/>
      <c r="P2348" s="563"/>
    </row>
    <row r="2349" spans="2:16" ht="15.75" customHeight="1">
      <c r="B2349" s="567"/>
      <c r="H2349" s="563"/>
      <c r="I2349" s="538"/>
      <c r="J2349" s="564"/>
      <c r="N2349" s="563"/>
      <c r="O2349" s="563"/>
      <c r="P2349" s="563"/>
    </row>
    <row r="2350" spans="2:16" ht="15.75" customHeight="1">
      <c r="B2350" s="567"/>
      <c r="H2350" s="563"/>
      <c r="I2350" s="538"/>
      <c r="J2350" s="564"/>
      <c r="N2350" s="563"/>
      <c r="O2350" s="563"/>
      <c r="P2350" s="563"/>
    </row>
    <row r="2351" spans="2:16" ht="15.75" customHeight="1">
      <c r="B2351" s="567"/>
      <c r="H2351" s="563"/>
      <c r="I2351" s="538"/>
      <c r="J2351" s="564"/>
      <c r="N2351" s="563"/>
      <c r="O2351" s="563"/>
      <c r="P2351" s="563"/>
    </row>
    <row r="2352" spans="2:16" ht="15.75" customHeight="1">
      <c r="B2352" s="567"/>
      <c r="H2352" s="563"/>
      <c r="I2352" s="538"/>
      <c r="J2352" s="564"/>
      <c r="N2352" s="563"/>
      <c r="O2352" s="563"/>
      <c r="P2352" s="563"/>
    </row>
    <row r="2353" spans="2:53" ht="15.75" customHeight="1">
      <c r="B2353" s="567"/>
      <c r="H2353" s="563"/>
      <c r="I2353" s="538"/>
      <c r="J2353" s="564"/>
      <c r="N2353" s="563"/>
      <c r="O2353" s="563"/>
      <c r="P2353" s="563"/>
    </row>
    <row r="2354" spans="2:53" ht="15.75" customHeight="1">
      <c r="B2354" s="567"/>
      <c r="H2354" s="563"/>
      <c r="I2354" s="538"/>
      <c r="J2354" s="564"/>
      <c r="N2354" s="563"/>
      <c r="O2354" s="563"/>
      <c r="P2354" s="563"/>
    </row>
    <row r="2355" spans="2:53" ht="15.75" customHeight="1">
      <c r="B2355" s="567"/>
      <c r="G2355" s="568"/>
      <c r="H2355" s="563"/>
      <c r="I2355" s="538"/>
      <c r="J2355" s="564"/>
      <c r="N2355" s="563"/>
      <c r="O2355" s="563"/>
      <c r="P2355" s="563"/>
    </row>
    <row r="2356" spans="2:53" ht="15.75" customHeight="1">
      <c r="B2356" s="567"/>
      <c r="H2356" s="563"/>
      <c r="I2356" s="538"/>
      <c r="J2356" s="564"/>
      <c r="N2356" s="563"/>
      <c r="O2356" s="563"/>
      <c r="P2356" s="563"/>
    </row>
    <row r="2357" spans="2:53" ht="15.75" customHeight="1">
      <c r="B2357" s="567"/>
      <c r="H2357" s="563"/>
      <c r="I2357" s="538"/>
      <c r="J2357" s="564"/>
      <c r="N2357" s="563"/>
      <c r="O2357" s="563"/>
      <c r="P2357" s="563"/>
    </row>
    <row r="2358" spans="2:53" ht="15.75" customHeight="1">
      <c r="B2358" s="567"/>
      <c r="H2358" s="563"/>
      <c r="I2358" s="538"/>
      <c r="J2358" s="564"/>
      <c r="N2358" s="563"/>
      <c r="O2358" s="563"/>
      <c r="P2358" s="563"/>
    </row>
    <row r="2359" spans="2:53" ht="15.75" customHeight="1">
      <c r="B2359" s="567"/>
      <c r="H2359" s="563"/>
      <c r="I2359" s="538"/>
      <c r="J2359" s="564"/>
      <c r="N2359" s="563"/>
      <c r="O2359" s="563"/>
      <c r="P2359" s="563"/>
    </row>
    <row r="2360" spans="2:53" ht="15.75" customHeight="1">
      <c r="B2360" s="567"/>
      <c r="H2360" s="563"/>
      <c r="I2360" s="538"/>
      <c r="J2360" s="564"/>
      <c r="N2360" s="563"/>
      <c r="O2360" s="563"/>
      <c r="P2360" s="563"/>
    </row>
    <row r="2361" spans="2:53" ht="15.75" customHeight="1">
      <c r="B2361" s="567"/>
      <c r="H2361" s="563"/>
      <c r="I2361" s="538"/>
      <c r="J2361" s="564"/>
      <c r="N2361" s="563"/>
      <c r="O2361" s="563"/>
      <c r="P2361" s="563"/>
    </row>
    <row r="2362" spans="2:53" ht="15.75" customHeight="1">
      <c r="B2362" s="567"/>
      <c r="H2362" s="563"/>
      <c r="I2362" s="538"/>
      <c r="J2362" s="564"/>
      <c r="N2362" s="563"/>
      <c r="O2362" s="563"/>
      <c r="P2362" s="563"/>
    </row>
    <row r="2363" spans="2:53" ht="15.75" customHeight="1">
      <c r="B2363" s="567"/>
      <c r="H2363" s="563"/>
      <c r="I2363" s="538"/>
      <c r="J2363" s="564"/>
      <c r="N2363" s="563"/>
      <c r="O2363" s="563"/>
      <c r="P2363" s="563"/>
    </row>
    <row r="2364" spans="2:53" ht="15.75" customHeight="1">
      <c r="B2364" s="567"/>
      <c r="H2364" s="563"/>
      <c r="I2364" s="538"/>
      <c r="J2364" s="564"/>
      <c r="N2364" s="563"/>
      <c r="O2364" s="563"/>
      <c r="P2364" s="563"/>
      <c r="AG2364" s="1346"/>
    </row>
    <row r="2365" spans="2:53" ht="15.75" customHeight="1">
      <c r="B2365" s="567"/>
      <c r="H2365" s="563"/>
      <c r="I2365" s="538"/>
      <c r="J2365" s="564"/>
      <c r="N2365" s="563"/>
      <c r="O2365" s="563"/>
      <c r="P2365" s="563"/>
    </row>
    <row r="2366" spans="2:53" ht="15.75" customHeight="1">
      <c r="B2366" s="567"/>
      <c r="H2366" s="563"/>
      <c r="I2366" s="538"/>
      <c r="J2366" s="564"/>
      <c r="N2366" s="563"/>
      <c r="O2366" s="563"/>
      <c r="P2366" s="563"/>
    </row>
    <row r="2367" spans="2:53" ht="15.75" customHeight="1">
      <c r="B2367" s="567"/>
      <c r="H2367" s="563"/>
      <c r="I2367" s="538"/>
      <c r="J2367" s="564"/>
      <c r="N2367" s="563"/>
      <c r="O2367" s="563"/>
      <c r="P2367" s="563"/>
      <c r="BA2367" s="569"/>
    </row>
    <row r="2368" spans="2:53" ht="15.75" customHeight="1">
      <c r="B2368" s="567"/>
      <c r="H2368" s="563"/>
      <c r="I2368" s="538"/>
      <c r="J2368" s="564"/>
      <c r="N2368" s="563"/>
      <c r="O2368" s="563"/>
      <c r="P2368" s="563"/>
    </row>
    <row r="2369" spans="2:16" ht="15.75" customHeight="1">
      <c r="B2369" s="567"/>
      <c r="H2369" s="563"/>
      <c r="I2369" s="538"/>
      <c r="J2369" s="564"/>
      <c r="N2369" s="563"/>
      <c r="O2369" s="563"/>
      <c r="P2369" s="563"/>
    </row>
    <row r="2370" spans="2:16" ht="15.75" customHeight="1">
      <c r="B2370" s="567"/>
      <c r="H2370" s="563"/>
      <c r="I2370" s="538"/>
      <c r="J2370" s="570"/>
      <c r="N2370" s="563"/>
      <c r="O2370" s="563"/>
      <c r="P2370" s="563"/>
    </row>
    <row r="2371" spans="2:16" ht="15.75" customHeight="1">
      <c r="B2371" s="567"/>
      <c r="H2371" s="563"/>
      <c r="I2371" s="538"/>
      <c r="J2371" s="564"/>
      <c r="N2371" s="563"/>
      <c r="O2371" s="563"/>
      <c r="P2371" s="563"/>
    </row>
    <row r="2372" spans="2:16" ht="15.75" customHeight="1">
      <c r="B2372" s="567"/>
      <c r="H2372" s="563"/>
      <c r="I2372" s="538"/>
      <c r="J2372" s="564"/>
      <c r="N2372" s="563"/>
      <c r="O2372" s="563"/>
      <c r="P2372" s="563"/>
    </row>
    <row r="2373" spans="2:16" ht="15.75" customHeight="1">
      <c r="B2373" s="567"/>
      <c r="H2373" s="563"/>
      <c r="I2373" s="538"/>
      <c r="J2373" s="564"/>
      <c r="N2373" s="563"/>
      <c r="O2373" s="563"/>
      <c r="P2373" s="563"/>
    </row>
    <row r="2374" spans="2:16" ht="15.75" customHeight="1">
      <c r="B2374" s="567"/>
      <c r="H2374" s="563"/>
      <c r="I2374" s="538"/>
      <c r="J2374" s="564"/>
      <c r="N2374" s="563"/>
      <c r="O2374" s="563"/>
      <c r="P2374" s="563"/>
    </row>
    <row r="2375" spans="2:16" ht="15.75" customHeight="1">
      <c r="B2375" s="567"/>
      <c r="H2375" s="563"/>
      <c r="I2375" s="538"/>
      <c r="J2375" s="564"/>
      <c r="N2375" s="563"/>
      <c r="O2375" s="563"/>
      <c r="P2375" s="563"/>
    </row>
    <row r="2376" spans="2:16" ht="15.75" customHeight="1">
      <c r="B2376" s="567"/>
      <c r="H2376" s="563"/>
      <c r="I2376" s="538"/>
      <c r="J2376" s="564"/>
      <c r="N2376" s="563"/>
      <c r="O2376" s="563"/>
      <c r="P2376" s="563"/>
    </row>
    <row r="2377" spans="2:16" ht="15.75" customHeight="1">
      <c r="B2377" s="567"/>
      <c r="H2377" s="563"/>
      <c r="I2377" s="538"/>
      <c r="J2377" s="564"/>
      <c r="N2377" s="563"/>
      <c r="O2377" s="563"/>
      <c r="P2377" s="563"/>
    </row>
    <row r="2378" spans="2:16" ht="15.75" customHeight="1">
      <c r="B2378" s="567"/>
      <c r="H2378" s="563"/>
      <c r="I2378" s="538"/>
      <c r="J2378" s="564"/>
      <c r="N2378" s="563"/>
      <c r="O2378" s="563"/>
      <c r="P2378" s="563"/>
    </row>
    <row r="2379" spans="2:16" ht="15.75" customHeight="1">
      <c r="B2379" s="567"/>
      <c r="H2379" s="563"/>
      <c r="I2379" s="538"/>
      <c r="J2379" s="564"/>
      <c r="N2379" s="563"/>
      <c r="O2379" s="563"/>
      <c r="P2379" s="563"/>
    </row>
    <row r="2380" spans="2:16" ht="15.75" customHeight="1">
      <c r="B2380" s="567"/>
      <c r="H2380" s="563"/>
      <c r="I2380" s="538"/>
      <c r="J2380" s="564"/>
      <c r="N2380" s="563"/>
      <c r="O2380" s="563"/>
      <c r="P2380" s="563"/>
    </row>
    <row r="2381" spans="2:16" ht="15.75" customHeight="1">
      <c r="B2381" s="567"/>
      <c r="H2381" s="563"/>
      <c r="I2381" s="538"/>
      <c r="J2381" s="564"/>
      <c r="N2381" s="563"/>
      <c r="O2381" s="563"/>
      <c r="P2381" s="563"/>
    </row>
    <row r="2382" spans="2:16" ht="15.75" customHeight="1">
      <c r="B2382" s="567"/>
      <c r="H2382" s="563"/>
      <c r="I2382" s="538"/>
      <c r="J2382" s="564"/>
      <c r="N2382" s="563"/>
      <c r="O2382" s="563"/>
      <c r="P2382" s="563"/>
    </row>
    <row r="2383" spans="2:16" ht="15.75" customHeight="1">
      <c r="B2383" s="567"/>
      <c r="H2383" s="563"/>
      <c r="I2383" s="538"/>
      <c r="J2383" s="564"/>
      <c r="N2383" s="563"/>
      <c r="O2383" s="563"/>
      <c r="P2383" s="563"/>
    </row>
    <row r="2384" spans="2:16" ht="15.75" customHeight="1">
      <c r="B2384" s="567"/>
      <c r="H2384" s="563"/>
      <c r="I2384" s="538"/>
      <c r="J2384" s="564"/>
      <c r="N2384" s="563"/>
      <c r="O2384" s="563"/>
      <c r="P2384" s="563"/>
    </row>
    <row r="2385" spans="2:16" ht="15.75" customHeight="1">
      <c r="B2385" s="567"/>
      <c r="H2385" s="563"/>
      <c r="I2385" s="538"/>
      <c r="J2385" s="564"/>
      <c r="N2385" s="563"/>
      <c r="O2385" s="563"/>
      <c r="P2385" s="563"/>
    </row>
    <row r="2386" spans="2:16" ht="15.75" customHeight="1">
      <c r="B2386" s="567"/>
      <c r="H2386" s="563"/>
      <c r="I2386" s="538"/>
      <c r="J2386" s="564"/>
      <c r="N2386" s="563"/>
      <c r="O2386" s="563"/>
      <c r="P2386" s="563"/>
    </row>
    <row r="2387" spans="2:16" ht="15.75" customHeight="1">
      <c r="B2387" s="567"/>
      <c r="H2387" s="563"/>
      <c r="I2387" s="538"/>
      <c r="J2387" s="564"/>
      <c r="N2387" s="563"/>
      <c r="O2387" s="563"/>
      <c r="P2387" s="563"/>
    </row>
    <row r="2388" spans="2:16" ht="15.75" customHeight="1">
      <c r="B2388" s="567"/>
      <c r="H2388" s="563"/>
      <c r="I2388" s="538"/>
      <c r="J2388" s="564"/>
      <c r="N2388" s="563"/>
      <c r="O2388" s="563"/>
      <c r="P2388" s="563"/>
    </row>
    <row r="2389" spans="2:16" ht="15.75" customHeight="1">
      <c r="B2389" s="567"/>
      <c r="H2389" s="563"/>
      <c r="I2389" s="538"/>
      <c r="J2389" s="564"/>
      <c r="N2389" s="563"/>
      <c r="O2389" s="563"/>
      <c r="P2389" s="563"/>
    </row>
    <row r="2390" spans="2:16" ht="15.75" customHeight="1">
      <c r="B2390" s="567"/>
      <c r="H2390" s="563"/>
      <c r="I2390" s="538"/>
      <c r="J2390" s="564"/>
      <c r="N2390" s="563"/>
      <c r="O2390" s="563"/>
      <c r="P2390" s="563"/>
    </row>
    <row r="2391" spans="2:16" ht="15.75" customHeight="1">
      <c r="B2391" s="567"/>
      <c r="H2391" s="563"/>
      <c r="I2391" s="538"/>
      <c r="J2391" s="564"/>
      <c r="N2391" s="563"/>
      <c r="O2391" s="563"/>
      <c r="P2391" s="563"/>
    </row>
    <row r="2392" spans="2:16" ht="15.75" customHeight="1">
      <c r="B2392" s="567"/>
      <c r="H2392" s="563"/>
      <c r="I2392" s="538"/>
      <c r="J2392" s="564"/>
      <c r="N2392" s="563"/>
      <c r="O2392" s="563"/>
      <c r="P2392" s="563"/>
    </row>
    <row r="2393" spans="2:16" ht="15.75" customHeight="1">
      <c r="B2393" s="567"/>
      <c r="H2393" s="563"/>
      <c r="I2393" s="538"/>
      <c r="J2393" s="564"/>
      <c r="N2393" s="563"/>
      <c r="O2393" s="563"/>
      <c r="P2393" s="563"/>
    </row>
    <row r="2394" spans="2:16" ht="15.75" customHeight="1">
      <c r="B2394" s="567"/>
      <c r="H2394" s="563"/>
      <c r="I2394" s="538"/>
      <c r="J2394" s="564"/>
      <c r="N2394" s="563"/>
      <c r="O2394" s="563"/>
      <c r="P2394" s="563"/>
    </row>
    <row r="2395" spans="2:16" ht="15.75" customHeight="1">
      <c r="B2395" s="567"/>
      <c r="H2395" s="563"/>
      <c r="I2395" s="538"/>
      <c r="J2395" s="564"/>
      <c r="N2395" s="563"/>
      <c r="O2395" s="563"/>
      <c r="P2395" s="563"/>
    </row>
    <row r="2396" spans="2:16" ht="15.75" customHeight="1">
      <c r="B2396" s="567"/>
      <c r="H2396" s="563"/>
      <c r="I2396" s="538"/>
      <c r="J2396" s="564"/>
      <c r="N2396" s="563"/>
      <c r="O2396" s="563"/>
      <c r="P2396" s="563"/>
    </row>
    <row r="2397" spans="2:16" ht="15.75" customHeight="1">
      <c r="B2397" s="567"/>
      <c r="H2397" s="563"/>
      <c r="I2397" s="538"/>
      <c r="J2397" s="564"/>
      <c r="N2397" s="563"/>
      <c r="O2397" s="563"/>
      <c r="P2397" s="563"/>
    </row>
    <row r="2398" spans="2:16" ht="15.75" customHeight="1">
      <c r="B2398" s="567"/>
      <c r="H2398" s="563"/>
      <c r="I2398" s="538"/>
      <c r="J2398" s="564"/>
      <c r="N2398" s="563"/>
      <c r="O2398" s="563"/>
      <c r="P2398" s="563"/>
    </row>
    <row r="2399" spans="2:16" ht="15.75" customHeight="1">
      <c r="B2399" s="567"/>
      <c r="H2399" s="563"/>
      <c r="I2399" s="538"/>
      <c r="J2399" s="564"/>
      <c r="N2399" s="563"/>
      <c r="O2399" s="563"/>
      <c r="P2399" s="563"/>
    </row>
    <row r="2400" spans="2:16" ht="15.75" customHeight="1">
      <c r="B2400" s="567"/>
      <c r="H2400" s="563"/>
      <c r="I2400" s="538"/>
      <c r="J2400" s="564"/>
      <c r="N2400" s="563"/>
      <c r="O2400" s="563"/>
      <c r="P2400" s="563"/>
    </row>
    <row r="2401" spans="2:16" ht="15.75" customHeight="1">
      <c r="B2401" s="567"/>
      <c r="H2401" s="563"/>
      <c r="I2401" s="538"/>
      <c r="J2401" s="564"/>
      <c r="N2401" s="563"/>
      <c r="O2401" s="563"/>
      <c r="P2401" s="563"/>
    </row>
    <row r="2402" spans="2:16" ht="15.75" customHeight="1">
      <c r="B2402" s="567"/>
      <c r="H2402" s="563"/>
      <c r="I2402" s="538"/>
      <c r="J2402" s="564"/>
      <c r="N2402" s="563"/>
      <c r="O2402" s="563"/>
      <c r="P2402" s="563"/>
    </row>
    <row r="2403" spans="2:16" ht="15.75" customHeight="1">
      <c r="B2403" s="567"/>
      <c r="H2403" s="563"/>
      <c r="I2403" s="538"/>
      <c r="J2403" s="564"/>
      <c r="N2403" s="563"/>
      <c r="O2403" s="563"/>
      <c r="P2403" s="563"/>
    </row>
    <row r="2404" spans="2:16" ht="15.75" customHeight="1">
      <c r="B2404" s="567"/>
      <c r="H2404" s="563"/>
      <c r="I2404" s="538"/>
      <c r="J2404" s="564"/>
      <c r="N2404" s="563"/>
      <c r="O2404" s="563"/>
      <c r="P2404" s="563"/>
    </row>
    <row r="2405" spans="2:16" ht="15.75" customHeight="1">
      <c r="B2405" s="567"/>
      <c r="H2405" s="563"/>
      <c r="I2405" s="538"/>
      <c r="J2405" s="564"/>
      <c r="N2405" s="563"/>
      <c r="O2405" s="563"/>
      <c r="P2405" s="563"/>
    </row>
    <row r="2406" spans="2:16" ht="15.75" customHeight="1">
      <c r="B2406" s="567"/>
      <c r="H2406" s="563"/>
      <c r="I2406" s="538"/>
      <c r="J2406" s="564"/>
      <c r="N2406" s="563"/>
      <c r="O2406" s="563"/>
      <c r="P2406" s="563"/>
    </row>
    <row r="2407" spans="2:16" ht="15.75" customHeight="1">
      <c r="B2407" s="567"/>
      <c r="H2407" s="563"/>
      <c r="I2407" s="538"/>
      <c r="J2407" s="564"/>
      <c r="N2407" s="563"/>
      <c r="O2407" s="563"/>
      <c r="P2407" s="563"/>
    </row>
    <row r="2408" spans="2:16" ht="15.75" customHeight="1">
      <c r="B2408" s="567"/>
      <c r="H2408" s="563"/>
      <c r="I2408" s="538"/>
      <c r="J2408" s="564"/>
      <c r="N2408" s="563"/>
      <c r="O2408" s="563"/>
      <c r="P2408" s="563"/>
    </row>
    <row r="2409" spans="2:16" ht="15.75" customHeight="1">
      <c r="B2409" s="567"/>
      <c r="H2409" s="563"/>
      <c r="I2409" s="538"/>
      <c r="J2409" s="564"/>
      <c r="N2409" s="563"/>
      <c r="O2409" s="563"/>
      <c r="P2409" s="563"/>
    </row>
    <row r="2410" spans="2:16" ht="15.75" customHeight="1">
      <c r="B2410" s="567"/>
      <c r="H2410" s="563"/>
      <c r="I2410" s="538"/>
      <c r="J2410" s="564"/>
      <c r="N2410" s="563"/>
      <c r="O2410" s="563"/>
      <c r="P2410" s="563"/>
    </row>
    <row r="2411" spans="2:16" ht="15.75" customHeight="1">
      <c r="B2411" s="567"/>
      <c r="H2411" s="563"/>
      <c r="I2411" s="538"/>
      <c r="J2411" s="564"/>
      <c r="N2411" s="563"/>
      <c r="O2411" s="563"/>
      <c r="P2411" s="563"/>
    </row>
    <row r="2412" spans="2:16" ht="15.75" customHeight="1">
      <c r="B2412" s="567"/>
      <c r="H2412" s="563"/>
      <c r="I2412" s="538"/>
      <c r="J2412" s="564"/>
      <c r="N2412" s="563"/>
      <c r="O2412" s="563"/>
      <c r="P2412" s="563"/>
    </row>
    <row r="2413" spans="2:16" ht="15.75" customHeight="1">
      <c r="B2413" s="567"/>
      <c r="H2413" s="563"/>
      <c r="I2413" s="538"/>
      <c r="J2413" s="564"/>
      <c r="N2413" s="563"/>
      <c r="O2413" s="563"/>
      <c r="P2413" s="563"/>
    </row>
    <row r="2414" spans="2:16" ht="15.75" customHeight="1">
      <c r="B2414" s="567"/>
      <c r="H2414" s="563"/>
      <c r="I2414" s="538"/>
      <c r="J2414" s="564"/>
      <c r="N2414" s="563"/>
      <c r="O2414" s="563"/>
      <c r="P2414" s="563"/>
    </row>
    <row r="2415" spans="2:16" ht="15.75" customHeight="1">
      <c r="B2415" s="567"/>
      <c r="H2415" s="563"/>
      <c r="I2415" s="538"/>
      <c r="J2415" s="564"/>
      <c r="N2415" s="563"/>
      <c r="O2415" s="563"/>
      <c r="P2415" s="563"/>
    </row>
    <row r="2416" spans="2:16" ht="15.75" customHeight="1">
      <c r="B2416" s="567"/>
      <c r="H2416" s="563"/>
      <c r="I2416" s="538"/>
      <c r="J2416" s="564"/>
      <c r="N2416" s="563"/>
      <c r="O2416" s="563"/>
      <c r="P2416" s="563"/>
    </row>
    <row r="2417" spans="2:16" ht="15.75" customHeight="1">
      <c r="B2417" s="567"/>
      <c r="H2417" s="563"/>
      <c r="I2417" s="538"/>
      <c r="J2417" s="564"/>
      <c r="N2417" s="563"/>
      <c r="O2417" s="563"/>
      <c r="P2417" s="563"/>
    </row>
    <row r="2418" spans="2:16" ht="15.75" customHeight="1">
      <c r="B2418" s="567"/>
      <c r="H2418" s="563"/>
      <c r="I2418" s="538"/>
      <c r="J2418" s="564"/>
      <c r="N2418" s="563"/>
      <c r="O2418" s="563"/>
      <c r="P2418" s="563"/>
    </row>
    <row r="2419" spans="2:16" ht="15.75" customHeight="1">
      <c r="B2419" s="567"/>
      <c r="H2419" s="563"/>
      <c r="I2419" s="538"/>
      <c r="J2419" s="564"/>
      <c r="N2419" s="563"/>
      <c r="O2419" s="563"/>
      <c r="P2419" s="563"/>
    </row>
    <row r="2420" spans="2:16" ht="15.75" customHeight="1">
      <c r="B2420" s="567"/>
      <c r="H2420" s="563"/>
      <c r="I2420" s="538"/>
      <c r="J2420" s="564"/>
      <c r="N2420" s="563"/>
      <c r="O2420" s="563"/>
      <c r="P2420" s="563"/>
    </row>
    <row r="2421" spans="2:16" ht="15.75" customHeight="1">
      <c r="B2421" s="567"/>
      <c r="H2421" s="563"/>
      <c r="I2421" s="538"/>
      <c r="J2421" s="564"/>
      <c r="N2421" s="563"/>
      <c r="O2421" s="563"/>
      <c r="P2421" s="563"/>
    </row>
    <row r="2422" spans="2:16" ht="15.75" customHeight="1">
      <c r="B2422" s="567"/>
      <c r="H2422" s="563"/>
      <c r="I2422" s="538"/>
      <c r="J2422" s="564"/>
      <c r="N2422" s="563"/>
      <c r="O2422" s="563"/>
      <c r="P2422" s="563"/>
    </row>
    <row r="2423" spans="2:16" ht="15.75" customHeight="1">
      <c r="B2423" s="567"/>
      <c r="H2423" s="563"/>
      <c r="I2423" s="538"/>
      <c r="J2423" s="564"/>
      <c r="N2423" s="563"/>
      <c r="O2423" s="563"/>
      <c r="P2423" s="563"/>
    </row>
    <row r="2424" spans="2:16" ht="15.75" customHeight="1">
      <c r="B2424" s="567"/>
      <c r="H2424" s="563"/>
      <c r="I2424" s="538"/>
      <c r="J2424" s="564"/>
      <c r="N2424" s="563"/>
      <c r="O2424" s="563"/>
      <c r="P2424" s="563"/>
    </row>
    <row r="2425" spans="2:16" ht="15.75" customHeight="1">
      <c r="B2425" s="567"/>
      <c r="H2425" s="563"/>
      <c r="I2425" s="538"/>
      <c r="J2425" s="564"/>
      <c r="N2425" s="563"/>
      <c r="O2425" s="563"/>
      <c r="P2425" s="563"/>
    </row>
    <row r="2426" spans="2:16" ht="15.75" customHeight="1">
      <c r="B2426" s="567"/>
      <c r="H2426" s="563"/>
      <c r="I2426" s="538"/>
      <c r="J2426" s="564"/>
      <c r="N2426" s="563"/>
      <c r="O2426" s="563"/>
      <c r="P2426" s="563"/>
    </row>
    <row r="2427" spans="2:16" ht="15.75" customHeight="1">
      <c r="B2427" s="567"/>
      <c r="H2427" s="563"/>
      <c r="I2427" s="538"/>
      <c r="J2427" s="564"/>
      <c r="N2427" s="563"/>
      <c r="O2427" s="563"/>
      <c r="P2427" s="563"/>
    </row>
    <row r="2428" spans="2:16" ht="15.75" customHeight="1">
      <c r="B2428" s="567"/>
      <c r="H2428" s="563"/>
      <c r="I2428" s="538"/>
      <c r="J2428" s="564"/>
      <c r="N2428" s="563"/>
      <c r="O2428" s="563"/>
      <c r="P2428" s="563"/>
    </row>
    <row r="2429" spans="2:16" ht="15.75" customHeight="1">
      <c r="B2429" s="567"/>
      <c r="H2429" s="563"/>
      <c r="I2429" s="538"/>
      <c r="J2429" s="564"/>
      <c r="N2429" s="563"/>
      <c r="O2429" s="563"/>
      <c r="P2429" s="563"/>
    </row>
    <row r="2430" spans="2:16" ht="15.75" customHeight="1">
      <c r="B2430" s="567"/>
      <c r="H2430" s="563"/>
      <c r="I2430" s="538"/>
      <c r="J2430" s="564"/>
      <c r="N2430" s="563"/>
      <c r="O2430" s="563"/>
      <c r="P2430" s="563"/>
    </row>
    <row r="2431" spans="2:16" ht="15.75" customHeight="1">
      <c r="B2431" s="567"/>
      <c r="H2431" s="563"/>
      <c r="I2431" s="538"/>
      <c r="J2431" s="564"/>
      <c r="N2431" s="563"/>
      <c r="O2431" s="563"/>
      <c r="P2431" s="563"/>
    </row>
    <row r="2432" spans="2:16" ht="15.75" customHeight="1">
      <c r="B2432" s="567"/>
      <c r="H2432" s="563"/>
      <c r="I2432" s="538"/>
      <c r="J2432" s="564"/>
      <c r="N2432" s="563"/>
      <c r="O2432" s="563"/>
      <c r="P2432" s="563"/>
    </row>
    <row r="2433" spans="2:16" ht="15.75" customHeight="1">
      <c r="B2433" s="567"/>
      <c r="H2433" s="563"/>
      <c r="I2433" s="538"/>
      <c r="J2433" s="564"/>
      <c r="N2433" s="563"/>
      <c r="O2433" s="563"/>
      <c r="P2433" s="563"/>
    </row>
    <row r="2434" spans="2:16" ht="15.75" customHeight="1">
      <c r="B2434" s="567"/>
      <c r="H2434" s="563"/>
      <c r="I2434" s="538"/>
      <c r="J2434" s="564"/>
      <c r="N2434" s="563"/>
      <c r="O2434" s="563"/>
      <c r="P2434" s="563"/>
    </row>
    <row r="2435" spans="2:16" ht="15.75" customHeight="1">
      <c r="B2435" s="567"/>
      <c r="H2435" s="563"/>
      <c r="I2435" s="538"/>
      <c r="J2435" s="564"/>
      <c r="N2435" s="563"/>
      <c r="O2435" s="563"/>
      <c r="P2435" s="563"/>
    </row>
    <row r="2436" spans="2:16" ht="15.75" customHeight="1">
      <c r="B2436" s="567"/>
      <c r="H2436" s="563"/>
      <c r="I2436" s="538"/>
      <c r="J2436" s="564"/>
      <c r="N2436" s="563"/>
      <c r="O2436" s="563"/>
      <c r="P2436" s="563"/>
    </row>
    <row r="2437" spans="2:16" ht="15.75" customHeight="1">
      <c r="B2437" s="567"/>
      <c r="H2437" s="563"/>
      <c r="I2437" s="538"/>
      <c r="J2437" s="564"/>
      <c r="N2437" s="563"/>
      <c r="O2437" s="563"/>
      <c r="P2437" s="563"/>
    </row>
    <row r="2438" spans="2:16" ht="15.75" customHeight="1">
      <c r="B2438" s="567"/>
      <c r="H2438" s="563"/>
      <c r="I2438" s="538"/>
      <c r="J2438" s="564"/>
      <c r="N2438" s="563"/>
      <c r="O2438" s="563"/>
      <c r="P2438" s="563"/>
    </row>
    <row r="2439" spans="2:16" ht="15.75" customHeight="1">
      <c r="B2439" s="567"/>
      <c r="H2439" s="563"/>
      <c r="I2439" s="538"/>
      <c r="J2439" s="564"/>
      <c r="N2439" s="563"/>
      <c r="O2439" s="563"/>
      <c r="P2439" s="563"/>
    </row>
    <row r="2440" spans="2:16" ht="15.75" customHeight="1">
      <c r="B2440" s="567"/>
      <c r="H2440" s="563"/>
      <c r="I2440" s="538"/>
      <c r="J2440" s="564"/>
      <c r="N2440" s="563"/>
      <c r="O2440" s="563"/>
      <c r="P2440" s="563"/>
    </row>
    <row r="2441" spans="2:16" ht="15.75" customHeight="1">
      <c r="B2441" s="567"/>
      <c r="H2441" s="563"/>
      <c r="I2441" s="538"/>
      <c r="J2441" s="564"/>
      <c r="N2441" s="563"/>
      <c r="O2441" s="563"/>
      <c r="P2441" s="563"/>
    </row>
    <row r="2442" spans="2:16" ht="15.75" customHeight="1">
      <c r="B2442" s="567"/>
      <c r="H2442" s="563"/>
      <c r="I2442" s="538"/>
      <c r="J2442" s="564"/>
      <c r="N2442" s="563"/>
      <c r="O2442" s="563"/>
      <c r="P2442" s="563"/>
    </row>
    <row r="2443" spans="2:16" ht="15.75" customHeight="1">
      <c r="B2443" s="567"/>
      <c r="H2443" s="563"/>
      <c r="I2443" s="538"/>
      <c r="J2443" s="564"/>
      <c r="N2443" s="563"/>
      <c r="O2443" s="563"/>
      <c r="P2443" s="563"/>
    </row>
    <row r="2444" spans="2:16" ht="15.75" customHeight="1">
      <c r="B2444" s="567"/>
      <c r="H2444" s="563"/>
      <c r="I2444" s="538"/>
      <c r="J2444" s="564"/>
      <c r="N2444" s="563"/>
      <c r="O2444" s="563"/>
      <c r="P2444" s="563"/>
    </row>
    <row r="2445" spans="2:16" ht="15.75" customHeight="1">
      <c r="B2445" s="567"/>
      <c r="H2445" s="563"/>
      <c r="I2445" s="538"/>
      <c r="J2445" s="564"/>
      <c r="N2445" s="563"/>
      <c r="O2445" s="563"/>
      <c r="P2445" s="563"/>
    </row>
    <row r="2446" spans="2:16" ht="15.75" customHeight="1">
      <c r="B2446" s="567"/>
      <c r="H2446" s="563"/>
      <c r="I2446" s="538"/>
      <c r="J2446" s="564"/>
      <c r="N2446" s="563"/>
      <c r="O2446" s="563"/>
      <c r="P2446" s="563"/>
    </row>
    <row r="2447" spans="2:16" ht="15.75" customHeight="1">
      <c r="B2447" s="567"/>
      <c r="H2447" s="563"/>
      <c r="I2447" s="538"/>
      <c r="J2447" s="564"/>
      <c r="N2447" s="563"/>
      <c r="O2447" s="563"/>
      <c r="P2447" s="563"/>
    </row>
    <row r="2448" spans="2:16" ht="15.75" customHeight="1">
      <c r="B2448" s="567"/>
      <c r="H2448" s="563"/>
      <c r="I2448" s="538"/>
      <c r="J2448" s="564"/>
      <c r="N2448" s="563"/>
      <c r="O2448" s="563"/>
      <c r="P2448" s="563"/>
    </row>
    <row r="2449" spans="2:16" ht="15.75" customHeight="1">
      <c r="B2449" s="567"/>
      <c r="H2449" s="563"/>
      <c r="I2449" s="538"/>
      <c r="J2449" s="564"/>
      <c r="N2449" s="563"/>
      <c r="O2449" s="563"/>
      <c r="P2449" s="563"/>
    </row>
    <row r="2450" spans="2:16" ht="15.75" customHeight="1">
      <c r="B2450" s="567"/>
      <c r="H2450" s="563"/>
      <c r="I2450" s="538"/>
      <c r="J2450" s="564"/>
      <c r="N2450" s="563"/>
      <c r="O2450" s="563"/>
      <c r="P2450" s="563"/>
    </row>
    <row r="2451" spans="2:16" ht="15.75" customHeight="1">
      <c r="B2451" s="567"/>
      <c r="H2451" s="563"/>
      <c r="I2451" s="538"/>
      <c r="J2451" s="564"/>
      <c r="N2451" s="563"/>
      <c r="O2451" s="563"/>
      <c r="P2451" s="563"/>
    </row>
    <row r="2452" spans="2:16" ht="15.75" customHeight="1">
      <c r="B2452" s="567"/>
      <c r="H2452" s="563"/>
      <c r="I2452" s="538"/>
      <c r="J2452" s="564"/>
      <c r="N2452" s="563"/>
      <c r="O2452" s="563"/>
      <c r="P2452" s="563"/>
    </row>
    <row r="2453" spans="2:16" ht="15.75" customHeight="1">
      <c r="B2453" s="567"/>
      <c r="H2453" s="563"/>
      <c r="I2453" s="538"/>
      <c r="J2453" s="564"/>
      <c r="N2453" s="563"/>
      <c r="O2453" s="563"/>
      <c r="P2453" s="563"/>
    </row>
    <row r="2454" spans="2:16" ht="15.75" customHeight="1">
      <c r="B2454" s="567"/>
      <c r="H2454" s="563"/>
      <c r="I2454" s="538"/>
      <c r="J2454" s="564"/>
      <c r="N2454" s="563"/>
      <c r="O2454" s="563"/>
      <c r="P2454" s="563"/>
    </row>
    <row r="2455" spans="2:16" ht="15.75" customHeight="1">
      <c r="B2455" s="567"/>
      <c r="H2455" s="563"/>
      <c r="I2455" s="538"/>
      <c r="J2455" s="564"/>
      <c r="N2455" s="563"/>
      <c r="O2455" s="563"/>
      <c r="P2455" s="563"/>
    </row>
    <row r="2456" spans="2:16" ht="15.75" customHeight="1">
      <c r="B2456" s="567"/>
      <c r="H2456" s="563"/>
      <c r="I2456" s="538"/>
      <c r="J2456" s="564"/>
      <c r="N2456" s="563"/>
      <c r="O2456" s="563"/>
      <c r="P2456" s="563"/>
    </row>
    <row r="2457" spans="2:16" ht="15.75" customHeight="1">
      <c r="B2457" s="567"/>
      <c r="H2457" s="563"/>
      <c r="I2457" s="538"/>
      <c r="J2457" s="564"/>
      <c r="N2457" s="563"/>
      <c r="O2457" s="563"/>
      <c r="P2457" s="563"/>
    </row>
    <row r="2458" spans="2:16" ht="15.75" customHeight="1">
      <c r="B2458" s="567"/>
      <c r="H2458" s="563"/>
      <c r="I2458" s="538"/>
      <c r="J2458" s="564"/>
      <c r="N2458" s="563"/>
      <c r="O2458" s="563"/>
      <c r="P2458" s="563"/>
    </row>
    <row r="2459" spans="2:16" ht="15.75" customHeight="1">
      <c r="B2459" s="567"/>
      <c r="H2459" s="563"/>
      <c r="I2459" s="538"/>
      <c r="J2459" s="564"/>
      <c r="N2459" s="563"/>
      <c r="O2459" s="563"/>
      <c r="P2459" s="563"/>
    </row>
    <row r="2460" spans="2:16" ht="15.75" customHeight="1">
      <c r="B2460" s="567"/>
      <c r="H2460" s="563"/>
      <c r="I2460" s="538"/>
      <c r="J2460" s="564"/>
      <c r="N2460" s="563"/>
      <c r="O2460" s="563"/>
      <c r="P2460" s="563"/>
    </row>
    <row r="2461" spans="2:16" ht="15.75" customHeight="1">
      <c r="B2461" s="567"/>
      <c r="H2461" s="563"/>
      <c r="I2461" s="538"/>
      <c r="J2461" s="564"/>
      <c r="N2461" s="563"/>
      <c r="O2461" s="563"/>
      <c r="P2461" s="563"/>
    </row>
    <row r="2462" spans="2:16" ht="15.75" customHeight="1">
      <c r="B2462" s="567"/>
      <c r="H2462" s="563"/>
      <c r="I2462" s="538"/>
      <c r="J2462" s="564"/>
      <c r="N2462" s="563"/>
      <c r="O2462" s="563"/>
      <c r="P2462" s="563"/>
    </row>
    <row r="2463" spans="2:16" ht="15.75" customHeight="1">
      <c r="B2463" s="567"/>
      <c r="H2463" s="563"/>
      <c r="I2463" s="538"/>
      <c r="J2463" s="564"/>
      <c r="N2463" s="563"/>
      <c r="O2463" s="563"/>
      <c r="P2463" s="563"/>
    </row>
    <row r="2464" spans="2:16" ht="15.75" customHeight="1">
      <c r="B2464" s="567"/>
      <c r="H2464" s="563"/>
      <c r="I2464" s="538"/>
      <c r="J2464" s="564"/>
      <c r="N2464" s="563"/>
      <c r="O2464" s="563"/>
      <c r="P2464" s="563"/>
    </row>
    <row r="2465" spans="2:16" ht="15.75" customHeight="1">
      <c r="B2465" s="567"/>
      <c r="H2465" s="563"/>
      <c r="I2465" s="538"/>
      <c r="J2465" s="564"/>
      <c r="N2465" s="563"/>
      <c r="O2465" s="563"/>
      <c r="P2465" s="563"/>
    </row>
    <row r="2466" spans="2:16" ht="15.75" customHeight="1">
      <c r="B2466" s="567"/>
      <c r="H2466" s="563"/>
      <c r="I2466" s="538"/>
      <c r="J2466" s="564"/>
      <c r="N2466" s="563"/>
      <c r="O2466" s="563"/>
      <c r="P2466" s="563"/>
    </row>
    <row r="2467" spans="2:16" ht="15.75" customHeight="1">
      <c r="B2467" s="567"/>
      <c r="H2467" s="563"/>
      <c r="I2467" s="538"/>
      <c r="J2467" s="564"/>
      <c r="N2467" s="563"/>
      <c r="O2467" s="563"/>
      <c r="P2467" s="563"/>
    </row>
    <row r="2468" spans="2:16" ht="15.75" customHeight="1">
      <c r="B2468" s="567"/>
      <c r="H2468" s="563"/>
      <c r="I2468" s="538"/>
      <c r="J2468" s="564"/>
      <c r="N2468" s="563"/>
      <c r="O2468" s="563"/>
      <c r="P2468" s="563"/>
    </row>
    <row r="2469" spans="2:16" ht="15.75" customHeight="1">
      <c r="B2469" s="567"/>
      <c r="H2469" s="563"/>
      <c r="I2469" s="538"/>
      <c r="J2469" s="564"/>
      <c r="N2469" s="563"/>
      <c r="O2469" s="563"/>
      <c r="P2469" s="563"/>
    </row>
    <row r="2470" spans="2:16" ht="15.75" customHeight="1">
      <c r="B2470" s="567"/>
      <c r="H2470" s="563"/>
      <c r="I2470" s="538"/>
      <c r="J2470" s="564"/>
      <c r="N2470" s="563"/>
      <c r="O2470" s="563"/>
      <c r="P2470" s="563"/>
    </row>
    <row r="2471" spans="2:16" ht="15.75" customHeight="1">
      <c r="B2471" s="567"/>
      <c r="H2471" s="563"/>
      <c r="I2471" s="538"/>
      <c r="J2471" s="564"/>
      <c r="N2471" s="563"/>
      <c r="O2471" s="563"/>
      <c r="P2471" s="563"/>
    </row>
    <row r="2472" spans="2:16" ht="15.75" customHeight="1">
      <c r="B2472" s="567"/>
      <c r="H2472" s="563"/>
      <c r="I2472" s="538"/>
      <c r="J2472" s="564"/>
      <c r="N2472" s="563"/>
      <c r="O2472" s="563"/>
      <c r="P2472" s="563"/>
    </row>
    <row r="2473" spans="2:16" ht="15.75" customHeight="1">
      <c r="B2473" s="567"/>
      <c r="H2473" s="563"/>
      <c r="I2473" s="538"/>
      <c r="J2473" s="564"/>
      <c r="N2473" s="563"/>
      <c r="O2473" s="563"/>
      <c r="P2473" s="563"/>
    </row>
    <row r="2474" spans="2:16" ht="15.75" customHeight="1">
      <c r="B2474" s="567"/>
      <c r="H2474" s="563"/>
      <c r="I2474" s="538"/>
      <c r="J2474" s="564"/>
      <c r="N2474" s="563"/>
      <c r="O2474" s="563"/>
      <c r="P2474" s="563"/>
    </row>
    <row r="2475" spans="2:16" ht="15.75" customHeight="1">
      <c r="B2475" s="567"/>
      <c r="H2475" s="563"/>
      <c r="I2475" s="538"/>
      <c r="J2475" s="564"/>
      <c r="N2475" s="563"/>
      <c r="O2475" s="563"/>
      <c r="P2475" s="563"/>
    </row>
    <row r="2476" spans="2:16" ht="15.75" customHeight="1">
      <c r="B2476" s="567"/>
      <c r="H2476" s="563"/>
      <c r="I2476" s="538"/>
      <c r="J2476" s="564"/>
      <c r="N2476" s="563"/>
      <c r="O2476" s="563"/>
      <c r="P2476" s="563"/>
    </row>
    <row r="2477" spans="2:16" ht="15.75" customHeight="1">
      <c r="B2477" s="567"/>
      <c r="H2477" s="563"/>
      <c r="I2477" s="538"/>
      <c r="J2477" s="564"/>
      <c r="N2477" s="563"/>
      <c r="O2477" s="563"/>
      <c r="P2477" s="563"/>
    </row>
    <row r="2478" spans="2:16" ht="15.75" customHeight="1">
      <c r="B2478" s="567"/>
      <c r="H2478" s="563"/>
      <c r="I2478" s="538"/>
      <c r="J2478" s="564"/>
      <c r="N2478" s="563"/>
      <c r="O2478" s="563"/>
      <c r="P2478" s="563"/>
    </row>
    <row r="2479" spans="2:16" ht="15.75" customHeight="1">
      <c r="B2479" s="567"/>
      <c r="H2479" s="563"/>
      <c r="I2479" s="538"/>
      <c r="J2479" s="564"/>
      <c r="N2479" s="563"/>
      <c r="O2479" s="563"/>
      <c r="P2479" s="563"/>
    </row>
    <row r="2480" spans="2:16" ht="15.75" customHeight="1">
      <c r="B2480" s="567"/>
      <c r="H2480" s="563"/>
      <c r="I2480" s="538"/>
      <c r="J2480" s="564"/>
      <c r="N2480" s="563"/>
      <c r="O2480" s="563"/>
      <c r="P2480" s="563"/>
    </row>
    <row r="2481" spans="2:16" ht="15.75" customHeight="1">
      <c r="B2481" s="567"/>
      <c r="H2481" s="563"/>
      <c r="I2481" s="538"/>
      <c r="J2481" s="564"/>
      <c r="N2481" s="563"/>
      <c r="O2481" s="563"/>
      <c r="P2481" s="563"/>
    </row>
    <row r="2482" spans="2:16" ht="15.75" customHeight="1">
      <c r="B2482" s="567"/>
      <c r="H2482" s="563"/>
      <c r="I2482" s="538"/>
      <c r="J2482" s="564"/>
      <c r="N2482" s="563"/>
      <c r="O2482" s="563"/>
      <c r="P2482" s="563"/>
    </row>
    <row r="2483" spans="2:16" ht="15.75" customHeight="1">
      <c r="B2483" s="567"/>
      <c r="H2483" s="563"/>
      <c r="I2483" s="538"/>
      <c r="J2483" s="564"/>
      <c r="N2483" s="563"/>
      <c r="O2483" s="563"/>
      <c r="P2483" s="563"/>
    </row>
    <row r="2484" spans="2:16" ht="15.75" customHeight="1">
      <c r="B2484" s="567"/>
      <c r="H2484" s="563"/>
      <c r="I2484" s="538"/>
      <c r="J2484" s="564"/>
      <c r="N2484" s="563"/>
      <c r="O2484" s="563"/>
      <c r="P2484" s="563"/>
    </row>
    <row r="2485" spans="2:16" ht="15.75" customHeight="1">
      <c r="B2485" s="567"/>
      <c r="H2485" s="563"/>
      <c r="I2485" s="538"/>
      <c r="J2485" s="564"/>
      <c r="N2485" s="563"/>
      <c r="O2485" s="563"/>
      <c r="P2485" s="563"/>
    </row>
    <row r="2486" spans="2:16" ht="15.75" customHeight="1">
      <c r="B2486" s="567"/>
      <c r="H2486" s="563"/>
      <c r="I2486" s="538"/>
      <c r="J2486" s="564"/>
      <c r="N2486" s="563"/>
      <c r="O2486" s="563"/>
      <c r="P2486" s="563"/>
    </row>
    <row r="2487" spans="2:16" ht="15.75" customHeight="1">
      <c r="B2487" s="567"/>
      <c r="H2487" s="563"/>
      <c r="I2487" s="538"/>
      <c r="J2487" s="564"/>
      <c r="N2487" s="563"/>
      <c r="O2487" s="563"/>
      <c r="P2487" s="563"/>
    </row>
    <row r="2488" spans="2:16" ht="15.75" customHeight="1">
      <c r="B2488" s="567"/>
      <c r="H2488" s="563"/>
      <c r="I2488" s="538"/>
      <c r="J2488" s="564"/>
      <c r="N2488" s="563"/>
      <c r="O2488" s="563"/>
      <c r="P2488" s="563"/>
    </row>
    <row r="2489" spans="2:16" ht="15.75" customHeight="1">
      <c r="B2489" s="567"/>
      <c r="H2489" s="563"/>
      <c r="I2489" s="538"/>
      <c r="J2489" s="564"/>
      <c r="N2489" s="563"/>
      <c r="O2489" s="563"/>
      <c r="P2489" s="563"/>
    </row>
    <row r="2490" spans="2:16" ht="15.75" customHeight="1">
      <c r="B2490" s="567"/>
      <c r="H2490" s="563"/>
      <c r="I2490" s="538"/>
      <c r="J2490" s="564"/>
      <c r="N2490" s="563"/>
      <c r="O2490" s="563"/>
      <c r="P2490" s="563"/>
    </row>
    <row r="2491" spans="2:16" ht="15.75" customHeight="1">
      <c r="B2491" s="567"/>
      <c r="H2491" s="563"/>
      <c r="I2491" s="538"/>
      <c r="J2491" s="564"/>
      <c r="N2491" s="563"/>
      <c r="O2491" s="563"/>
      <c r="P2491" s="563"/>
    </row>
    <row r="2492" spans="2:16" ht="15.75" customHeight="1">
      <c r="B2492" s="567"/>
      <c r="H2492" s="563"/>
      <c r="I2492" s="538"/>
      <c r="J2492" s="564"/>
      <c r="N2492" s="563"/>
      <c r="O2492" s="563"/>
      <c r="P2492" s="563"/>
    </row>
    <row r="2493" spans="2:16" ht="15.75" customHeight="1">
      <c r="B2493" s="567"/>
      <c r="H2493" s="563"/>
      <c r="I2493" s="538"/>
      <c r="J2493" s="564"/>
      <c r="N2493" s="563"/>
      <c r="O2493" s="563"/>
      <c r="P2493" s="563"/>
    </row>
    <row r="2494" spans="2:16" ht="15.75" customHeight="1">
      <c r="B2494" s="567"/>
      <c r="H2494" s="563"/>
      <c r="I2494" s="538"/>
      <c r="J2494" s="564"/>
      <c r="N2494" s="563"/>
      <c r="O2494" s="563"/>
      <c r="P2494" s="563"/>
    </row>
    <row r="2495" spans="2:16" ht="15.75" customHeight="1">
      <c r="B2495" s="567"/>
      <c r="H2495" s="563"/>
      <c r="I2495" s="538"/>
      <c r="J2495" s="564"/>
      <c r="N2495" s="563"/>
      <c r="O2495" s="563"/>
      <c r="P2495" s="563"/>
    </row>
    <row r="2496" spans="2:16" ht="15.75" customHeight="1">
      <c r="B2496" s="567"/>
      <c r="H2496" s="563"/>
      <c r="I2496" s="538"/>
      <c r="J2496" s="564"/>
      <c r="N2496" s="563"/>
      <c r="O2496" s="563"/>
      <c r="P2496" s="563"/>
    </row>
    <row r="2497" spans="2:16" ht="15.75" customHeight="1">
      <c r="B2497" s="567"/>
      <c r="H2497" s="563"/>
      <c r="I2497" s="538"/>
      <c r="J2497" s="564"/>
      <c r="N2497" s="563"/>
      <c r="O2497" s="563"/>
      <c r="P2497" s="563"/>
    </row>
    <row r="2498" spans="2:16" ht="15.75" customHeight="1">
      <c r="B2498" s="567"/>
      <c r="H2498" s="563"/>
      <c r="I2498" s="538"/>
      <c r="J2498" s="564"/>
      <c r="N2498" s="563"/>
      <c r="O2498" s="563"/>
      <c r="P2498" s="563"/>
    </row>
    <row r="2499" spans="2:16" ht="15.75" customHeight="1">
      <c r="B2499" s="567"/>
      <c r="H2499" s="563"/>
      <c r="I2499" s="538"/>
      <c r="J2499" s="564"/>
      <c r="N2499" s="563"/>
      <c r="O2499" s="563"/>
      <c r="P2499" s="563"/>
    </row>
    <row r="2500" spans="2:16" ht="15.75" customHeight="1">
      <c r="B2500" s="567"/>
      <c r="H2500" s="563"/>
      <c r="I2500" s="538"/>
      <c r="J2500" s="564"/>
      <c r="N2500" s="563"/>
      <c r="O2500" s="563"/>
      <c r="P2500" s="563"/>
    </row>
    <row r="2501" spans="2:16" ht="15.75" customHeight="1">
      <c r="B2501" s="567"/>
      <c r="H2501" s="563"/>
      <c r="I2501" s="538"/>
      <c r="J2501" s="564"/>
      <c r="N2501" s="563"/>
      <c r="O2501" s="563"/>
      <c r="P2501" s="563"/>
    </row>
    <row r="2502" spans="2:16" ht="15.75" customHeight="1">
      <c r="B2502" s="567"/>
      <c r="H2502" s="563"/>
      <c r="I2502" s="538"/>
      <c r="J2502" s="564"/>
      <c r="N2502" s="563"/>
      <c r="O2502" s="563"/>
      <c r="P2502" s="563"/>
    </row>
    <row r="2503" spans="2:16" ht="15.75" customHeight="1">
      <c r="B2503" s="567"/>
      <c r="H2503" s="563"/>
      <c r="I2503" s="538"/>
      <c r="J2503" s="564"/>
      <c r="N2503" s="563"/>
      <c r="O2503" s="563"/>
      <c r="P2503" s="563"/>
    </row>
    <row r="2504" spans="2:16" ht="15.75" customHeight="1">
      <c r="B2504" s="567"/>
      <c r="H2504" s="563"/>
      <c r="I2504" s="538"/>
      <c r="J2504" s="564"/>
      <c r="N2504" s="563"/>
      <c r="O2504" s="563"/>
      <c r="P2504" s="563"/>
    </row>
    <row r="2505" spans="2:16" ht="15.75" customHeight="1">
      <c r="B2505" s="567"/>
      <c r="H2505" s="563"/>
      <c r="I2505" s="538"/>
      <c r="J2505" s="564"/>
      <c r="N2505" s="563"/>
      <c r="O2505" s="563"/>
      <c r="P2505" s="563"/>
    </row>
    <row r="2506" spans="2:16" ht="15.75" customHeight="1">
      <c r="B2506" s="567"/>
      <c r="H2506" s="563"/>
      <c r="I2506" s="538"/>
      <c r="J2506" s="564"/>
      <c r="N2506" s="563"/>
      <c r="O2506" s="563"/>
      <c r="P2506" s="563"/>
    </row>
    <row r="2507" spans="2:16" ht="15.75" customHeight="1">
      <c r="B2507" s="567"/>
      <c r="H2507" s="563"/>
      <c r="I2507" s="538"/>
      <c r="J2507" s="564"/>
      <c r="N2507" s="563"/>
      <c r="O2507" s="563"/>
      <c r="P2507" s="563"/>
    </row>
    <row r="2508" spans="2:16" ht="15.75" customHeight="1">
      <c r="B2508" s="567"/>
      <c r="H2508" s="563"/>
      <c r="I2508" s="538"/>
      <c r="J2508" s="564"/>
      <c r="N2508" s="563"/>
      <c r="O2508" s="563"/>
      <c r="P2508" s="563"/>
    </row>
    <row r="2509" spans="2:16" ht="15.75" customHeight="1">
      <c r="B2509" s="567"/>
      <c r="H2509" s="563"/>
      <c r="I2509" s="538"/>
      <c r="J2509" s="564"/>
      <c r="N2509" s="563"/>
      <c r="O2509" s="563"/>
      <c r="P2509" s="563"/>
    </row>
    <row r="2510" spans="2:16" ht="15.75" customHeight="1">
      <c r="B2510" s="567"/>
      <c r="H2510" s="563"/>
      <c r="I2510" s="538"/>
      <c r="J2510" s="564"/>
      <c r="N2510" s="563"/>
      <c r="O2510" s="563"/>
      <c r="P2510" s="563"/>
    </row>
    <row r="2511" spans="2:16" ht="15.75" customHeight="1">
      <c r="B2511" s="567"/>
      <c r="H2511" s="563"/>
      <c r="I2511" s="538"/>
      <c r="J2511" s="564"/>
      <c r="N2511" s="563"/>
      <c r="O2511" s="563"/>
      <c r="P2511" s="563"/>
    </row>
    <row r="2512" spans="2:16" ht="15.75" customHeight="1">
      <c r="B2512" s="567"/>
      <c r="H2512" s="563"/>
      <c r="I2512" s="538"/>
      <c r="J2512" s="564"/>
      <c r="N2512" s="563"/>
      <c r="O2512" s="563"/>
      <c r="P2512" s="563"/>
    </row>
    <row r="2513" spans="2:16" ht="15.75" customHeight="1">
      <c r="B2513" s="567"/>
      <c r="H2513" s="563"/>
      <c r="I2513" s="538"/>
      <c r="J2513" s="564"/>
      <c r="N2513" s="563"/>
      <c r="O2513" s="563"/>
      <c r="P2513" s="563"/>
    </row>
    <row r="2514" spans="2:16" ht="15.75" customHeight="1">
      <c r="B2514" s="567"/>
      <c r="H2514" s="563"/>
      <c r="I2514" s="538"/>
      <c r="J2514" s="564"/>
      <c r="N2514" s="563"/>
      <c r="O2514" s="563"/>
      <c r="P2514" s="563"/>
    </row>
    <row r="2515" spans="2:16" ht="15.75" customHeight="1">
      <c r="B2515" s="567"/>
      <c r="H2515" s="563"/>
      <c r="I2515" s="538"/>
      <c r="J2515" s="564"/>
      <c r="N2515" s="563"/>
      <c r="O2515" s="563"/>
      <c r="P2515" s="563"/>
    </row>
    <row r="2516" spans="2:16" ht="15.75" customHeight="1">
      <c r="B2516" s="567"/>
      <c r="H2516" s="563"/>
      <c r="I2516" s="538"/>
      <c r="J2516" s="564"/>
      <c r="N2516" s="563"/>
      <c r="O2516" s="563"/>
      <c r="P2516" s="563"/>
    </row>
    <row r="2517" spans="2:16" ht="15.75" customHeight="1">
      <c r="B2517" s="567"/>
      <c r="H2517" s="563"/>
      <c r="I2517" s="538"/>
      <c r="J2517" s="564"/>
      <c r="N2517" s="563"/>
      <c r="O2517" s="563"/>
      <c r="P2517" s="563"/>
    </row>
    <row r="2518" spans="2:16" ht="15.75" customHeight="1">
      <c r="B2518" s="567"/>
      <c r="H2518" s="563"/>
      <c r="I2518" s="538"/>
      <c r="J2518" s="564"/>
      <c r="N2518" s="563"/>
      <c r="O2518" s="563"/>
      <c r="P2518" s="563"/>
    </row>
    <row r="2519" spans="2:16" ht="15.75" customHeight="1">
      <c r="B2519" s="567"/>
      <c r="H2519" s="563"/>
      <c r="I2519" s="538"/>
      <c r="J2519" s="564"/>
      <c r="N2519" s="563"/>
      <c r="O2519" s="563"/>
      <c r="P2519" s="563"/>
    </row>
    <row r="2520" spans="2:16" ht="15.75" customHeight="1">
      <c r="B2520" s="567"/>
      <c r="H2520" s="563"/>
      <c r="I2520" s="538"/>
      <c r="J2520" s="564"/>
      <c r="N2520" s="563"/>
      <c r="O2520" s="563"/>
      <c r="P2520" s="563"/>
    </row>
    <row r="2521" spans="2:16" ht="15.75" customHeight="1">
      <c r="B2521" s="567"/>
      <c r="H2521" s="563"/>
      <c r="I2521" s="538"/>
      <c r="J2521" s="564"/>
      <c r="N2521" s="563"/>
      <c r="O2521" s="563"/>
      <c r="P2521" s="563"/>
    </row>
    <row r="2522" spans="2:16" ht="15.75" customHeight="1">
      <c r="B2522" s="567"/>
      <c r="H2522" s="563"/>
      <c r="I2522" s="538"/>
      <c r="J2522" s="564"/>
      <c r="N2522" s="563"/>
      <c r="O2522" s="563"/>
      <c r="P2522" s="563"/>
    </row>
    <row r="2523" spans="2:16" ht="15.75" customHeight="1">
      <c r="B2523" s="567"/>
      <c r="H2523" s="563"/>
      <c r="I2523" s="538"/>
      <c r="J2523" s="564"/>
      <c r="N2523" s="563"/>
      <c r="O2523" s="563"/>
      <c r="P2523" s="563"/>
    </row>
    <row r="2524" spans="2:16" ht="15.75" customHeight="1">
      <c r="B2524" s="567"/>
      <c r="H2524" s="563"/>
      <c r="I2524" s="538"/>
      <c r="J2524" s="564"/>
      <c r="N2524" s="563"/>
      <c r="O2524" s="563"/>
      <c r="P2524" s="563"/>
    </row>
    <row r="2525" spans="2:16" ht="15.75" customHeight="1">
      <c r="B2525" s="567"/>
      <c r="H2525" s="563"/>
      <c r="I2525" s="538"/>
      <c r="J2525" s="564"/>
      <c r="N2525" s="563"/>
      <c r="O2525" s="563"/>
      <c r="P2525" s="563"/>
    </row>
    <row r="2526" spans="2:16" ht="15.75" customHeight="1">
      <c r="B2526" s="567"/>
      <c r="H2526" s="563"/>
      <c r="I2526" s="538"/>
      <c r="J2526" s="564"/>
      <c r="N2526" s="563"/>
      <c r="O2526" s="563"/>
      <c r="P2526" s="563"/>
    </row>
    <row r="2527" spans="2:16" ht="15.75" customHeight="1">
      <c r="B2527" s="567"/>
      <c r="H2527" s="563"/>
      <c r="I2527" s="538"/>
      <c r="J2527" s="564"/>
      <c r="N2527" s="563"/>
      <c r="O2527" s="563"/>
      <c r="P2527" s="563"/>
    </row>
    <row r="2528" spans="2:16" ht="15.75" customHeight="1">
      <c r="B2528" s="567"/>
      <c r="H2528" s="563"/>
      <c r="I2528" s="538"/>
      <c r="J2528" s="564"/>
      <c r="N2528" s="563"/>
      <c r="O2528" s="563"/>
      <c r="P2528" s="563"/>
    </row>
    <row r="2529" spans="2:16" ht="15.75" customHeight="1">
      <c r="B2529" s="567"/>
      <c r="H2529" s="563"/>
      <c r="I2529" s="538"/>
      <c r="J2529" s="564"/>
      <c r="N2529" s="563"/>
      <c r="O2529" s="563"/>
      <c r="P2529" s="563"/>
    </row>
    <row r="2530" spans="2:16" ht="15.75" customHeight="1">
      <c r="B2530" s="567"/>
      <c r="H2530" s="563"/>
      <c r="I2530" s="538"/>
      <c r="J2530" s="564"/>
      <c r="N2530" s="563"/>
      <c r="O2530" s="563"/>
      <c r="P2530" s="563"/>
    </row>
    <row r="2531" spans="2:16" ht="15.75" customHeight="1">
      <c r="B2531" s="567"/>
      <c r="H2531" s="563"/>
      <c r="I2531" s="538"/>
      <c r="J2531" s="564"/>
      <c r="N2531" s="563"/>
      <c r="O2531" s="563"/>
      <c r="P2531" s="563"/>
    </row>
    <row r="2532" spans="2:16" ht="15.75" customHeight="1">
      <c r="B2532" s="567"/>
      <c r="H2532" s="563"/>
      <c r="I2532" s="538"/>
      <c r="J2532" s="564"/>
      <c r="N2532" s="563"/>
      <c r="O2532" s="563"/>
      <c r="P2532" s="563"/>
    </row>
    <row r="2533" spans="2:16" ht="15.75" customHeight="1">
      <c r="B2533" s="567"/>
      <c r="H2533" s="563"/>
      <c r="I2533" s="538"/>
      <c r="J2533" s="564"/>
      <c r="N2533" s="563"/>
      <c r="O2533" s="563"/>
      <c r="P2533" s="563"/>
    </row>
    <row r="2534" spans="2:16" ht="15.75" customHeight="1">
      <c r="B2534" s="567"/>
      <c r="H2534" s="563"/>
      <c r="I2534" s="538"/>
      <c r="J2534" s="564"/>
      <c r="N2534" s="563"/>
      <c r="O2534" s="563"/>
      <c r="P2534" s="563"/>
    </row>
    <row r="2535" spans="2:16" ht="15.75" customHeight="1">
      <c r="B2535" s="567"/>
      <c r="H2535" s="563"/>
      <c r="I2535" s="538"/>
      <c r="J2535" s="564"/>
      <c r="N2535" s="563"/>
      <c r="O2535" s="563"/>
      <c r="P2535" s="563"/>
    </row>
    <row r="2536" spans="2:16" ht="15.75" customHeight="1">
      <c r="B2536" s="567"/>
      <c r="H2536" s="563"/>
      <c r="I2536" s="538"/>
      <c r="J2536" s="564"/>
      <c r="N2536" s="563"/>
      <c r="O2536" s="563"/>
      <c r="P2536" s="563"/>
    </row>
    <row r="2537" spans="2:16" ht="15.75" customHeight="1">
      <c r="B2537" s="567"/>
      <c r="H2537" s="563"/>
      <c r="I2537" s="538"/>
      <c r="J2537" s="564"/>
      <c r="N2537" s="563"/>
      <c r="O2537" s="563"/>
      <c r="P2537" s="563"/>
    </row>
    <row r="2538" spans="2:16" ht="15.75" customHeight="1">
      <c r="B2538" s="567"/>
      <c r="H2538" s="563"/>
      <c r="I2538" s="538"/>
      <c r="J2538" s="564"/>
      <c r="N2538" s="563"/>
      <c r="O2538" s="563"/>
      <c r="P2538" s="563"/>
    </row>
    <row r="2539" spans="2:16" ht="15.75" customHeight="1">
      <c r="B2539" s="567"/>
      <c r="H2539" s="563"/>
      <c r="I2539" s="538"/>
      <c r="J2539" s="564"/>
      <c r="N2539" s="563"/>
      <c r="O2539" s="563"/>
      <c r="P2539" s="563"/>
    </row>
    <row r="2540" spans="2:16" ht="15.75" customHeight="1">
      <c r="B2540" s="567"/>
      <c r="H2540" s="563"/>
      <c r="I2540" s="538"/>
      <c r="J2540" s="564"/>
      <c r="N2540" s="563"/>
      <c r="O2540" s="563"/>
      <c r="P2540" s="563"/>
    </row>
    <row r="2541" spans="2:16" ht="15.75" customHeight="1">
      <c r="B2541" s="567"/>
      <c r="H2541" s="563"/>
      <c r="I2541" s="538"/>
      <c r="J2541" s="564"/>
      <c r="N2541" s="563"/>
      <c r="O2541" s="563"/>
      <c r="P2541" s="563"/>
    </row>
    <row r="2542" spans="2:16" ht="15.75" customHeight="1">
      <c r="B2542" s="567"/>
      <c r="H2542" s="563"/>
      <c r="I2542" s="538"/>
      <c r="J2542" s="564"/>
      <c r="N2542" s="563"/>
      <c r="O2542" s="563"/>
      <c r="P2542" s="563"/>
    </row>
    <row r="2543" spans="2:16" ht="15.75" customHeight="1">
      <c r="B2543" s="567"/>
      <c r="H2543" s="563"/>
      <c r="I2543" s="538"/>
      <c r="J2543" s="564"/>
      <c r="N2543" s="563"/>
      <c r="O2543" s="563"/>
      <c r="P2543" s="563"/>
    </row>
    <row r="2544" spans="2:16" ht="15.75" customHeight="1">
      <c r="B2544" s="567"/>
      <c r="H2544" s="563"/>
      <c r="I2544" s="538"/>
      <c r="J2544" s="564"/>
      <c r="N2544" s="563"/>
      <c r="O2544" s="563"/>
      <c r="P2544" s="563"/>
    </row>
    <row r="2545" spans="2:16" ht="15.75" customHeight="1">
      <c r="B2545" s="567"/>
      <c r="H2545" s="563"/>
      <c r="I2545" s="538"/>
      <c r="J2545" s="564"/>
      <c r="N2545" s="563"/>
      <c r="O2545" s="563"/>
      <c r="P2545" s="563"/>
    </row>
    <row r="2546" spans="2:16" ht="15.75" customHeight="1">
      <c r="B2546" s="567"/>
      <c r="H2546" s="563"/>
      <c r="I2546" s="538"/>
      <c r="J2546" s="564"/>
      <c r="N2546" s="563"/>
      <c r="O2546" s="563"/>
      <c r="P2546" s="563"/>
    </row>
    <row r="2547" spans="2:16" ht="15.75" customHeight="1">
      <c r="B2547" s="567"/>
      <c r="H2547" s="563"/>
      <c r="I2547" s="538"/>
      <c r="J2547" s="564"/>
      <c r="N2547" s="563"/>
      <c r="O2547" s="563"/>
      <c r="P2547" s="563"/>
    </row>
    <row r="2548" spans="2:16" ht="15.75" customHeight="1">
      <c r="B2548" s="567"/>
      <c r="H2548" s="563"/>
      <c r="I2548" s="538"/>
      <c r="J2548" s="564"/>
      <c r="N2548" s="563"/>
      <c r="O2548" s="563"/>
      <c r="P2548" s="563"/>
    </row>
    <row r="2549" spans="2:16" ht="15.75" customHeight="1">
      <c r="B2549" s="567"/>
      <c r="H2549" s="563"/>
      <c r="I2549" s="538"/>
      <c r="J2549" s="564"/>
      <c r="N2549" s="563"/>
      <c r="O2549" s="563"/>
      <c r="P2549" s="563"/>
    </row>
    <row r="2550" spans="2:16" ht="15.75" customHeight="1">
      <c r="B2550" s="567"/>
      <c r="H2550" s="563"/>
      <c r="I2550" s="538"/>
      <c r="J2550" s="564"/>
      <c r="N2550" s="563"/>
      <c r="O2550" s="563"/>
      <c r="P2550" s="563"/>
    </row>
    <row r="2551" spans="2:16" ht="15.75" customHeight="1">
      <c r="B2551" s="567"/>
      <c r="H2551" s="563"/>
      <c r="I2551" s="538"/>
      <c r="J2551" s="564"/>
      <c r="N2551" s="563"/>
      <c r="O2551" s="563"/>
      <c r="P2551" s="563"/>
    </row>
    <row r="2552" spans="2:16" ht="15.75" customHeight="1">
      <c r="B2552" s="567"/>
      <c r="H2552" s="563"/>
      <c r="I2552" s="538"/>
      <c r="J2552" s="564"/>
      <c r="N2552" s="563"/>
      <c r="O2552" s="563"/>
      <c r="P2552" s="563"/>
    </row>
    <row r="2553" spans="2:16" ht="15.75" customHeight="1">
      <c r="B2553" s="567"/>
      <c r="H2553" s="563"/>
      <c r="I2553" s="538"/>
      <c r="J2553" s="564"/>
      <c r="N2553" s="563"/>
      <c r="O2553" s="563"/>
      <c r="P2553" s="563"/>
    </row>
    <row r="2554" spans="2:16" ht="15.75" customHeight="1">
      <c r="B2554" s="567"/>
      <c r="H2554" s="563"/>
      <c r="I2554" s="538"/>
      <c r="J2554" s="564"/>
      <c r="N2554" s="563"/>
      <c r="O2554" s="563"/>
      <c r="P2554" s="563"/>
    </row>
    <row r="2555" spans="2:16" ht="15.75" customHeight="1">
      <c r="B2555" s="567"/>
      <c r="H2555" s="563"/>
      <c r="I2555" s="538"/>
      <c r="J2555" s="564"/>
      <c r="N2555" s="563"/>
      <c r="O2555" s="563"/>
      <c r="P2555" s="563"/>
    </row>
    <row r="2556" spans="2:16" ht="15.75" customHeight="1">
      <c r="B2556" s="567"/>
      <c r="H2556" s="563"/>
      <c r="I2556" s="538"/>
      <c r="J2556" s="564"/>
      <c r="N2556" s="563"/>
      <c r="O2556" s="563"/>
      <c r="P2556" s="563"/>
    </row>
    <row r="2557" spans="2:16" ht="15.75" customHeight="1">
      <c r="B2557" s="567"/>
      <c r="H2557" s="563"/>
      <c r="I2557" s="538"/>
      <c r="J2557" s="564"/>
      <c r="N2557" s="563"/>
      <c r="O2557" s="563"/>
      <c r="P2557" s="563"/>
    </row>
    <row r="2558" spans="2:16" ht="15.75" customHeight="1">
      <c r="B2558" s="567"/>
      <c r="H2558" s="563"/>
      <c r="I2558" s="538"/>
      <c r="J2558" s="564"/>
      <c r="N2558" s="563"/>
      <c r="O2558" s="563"/>
      <c r="P2558" s="563"/>
    </row>
    <row r="2559" spans="2:16" ht="15.75" customHeight="1">
      <c r="B2559" s="567"/>
      <c r="H2559" s="563"/>
      <c r="I2559" s="538"/>
      <c r="J2559" s="564"/>
      <c r="N2559" s="563"/>
      <c r="O2559" s="563"/>
      <c r="P2559" s="563"/>
    </row>
    <row r="2560" spans="2:16" ht="15.75" customHeight="1">
      <c r="B2560" s="567"/>
      <c r="H2560" s="563"/>
      <c r="I2560" s="538"/>
      <c r="J2560" s="564"/>
      <c r="N2560" s="563"/>
      <c r="O2560" s="563"/>
      <c r="P2560" s="563"/>
    </row>
    <row r="2561" spans="2:16" ht="15.75" customHeight="1">
      <c r="B2561" s="567"/>
      <c r="H2561" s="563"/>
      <c r="I2561" s="538"/>
      <c r="J2561" s="564"/>
      <c r="N2561" s="563"/>
      <c r="O2561" s="563"/>
      <c r="P2561" s="563"/>
    </row>
    <row r="2562" spans="2:16" ht="15.75" customHeight="1">
      <c r="B2562" s="567"/>
      <c r="H2562" s="563"/>
      <c r="I2562" s="538"/>
      <c r="J2562" s="564"/>
      <c r="N2562" s="563"/>
      <c r="O2562" s="563"/>
      <c r="P2562" s="563"/>
    </row>
    <row r="2563" spans="2:16" ht="15.75" customHeight="1">
      <c r="B2563" s="567"/>
      <c r="H2563" s="563"/>
      <c r="I2563" s="538"/>
      <c r="J2563" s="564"/>
      <c r="N2563" s="563"/>
      <c r="O2563" s="563"/>
      <c r="P2563" s="563"/>
    </row>
    <row r="2564" spans="2:16" ht="15.75" customHeight="1">
      <c r="B2564" s="567"/>
      <c r="H2564" s="563"/>
      <c r="I2564" s="538"/>
      <c r="J2564" s="564"/>
      <c r="N2564" s="563"/>
      <c r="O2564" s="563"/>
      <c r="P2564" s="563"/>
    </row>
    <row r="2565" spans="2:16" ht="15.75" customHeight="1">
      <c r="B2565" s="567"/>
      <c r="H2565" s="563"/>
      <c r="I2565" s="538"/>
      <c r="J2565" s="564"/>
      <c r="N2565" s="563"/>
      <c r="O2565" s="563"/>
      <c r="P2565" s="563"/>
    </row>
    <row r="2566" spans="2:16" ht="15.75" customHeight="1">
      <c r="B2566" s="567"/>
      <c r="H2566" s="563"/>
      <c r="I2566" s="538"/>
      <c r="J2566" s="564"/>
      <c r="N2566" s="563"/>
      <c r="O2566" s="563"/>
      <c r="P2566" s="563"/>
    </row>
    <row r="2567" spans="2:16" ht="15.75" customHeight="1">
      <c r="B2567" s="567"/>
      <c r="H2567" s="563"/>
      <c r="I2567" s="538"/>
      <c r="J2567" s="564"/>
      <c r="N2567" s="563"/>
      <c r="O2567" s="563"/>
      <c r="P2567" s="563"/>
    </row>
    <row r="2568" spans="2:16" ht="15.75" customHeight="1">
      <c r="B2568" s="567"/>
      <c r="H2568" s="563"/>
      <c r="I2568" s="538"/>
      <c r="J2568" s="564"/>
      <c r="N2568" s="563"/>
      <c r="O2568" s="563"/>
      <c r="P2568" s="563"/>
    </row>
    <row r="2569" spans="2:16" ht="15.75" customHeight="1">
      <c r="B2569" s="567"/>
      <c r="H2569" s="563"/>
      <c r="I2569" s="538"/>
      <c r="J2569" s="564"/>
      <c r="N2569" s="563"/>
      <c r="O2569" s="563"/>
      <c r="P2569" s="563"/>
    </row>
    <row r="2570" spans="2:16" ht="15.75" customHeight="1">
      <c r="B2570" s="567"/>
      <c r="H2570" s="563"/>
      <c r="I2570" s="538"/>
      <c r="J2570" s="564"/>
      <c r="N2570" s="563"/>
      <c r="O2570" s="563"/>
      <c r="P2570" s="563"/>
    </row>
    <row r="2571" spans="2:16" ht="15.75" customHeight="1">
      <c r="B2571" s="567"/>
      <c r="H2571" s="563"/>
      <c r="I2571" s="538"/>
      <c r="J2571" s="564"/>
      <c r="N2571" s="563"/>
      <c r="O2571" s="563"/>
      <c r="P2571" s="563"/>
    </row>
    <row r="2572" spans="2:16" ht="15.75" customHeight="1">
      <c r="B2572" s="567"/>
      <c r="H2572" s="563"/>
      <c r="I2572" s="538"/>
      <c r="J2572" s="564"/>
      <c r="N2572" s="563"/>
      <c r="O2572" s="563"/>
      <c r="P2572" s="563"/>
    </row>
    <row r="2573" spans="2:16" ht="15.75" customHeight="1">
      <c r="B2573" s="567"/>
      <c r="H2573" s="563"/>
      <c r="I2573" s="538"/>
      <c r="J2573" s="564"/>
      <c r="N2573" s="563"/>
      <c r="O2573" s="563"/>
      <c r="P2573" s="563"/>
    </row>
    <row r="2574" spans="2:16" ht="15.75" customHeight="1">
      <c r="B2574" s="567"/>
      <c r="H2574" s="563"/>
      <c r="I2574" s="538"/>
      <c r="J2574" s="564"/>
      <c r="N2574" s="563"/>
      <c r="O2574" s="563"/>
      <c r="P2574" s="563"/>
    </row>
    <row r="2575" spans="2:16" ht="15.75" customHeight="1">
      <c r="B2575" s="567"/>
      <c r="H2575" s="563"/>
      <c r="I2575" s="538"/>
      <c r="J2575" s="564"/>
      <c r="N2575" s="563"/>
      <c r="O2575" s="563"/>
      <c r="P2575" s="563"/>
    </row>
    <row r="2576" spans="2:16" ht="15.75" customHeight="1">
      <c r="B2576" s="567"/>
      <c r="H2576" s="563"/>
      <c r="I2576" s="538"/>
      <c r="J2576" s="564"/>
      <c r="N2576" s="563"/>
      <c r="O2576" s="563"/>
      <c r="P2576" s="563"/>
    </row>
    <row r="2577" spans="2:16" ht="15.75" customHeight="1">
      <c r="B2577" s="567"/>
      <c r="H2577" s="563"/>
      <c r="I2577" s="538"/>
      <c r="J2577" s="564"/>
      <c r="N2577" s="563"/>
      <c r="O2577" s="563"/>
      <c r="P2577" s="563"/>
    </row>
    <row r="2578" spans="2:16" ht="15.75" customHeight="1">
      <c r="B2578" s="567"/>
      <c r="H2578" s="563"/>
      <c r="I2578" s="538"/>
      <c r="J2578" s="564"/>
      <c r="N2578" s="563"/>
      <c r="O2578" s="563"/>
      <c r="P2578" s="563"/>
    </row>
    <row r="2579" spans="2:16" ht="15.75" customHeight="1">
      <c r="B2579" s="567"/>
      <c r="H2579" s="563"/>
      <c r="I2579" s="538"/>
      <c r="J2579" s="564"/>
      <c r="N2579" s="563"/>
      <c r="O2579" s="563"/>
      <c r="P2579" s="563"/>
    </row>
    <row r="2580" spans="2:16" ht="15.75" customHeight="1">
      <c r="B2580" s="567"/>
      <c r="H2580" s="563"/>
      <c r="I2580" s="538"/>
      <c r="J2580" s="564"/>
      <c r="N2580" s="563"/>
      <c r="O2580" s="563"/>
      <c r="P2580" s="563"/>
    </row>
    <row r="2581" spans="2:16" ht="15.75" customHeight="1">
      <c r="B2581" s="567"/>
      <c r="H2581" s="563"/>
      <c r="I2581" s="538"/>
      <c r="J2581" s="564"/>
      <c r="N2581" s="563"/>
      <c r="O2581" s="563"/>
      <c r="P2581" s="563"/>
    </row>
    <row r="2582" spans="2:16" ht="15.75" customHeight="1">
      <c r="B2582" s="567"/>
      <c r="H2582" s="563"/>
      <c r="I2582" s="538"/>
      <c r="J2582" s="564"/>
      <c r="N2582" s="563"/>
      <c r="O2582" s="563"/>
      <c r="P2582" s="563"/>
    </row>
    <row r="2583" spans="2:16" ht="15.75" customHeight="1">
      <c r="B2583" s="567"/>
      <c r="H2583" s="563"/>
      <c r="I2583" s="538"/>
      <c r="J2583" s="564"/>
      <c r="N2583" s="563"/>
      <c r="O2583" s="563"/>
      <c r="P2583" s="563"/>
    </row>
    <row r="2584" spans="2:16" ht="15.75" customHeight="1">
      <c r="B2584" s="567"/>
      <c r="H2584" s="563"/>
      <c r="I2584" s="538"/>
      <c r="J2584" s="564"/>
      <c r="N2584" s="563"/>
      <c r="O2584" s="563"/>
      <c r="P2584" s="563"/>
    </row>
    <row r="2585" spans="2:16" ht="15.75" customHeight="1">
      <c r="B2585" s="567"/>
      <c r="H2585" s="563"/>
      <c r="I2585" s="538"/>
      <c r="J2585" s="564"/>
      <c r="N2585" s="563"/>
      <c r="O2585" s="563"/>
      <c r="P2585" s="563"/>
    </row>
    <row r="2586" spans="2:16" ht="15.75" customHeight="1">
      <c r="B2586" s="567"/>
      <c r="H2586" s="563"/>
      <c r="I2586" s="538"/>
      <c r="J2586" s="564"/>
      <c r="N2586" s="563"/>
      <c r="O2586" s="563"/>
      <c r="P2586" s="563"/>
    </row>
    <row r="2587" spans="2:16" ht="15.75" customHeight="1">
      <c r="B2587" s="567"/>
      <c r="H2587" s="563"/>
      <c r="I2587" s="538"/>
      <c r="J2587" s="564"/>
      <c r="N2587" s="563"/>
      <c r="O2587" s="563"/>
      <c r="P2587" s="563"/>
    </row>
    <row r="2588" spans="2:16" ht="15.75" customHeight="1">
      <c r="B2588" s="567"/>
      <c r="H2588" s="563"/>
      <c r="I2588" s="538"/>
      <c r="J2588" s="564"/>
      <c r="N2588" s="563"/>
      <c r="O2588" s="563"/>
      <c r="P2588" s="563"/>
    </row>
    <row r="2589" spans="2:16" ht="15.75" customHeight="1">
      <c r="B2589" s="567"/>
      <c r="H2589" s="563"/>
      <c r="I2589" s="538"/>
      <c r="J2589" s="564"/>
      <c r="N2589" s="563"/>
      <c r="O2589" s="563"/>
      <c r="P2589" s="563"/>
    </row>
    <row r="2590" spans="2:16" ht="15.75" customHeight="1">
      <c r="B2590" s="567"/>
      <c r="H2590" s="563"/>
      <c r="I2590" s="538"/>
      <c r="J2590" s="564"/>
      <c r="N2590" s="563"/>
      <c r="O2590" s="563"/>
      <c r="P2590" s="563"/>
    </row>
    <row r="2591" spans="2:16" ht="15.75" customHeight="1">
      <c r="B2591" s="567"/>
      <c r="H2591" s="563"/>
      <c r="I2591" s="538"/>
      <c r="J2591" s="564"/>
      <c r="N2591" s="563"/>
      <c r="O2591" s="563"/>
      <c r="P2591" s="563"/>
    </row>
    <row r="2592" spans="2:16" ht="15.75" customHeight="1">
      <c r="B2592" s="567"/>
      <c r="H2592" s="563"/>
      <c r="I2592" s="538"/>
      <c r="J2592" s="564"/>
      <c r="N2592" s="563"/>
      <c r="O2592" s="563"/>
      <c r="P2592" s="563"/>
    </row>
    <row r="2593" spans="2:16" ht="15.75" customHeight="1">
      <c r="B2593" s="567"/>
      <c r="H2593" s="563"/>
      <c r="I2593" s="538"/>
      <c r="J2593" s="564"/>
      <c r="N2593" s="563"/>
      <c r="O2593" s="563"/>
      <c r="P2593" s="563"/>
    </row>
    <row r="2594" spans="2:16" ht="15.75" customHeight="1">
      <c r="B2594" s="567"/>
      <c r="H2594" s="563"/>
      <c r="I2594" s="538"/>
      <c r="J2594" s="564"/>
      <c r="N2594" s="563"/>
      <c r="O2594" s="563"/>
      <c r="P2594" s="563"/>
    </row>
    <row r="2595" spans="2:16" ht="15.75" customHeight="1">
      <c r="B2595" s="567"/>
      <c r="H2595" s="563"/>
      <c r="I2595" s="538"/>
      <c r="J2595" s="564"/>
      <c r="N2595" s="563"/>
      <c r="O2595" s="563"/>
      <c r="P2595" s="563"/>
    </row>
    <row r="2596" spans="2:16" ht="15.75" customHeight="1">
      <c r="B2596" s="567"/>
      <c r="H2596" s="563"/>
      <c r="I2596" s="538"/>
      <c r="J2596" s="564"/>
      <c r="N2596" s="563"/>
      <c r="O2596" s="563"/>
      <c r="P2596" s="563"/>
    </row>
    <row r="2597" spans="2:16" ht="15.75" customHeight="1">
      <c r="B2597" s="567"/>
      <c r="H2597" s="563"/>
      <c r="I2597" s="538"/>
      <c r="J2597" s="564"/>
      <c r="N2597" s="563"/>
      <c r="O2597" s="563"/>
      <c r="P2597" s="563"/>
    </row>
    <row r="2598" spans="2:16" ht="15.75" customHeight="1">
      <c r="B2598" s="567"/>
      <c r="H2598" s="563"/>
      <c r="I2598" s="538"/>
      <c r="J2598" s="564"/>
      <c r="N2598" s="563"/>
      <c r="O2598" s="563"/>
      <c r="P2598" s="563"/>
    </row>
    <row r="2599" spans="2:16" ht="15.75" customHeight="1">
      <c r="B2599" s="567"/>
      <c r="H2599" s="563"/>
      <c r="I2599" s="538"/>
      <c r="J2599" s="564"/>
      <c r="N2599" s="563"/>
      <c r="O2599" s="563"/>
      <c r="P2599" s="563"/>
    </row>
    <row r="2600" spans="2:16" ht="15.75" customHeight="1">
      <c r="B2600" s="567"/>
      <c r="H2600" s="563"/>
      <c r="I2600" s="538"/>
      <c r="J2600" s="564"/>
      <c r="N2600" s="563"/>
      <c r="O2600" s="563"/>
      <c r="P2600" s="563"/>
    </row>
    <row r="2601" spans="2:16" ht="15.75" customHeight="1">
      <c r="B2601" s="567"/>
      <c r="H2601" s="563"/>
      <c r="I2601" s="538"/>
      <c r="J2601" s="564"/>
      <c r="N2601" s="563"/>
      <c r="O2601" s="563"/>
      <c r="P2601" s="563"/>
    </row>
    <row r="2602" spans="2:16" ht="15.75" customHeight="1">
      <c r="B2602" s="567"/>
      <c r="H2602" s="563"/>
      <c r="I2602" s="538"/>
      <c r="J2602" s="564"/>
      <c r="N2602" s="563"/>
      <c r="O2602" s="563"/>
      <c r="P2602" s="563"/>
    </row>
    <row r="2603" spans="2:16" ht="15.75" customHeight="1">
      <c r="B2603" s="567"/>
      <c r="H2603" s="563"/>
      <c r="I2603" s="538"/>
      <c r="J2603" s="564"/>
      <c r="N2603" s="563"/>
      <c r="O2603" s="563"/>
      <c r="P2603" s="563"/>
    </row>
    <row r="2604" spans="2:16" ht="15.75" customHeight="1">
      <c r="B2604" s="567"/>
      <c r="H2604" s="563"/>
      <c r="I2604" s="538"/>
      <c r="J2604" s="564"/>
      <c r="N2604" s="563"/>
      <c r="O2604" s="563"/>
      <c r="P2604" s="563"/>
    </row>
    <row r="2605" spans="2:16" ht="15.75" customHeight="1">
      <c r="B2605" s="567"/>
      <c r="H2605" s="563"/>
      <c r="I2605" s="538"/>
      <c r="J2605" s="564"/>
      <c r="N2605" s="563"/>
      <c r="O2605" s="563"/>
      <c r="P2605" s="563"/>
    </row>
    <row r="2606" spans="2:16" ht="15.75" customHeight="1">
      <c r="B2606" s="567"/>
      <c r="H2606" s="563"/>
      <c r="I2606" s="538"/>
      <c r="J2606" s="564"/>
      <c r="N2606" s="563"/>
      <c r="O2606" s="563"/>
      <c r="P2606" s="563"/>
    </row>
    <row r="2607" spans="2:16" ht="15.75" customHeight="1">
      <c r="B2607" s="567"/>
      <c r="H2607" s="563"/>
      <c r="I2607" s="538"/>
      <c r="J2607" s="564"/>
      <c r="N2607" s="563"/>
      <c r="O2607" s="563"/>
      <c r="P2607" s="563"/>
    </row>
    <row r="2608" spans="2:16" ht="15.75" customHeight="1">
      <c r="B2608" s="567"/>
      <c r="H2608" s="563"/>
      <c r="I2608" s="538"/>
      <c r="J2608" s="564"/>
      <c r="N2608" s="563"/>
      <c r="O2608" s="563"/>
      <c r="P2608" s="563"/>
    </row>
    <row r="2609" spans="2:16" ht="15.75" customHeight="1">
      <c r="B2609" s="567"/>
      <c r="H2609" s="563"/>
      <c r="I2609" s="538"/>
      <c r="J2609" s="564"/>
      <c r="N2609" s="563"/>
      <c r="O2609" s="563"/>
      <c r="P2609" s="563"/>
    </row>
    <row r="2610" spans="2:16" ht="15.75" customHeight="1">
      <c r="B2610" s="567"/>
      <c r="H2610" s="563"/>
      <c r="I2610" s="538"/>
      <c r="J2610" s="564"/>
      <c r="N2610" s="563"/>
      <c r="O2610" s="563"/>
      <c r="P2610" s="563"/>
    </row>
    <row r="2611" spans="2:16" ht="15.75" customHeight="1">
      <c r="B2611" s="567"/>
      <c r="H2611" s="563"/>
      <c r="I2611" s="538"/>
      <c r="J2611" s="564"/>
      <c r="N2611" s="563"/>
      <c r="O2611" s="563"/>
      <c r="P2611" s="563"/>
    </row>
    <row r="2612" spans="2:16" ht="15.75" customHeight="1">
      <c r="B2612" s="567"/>
      <c r="H2612" s="563"/>
      <c r="I2612" s="538"/>
      <c r="J2612" s="564"/>
      <c r="N2612" s="563"/>
      <c r="O2612" s="563"/>
      <c r="P2612" s="563"/>
    </row>
    <row r="2613" spans="2:16" ht="15.75" customHeight="1">
      <c r="B2613" s="567"/>
      <c r="H2613" s="563"/>
      <c r="I2613" s="538"/>
      <c r="J2613" s="564"/>
      <c r="N2613" s="563"/>
      <c r="O2613" s="563"/>
      <c r="P2613" s="563"/>
    </row>
    <row r="2614" spans="2:16" ht="15.75" customHeight="1">
      <c r="B2614" s="567"/>
      <c r="H2614" s="563"/>
      <c r="I2614" s="538"/>
      <c r="J2614" s="564"/>
      <c r="N2614" s="563"/>
      <c r="O2614" s="563"/>
      <c r="P2614" s="563"/>
    </row>
    <row r="2615" spans="2:16" ht="15.75" customHeight="1">
      <c r="B2615" s="567"/>
      <c r="H2615" s="563"/>
      <c r="I2615" s="538"/>
      <c r="J2615" s="564"/>
      <c r="N2615" s="563"/>
      <c r="O2615" s="563"/>
      <c r="P2615" s="563"/>
    </row>
    <row r="2616" spans="2:16" ht="15.75" customHeight="1">
      <c r="B2616" s="567"/>
      <c r="H2616" s="563"/>
      <c r="I2616" s="538"/>
      <c r="J2616" s="564"/>
      <c r="N2616" s="563"/>
      <c r="O2616" s="563"/>
      <c r="P2616" s="563"/>
    </row>
    <row r="2617" spans="2:16" ht="15.75" customHeight="1">
      <c r="B2617" s="567"/>
      <c r="H2617" s="563"/>
      <c r="I2617" s="538"/>
      <c r="J2617" s="564"/>
      <c r="N2617" s="563"/>
      <c r="O2617" s="563"/>
      <c r="P2617" s="563"/>
    </row>
    <row r="2618" spans="2:16" ht="15.75" customHeight="1">
      <c r="B2618" s="567"/>
      <c r="H2618" s="563"/>
      <c r="I2618" s="538"/>
      <c r="J2618" s="564"/>
      <c r="N2618" s="563"/>
      <c r="O2618" s="563"/>
      <c r="P2618" s="563"/>
    </row>
    <row r="2619" spans="2:16" ht="15.75" customHeight="1">
      <c r="B2619" s="567"/>
      <c r="H2619" s="563"/>
      <c r="I2619" s="538"/>
      <c r="J2619" s="564"/>
      <c r="N2619" s="563"/>
      <c r="O2619" s="563"/>
      <c r="P2619" s="563"/>
    </row>
    <row r="2620" spans="2:16" ht="15.75" customHeight="1">
      <c r="B2620" s="567"/>
      <c r="H2620" s="563"/>
      <c r="I2620" s="538"/>
      <c r="J2620" s="564"/>
      <c r="N2620" s="563"/>
      <c r="O2620" s="563"/>
      <c r="P2620" s="563"/>
    </row>
    <row r="2621" spans="2:16" ht="15.75" customHeight="1">
      <c r="B2621" s="567"/>
      <c r="H2621" s="563"/>
      <c r="I2621" s="538"/>
      <c r="J2621" s="564"/>
      <c r="N2621" s="563"/>
      <c r="O2621" s="563"/>
      <c r="P2621" s="563"/>
    </row>
    <row r="2622" spans="2:16" ht="15.75" customHeight="1">
      <c r="B2622" s="567"/>
      <c r="H2622" s="563"/>
      <c r="I2622" s="538"/>
      <c r="J2622" s="564"/>
      <c r="N2622" s="563"/>
      <c r="O2622" s="563"/>
      <c r="P2622" s="563"/>
    </row>
    <row r="2623" spans="2:16" ht="15.75" customHeight="1">
      <c r="B2623" s="567"/>
      <c r="H2623" s="563"/>
      <c r="I2623" s="538"/>
      <c r="J2623" s="564"/>
      <c r="N2623" s="563"/>
      <c r="O2623" s="563"/>
      <c r="P2623" s="563"/>
    </row>
    <row r="2624" spans="2:16" ht="15.75" customHeight="1">
      <c r="B2624" s="567"/>
      <c r="H2624" s="563"/>
      <c r="I2624" s="538"/>
      <c r="J2624" s="564"/>
      <c r="N2624" s="563"/>
      <c r="O2624" s="563"/>
      <c r="P2624" s="563"/>
    </row>
    <row r="2625" spans="2:16" ht="15.75" customHeight="1">
      <c r="B2625" s="567"/>
      <c r="H2625" s="563"/>
      <c r="I2625" s="538"/>
      <c r="J2625" s="564"/>
      <c r="N2625" s="563"/>
      <c r="O2625" s="563"/>
      <c r="P2625" s="563"/>
    </row>
    <row r="2626" spans="2:16" ht="15.75" customHeight="1">
      <c r="B2626" s="567"/>
      <c r="H2626" s="563"/>
      <c r="I2626" s="538"/>
      <c r="J2626" s="564"/>
      <c r="N2626" s="563"/>
      <c r="O2626" s="563"/>
      <c r="P2626" s="563"/>
    </row>
    <row r="2627" spans="2:16" ht="15.75" customHeight="1">
      <c r="B2627" s="567"/>
      <c r="H2627" s="563"/>
      <c r="I2627" s="538"/>
      <c r="J2627" s="564"/>
      <c r="N2627" s="563"/>
      <c r="O2627" s="563"/>
      <c r="P2627" s="563"/>
    </row>
    <row r="2628" spans="2:16" ht="15.75" customHeight="1">
      <c r="B2628" s="567"/>
      <c r="H2628" s="563"/>
      <c r="I2628" s="538"/>
      <c r="J2628" s="564"/>
      <c r="N2628" s="563"/>
      <c r="O2628" s="563"/>
      <c r="P2628" s="563"/>
    </row>
    <row r="2629" spans="2:16" ht="15.75" customHeight="1">
      <c r="B2629" s="567"/>
      <c r="H2629" s="563"/>
      <c r="I2629" s="538"/>
      <c r="J2629" s="564"/>
      <c r="N2629" s="563"/>
      <c r="O2629" s="563"/>
      <c r="P2629" s="563"/>
    </row>
    <row r="2630" spans="2:16" ht="15.75" customHeight="1">
      <c r="B2630" s="567"/>
      <c r="H2630" s="563"/>
      <c r="I2630" s="538"/>
      <c r="J2630" s="564"/>
      <c r="N2630" s="563"/>
      <c r="O2630" s="563"/>
      <c r="P2630" s="563"/>
    </row>
    <row r="2631" spans="2:16" ht="15.75" customHeight="1">
      <c r="B2631" s="567"/>
      <c r="H2631" s="563"/>
      <c r="I2631" s="538"/>
      <c r="J2631" s="564"/>
      <c r="N2631" s="563"/>
      <c r="O2631" s="563"/>
      <c r="P2631" s="563"/>
    </row>
    <row r="2632" spans="2:16" ht="15.75" customHeight="1">
      <c r="B2632" s="567"/>
      <c r="H2632" s="563"/>
      <c r="I2632" s="538"/>
      <c r="J2632" s="564"/>
      <c r="N2632" s="563"/>
      <c r="O2632" s="563"/>
      <c r="P2632" s="563"/>
    </row>
    <row r="2633" spans="2:16" ht="15.75" customHeight="1">
      <c r="B2633" s="567"/>
      <c r="H2633" s="563"/>
      <c r="I2633" s="538"/>
      <c r="J2633" s="564"/>
      <c r="N2633" s="563"/>
      <c r="O2633" s="563"/>
      <c r="P2633" s="563"/>
    </row>
    <row r="2634" spans="2:16" ht="15.75" customHeight="1">
      <c r="B2634" s="567"/>
      <c r="H2634" s="563"/>
      <c r="I2634" s="538"/>
      <c r="J2634" s="564"/>
      <c r="N2634" s="563"/>
      <c r="O2634" s="563"/>
      <c r="P2634" s="563"/>
    </row>
    <row r="2635" spans="2:16" ht="15.75" customHeight="1">
      <c r="B2635" s="567"/>
      <c r="H2635" s="563"/>
      <c r="I2635" s="538"/>
      <c r="J2635" s="564"/>
      <c r="N2635" s="563"/>
      <c r="O2635" s="563"/>
      <c r="P2635" s="563"/>
    </row>
    <row r="2636" spans="2:16" ht="15.75" customHeight="1">
      <c r="B2636" s="567"/>
      <c r="H2636" s="563"/>
      <c r="I2636" s="538"/>
      <c r="J2636" s="564"/>
      <c r="N2636" s="563"/>
      <c r="O2636" s="563"/>
      <c r="P2636" s="563"/>
    </row>
    <row r="2637" spans="2:16" ht="15.75" customHeight="1">
      <c r="B2637" s="567"/>
      <c r="H2637" s="563"/>
      <c r="I2637" s="538"/>
      <c r="J2637" s="564"/>
      <c r="N2637" s="563"/>
      <c r="O2637" s="563"/>
      <c r="P2637" s="563"/>
    </row>
    <row r="2638" spans="2:16" ht="15.75" customHeight="1">
      <c r="B2638" s="567"/>
      <c r="H2638" s="563"/>
      <c r="I2638" s="538"/>
      <c r="J2638" s="564"/>
      <c r="N2638" s="563"/>
      <c r="O2638" s="563"/>
      <c r="P2638" s="563"/>
    </row>
    <row r="2639" spans="2:16" ht="15.75" customHeight="1">
      <c r="B2639" s="567"/>
      <c r="H2639" s="563"/>
      <c r="I2639" s="538"/>
      <c r="J2639" s="564"/>
      <c r="N2639" s="563"/>
      <c r="O2639" s="563"/>
      <c r="P2639" s="563"/>
    </row>
    <row r="2640" spans="2:16" ht="15.75" customHeight="1">
      <c r="B2640" s="567"/>
      <c r="H2640" s="563"/>
      <c r="I2640" s="538"/>
      <c r="J2640" s="564"/>
      <c r="N2640" s="563"/>
      <c r="O2640" s="563"/>
      <c r="P2640" s="563"/>
    </row>
    <row r="2641" spans="2:16" ht="15.75" customHeight="1">
      <c r="B2641" s="567"/>
      <c r="H2641" s="563"/>
      <c r="I2641" s="538"/>
      <c r="J2641" s="564"/>
      <c r="N2641" s="563"/>
      <c r="O2641" s="563"/>
      <c r="P2641" s="563"/>
    </row>
    <row r="2642" spans="2:16" ht="15.75" customHeight="1">
      <c r="B2642" s="567"/>
      <c r="H2642" s="563"/>
      <c r="I2642" s="538"/>
      <c r="J2642" s="564"/>
      <c r="N2642" s="563"/>
      <c r="O2642" s="563"/>
      <c r="P2642" s="563"/>
    </row>
    <row r="2643" spans="2:16" ht="15.75" customHeight="1">
      <c r="B2643" s="567"/>
      <c r="H2643" s="563"/>
      <c r="I2643" s="538"/>
      <c r="J2643" s="564"/>
      <c r="N2643" s="563"/>
      <c r="O2643" s="563"/>
      <c r="P2643" s="563"/>
    </row>
    <row r="2644" spans="2:16" ht="15.75" customHeight="1">
      <c r="B2644" s="567"/>
      <c r="H2644" s="563"/>
      <c r="I2644" s="538"/>
      <c r="J2644" s="564"/>
      <c r="N2644" s="563"/>
      <c r="O2644" s="563"/>
      <c r="P2644" s="563"/>
    </row>
    <row r="2645" spans="2:16" ht="15.75" customHeight="1">
      <c r="B2645" s="567"/>
      <c r="H2645" s="563"/>
      <c r="I2645" s="538"/>
      <c r="J2645" s="564"/>
      <c r="N2645" s="563"/>
      <c r="O2645" s="563"/>
      <c r="P2645" s="563"/>
    </row>
    <row r="2646" spans="2:16" ht="15.75" customHeight="1">
      <c r="B2646" s="567"/>
      <c r="H2646" s="563"/>
      <c r="I2646" s="538"/>
      <c r="J2646" s="564"/>
      <c r="N2646" s="563"/>
      <c r="O2646" s="563"/>
      <c r="P2646" s="563"/>
    </row>
    <row r="2647" spans="2:16" ht="15.75" customHeight="1">
      <c r="B2647" s="567"/>
      <c r="H2647" s="563"/>
      <c r="I2647" s="538"/>
      <c r="J2647" s="564"/>
      <c r="N2647" s="563"/>
      <c r="O2647" s="563"/>
      <c r="P2647" s="563"/>
    </row>
    <row r="2648" spans="2:16" ht="15.75" customHeight="1">
      <c r="B2648" s="567"/>
      <c r="H2648" s="563"/>
      <c r="I2648" s="538"/>
      <c r="J2648" s="564"/>
      <c r="N2648" s="563"/>
      <c r="O2648" s="563"/>
      <c r="P2648" s="563"/>
    </row>
    <row r="2649" spans="2:16" ht="15.75" customHeight="1">
      <c r="B2649" s="567"/>
      <c r="H2649" s="563"/>
      <c r="I2649" s="538"/>
      <c r="J2649" s="564"/>
      <c r="N2649" s="563"/>
      <c r="O2649" s="563"/>
      <c r="P2649" s="563"/>
    </row>
    <row r="2650" spans="2:16" ht="15.75" customHeight="1">
      <c r="B2650" s="567"/>
      <c r="H2650" s="563"/>
      <c r="I2650" s="538"/>
      <c r="J2650" s="564"/>
      <c r="N2650" s="563"/>
      <c r="O2650" s="563"/>
      <c r="P2650" s="563"/>
    </row>
    <row r="2651" spans="2:16" ht="15.75" customHeight="1">
      <c r="B2651" s="567"/>
      <c r="H2651" s="563"/>
      <c r="I2651" s="538"/>
      <c r="J2651" s="564"/>
      <c r="N2651" s="563"/>
      <c r="O2651" s="563"/>
      <c r="P2651" s="563"/>
    </row>
    <row r="2652" spans="2:16" ht="15.75" customHeight="1">
      <c r="B2652" s="567"/>
      <c r="H2652" s="563"/>
      <c r="I2652" s="538"/>
      <c r="J2652" s="564"/>
      <c r="N2652" s="563"/>
      <c r="O2652" s="563"/>
      <c r="P2652" s="563"/>
    </row>
    <row r="2653" spans="2:16" ht="15.75" customHeight="1">
      <c r="B2653" s="567"/>
      <c r="H2653" s="563"/>
      <c r="I2653" s="538"/>
      <c r="J2653" s="564"/>
      <c r="N2653" s="563"/>
      <c r="O2653" s="563"/>
      <c r="P2653" s="563"/>
    </row>
    <row r="2654" spans="2:16" ht="15.75" customHeight="1">
      <c r="B2654" s="567"/>
      <c r="H2654" s="563"/>
      <c r="I2654" s="538"/>
      <c r="J2654" s="564"/>
      <c r="N2654" s="563"/>
      <c r="O2654" s="563"/>
      <c r="P2654" s="563"/>
    </row>
    <row r="2655" spans="2:16" ht="15.75" customHeight="1">
      <c r="B2655" s="567"/>
      <c r="H2655" s="563"/>
      <c r="I2655" s="538"/>
      <c r="J2655" s="564"/>
      <c r="N2655" s="563"/>
      <c r="O2655" s="563"/>
      <c r="P2655" s="563"/>
    </row>
    <row r="2656" spans="2:16" ht="15.75" customHeight="1">
      <c r="B2656" s="567"/>
      <c r="H2656" s="563"/>
      <c r="I2656" s="538"/>
      <c r="J2656" s="564"/>
      <c r="N2656" s="563"/>
      <c r="O2656" s="563"/>
      <c r="P2656" s="563"/>
    </row>
    <row r="2657" spans="2:16" ht="15.75" customHeight="1">
      <c r="B2657" s="567"/>
      <c r="H2657" s="563"/>
      <c r="I2657" s="538"/>
      <c r="J2657" s="564"/>
      <c r="N2657" s="563"/>
      <c r="O2657" s="563"/>
      <c r="P2657" s="563"/>
    </row>
    <row r="2658" spans="2:16" ht="15.75" customHeight="1">
      <c r="B2658" s="567"/>
      <c r="H2658" s="563"/>
      <c r="I2658" s="538"/>
      <c r="J2658" s="564"/>
      <c r="N2658" s="563"/>
      <c r="O2658" s="563"/>
      <c r="P2658" s="563"/>
    </row>
    <row r="2659" spans="2:16" ht="15.75" customHeight="1">
      <c r="B2659" s="567"/>
      <c r="H2659" s="563"/>
      <c r="I2659" s="538"/>
      <c r="J2659" s="564"/>
      <c r="N2659" s="563"/>
      <c r="O2659" s="563"/>
      <c r="P2659" s="563"/>
    </row>
    <row r="2660" spans="2:16" ht="15.75" customHeight="1">
      <c r="B2660" s="567"/>
      <c r="H2660" s="563"/>
      <c r="I2660" s="538"/>
      <c r="J2660" s="564"/>
      <c r="N2660" s="563"/>
      <c r="O2660" s="563"/>
      <c r="P2660" s="563"/>
    </row>
    <row r="2661" spans="2:16" ht="15.75" customHeight="1">
      <c r="B2661" s="567"/>
      <c r="H2661" s="563"/>
      <c r="I2661" s="538"/>
      <c r="J2661" s="564"/>
      <c r="N2661" s="563"/>
      <c r="O2661" s="563"/>
      <c r="P2661" s="563"/>
    </row>
    <row r="2662" spans="2:16" ht="15.75" customHeight="1">
      <c r="B2662" s="567"/>
      <c r="H2662" s="563"/>
      <c r="I2662" s="538"/>
      <c r="J2662" s="564"/>
      <c r="N2662" s="563"/>
      <c r="O2662" s="563"/>
      <c r="P2662" s="563"/>
    </row>
    <row r="2663" spans="2:16" ht="15.75" customHeight="1">
      <c r="B2663" s="567"/>
      <c r="H2663" s="563"/>
      <c r="I2663" s="538"/>
      <c r="J2663" s="564"/>
      <c r="N2663" s="563"/>
      <c r="O2663" s="563"/>
      <c r="P2663" s="563"/>
    </row>
    <row r="2664" spans="2:16" ht="15.75" customHeight="1">
      <c r="B2664" s="567"/>
      <c r="H2664" s="563"/>
      <c r="I2664" s="538"/>
      <c r="J2664" s="564"/>
      <c r="N2664" s="563"/>
      <c r="O2664" s="563"/>
      <c r="P2664" s="563"/>
    </row>
    <row r="2665" spans="2:16" ht="15.75" customHeight="1">
      <c r="B2665" s="567"/>
      <c r="H2665" s="563"/>
      <c r="I2665" s="538"/>
      <c r="J2665" s="564"/>
      <c r="N2665" s="563"/>
      <c r="O2665" s="563"/>
      <c r="P2665" s="563"/>
    </row>
    <row r="2666" spans="2:16" ht="15.75" customHeight="1">
      <c r="B2666" s="567"/>
      <c r="H2666" s="563"/>
      <c r="I2666" s="538"/>
      <c r="J2666" s="564"/>
      <c r="N2666" s="563"/>
      <c r="O2666" s="563"/>
      <c r="P2666" s="563"/>
    </row>
    <row r="2667" spans="2:16" ht="15.75" customHeight="1">
      <c r="B2667" s="567"/>
      <c r="H2667" s="563"/>
      <c r="I2667" s="538"/>
      <c r="J2667" s="564"/>
      <c r="N2667" s="563"/>
      <c r="O2667" s="563"/>
      <c r="P2667" s="563"/>
    </row>
    <row r="2668" spans="2:16" ht="15.75" customHeight="1">
      <c r="B2668" s="567"/>
      <c r="H2668" s="563"/>
      <c r="I2668" s="538"/>
      <c r="J2668" s="564"/>
      <c r="N2668" s="563"/>
      <c r="O2668" s="563"/>
      <c r="P2668" s="563"/>
    </row>
    <row r="2669" spans="2:16" ht="15.75" customHeight="1">
      <c r="B2669" s="567"/>
      <c r="H2669" s="563"/>
      <c r="I2669" s="538"/>
      <c r="J2669" s="564"/>
      <c r="N2669" s="563"/>
      <c r="O2669" s="563"/>
      <c r="P2669" s="563"/>
    </row>
    <row r="2670" spans="2:16" ht="15.75" customHeight="1">
      <c r="B2670" s="567"/>
      <c r="H2670" s="563"/>
      <c r="I2670" s="538"/>
      <c r="J2670" s="564"/>
      <c r="N2670" s="563"/>
      <c r="O2670" s="563"/>
      <c r="P2670" s="563"/>
    </row>
    <row r="2671" spans="2:16" ht="15.75" customHeight="1">
      <c r="B2671" s="567"/>
      <c r="H2671" s="563"/>
      <c r="I2671" s="538"/>
      <c r="J2671" s="564"/>
      <c r="N2671" s="563"/>
      <c r="O2671" s="563"/>
      <c r="P2671" s="563"/>
    </row>
    <row r="2672" spans="2:16" ht="15.75" customHeight="1">
      <c r="B2672" s="567"/>
      <c r="H2672" s="563"/>
      <c r="I2672" s="538"/>
      <c r="J2672" s="564"/>
      <c r="N2672" s="563"/>
      <c r="O2672" s="563"/>
      <c r="P2672" s="563"/>
    </row>
    <row r="2673" spans="2:16" ht="15.75" customHeight="1">
      <c r="B2673" s="567"/>
      <c r="H2673" s="563"/>
      <c r="I2673" s="538"/>
      <c r="J2673" s="564"/>
      <c r="N2673" s="563"/>
      <c r="O2673" s="563"/>
      <c r="P2673" s="563"/>
    </row>
    <row r="2674" spans="2:16" ht="15.75" customHeight="1">
      <c r="B2674" s="567"/>
      <c r="H2674" s="563"/>
      <c r="I2674" s="538"/>
      <c r="J2674" s="564"/>
      <c r="N2674" s="563"/>
      <c r="O2674" s="563"/>
      <c r="P2674" s="563"/>
    </row>
    <row r="2675" spans="2:16" ht="15.75" customHeight="1">
      <c r="B2675" s="567"/>
      <c r="H2675" s="563"/>
      <c r="I2675" s="538"/>
      <c r="J2675" s="564"/>
      <c r="N2675" s="563"/>
      <c r="O2675" s="563"/>
      <c r="P2675" s="563"/>
    </row>
    <row r="2676" spans="2:16" ht="15.75" customHeight="1">
      <c r="B2676" s="567"/>
      <c r="H2676" s="563"/>
      <c r="I2676" s="538"/>
      <c r="J2676" s="564"/>
      <c r="N2676" s="563"/>
      <c r="O2676" s="563"/>
      <c r="P2676" s="563"/>
    </row>
    <row r="2677" spans="2:16" ht="15.75" customHeight="1">
      <c r="B2677" s="567"/>
      <c r="H2677" s="563"/>
      <c r="I2677" s="538"/>
      <c r="J2677" s="564"/>
      <c r="N2677" s="563"/>
      <c r="O2677" s="563"/>
      <c r="P2677" s="563"/>
    </row>
    <row r="2678" spans="2:16" ht="15.75" customHeight="1">
      <c r="B2678" s="567"/>
      <c r="H2678" s="563"/>
      <c r="I2678" s="538"/>
      <c r="J2678" s="564"/>
      <c r="N2678" s="563"/>
      <c r="O2678" s="563"/>
      <c r="P2678" s="563"/>
    </row>
    <row r="2679" spans="2:16" ht="15.75" customHeight="1">
      <c r="B2679" s="567"/>
      <c r="H2679" s="563"/>
      <c r="I2679" s="538"/>
      <c r="J2679" s="564"/>
      <c r="N2679" s="563"/>
      <c r="O2679" s="563"/>
      <c r="P2679" s="563"/>
    </row>
    <row r="2680" spans="2:16" ht="15.75" customHeight="1">
      <c r="B2680" s="567"/>
      <c r="H2680" s="563"/>
      <c r="I2680" s="538"/>
      <c r="J2680" s="564"/>
      <c r="N2680" s="563"/>
      <c r="O2680" s="563"/>
      <c r="P2680" s="563"/>
    </row>
    <row r="2681" spans="2:16" ht="15.75" customHeight="1">
      <c r="B2681" s="567"/>
      <c r="H2681" s="563"/>
      <c r="I2681" s="538"/>
      <c r="J2681" s="564"/>
      <c r="N2681" s="563"/>
      <c r="O2681" s="563"/>
      <c r="P2681" s="563"/>
    </row>
    <row r="2682" spans="2:16" ht="15.75" customHeight="1">
      <c r="B2682" s="567"/>
      <c r="H2682" s="563"/>
      <c r="I2682" s="538"/>
      <c r="J2682" s="564"/>
      <c r="N2682" s="563"/>
      <c r="O2682" s="563"/>
      <c r="P2682" s="563"/>
    </row>
    <row r="2683" spans="2:16" ht="15.75" customHeight="1">
      <c r="B2683" s="567"/>
      <c r="H2683" s="563"/>
      <c r="I2683" s="538"/>
      <c r="J2683" s="564"/>
      <c r="N2683" s="563"/>
      <c r="O2683" s="563"/>
      <c r="P2683" s="563"/>
    </row>
    <row r="2684" spans="2:16" ht="15.75" customHeight="1">
      <c r="B2684" s="567"/>
      <c r="H2684" s="563"/>
      <c r="I2684" s="538"/>
      <c r="J2684" s="564"/>
      <c r="N2684" s="563"/>
      <c r="O2684" s="563"/>
      <c r="P2684" s="563"/>
    </row>
    <row r="2685" spans="2:16" ht="15.75" customHeight="1">
      <c r="B2685" s="567"/>
      <c r="H2685" s="563"/>
      <c r="I2685" s="538"/>
      <c r="J2685" s="564"/>
      <c r="N2685" s="563"/>
      <c r="O2685" s="563"/>
      <c r="P2685" s="563"/>
    </row>
    <row r="2686" spans="2:16" ht="15.75" customHeight="1">
      <c r="B2686" s="567"/>
      <c r="H2686" s="563"/>
      <c r="I2686" s="538"/>
      <c r="J2686" s="564"/>
      <c r="N2686" s="563"/>
      <c r="O2686" s="563"/>
      <c r="P2686" s="563"/>
    </row>
    <row r="2687" spans="2:16" ht="15.75" customHeight="1">
      <c r="B2687" s="567"/>
      <c r="H2687" s="563"/>
      <c r="I2687" s="538"/>
      <c r="J2687" s="564"/>
      <c r="N2687" s="563"/>
      <c r="O2687" s="563"/>
      <c r="P2687" s="563"/>
    </row>
    <row r="2688" spans="2:16" ht="15.75" customHeight="1">
      <c r="B2688" s="567"/>
      <c r="H2688" s="563"/>
      <c r="I2688" s="538"/>
      <c r="J2688" s="564"/>
      <c r="N2688" s="563"/>
      <c r="O2688" s="563"/>
      <c r="P2688" s="563"/>
    </row>
    <row r="2689" spans="2:16" ht="15.75" customHeight="1">
      <c r="B2689" s="567"/>
      <c r="H2689" s="563"/>
      <c r="I2689" s="538"/>
      <c r="J2689" s="564"/>
      <c r="N2689" s="563"/>
      <c r="O2689" s="563"/>
      <c r="P2689" s="563"/>
    </row>
    <row r="2690" spans="2:16" ht="15.75" customHeight="1">
      <c r="B2690" s="567"/>
      <c r="H2690" s="563"/>
      <c r="I2690" s="538"/>
      <c r="J2690" s="564"/>
      <c r="N2690" s="563"/>
      <c r="O2690" s="563"/>
      <c r="P2690" s="563"/>
    </row>
    <row r="2691" spans="2:16" ht="15.75" customHeight="1">
      <c r="B2691" s="567"/>
      <c r="H2691" s="563"/>
      <c r="I2691" s="538"/>
      <c r="J2691" s="564"/>
      <c r="N2691" s="563"/>
      <c r="O2691" s="563"/>
      <c r="P2691" s="563"/>
    </row>
    <row r="2692" spans="2:16" ht="15.75" customHeight="1">
      <c r="B2692" s="567"/>
      <c r="H2692" s="563"/>
      <c r="I2692" s="538"/>
      <c r="J2692" s="564"/>
      <c r="N2692" s="563"/>
      <c r="O2692" s="563"/>
      <c r="P2692" s="563"/>
    </row>
    <row r="2693" spans="2:16" ht="15.75" customHeight="1">
      <c r="B2693" s="567"/>
      <c r="H2693" s="563"/>
      <c r="I2693" s="538"/>
      <c r="J2693" s="564"/>
      <c r="N2693" s="563"/>
      <c r="O2693" s="563"/>
      <c r="P2693" s="563"/>
    </row>
    <row r="2694" spans="2:16" ht="15.75" customHeight="1">
      <c r="B2694" s="567"/>
      <c r="H2694" s="563"/>
      <c r="I2694" s="538"/>
      <c r="J2694" s="564"/>
      <c r="N2694" s="563"/>
      <c r="O2694" s="563"/>
      <c r="P2694" s="563"/>
    </row>
    <row r="2695" spans="2:16" ht="15.75" customHeight="1">
      <c r="B2695" s="567"/>
      <c r="H2695" s="563"/>
      <c r="I2695" s="538"/>
      <c r="J2695" s="564"/>
      <c r="N2695" s="563"/>
      <c r="O2695" s="563"/>
      <c r="P2695" s="563"/>
    </row>
    <row r="2696" spans="2:16" ht="15.75" customHeight="1">
      <c r="B2696" s="567"/>
      <c r="H2696" s="563"/>
      <c r="I2696" s="538"/>
      <c r="J2696" s="564"/>
      <c r="N2696" s="563"/>
      <c r="O2696" s="563"/>
      <c r="P2696" s="563"/>
    </row>
    <row r="2697" spans="2:16" ht="15.75" customHeight="1">
      <c r="B2697" s="567"/>
      <c r="H2697" s="563"/>
      <c r="I2697" s="538"/>
      <c r="J2697" s="564"/>
      <c r="N2697" s="563"/>
      <c r="O2697" s="563"/>
      <c r="P2697" s="563"/>
    </row>
    <row r="2698" spans="2:16" ht="15.75" customHeight="1">
      <c r="B2698" s="567"/>
      <c r="H2698" s="563"/>
      <c r="I2698" s="538"/>
      <c r="J2698" s="564"/>
      <c r="N2698" s="563"/>
      <c r="O2698" s="563"/>
      <c r="P2698" s="563"/>
    </row>
    <row r="2699" spans="2:16" ht="15.75" customHeight="1">
      <c r="B2699" s="567"/>
      <c r="H2699" s="563"/>
      <c r="I2699" s="538"/>
      <c r="J2699" s="564"/>
      <c r="N2699" s="563"/>
      <c r="O2699" s="563"/>
      <c r="P2699" s="563"/>
    </row>
    <row r="2700" spans="2:16" ht="15.75" customHeight="1">
      <c r="B2700" s="567"/>
      <c r="H2700" s="563"/>
      <c r="I2700" s="538"/>
      <c r="J2700" s="564"/>
      <c r="N2700" s="563"/>
      <c r="O2700" s="563"/>
      <c r="P2700" s="563"/>
    </row>
    <row r="2701" spans="2:16" ht="15.75" customHeight="1">
      <c r="B2701" s="567"/>
      <c r="H2701" s="563"/>
      <c r="I2701" s="538"/>
      <c r="J2701" s="564"/>
      <c r="N2701" s="563"/>
      <c r="O2701" s="563"/>
      <c r="P2701" s="563"/>
    </row>
    <row r="2702" spans="2:16" ht="15.75" customHeight="1">
      <c r="B2702" s="567"/>
      <c r="H2702" s="563"/>
      <c r="I2702" s="538"/>
      <c r="J2702" s="564"/>
      <c r="N2702" s="563"/>
      <c r="O2702" s="563"/>
      <c r="P2702" s="563"/>
    </row>
    <row r="2703" spans="2:16" ht="15.75" customHeight="1">
      <c r="B2703" s="567"/>
      <c r="H2703" s="563"/>
      <c r="I2703" s="538"/>
      <c r="J2703" s="564"/>
      <c r="N2703" s="563"/>
      <c r="O2703" s="563"/>
      <c r="P2703" s="563"/>
    </row>
    <row r="2704" spans="2:16" ht="15.75" customHeight="1">
      <c r="B2704" s="567"/>
      <c r="H2704" s="563"/>
      <c r="I2704" s="538"/>
      <c r="J2704" s="564"/>
      <c r="N2704" s="563"/>
      <c r="O2704" s="563"/>
      <c r="P2704" s="563"/>
    </row>
    <row r="2705" spans="2:16" ht="15.75" customHeight="1">
      <c r="B2705" s="567"/>
      <c r="H2705" s="563"/>
      <c r="I2705" s="538"/>
      <c r="J2705" s="564"/>
      <c r="N2705" s="563"/>
      <c r="O2705" s="563"/>
      <c r="P2705" s="563"/>
    </row>
    <row r="2706" spans="2:16" ht="15.75" customHeight="1">
      <c r="B2706" s="567"/>
      <c r="H2706" s="563"/>
      <c r="I2706" s="538"/>
      <c r="J2706" s="564"/>
      <c r="N2706" s="563"/>
      <c r="O2706" s="563"/>
      <c r="P2706" s="563"/>
    </row>
    <row r="2707" spans="2:16" ht="15.75" customHeight="1">
      <c r="B2707" s="567"/>
      <c r="H2707" s="563"/>
      <c r="I2707" s="538"/>
      <c r="J2707" s="564"/>
      <c r="N2707" s="563"/>
      <c r="O2707" s="563"/>
      <c r="P2707" s="563"/>
    </row>
    <row r="2708" spans="2:16" ht="15.75" customHeight="1">
      <c r="B2708" s="567"/>
      <c r="H2708" s="563"/>
      <c r="I2708" s="538"/>
      <c r="J2708" s="564"/>
      <c r="N2708" s="563"/>
      <c r="O2708" s="563"/>
      <c r="P2708" s="563"/>
    </row>
    <row r="2709" spans="2:16" ht="15.75" customHeight="1">
      <c r="B2709" s="567"/>
      <c r="H2709" s="563"/>
      <c r="I2709" s="538"/>
      <c r="J2709" s="564"/>
      <c r="N2709" s="563"/>
      <c r="O2709" s="563"/>
      <c r="P2709" s="563"/>
    </row>
    <row r="2710" spans="2:16" ht="15.75" customHeight="1">
      <c r="B2710" s="567"/>
      <c r="H2710" s="563"/>
      <c r="I2710" s="538"/>
      <c r="J2710" s="564"/>
      <c r="N2710" s="563"/>
      <c r="O2710" s="563"/>
      <c r="P2710" s="563"/>
    </row>
    <row r="2711" spans="2:16" ht="15.75" customHeight="1">
      <c r="B2711" s="567"/>
      <c r="H2711" s="563"/>
      <c r="I2711" s="538"/>
      <c r="J2711" s="564"/>
      <c r="N2711" s="563"/>
      <c r="O2711" s="563"/>
      <c r="P2711" s="563"/>
    </row>
    <row r="2712" spans="2:16" ht="15.75" customHeight="1">
      <c r="B2712" s="567"/>
      <c r="H2712" s="563"/>
      <c r="I2712" s="538"/>
      <c r="J2712" s="564"/>
      <c r="N2712" s="563"/>
      <c r="O2712" s="563"/>
      <c r="P2712" s="563"/>
    </row>
    <row r="2713" spans="2:16" ht="15.75" customHeight="1">
      <c r="B2713" s="567"/>
      <c r="H2713" s="563"/>
      <c r="I2713" s="538"/>
      <c r="J2713" s="564"/>
      <c r="N2713" s="563"/>
      <c r="O2713" s="563"/>
      <c r="P2713" s="563"/>
    </row>
    <row r="2714" spans="2:16" ht="15.75" customHeight="1">
      <c r="B2714" s="567"/>
      <c r="H2714" s="563"/>
      <c r="I2714" s="538"/>
      <c r="J2714" s="564"/>
      <c r="N2714" s="563"/>
      <c r="O2714" s="563"/>
      <c r="P2714" s="563"/>
    </row>
    <row r="2715" spans="2:16" ht="15.75" customHeight="1">
      <c r="B2715" s="567"/>
      <c r="H2715" s="563"/>
      <c r="I2715" s="538"/>
      <c r="J2715" s="564"/>
      <c r="N2715" s="563"/>
      <c r="O2715" s="563"/>
      <c r="P2715" s="563"/>
    </row>
    <row r="2716" spans="2:16" ht="15.75" customHeight="1">
      <c r="B2716" s="567"/>
      <c r="H2716" s="563"/>
      <c r="I2716" s="538"/>
      <c r="J2716" s="564"/>
      <c r="N2716" s="563"/>
      <c r="O2716" s="563"/>
      <c r="P2716" s="563"/>
    </row>
    <row r="2717" spans="2:16" ht="15.75" customHeight="1">
      <c r="B2717" s="567"/>
      <c r="H2717" s="563"/>
      <c r="I2717" s="538"/>
      <c r="J2717" s="564"/>
      <c r="N2717" s="563"/>
      <c r="O2717" s="563"/>
      <c r="P2717" s="563"/>
    </row>
    <row r="2718" spans="2:16" ht="15.75" customHeight="1">
      <c r="B2718" s="567"/>
      <c r="H2718" s="563"/>
      <c r="I2718" s="538"/>
      <c r="J2718" s="564"/>
      <c r="N2718" s="563"/>
      <c r="O2718" s="563"/>
      <c r="P2718" s="563"/>
    </row>
    <row r="2719" spans="2:16" ht="15.75" customHeight="1">
      <c r="B2719" s="567"/>
      <c r="H2719" s="563"/>
      <c r="I2719" s="538"/>
      <c r="J2719" s="564"/>
      <c r="N2719" s="563"/>
      <c r="O2719" s="563"/>
      <c r="P2719" s="563"/>
    </row>
    <row r="2720" spans="2:16" ht="15.75" customHeight="1">
      <c r="B2720" s="567"/>
      <c r="H2720" s="563"/>
      <c r="I2720" s="538"/>
      <c r="J2720" s="564"/>
      <c r="N2720" s="563"/>
      <c r="O2720" s="563"/>
      <c r="P2720" s="563"/>
    </row>
    <row r="2721" spans="2:16" ht="15.75" customHeight="1">
      <c r="B2721" s="567"/>
      <c r="H2721" s="563"/>
      <c r="I2721" s="538"/>
      <c r="J2721" s="564"/>
      <c r="N2721" s="563"/>
      <c r="O2721" s="563"/>
      <c r="P2721" s="563"/>
    </row>
    <row r="2722" spans="2:16" ht="15.75" customHeight="1">
      <c r="B2722" s="567"/>
      <c r="H2722" s="563"/>
      <c r="I2722" s="538"/>
      <c r="J2722" s="564"/>
      <c r="N2722" s="563"/>
      <c r="O2722" s="563"/>
      <c r="P2722" s="563"/>
    </row>
    <row r="2723" spans="2:16" ht="15.75" customHeight="1">
      <c r="B2723" s="567"/>
      <c r="H2723" s="563"/>
      <c r="I2723" s="538"/>
      <c r="J2723" s="564"/>
      <c r="N2723" s="563"/>
      <c r="O2723" s="563"/>
      <c r="P2723" s="563"/>
    </row>
    <row r="2724" spans="2:16" ht="15.75" customHeight="1">
      <c r="B2724" s="567"/>
      <c r="H2724" s="563"/>
      <c r="I2724" s="538"/>
      <c r="J2724" s="564"/>
      <c r="N2724" s="563"/>
      <c r="O2724" s="563"/>
      <c r="P2724" s="563"/>
    </row>
    <row r="2725" spans="2:16" ht="15.75" customHeight="1">
      <c r="B2725" s="567"/>
      <c r="H2725" s="563"/>
      <c r="I2725" s="538"/>
      <c r="J2725" s="564"/>
      <c r="N2725" s="563"/>
      <c r="O2725" s="563"/>
      <c r="P2725" s="563"/>
    </row>
    <row r="2726" spans="2:16" ht="15.75" customHeight="1">
      <c r="B2726" s="567"/>
      <c r="H2726" s="563"/>
      <c r="I2726" s="538"/>
      <c r="J2726" s="564"/>
      <c r="N2726" s="563"/>
      <c r="O2726" s="563"/>
      <c r="P2726" s="563"/>
    </row>
    <row r="2727" spans="2:16" ht="15.75" customHeight="1">
      <c r="B2727" s="567"/>
      <c r="H2727" s="563"/>
      <c r="I2727" s="538"/>
      <c r="J2727" s="564"/>
      <c r="N2727" s="563"/>
      <c r="O2727" s="563"/>
      <c r="P2727" s="563"/>
    </row>
    <row r="2728" spans="2:16" ht="15.75" customHeight="1">
      <c r="B2728" s="567"/>
      <c r="H2728" s="563"/>
      <c r="I2728" s="538"/>
      <c r="J2728" s="564"/>
      <c r="N2728" s="563"/>
      <c r="O2728" s="563"/>
      <c r="P2728" s="563"/>
    </row>
    <row r="2729" spans="2:16" ht="15.75" customHeight="1">
      <c r="B2729" s="567"/>
      <c r="H2729" s="563"/>
      <c r="I2729" s="538"/>
      <c r="J2729" s="564"/>
      <c r="N2729" s="563"/>
      <c r="O2729" s="563"/>
      <c r="P2729" s="563"/>
    </row>
    <row r="2730" spans="2:16" ht="15.75" customHeight="1">
      <c r="B2730" s="567"/>
      <c r="H2730" s="563"/>
      <c r="I2730" s="538"/>
      <c r="J2730" s="564"/>
      <c r="N2730" s="563"/>
      <c r="O2730" s="563"/>
      <c r="P2730" s="563"/>
    </row>
    <row r="2731" spans="2:16" ht="15.75" customHeight="1">
      <c r="B2731" s="567"/>
      <c r="H2731" s="563"/>
      <c r="I2731" s="538"/>
      <c r="J2731" s="564"/>
      <c r="N2731" s="563"/>
      <c r="O2731" s="563"/>
      <c r="P2731" s="563"/>
    </row>
    <row r="2732" spans="2:16" ht="15.75" customHeight="1">
      <c r="B2732" s="567"/>
      <c r="H2732" s="563"/>
      <c r="I2732" s="538"/>
      <c r="J2732" s="564"/>
      <c r="N2732" s="563"/>
      <c r="O2732" s="563"/>
      <c r="P2732" s="563"/>
    </row>
    <row r="2733" spans="2:16" ht="15.75" customHeight="1">
      <c r="B2733" s="567"/>
      <c r="H2733" s="563"/>
      <c r="I2733" s="538"/>
      <c r="J2733" s="564"/>
      <c r="N2733" s="563"/>
      <c r="O2733" s="563"/>
      <c r="P2733" s="563"/>
    </row>
    <row r="2734" spans="2:16" ht="15.75" customHeight="1">
      <c r="B2734" s="567"/>
      <c r="H2734" s="563"/>
      <c r="I2734" s="538"/>
      <c r="J2734" s="564"/>
      <c r="N2734" s="563"/>
      <c r="O2734" s="563"/>
      <c r="P2734" s="563"/>
    </row>
    <row r="2735" spans="2:16" ht="15.75" customHeight="1">
      <c r="B2735" s="567"/>
      <c r="H2735" s="563"/>
      <c r="I2735" s="538"/>
      <c r="J2735" s="564"/>
      <c r="N2735" s="563"/>
      <c r="O2735" s="563"/>
      <c r="P2735" s="563"/>
    </row>
    <row r="2736" spans="2:16" ht="15.75" customHeight="1">
      <c r="B2736" s="567"/>
      <c r="H2736" s="563"/>
      <c r="I2736" s="538"/>
      <c r="J2736" s="564"/>
      <c r="N2736" s="563"/>
      <c r="O2736" s="563"/>
      <c r="P2736" s="563"/>
    </row>
    <row r="2737" spans="2:16" ht="15.75" customHeight="1">
      <c r="B2737" s="567"/>
      <c r="H2737" s="563"/>
      <c r="I2737" s="538"/>
      <c r="J2737" s="564"/>
      <c r="N2737" s="563"/>
      <c r="O2737" s="563"/>
      <c r="P2737" s="563"/>
    </row>
    <row r="2738" spans="2:16" ht="15.75" customHeight="1">
      <c r="B2738" s="567"/>
      <c r="H2738" s="563"/>
      <c r="I2738" s="538"/>
      <c r="J2738" s="564"/>
      <c r="N2738" s="563"/>
      <c r="O2738" s="563"/>
      <c r="P2738" s="563"/>
    </row>
    <row r="2739" spans="2:16" ht="15.75" customHeight="1">
      <c r="B2739" s="567"/>
      <c r="H2739" s="563"/>
      <c r="I2739" s="538"/>
      <c r="J2739" s="564"/>
      <c r="N2739" s="563"/>
      <c r="O2739" s="563"/>
      <c r="P2739" s="563"/>
    </row>
    <row r="2740" spans="2:16" ht="15.75" customHeight="1">
      <c r="B2740" s="567"/>
      <c r="H2740" s="563"/>
      <c r="I2740" s="538"/>
      <c r="J2740" s="564"/>
      <c r="N2740" s="563"/>
      <c r="O2740" s="563"/>
      <c r="P2740" s="563"/>
    </row>
    <row r="2741" spans="2:16" ht="15.75" customHeight="1">
      <c r="B2741" s="567"/>
      <c r="H2741" s="563"/>
      <c r="I2741" s="538"/>
      <c r="J2741" s="564"/>
      <c r="N2741" s="563"/>
      <c r="O2741" s="563"/>
      <c r="P2741" s="563"/>
    </row>
    <row r="2742" spans="2:16" ht="15.75" customHeight="1">
      <c r="B2742" s="567"/>
      <c r="H2742" s="563"/>
      <c r="I2742" s="538"/>
      <c r="J2742" s="564"/>
      <c r="N2742" s="563"/>
      <c r="O2742" s="563"/>
      <c r="P2742" s="563"/>
    </row>
    <row r="2743" spans="2:16" ht="15.75" customHeight="1">
      <c r="B2743" s="567"/>
      <c r="H2743" s="563"/>
      <c r="I2743" s="538"/>
      <c r="J2743" s="564"/>
      <c r="N2743" s="563"/>
      <c r="O2743" s="563"/>
      <c r="P2743" s="563"/>
    </row>
    <row r="2744" spans="2:16" ht="15.75" customHeight="1">
      <c r="B2744" s="567"/>
      <c r="H2744" s="563"/>
      <c r="I2744" s="538"/>
      <c r="J2744" s="564"/>
      <c r="N2744" s="563"/>
      <c r="O2744" s="563"/>
      <c r="P2744" s="563"/>
    </row>
    <row r="2745" spans="2:16" ht="15.75" customHeight="1">
      <c r="B2745" s="567"/>
      <c r="H2745" s="563"/>
      <c r="I2745" s="538"/>
      <c r="J2745" s="564"/>
      <c r="N2745" s="563"/>
      <c r="O2745" s="563"/>
      <c r="P2745" s="563"/>
    </row>
    <row r="2746" spans="2:16" ht="15.75" customHeight="1">
      <c r="B2746" s="567"/>
      <c r="H2746" s="563"/>
      <c r="I2746" s="538"/>
      <c r="J2746" s="564"/>
      <c r="N2746" s="563"/>
      <c r="O2746" s="563"/>
      <c r="P2746" s="563"/>
    </row>
    <row r="2747" spans="2:16" ht="15.75" customHeight="1">
      <c r="B2747" s="567"/>
      <c r="H2747" s="563"/>
      <c r="I2747" s="538"/>
      <c r="J2747" s="564"/>
      <c r="N2747" s="563"/>
      <c r="O2747" s="563"/>
      <c r="P2747" s="563"/>
    </row>
    <row r="2748" spans="2:16" ht="15.75" customHeight="1">
      <c r="B2748" s="567"/>
      <c r="H2748" s="563"/>
      <c r="I2748" s="538"/>
      <c r="J2748" s="564"/>
      <c r="N2748" s="563"/>
      <c r="O2748" s="563"/>
      <c r="P2748" s="563"/>
    </row>
    <row r="2749" spans="2:16" ht="15.75" customHeight="1">
      <c r="B2749" s="567"/>
      <c r="H2749" s="563"/>
      <c r="I2749" s="538"/>
      <c r="J2749" s="564"/>
      <c r="N2749" s="563"/>
      <c r="O2749" s="563"/>
      <c r="P2749" s="563"/>
    </row>
    <row r="2750" spans="2:16" ht="15.75" customHeight="1">
      <c r="B2750" s="567"/>
      <c r="H2750" s="563"/>
      <c r="I2750" s="538"/>
      <c r="J2750" s="564"/>
      <c r="N2750" s="563"/>
      <c r="O2750" s="563"/>
      <c r="P2750" s="563"/>
    </row>
    <row r="2751" spans="2:16" ht="15.75" customHeight="1">
      <c r="B2751" s="567"/>
      <c r="H2751" s="563"/>
      <c r="I2751" s="538"/>
      <c r="J2751" s="564"/>
      <c r="N2751" s="563"/>
      <c r="O2751" s="563"/>
      <c r="P2751" s="563"/>
    </row>
    <row r="2752" spans="2:16" ht="15.75" customHeight="1">
      <c r="B2752" s="567"/>
      <c r="H2752" s="563"/>
      <c r="I2752" s="538"/>
      <c r="J2752" s="564"/>
      <c r="N2752" s="563"/>
      <c r="O2752" s="563"/>
      <c r="P2752" s="563"/>
    </row>
    <row r="2753" spans="2:16" ht="15.75" customHeight="1">
      <c r="B2753" s="567"/>
      <c r="H2753" s="563"/>
      <c r="I2753" s="538"/>
      <c r="J2753" s="564"/>
      <c r="N2753" s="563"/>
      <c r="O2753" s="563"/>
      <c r="P2753" s="563"/>
    </row>
    <row r="2754" spans="2:16" ht="15.75" customHeight="1">
      <c r="B2754" s="567"/>
      <c r="H2754" s="563"/>
      <c r="I2754" s="538"/>
      <c r="J2754" s="564"/>
      <c r="N2754" s="563"/>
      <c r="O2754" s="563"/>
      <c r="P2754" s="563"/>
    </row>
    <row r="2755" spans="2:16" ht="15.75" customHeight="1">
      <c r="B2755" s="567"/>
      <c r="H2755" s="563"/>
      <c r="I2755" s="538"/>
      <c r="J2755" s="564"/>
      <c r="N2755" s="563"/>
      <c r="O2755" s="563"/>
      <c r="P2755" s="563"/>
    </row>
    <row r="2756" spans="2:16" ht="15.75" customHeight="1">
      <c r="B2756" s="567"/>
      <c r="H2756" s="563"/>
      <c r="I2756" s="538"/>
      <c r="J2756" s="564"/>
      <c r="N2756" s="563"/>
      <c r="O2756" s="563"/>
      <c r="P2756" s="563"/>
    </row>
    <row r="2757" spans="2:16" ht="15.75" customHeight="1">
      <c r="B2757" s="567"/>
      <c r="H2757" s="563"/>
      <c r="I2757" s="538"/>
      <c r="J2757" s="564"/>
      <c r="N2757" s="563"/>
      <c r="O2757" s="563"/>
      <c r="P2757" s="563"/>
    </row>
    <row r="2758" spans="2:16" ht="15.75" customHeight="1">
      <c r="B2758" s="567"/>
      <c r="H2758" s="563"/>
      <c r="I2758" s="538"/>
      <c r="J2758" s="564"/>
      <c r="N2758" s="563"/>
      <c r="O2758" s="563"/>
      <c r="P2758" s="563"/>
    </row>
    <row r="2759" spans="2:16" ht="15.75" customHeight="1">
      <c r="B2759" s="567"/>
      <c r="H2759" s="563"/>
      <c r="I2759" s="538"/>
      <c r="J2759" s="564"/>
      <c r="N2759" s="563"/>
      <c r="O2759" s="563"/>
      <c r="P2759" s="563"/>
    </row>
    <row r="2760" spans="2:16" ht="15.75" customHeight="1">
      <c r="B2760" s="567"/>
      <c r="H2760" s="563"/>
      <c r="I2760" s="538"/>
      <c r="J2760" s="564"/>
      <c r="N2760" s="563"/>
      <c r="O2760" s="563"/>
      <c r="P2760" s="563"/>
    </row>
    <row r="2761" spans="2:16" ht="15.75" customHeight="1">
      <c r="B2761" s="567"/>
      <c r="H2761" s="563"/>
      <c r="I2761" s="538"/>
      <c r="J2761" s="564"/>
      <c r="N2761" s="563"/>
      <c r="O2761" s="563"/>
      <c r="P2761" s="563"/>
    </row>
    <row r="2762" spans="2:16" ht="15.75" customHeight="1">
      <c r="B2762" s="567"/>
      <c r="H2762" s="563"/>
      <c r="I2762" s="538"/>
      <c r="J2762" s="564"/>
      <c r="N2762" s="563"/>
      <c r="O2762" s="563"/>
      <c r="P2762" s="563"/>
    </row>
    <row r="2763" spans="2:16" ht="15.75" customHeight="1">
      <c r="B2763" s="567"/>
      <c r="H2763" s="563"/>
      <c r="I2763" s="538"/>
      <c r="J2763" s="564"/>
      <c r="N2763" s="563"/>
      <c r="O2763" s="563"/>
      <c r="P2763" s="563"/>
    </row>
    <row r="2764" spans="2:16" ht="15.75" customHeight="1">
      <c r="B2764" s="567"/>
      <c r="H2764" s="563"/>
      <c r="I2764" s="538"/>
      <c r="J2764" s="564"/>
      <c r="N2764" s="563"/>
      <c r="O2764" s="563"/>
      <c r="P2764" s="563"/>
    </row>
    <row r="2765" spans="2:16" ht="15.75" customHeight="1">
      <c r="B2765" s="567"/>
      <c r="H2765" s="563"/>
      <c r="I2765" s="538"/>
      <c r="J2765" s="564"/>
      <c r="N2765" s="563"/>
      <c r="O2765" s="563"/>
      <c r="P2765" s="563"/>
    </row>
    <row r="2766" spans="2:16" ht="15.75" customHeight="1">
      <c r="B2766" s="567"/>
      <c r="H2766" s="563"/>
      <c r="I2766" s="538"/>
      <c r="J2766" s="564"/>
      <c r="N2766" s="563"/>
      <c r="O2766" s="563"/>
      <c r="P2766" s="563"/>
    </row>
    <row r="2767" spans="2:16" ht="15.75" customHeight="1">
      <c r="B2767" s="567"/>
      <c r="H2767" s="563"/>
      <c r="I2767" s="538"/>
      <c r="J2767" s="564"/>
      <c r="N2767" s="563"/>
      <c r="O2767" s="563"/>
      <c r="P2767" s="563"/>
    </row>
    <row r="2768" spans="2:16" ht="15.75" customHeight="1">
      <c r="B2768" s="567"/>
      <c r="H2768" s="563"/>
      <c r="I2768" s="538"/>
      <c r="J2768" s="564"/>
      <c r="N2768" s="563"/>
      <c r="O2768" s="563"/>
      <c r="P2768" s="563"/>
    </row>
    <row r="2769" spans="2:16" ht="15.75" customHeight="1">
      <c r="B2769" s="567"/>
      <c r="H2769" s="563"/>
      <c r="I2769" s="538"/>
      <c r="J2769" s="564"/>
      <c r="N2769" s="563"/>
      <c r="O2769" s="563"/>
      <c r="P2769" s="563"/>
    </row>
    <row r="2770" spans="2:16" ht="15.75" customHeight="1">
      <c r="B2770" s="567"/>
      <c r="H2770" s="563"/>
      <c r="I2770" s="538"/>
      <c r="J2770" s="564"/>
      <c r="N2770" s="563"/>
      <c r="O2770" s="563"/>
      <c r="P2770" s="563"/>
    </row>
    <row r="2771" spans="2:16" ht="15.75" customHeight="1">
      <c r="B2771" s="567"/>
      <c r="H2771" s="563"/>
      <c r="I2771" s="538"/>
      <c r="J2771" s="564"/>
      <c r="N2771" s="563"/>
      <c r="O2771" s="563"/>
      <c r="P2771" s="563"/>
    </row>
    <row r="2772" spans="2:16" ht="15.75" customHeight="1">
      <c r="B2772" s="567"/>
      <c r="H2772" s="563"/>
      <c r="I2772" s="538"/>
      <c r="J2772" s="564"/>
      <c r="N2772" s="563"/>
      <c r="O2772" s="563"/>
      <c r="P2772" s="563"/>
    </row>
    <row r="2773" spans="2:16" ht="15.75" customHeight="1">
      <c r="B2773" s="567"/>
      <c r="H2773" s="563"/>
      <c r="I2773" s="538"/>
      <c r="J2773" s="564"/>
      <c r="N2773" s="563"/>
      <c r="O2773" s="563"/>
      <c r="P2773" s="563"/>
    </row>
    <row r="2774" spans="2:16" ht="15.75" customHeight="1">
      <c r="B2774" s="567"/>
      <c r="H2774" s="563"/>
      <c r="I2774" s="538"/>
      <c r="J2774" s="564"/>
      <c r="N2774" s="563"/>
      <c r="O2774" s="563"/>
      <c r="P2774" s="563"/>
    </row>
    <row r="2775" spans="2:16" ht="15.75" customHeight="1">
      <c r="B2775" s="567"/>
      <c r="H2775" s="563"/>
      <c r="I2775" s="538"/>
      <c r="J2775" s="564"/>
      <c r="N2775" s="563"/>
      <c r="O2775" s="563"/>
      <c r="P2775" s="563"/>
    </row>
    <row r="2776" spans="2:16" ht="15.75" customHeight="1">
      <c r="B2776" s="567"/>
      <c r="H2776" s="563"/>
      <c r="I2776" s="538"/>
      <c r="J2776" s="564"/>
      <c r="N2776" s="563"/>
      <c r="O2776" s="563"/>
      <c r="P2776" s="563"/>
    </row>
    <row r="2777" spans="2:16" ht="15.75" customHeight="1">
      <c r="B2777" s="567"/>
      <c r="H2777" s="563"/>
      <c r="I2777" s="538"/>
      <c r="J2777" s="564"/>
      <c r="N2777" s="563"/>
      <c r="O2777" s="563"/>
      <c r="P2777" s="563"/>
    </row>
    <row r="2778" spans="2:16" ht="15.75" customHeight="1">
      <c r="B2778" s="567"/>
      <c r="H2778" s="563"/>
      <c r="I2778" s="538"/>
      <c r="J2778" s="564"/>
      <c r="N2778" s="563"/>
      <c r="O2778" s="563"/>
      <c r="P2778" s="563"/>
    </row>
    <row r="2779" spans="2:16" ht="15.75" customHeight="1">
      <c r="B2779" s="567"/>
      <c r="H2779" s="563"/>
      <c r="I2779" s="538"/>
      <c r="J2779" s="564"/>
      <c r="N2779" s="563"/>
      <c r="O2779" s="563"/>
      <c r="P2779" s="563"/>
    </row>
    <row r="2780" spans="2:16" ht="15.75" customHeight="1">
      <c r="B2780" s="567"/>
      <c r="H2780" s="563"/>
      <c r="I2780" s="538"/>
      <c r="J2780" s="564"/>
      <c r="N2780" s="563"/>
      <c r="O2780" s="563"/>
      <c r="P2780" s="563"/>
    </row>
    <row r="2781" spans="2:16" ht="15.75" customHeight="1">
      <c r="B2781" s="567"/>
      <c r="H2781" s="563"/>
      <c r="I2781" s="538"/>
      <c r="J2781" s="564"/>
      <c r="N2781" s="563"/>
      <c r="O2781" s="563"/>
      <c r="P2781" s="563"/>
    </row>
    <row r="2782" spans="2:16" ht="15.75" customHeight="1">
      <c r="B2782" s="567"/>
      <c r="H2782" s="563"/>
      <c r="I2782" s="538"/>
      <c r="J2782" s="564"/>
      <c r="N2782" s="563"/>
      <c r="O2782" s="563"/>
      <c r="P2782" s="563"/>
    </row>
    <row r="2783" spans="2:16" ht="15.75" customHeight="1">
      <c r="B2783" s="567"/>
      <c r="H2783" s="563"/>
      <c r="I2783" s="538"/>
      <c r="J2783" s="564"/>
      <c r="N2783" s="563"/>
      <c r="O2783" s="563"/>
      <c r="P2783" s="563"/>
    </row>
    <row r="2784" spans="2:16" ht="15.75" customHeight="1">
      <c r="B2784" s="567"/>
      <c r="H2784" s="563"/>
      <c r="I2784" s="538"/>
      <c r="J2784" s="564"/>
      <c r="N2784" s="563"/>
      <c r="O2784" s="563"/>
      <c r="P2784" s="563"/>
    </row>
    <row r="2785" spans="2:16" ht="15.75" customHeight="1">
      <c r="B2785" s="567"/>
      <c r="H2785" s="563"/>
      <c r="I2785" s="538"/>
      <c r="J2785" s="564"/>
      <c r="N2785" s="563"/>
      <c r="O2785" s="563"/>
      <c r="P2785" s="563"/>
    </row>
    <row r="2786" spans="2:16" ht="15.75" customHeight="1">
      <c r="B2786" s="567"/>
      <c r="H2786" s="563"/>
      <c r="I2786" s="538"/>
      <c r="J2786" s="564"/>
      <c r="N2786" s="563"/>
      <c r="O2786" s="563"/>
      <c r="P2786" s="563"/>
    </row>
    <row r="2787" spans="2:16" ht="15.75" customHeight="1">
      <c r="B2787" s="567"/>
      <c r="H2787" s="563"/>
      <c r="I2787" s="538"/>
      <c r="J2787" s="564"/>
      <c r="N2787" s="563"/>
      <c r="O2787" s="563"/>
      <c r="P2787" s="563"/>
    </row>
    <row r="2788" spans="2:16" ht="15.75" customHeight="1">
      <c r="B2788" s="567"/>
      <c r="H2788" s="563"/>
      <c r="I2788" s="538"/>
      <c r="J2788" s="564"/>
      <c r="N2788" s="563"/>
      <c r="O2788" s="563"/>
      <c r="P2788" s="563"/>
    </row>
    <row r="2789" spans="2:16" ht="15.75" customHeight="1">
      <c r="B2789" s="567"/>
      <c r="H2789" s="563"/>
      <c r="I2789" s="538"/>
      <c r="J2789" s="564"/>
      <c r="N2789" s="563"/>
      <c r="O2789" s="563"/>
      <c r="P2789" s="563"/>
    </row>
    <row r="2790" spans="2:16" ht="15.75" customHeight="1">
      <c r="B2790" s="567"/>
      <c r="H2790" s="563"/>
      <c r="I2790" s="538"/>
      <c r="J2790" s="564"/>
      <c r="N2790" s="563"/>
      <c r="O2790" s="563"/>
      <c r="P2790" s="563"/>
    </row>
    <row r="2791" spans="2:16" ht="15.75" customHeight="1">
      <c r="B2791" s="567"/>
      <c r="H2791" s="563"/>
      <c r="I2791" s="538"/>
      <c r="J2791" s="564"/>
      <c r="N2791" s="563"/>
      <c r="O2791" s="563"/>
      <c r="P2791" s="563"/>
    </row>
    <row r="2792" spans="2:16" ht="15.75" customHeight="1">
      <c r="B2792" s="567"/>
      <c r="H2792" s="563"/>
      <c r="I2792" s="538"/>
      <c r="J2792" s="564"/>
      <c r="N2792" s="563"/>
      <c r="O2792" s="563"/>
      <c r="P2792" s="563"/>
    </row>
    <row r="2793" spans="2:16" ht="15.75" customHeight="1">
      <c r="B2793" s="567"/>
      <c r="H2793" s="563"/>
      <c r="I2793" s="538"/>
      <c r="J2793" s="564"/>
      <c r="N2793" s="563"/>
      <c r="O2793" s="563"/>
      <c r="P2793" s="563"/>
    </row>
    <row r="2794" spans="2:16" ht="15.75" customHeight="1">
      <c r="B2794" s="567"/>
      <c r="H2794" s="563"/>
      <c r="I2794" s="538"/>
      <c r="J2794" s="564"/>
      <c r="N2794" s="563"/>
      <c r="O2794" s="563"/>
      <c r="P2794" s="563"/>
    </row>
    <row r="2795" spans="2:16" ht="15.75" customHeight="1">
      <c r="B2795" s="567"/>
      <c r="H2795" s="563"/>
      <c r="I2795" s="538"/>
      <c r="J2795" s="564"/>
      <c r="N2795" s="563"/>
      <c r="O2795" s="563"/>
      <c r="P2795" s="563"/>
    </row>
    <row r="2796" spans="2:16" ht="15.75" customHeight="1">
      <c r="B2796" s="567"/>
      <c r="H2796" s="563"/>
      <c r="I2796" s="538"/>
      <c r="J2796" s="564"/>
      <c r="N2796" s="563"/>
      <c r="O2796" s="563"/>
      <c r="P2796" s="563"/>
    </row>
    <row r="2797" spans="2:16" ht="15.75" customHeight="1">
      <c r="B2797" s="567"/>
      <c r="H2797" s="563"/>
      <c r="I2797" s="538"/>
      <c r="J2797" s="564"/>
      <c r="N2797" s="563"/>
      <c r="O2797" s="563"/>
      <c r="P2797" s="563"/>
    </row>
    <row r="2798" spans="2:16" ht="15.75" customHeight="1">
      <c r="B2798" s="567"/>
      <c r="H2798" s="563"/>
      <c r="I2798" s="538"/>
      <c r="J2798" s="564"/>
      <c r="N2798" s="563"/>
      <c r="O2798" s="563"/>
      <c r="P2798" s="563"/>
    </row>
    <row r="2799" spans="2:16" ht="15.75" customHeight="1">
      <c r="B2799" s="567"/>
      <c r="H2799" s="563"/>
      <c r="I2799" s="538"/>
      <c r="J2799" s="564"/>
      <c r="N2799" s="563"/>
      <c r="O2799" s="563"/>
      <c r="P2799" s="563"/>
    </row>
    <row r="2800" spans="2:16" ht="15.75" customHeight="1">
      <c r="B2800" s="567"/>
      <c r="H2800" s="563"/>
      <c r="I2800" s="538"/>
      <c r="J2800" s="564"/>
      <c r="N2800" s="563"/>
      <c r="O2800" s="563"/>
      <c r="P2800" s="563"/>
    </row>
    <row r="2801" spans="2:16" ht="15.75" customHeight="1">
      <c r="B2801" s="567"/>
      <c r="H2801" s="563"/>
      <c r="I2801" s="538"/>
      <c r="J2801" s="564"/>
      <c r="N2801" s="563"/>
      <c r="O2801" s="563"/>
      <c r="P2801" s="563"/>
    </row>
    <row r="2802" spans="2:16" ht="15.75" customHeight="1">
      <c r="B2802" s="567"/>
      <c r="H2802" s="563"/>
      <c r="I2802" s="538"/>
      <c r="J2802" s="564"/>
      <c r="N2802" s="563"/>
      <c r="O2802" s="563"/>
      <c r="P2802" s="563"/>
    </row>
    <row r="2803" spans="2:16" ht="15.75" customHeight="1">
      <c r="B2803" s="567"/>
      <c r="H2803" s="563"/>
      <c r="I2803" s="538"/>
      <c r="J2803" s="564"/>
      <c r="N2803" s="563"/>
      <c r="O2803" s="563"/>
      <c r="P2803" s="563"/>
    </row>
    <row r="2804" spans="2:16" ht="15.75" customHeight="1">
      <c r="B2804" s="567"/>
      <c r="H2804" s="563"/>
      <c r="I2804" s="538"/>
      <c r="J2804" s="564"/>
      <c r="N2804" s="563"/>
      <c r="O2804" s="563"/>
      <c r="P2804" s="563"/>
    </row>
    <row r="2805" spans="2:16" ht="15.75" customHeight="1">
      <c r="B2805" s="567"/>
      <c r="H2805" s="563"/>
      <c r="I2805" s="538"/>
      <c r="J2805" s="564"/>
      <c r="N2805" s="563"/>
      <c r="O2805" s="563"/>
      <c r="P2805" s="563"/>
    </row>
    <row r="2806" spans="2:16" ht="15.75" customHeight="1">
      <c r="B2806" s="567"/>
      <c r="H2806" s="563"/>
      <c r="I2806" s="538"/>
      <c r="J2806" s="564"/>
      <c r="N2806" s="563"/>
      <c r="O2806" s="563"/>
      <c r="P2806" s="563"/>
    </row>
    <row r="2807" spans="2:16" ht="15.75" customHeight="1">
      <c r="B2807" s="567"/>
      <c r="H2807" s="563"/>
      <c r="I2807" s="538"/>
      <c r="J2807" s="564"/>
      <c r="N2807" s="563"/>
      <c r="O2807" s="563"/>
      <c r="P2807" s="563"/>
    </row>
    <row r="2808" spans="2:16" ht="15.75" customHeight="1">
      <c r="B2808" s="567"/>
      <c r="H2808" s="563"/>
      <c r="I2808" s="538"/>
      <c r="J2808" s="564"/>
      <c r="N2808" s="563"/>
      <c r="O2808" s="563"/>
      <c r="P2808" s="563"/>
    </row>
    <row r="2809" spans="2:16" ht="15.75" customHeight="1">
      <c r="B2809" s="567"/>
      <c r="H2809" s="563"/>
      <c r="I2809" s="538"/>
      <c r="J2809" s="564"/>
      <c r="N2809" s="563"/>
      <c r="O2809" s="563"/>
      <c r="P2809" s="563"/>
    </row>
    <row r="2810" spans="2:16" ht="15.75" customHeight="1">
      <c r="B2810" s="567"/>
      <c r="H2810" s="563"/>
      <c r="I2810" s="538"/>
      <c r="J2810" s="564"/>
      <c r="N2810" s="563"/>
      <c r="O2810" s="563"/>
      <c r="P2810" s="563"/>
    </row>
    <row r="2811" spans="2:16" ht="15.75" customHeight="1">
      <c r="B2811" s="567"/>
      <c r="H2811" s="563"/>
      <c r="I2811" s="538"/>
      <c r="J2811" s="564"/>
      <c r="N2811" s="563"/>
      <c r="O2811" s="563"/>
      <c r="P2811" s="563"/>
    </row>
    <row r="2812" spans="2:16" ht="15.75" customHeight="1">
      <c r="B2812" s="567"/>
      <c r="H2812" s="563"/>
      <c r="I2812" s="538"/>
      <c r="J2812" s="564"/>
      <c r="N2812" s="563"/>
      <c r="O2812" s="563"/>
      <c r="P2812" s="563"/>
    </row>
    <row r="2813" spans="2:16" ht="15.75" customHeight="1">
      <c r="B2813" s="567"/>
      <c r="H2813" s="563"/>
      <c r="I2813" s="538"/>
      <c r="J2813" s="564"/>
      <c r="N2813" s="563"/>
      <c r="O2813" s="563"/>
      <c r="P2813" s="563"/>
    </row>
    <row r="2814" spans="2:16" ht="15.75" customHeight="1">
      <c r="B2814" s="567"/>
      <c r="H2814" s="563"/>
      <c r="I2814" s="538"/>
      <c r="J2814" s="564"/>
      <c r="N2814" s="563"/>
      <c r="O2814" s="563"/>
      <c r="P2814" s="563"/>
    </row>
    <row r="2815" spans="2:16" ht="15.75" customHeight="1">
      <c r="B2815" s="567"/>
      <c r="H2815" s="563"/>
      <c r="I2815" s="538"/>
      <c r="J2815" s="564"/>
      <c r="N2815" s="563"/>
      <c r="O2815" s="563"/>
      <c r="P2815" s="563"/>
    </row>
    <row r="2816" spans="2:16" ht="15.75" customHeight="1">
      <c r="B2816" s="567"/>
      <c r="H2816" s="563"/>
      <c r="I2816" s="538"/>
      <c r="J2816" s="564"/>
      <c r="N2816" s="563"/>
      <c r="O2816" s="563"/>
      <c r="P2816" s="563"/>
    </row>
    <row r="2817" spans="2:16" ht="15.75" customHeight="1">
      <c r="B2817" s="567"/>
      <c r="H2817" s="563"/>
      <c r="I2817" s="538"/>
      <c r="J2817" s="564"/>
      <c r="N2817" s="563"/>
      <c r="O2817" s="563"/>
      <c r="P2817" s="563"/>
    </row>
    <row r="2818" spans="2:16" ht="15.75" customHeight="1">
      <c r="B2818" s="567"/>
      <c r="H2818" s="563"/>
      <c r="I2818" s="538"/>
      <c r="J2818" s="564"/>
      <c r="N2818" s="563"/>
      <c r="O2818" s="563"/>
      <c r="P2818" s="563"/>
    </row>
    <row r="2819" spans="2:16" ht="15.75" customHeight="1">
      <c r="B2819" s="567"/>
      <c r="H2819" s="563"/>
      <c r="I2819" s="538"/>
      <c r="J2819" s="564"/>
      <c r="N2819" s="563"/>
      <c r="O2819" s="563"/>
      <c r="P2819" s="563"/>
    </row>
    <row r="2820" spans="2:16" ht="15.75" customHeight="1">
      <c r="B2820" s="567"/>
      <c r="H2820" s="563"/>
      <c r="I2820" s="538"/>
      <c r="J2820" s="564"/>
      <c r="N2820" s="563"/>
      <c r="O2820" s="563"/>
      <c r="P2820" s="563"/>
    </row>
    <row r="2821" spans="2:16" ht="15.75" customHeight="1">
      <c r="B2821" s="567"/>
      <c r="H2821" s="563"/>
      <c r="I2821" s="538"/>
      <c r="J2821" s="564"/>
      <c r="N2821" s="563"/>
      <c r="O2821" s="563"/>
      <c r="P2821" s="563"/>
    </row>
    <row r="2822" spans="2:16" ht="15.75" customHeight="1">
      <c r="B2822" s="567"/>
      <c r="H2822" s="563"/>
      <c r="I2822" s="538"/>
      <c r="J2822" s="564"/>
      <c r="N2822" s="563"/>
      <c r="O2822" s="563"/>
      <c r="P2822" s="563"/>
    </row>
    <row r="2823" spans="2:16" ht="15.75" customHeight="1">
      <c r="B2823" s="567"/>
      <c r="H2823" s="563"/>
      <c r="I2823" s="538"/>
      <c r="J2823" s="564"/>
      <c r="N2823" s="563"/>
      <c r="O2823" s="563"/>
      <c r="P2823" s="563"/>
    </row>
    <row r="2824" spans="2:16" ht="15.75" customHeight="1">
      <c r="B2824" s="567"/>
      <c r="H2824" s="563"/>
      <c r="I2824" s="538"/>
      <c r="J2824" s="564"/>
      <c r="N2824" s="563"/>
      <c r="O2824" s="563"/>
      <c r="P2824" s="563"/>
    </row>
    <row r="2825" spans="2:16" ht="15.75" customHeight="1">
      <c r="B2825" s="567"/>
      <c r="H2825" s="563"/>
      <c r="I2825" s="538"/>
      <c r="J2825" s="564"/>
      <c r="N2825" s="563"/>
      <c r="O2825" s="563"/>
      <c r="P2825" s="563"/>
    </row>
    <row r="2826" spans="2:16" ht="15.75" customHeight="1">
      <c r="B2826" s="567"/>
      <c r="H2826" s="563"/>
      <c r="I2826" s="538"/>
      <c r="J2826" s="564"/>
      <c r="N2826" s="563"/>
      <c r="O2826" s="563"/>
      <c r="P2826" s="563"/>
    </row>
    <row r="2827" spans="2:16" ht="15.75" customHeight="1">
      <c r="B2827" s="567"/>
      <c r="H2827" s="563"/>
      <c r="I2827" s="538"/>
      <c r="J2827" s="564"/>
      <c r="N2827" s="563"/>
      <c r="O2827" s="563"/>
      <c r="P2827" s="563"/>
    </row>
    <row r="2828" spans="2:16" ht="15.75" customHeight="1">
      <c r="B2828" s="567"/>
      <c r="H2828" s="563"/>
      <c r="I2828" s="538"/>
      <c r="J2828" s="564"/>
      <c r="N2828" s="563"/>
      <c r="O2828" s="563"/>
      <c r="P2828" s="563"/>
    </row>
    <row r="2829" spans="2:16" ht="15.75" customHeight="1">
      <c r="B2829" s="567"/>
      <c r="H2829" s="563"/>
      <c r="I2829" s="538"/>
      <c r="J2829" s="564"/>
      <c r="N2829" s="563"/>
      <c r="O2829" s="563"/>
      <c r="P2829" s="563"/>
    </row>
    <row r="2830" spans="2:16" ht="15.75" customHeight="1">
      <c r="B2830" s="567"/>
      <c r="H2830" s="563"/>
      <c r="I2830" s="538"/>
      <c r="J2830" s="564"/>
      <c r="N2830" s="563"/>
      <c r="O2830" s="563"/>
      <c r="P2830" s="563"/>
    </row>
    <row r="2831" spans="2:16" ht="15.75" customHeight="1">
      <c r="B2831" s="567"/>
      <c r="H2831" s="563"/>
      <c r="I2831" s="538"/>
      <c r="J2831" s="564"/>
      <c r="N2831" s="563"/>
      <c r="O2831" s="563"/>
      <c r="P2831" s="563"/>
    </row>
    <row r="2832" spans="2:16" ht="15.75" customHeight="1">
      <c r="B2832" s="567"/>
      <c r="H2832" s="563"/>
      <c r="I2832" s="538"/>
      <c r="J2832" s="564"/>
      <c r="N2832" s="563"/>
      <c r="O2832" s="563"/>
      <c r="P2832" s="563"/>
    </row>
    <row r="2833" spans="2:16" ht="15.75" customHeight="1">
      <c r="B2833" s="567"/>
      <c r="H2833" s="563"/>
      <c r="I2833" s="538"/>
      <c r="J2833" s="564"/>
      <c r="N2833" s="563"/>
      <c r="O2833" s="563"/>
      <c r="P2833" s="563"/>
    </row>
    <row r="2834" spans="2:16" ht="15.75" customHeight="1">
      <c r="B2834" s="567"/>
      <c r="H2834" s="563"/>
      <c r="I2834" s="538"/>
      <c r="J2834" s="564"/>
      <c r="N2834" s="563"/>
      <c r="O2834" s="563"/>
      <c r="P2834" s="563"/>
    </row>
    <row r="2835" spans="2:16" ht="15.75" customHeight="1">
      <c r="B2835" s="567"/>
      <c r="H2835" s="563"/>
      <c r="I2835" s="538"/>
      <c r="J2835" s="564"/>
      <c r="N2835" s="563"/>
      <c r="O2835" s="563"/>
      <c r="P2835" s="563"/>
    </row>
    <row r="2836" spans="2:16" ht="15.75" customHeight="1">
      <c r="B2836" s="567"/>
      <c r="H2836" s="563"/>
      <c r="I2836" s="538"/>
      <c r="J2836" s="564"/>
      <c r="N2836" s="563"/>
      <c r="O2836" s="563"/>
      <c r="P2836" s="563"/>
    </row>
    <row r="2837" spans="2:16" ht="15.75" customHeight="1">
      <c r="B2837" s="567"/>
      <c r="H2837" s="563"/>
      <c r="I2837" s="538"/>
      <c r="J2837" s="564"/>
      <c r="N2837" s="563"/>
      <c r="O2837" s="563"/>
      <c r="P2837" s="563"/>
    </row>
    <row r="2838" spans="2:16" ht="15.75" customHeight="1">
      <c r="B2838" s="567"/>
      <c r="H2838" s="563"/>
      <c r="I2838" s="538"/>
      <c r="J2838" s="564"/>
      <c r="N2838" s="563"/>
      <c r="O2838" s="563"/>
      <c r="P2838" s="563"/>
    </row>
    <row r="2839" spans="2:16" ht="15.75" customHeight="1">
      <c r="B2839" s="567"/>
      <c r="H2839" s="563"/>
      <c r="I2839" s="538"/>
      <c r="J2839" s="564"/>
      <c r="N2839" s="563"/>
      <c r="O2839" s="563"/>
      <c r="P2839" s="563"/>
    </row>
    <row r="2840" spans="2:16" ht="15.75" customHeight="1">
      <c r="B2840" s="567"/>
      <c r="H2840" s="563"/>
      <c r="I2840" s="538"/>
      <c r="J2840" s="564"/>
      <c r="N2840" s="563"/>
      <c r="O2840" s="563"/>
      <c r="P2840" s="563"/>
    </row>
    <row r="2841" spans="2:16" ht="15.75" customHeight="1">
      <c r="B2841" s="567"/>
      <c r="H2841" s="563"/>
      <c r="I2841" s="538"/>
      <c r="J2841" s="564"/>
      <c r="N2841" s="563"/>
      <c r="O2841" s="563"/>
      <c r="P2841" s="563"/>
    </row>
    <row r="2842" spans="2:16" ht="15.75" customHeight="1">
      <c r="B2842" s="567"/>
      <c r="H2842" s="563"/>
      <c r="I2842" s="538"/>
      <c r="J2842" s="564"/>
      <c r="N2842" s="563"/>
      <c r="O2842" s="563"/>
      <c r="P2842" s="563"/>
    </row>
    <row r="2843" spans="2:16" ht="15.75" customHeight="1">
      <c r="B2843" s="567"/>
      <c r="H2843" s="563"/>
      <c r="I2843" s="538"/>
      <c r="J2843" s="564"/>
      <c r="N2843" s="563"/>
      <c r="O2843" s="563"/>
      <c r="P2843" s="563"/>
    </row>
    <row r="2844" spans="2:16" ht="15.75" customHeight="1">
      <c r="B2844" s="567"/>
      <c r="H2844" s="563"/>
      <c r="I2844" s="538"/>
      <c r="J2844" s="564"/>
      <c r="N2844" s="563"/>
      <c r="O2844" s="563"/>
      <c r="P2844" s="563"/>
    </row>
    <row r="2845" spans="2:16" ht="15.75" customHeight="1">
      <c r="B2845" s="567"/>
      <c r="H2845" s="563"/>
      <c r="I2845" s="538"/>
      <c r="J2845" s="564"/>
      <c r="N2845" s="563"/>
      <c r="O2845" s="563"/>
      <c r="P2845" s="563"/>
    </row>
    <row r="2846" spans="2:16" ht="15.75" customHeight="1">
      <c r="B2846" s="567"/>
      <c r="H2846" s="563"/>
      <c r="I2846" s="538"/>
      <c r="J2846" s="564"/>
      <c r="N2846" s="563"/>
      <c r="O2846" s="563"/>
      <c r="P2846" s="563"/>
    </row>
    <row r="2847" spans="2:16" ht="15.75" customHeight="1">
      <c r="B2847" s="567"/>
      <c r="H2847" s="563"/>
      <c r="I2847" s="538"/>
      <c r="J2847" s="564"/>
      <c r="N2847" s="563"/>
      <c r="O2847" s="563"/>
      <c r="P2847" s="563"/>
    </row>
    <row r="2848" spans="2:16" ht="15.75" customHeight="1">
      <c r="B2848" s="567"/>
      <c r="H2848" s="563"/>
      <c r="I2848" s="538"/>
      <c r="J2848" s="564"/>
      <c r="N2848" s="563"/>
      <c r="O2848" s="563"/>
      <c r="P2848" s="563"/>
    </row>
    <row r="2849" spans="2:16" ht="15.75" customHeight="1">
      <c r="B2849" s="567"/>
      <c r="H2849" s="563"/>
      <c r="I2849" s="538"/>
      <c r="J2849" s="564"/>
      <c r="N2849" s="563"/>
      <c r="O2849" s="563"/>
      <c r="P2849" s="563"/>
    </row>
    <row r="2850" spans="2:16" ht="15.75" customHeight="1">
      <c r="B2850" s="567"/>
      <c r="H2850" s="563"/>
      <c r="I2850" s="538"/>
      <c r="J2850" s="564"/>
      <c r="N2850" s="563"/>
      <c r="O2850" s="563"/>
      <c r="P2850" s="563"/>
    </row>
    <row r="2851" spans="2:16" ht="15.75" customHeight="1">
      <c r="B2851" s="567"/>
      <c r="H2851" s="563"/>
      <c r="I2851" s="538"/>
      <c r="J2851" s="564"/>
      <c r="N2851" s="563"/>
      <c r="O2851" s="563"/>
      <c r="P2851" s="563"/>
    </row>
    <row r="2852" spans="2:16" ht="15.75" customHeight="1">
      <c r="B2852" s="567"/>
      <c r="H2852" s="563"/>
      <c r="I2852" s="538"/>
      <c r="J2852" s="564"/>
      <c r="N2852" s="563"/>
      <c r="O2852" s="563"/>
      <c r="P2852" s="563"/>
    </row>
    <row r="2853" spans="2:16" ht="15.75" customHeight="1">
      <c r="B2853" s="567"/>
      <c r="H2853" s="563"/>
      <c r="I2853" s="538"/>
      <c r="J2853" s="564"/>
      <c r="N2853" s="563"/>
      <c r="O2853" s="563"/>
      <c r="P2853" s="563"/>
    </row>
    <row r="2854" spans="2:16" ht="15.75" customHeight="1">
      <c r="B2854" s="567"/>
      <c r="H2854" s="563"/>
      <c r="I2854" s="538"/>
      <c r="J2854" s="564"/>
      <c r="N2854" s="563"/>
      <c r="O2854" s="563"/>
      <c r="P2854" s="563"/>
    </row>
    <row r="2855" spans="2:16" ht="15.75" customHeight="1">
      <c r="B2855" s="567"/>
      <c r="H2855" s="563"/>
      <c r="I2855" s="538"/>
      <c r="J2855" s="564"/>
      <c r="N2855" s="563"/>
      <c r="O2855" s="563"/>
      <c r="P2855" s="563"/>
    </row>
    <row r="2856" spans="2:16" ht="15.75" customHeight="1">
      <c r="B2856" s="567"/>
      <c r="H2856" s="563"/>
      <c r="I2856" s="538"/>
      <c r="J2856" s="564"/>
      <c r="N2856" s="563"/>
      <c r="O2856" s="563"/>
      <c r="P2856" s="563"/>
    </row>
    <row r="2857" spans="2:16" ht="15.75" customHeight="1">
      <c r="B2857" s="567"/>
      <c r="H2857" s="563"/>
      <c r="I2857" s="538"/>
      <c r="J2857" s="564"/>
      <c r="N2857" s="563"/>
      <c r="O2857" s="563"/>
      <c r="P2857" s="563"/>
    </row>
    <row r="2858" spans="2:16" ht="15.75" customHeight="1">
      <c r="B2858" s="567"/>
      <c r="H2858" s="563"/>
      <c r="I2858" s="538"/>
      <c r="J2858" s="564"/>
      <c r="N2858" s="563"/>
      <c r="O2858" s="563"/>
      <c r="P2858" s="563"/>
    </row>
    <row r="2859" spans="2:16" ht="15.75" customHeight="1">
      <c r="B2859" s="567"/>
      <c r="H2859" s="563"/>
      <c r="I2859" s="538"/>
      <c r="J2859" s="564"/>
      <c r="N2859" s="563"/>
      <c r="O2859" s="563"/>
      <c r="P2859" s="563"/>
    </row>
    <row r="2860" spans="2:16" ht="15.75" customHeight="1">
      <c r="B2860" s="567"/>
      <c r="H2860" s="563"/>
      <c r="I2860" s="538"/>
      <c r="J2860" s="564"/>
      <c r="N2860" s="563"/>
      <c r="O2860" s="563"/>
      <c r="P2860" s="563"/>
    </row>
    <row r="2861" spans="2:16" ht="15.75" customHeight="1">
      <c r="B2861" s="567"/>
      <c r="H2861" s="563"/>
      <c r="I2861" s="538"/>
      <c r="J2861" s="564"/>
      <c r="N2861" s="563"/>
      <c r="O2861" s="563"/>
      <c r="P2861" s="563"/>
    </row>
    <row r="2862" spans="2:16" ht="15.75" customHeight="1">
      <c r="B2862" s="567"/>
      <c r="H2862" s="563"/>
      <c r="I2862" s="538"/>
      <c r="J2862" s="564"/>
      <c r="N2862" s="563"/>
      <c r="O2862" s="563"/>
      <c r="P2862" s="563"/>
    </row>
    <row r="2863" spans="2:16" ht="15.75" customHeight="1">
      <c r="B2863" s="567"/>
      <c r="H2863" s="563"/>
      <c r="I2863" s="538"/>
      <c r="J2863" s="564"/>
      <c r="N2863" s="563"/>
      <c r="O2863" s="563"/>
      <c r="P2863" s="563"/>
    </row>
    <row r="2864" spans="2:16" ht="15.75" customHeight="1">
      <c r="B2864" s="567"/>
      <c r="H2864" s="563"/>
      <c r="I2864" s="538"/>
      <c r="J2864" s="564"/>
      <c r="N2864" s="563"/>
      <c r="O2864" s="563"/>
      <c r="P2864" s="563"/>
    </row>
    <row r="2865" spans="2:16" ht="15.75" customHeight="1">
      <c r="B2865" s="567"/>
      <c r="H2865" s="563"/>
      <c r="I2865" s="538"/>
      <c r="J2865" s="564"/>
      <c r="N2865" s="563"/>
      <c r="O2865" s="563"/>
      <c r="P2865" s="563"/>
    </row>
    <row r="2866" spans="2:16" ht="15.75" customHeight="1">
      <c r="B2866" s="567"/>
      <c r="H2866" s="563"/>
      <c r="I2866" s="538"/>
      <c r="J2866" s="564"/>
      <c r="N2866" s="563"/>
      <c r="O2866" s="563"/>
      <c r="P2866" s="563"/>
    </row>
    <row r="2867" spans="2:16" ht="15.75" customHeight="1">
      <c r="B2867" s="567"/>
      <c r="H2867" s="563"/>
      <c r="I2867" s="538"/>
      <c r="J2867" s="564"/>
      <c r="N2867" s="563"/>
      <c r="O2867" s="563"/>
      <c r="P2867" s="563"/>
    </row>
    <row r="2868" spans="2:16" ht="15.75" customHeight="1">
      <c r="B2868" s="567"/>
      <c r="H2868" s="563"/>
      <c r="I2868" s="538"/>
      <c r="J2868" s="564"/>
      <c r="N2868" s="563"/>
      <c r="O2868" s="563"/>
      <c r="P2868" s="563"/>
    </row>
    <row r="2869" spans="2:16" ht="15.75" customHeight="1">
      <c r="B2869" s="567"/>
      <c r="H2869" s="563"/>
      <c r="I2869" s="538"/>
      <c r="J2869" s="564"/>
      <c r="N2869" s="563"/>
      <c r="O2869" s="563"/>
      <c r="P2869" s="563"/>
    </row>
    <row r="2870" spans="2:16" ht="15.75" customHeight="1">
      <c r="B2870" s="567"/>
      <c r="H2870" s="563"/>
      <c r="I2870" s="538"/>
      <c r="J2870" s="564"/>
      <c r="N2870" s="563"/>
      <c r="O2870" s="563"/>
      <c r="P2870" s="563"/>
    </row>
    <row r="2871" spans="2:16" ht="15.75" customHeight="1">
      <c r="B2871" s="567"/>
      <c r="H2871" s="563"/>
      <c r="I2871" s="538"/>
      <c r="J2871" s="564"/>
      <c r="N2871" s="563"/>
      <c r="O2871" s="563"/>
      <c r="P2871" s="563"/>
    </row>
    <row r="2872" spans="2:16" ht="15.75" customHeight="1">
      <c r="B2872" s="567"/>
      <c r="H2872" s="563"/>
      <c r="I2872" s="538"/>
      <c r="J2872" s="564"/>
      <c r="N2872" s="563"/>
      <c r="O2872" s="563"/>
      <c r="P2872" s="563"/>
    </row>
    <row r="2873" spans="2:16" ht="15.75" customHeight="1">
      <c r="B2873" s="567"/>
      <c r="H2873" s="563"/>
      <c r="I2873" s="538"/>
      <c r="J2873" s="564"/>
      <c r="N2873" s="563"/>
      <c r="O2873" s="563"/>
      <c r="P2873" s="563"/>
    </row>
    <row r="2874" spans="2:16" ht="15.75" customHeight="1">
      <c r="B2874" s="567"/>
      <c r="H2874" s="563"/>
      <c r="I2874" s="538"/>
      <c r="J2874" s="564"/>
      <c r="N2874" s="563"/>
      <c r="O2874" s="563"/>
      <c r="P2874" s="563"/>
    </row>
    <row r="2875" spans="2:16" ht="15.75" customHeight="1">
      <c r="B2875" s="567"/>
      <c r="H2875" s="563"/>
      <c r="I2875" s="538"/>
      <c r="J2875" s="564"/>
      <c r="N2875" s="563"/>
      <c r="O2875" s="563"/>
      <c r="P2875" s="563"/>
    </row>
    <row r="2876" spans="2:16" ht="15.75" customHeight="1">
      <c r="B2876" s="567"/>
      <c r="H2876" s="563"/>
      <c r="I2876" s="538"/>
      <c r="J2876" s="564"/>
      <c r="N2876" s="563"/>
      <c r="O2876" s="563"/>
      <c r="P2876" s="563"/>
    </row>
    <row r="2877" spans="2:16" ht="15.75" customHeight="1">
      <c r="B2877" s="567"/>
      <c r="H2877" s="563"/>
      <c r="I2877" s="538"/>
      <c r="J2877" s="564"/>
      <c r="N2877" s="563"/>
      <c r="O2877" s="563"/>
      <c r="P2877" s="563"/>
    </row>
    <row r="2878" spans="2:16" ht="15.75" customHeight="1">
      <c r="B2878" s="567"/>
      <c r="H2878" s="563"/>
      <c r="I2878" s="538"/>
      <c r="J2878" s="564"/>
      <c r="N2878" s="563"/>
      <c r="O2878" s="563"/>
      <c r="P2878" s="563"/>
    </row>
    <row r="2879" spans="2:16" ht="15.75" customHeight="1">
      <c r="B2879" s="567"/>
      <c r="H2879" s="563"/>
      <c r="I2879" s="538"/>
      <c r="J2879" s="564"/>
      <c r="N2879" s="563"/>
      <c r="O2879" s="563"/>
      <c r="P2879" s="563"/>
    </row>
    <row r="2880" spans="2:16" ht="15.75" customHeight="1">
      <c r="B2880" s="567"/>
      <c r="H2880" s="563"/>
      <c r="I2880" s="538"/>
      <c r="J2880" s="564"/>
      <c r="N2880" s="563"/>
      <c r="O2880" s="563"/>
      <c r="P2880" s="563"/>
    </row>
    <row r="2881" spans="2:16" ht="15.75" customHeight="1">
      <c r="B2881" s="567"/>
      <c r="H2881" s="563"/>
      <c r="I2881" s="538"/>
      <c r="J2881" s="564"/>
      <c r="N2881" s="563"/>
      <c r="O2881" s="563"/>
      <c r="P2881" s="563"/>
    </row>
    <row r="2882" spans="2:16" ht="15.75" customHeight="1">
      <c r="B2882" s="567"/>
      <c r="H2882" s="563"/>
      <c r="I2882" s="538"/>
      <c r="J2882" s="564"/>
      <c r="N2882" s="563"/>
      <c r="O2882" s="563"/>
      <c r="P2882" s="563"/>
    </row>
    <row r="2883" spans="2:16" ht="15.75" customHeight="1">
      <c r="B2883" s="567"/>
      <c r="H2883" s="563"/>
      <c r="I2883" s="538"/>
      <c r="J2883" s="564"/>
      <c r="N2883" s="563"/>
      <c r="O2883" s="563"/>
      <c r="P2883" s="563"/>
    </row>
    <row r="2884" spans="2:16" ht="15.75" customHeight="1">
      <c r="B2884" s="567"/>
      <c r="H2884" s="563"/>
      <c r="I2884" s="538"/>
      <c r="J2884" s="564"/>
      <c r="N2884" s="563"/>
      <c r="O2884" s="563"/>
      <c r="P2884" s="563"/>
    </row>
    <row r="2885" spans="2:16" ht="15.75" customHeight="1">
      <c r="B2885" s="567"/>
      <c r="H2885" s="563"/>
      <c r="I2885" s="538"/>
      <c r="J2885" s="564"/>
      <c r="N2885" s="563"/>
      <c r="O2885" s="563"/>
      <c r="P2885" s="563"/>
    </row>
    <row r="2886" spans="2:16" ht="15.75" customHeight="1">
      <c r="B2886" s="567"/>
      <c r="H2886" s="563"/>
      <c r="I2886" s="538"/>
      <c r="J2886" s="564"/>
      <c r="N2886" s="563"/>
      <c r="O2886" s="563"/>
      <c r="P2886" s="563"/>
    </row>
    <row r="2887" spans="2:16" ht="15.75" customHeight="1">
      <c r="B2887" s="567"/>
      <c r="H2887" s="563"/>
      <c r="I2887" s="538"/>
      <c r="J2887" s="564"/>
      <c r="N2887" s="563"/>
      <c r="O2887" s="563"/>
      <c r="P2887" s="563"/>
    </row>
    <row r="2888" spans="2:16" ht="15.75" customHeight="1">
      <c r="B2888" s="567"/>
      <c r="H2888" s="563"/>
      <c r="I2888" s="538"/>
      <c r="J2888" s="564"/>
      <c r="N2888" s="563"/>
      <c r="O2888" s="563"/>
      <c r="P2888" s="563"/>
    </row>
    <row r="2889" spans="2:16" ht="15.75" customHeight="1">
      <c r="B2889" s="567"/>
      <c r="H2889" s="563"/>
      <c r="I2889" s="538"/>
      <c r="J2889" s="564"/>
      <c r="N2889" s="563"/>
      <c r="O2889" s="563"/>
      <c r="P2889" s="563"/>
    </row>
    <row r="2890" spans="2:16" ht="15.75" customHeight="1">
      <c r="B2890" s="567"/>
      <c r="H2890" s="563"/>
      <c r="I2890" s="538"/>
      <c r="J2890" s="564"/>
      <c r="N2890" s="563"/>
      <c r="O2890" s="563"/>
      <c r="P2890" s="563"/>
    </row>
    <row r="2891" spans="2:16" ht="15.75" customHeight="1">
      <c r="B2891" s="567"/>
      <c r="H2891" s="563"/>
      <c r="I2891" s="538"/>
      <c r="J2891" s="564"/>
      <c r="N2891" s="563"/>
      <c r="O2891" s="563"/>
      <c r="P2891" s="563"/>
    </row>
    <row r="2892" spans="2:16" ht="15.75" customHeight="1">
      <c r="B2892" s="567"/>
      <c r="H2892" s="563"/>
      <c r="I2892" s="538"/>
      <c r="J2892" s="564"/>
      <c r="N2892" s="563"/>
      <c r="O2892" s="563"/>
      <c r="P2892" s="563"/>
    </row>
    <row r="2893" spans="2:16" ht="15.75" customHeight="1">
      <c r="B2893" s="567"/>
      <c r="H2893" s="563"/>
      <c r="I2893" s="538"/>
      <c r="J2893" s="564"/>
      <c r="N2893" s="563"/>
      <c r="O2893" s="563"/>
      <c r="P2893" s="563"/>
    </row>
    <row r="2894" spans="2:16" ht="15.75" customHeight="1">
      <c r="B2894" s="567"/>
      <c r="H2894" s="563"/>
      <c r="I2894" s="538"/>
      <c r="J2894" s="564"/>
      <c r="N2894" s="563"/>
      <c r="O2894" s="563"/>
      <c r="P2894" s="563"/>
    </row>
    <row r="2895" spans="2:16" ht="15.75" customHeight="1">
      <c r="B2895" s="567"/>
      <c r="H2895" s="563"/>
      <c r="I2895" s="538"/>
      <c r="J2895" s="564"/>
      <c r="N2895" s="563"/>
      <c r="O2895" s="563"/>
      <c r="P2895" s="563"/>
    </row>
    <row r="2896" spans="2:16" ht="15.75" customHeight="1">
      <c r="B2896" s="567"/>
      <c r="H2896" s="563"/>
      <c r="I2896" s="538"/>
      <c r="J2896" s="564"/>
      <c r="N2896" s="563"/>
      <c r="O2896" s="563"/>
      <c r="P2896" s="563"/>
    </row>
    <row r="2897" spans="2:16" ht="15.75" customHeight="1">
      <c r="B2897" s="567"/>
      <c r="H2897" s="563"/>
      <c r="I2897" s="538"/>
      <c r="J2897" s="564"/>
      <c r="N2897" s="563"/>
      <c r="O2897" s="563"/>
      <c r="P2897" s="563"/>
    </row>
    <row r="2898" spans="2:16" ht="15.75" customHeight="1">
      <c r="B2898" s="567"/>
      <c r="H2898" s="563"/>
      <c r="I2898" s="538"/>
      <c r="J2898" s="564"/>
      <c r="N2898" s="563"/>
      <c r="O2898" s="563"/>
      <c r="P2898" s="563"/>
    </row>
    <row r="2899" spans="2:16" ht="15.75" customHeight="1">
      <c r="B2899" s="567"/>
      <c r="H2899" s="563"/>
      <c r="I2899" s="538"/>
      <c r="J2899" s="564"/>
      <c r="N2899" s="563"/>
      <c r="O2899" s="563"/>
      <c r="P2899" s="563"/>
    </row>
    <row r="2900" spans="2:16" ht="15.75" customHeight="1">
      <c r="B2900" s="567"/>
      <c r="H2900" s="563"/>
      <c r="I2900" s="538"/>
      <c r="J2900" s="564"/>
      <c r="N2900" s="563"/>
      <c r="O2900" s="563"/>
      <c r="P2900" s="563"/>
    </row>
    <row r="2901" spans="2:16" ht="15.75" customHeight="1">
      <c r="B2901" s="567"/>
      <c r="H2901" s="563"/>
      <c r="I2901" s="538"/>
      <c r="J2901" s="564"/>
      <c r="N2901" s="563"/>
      <c r="O2901" s="563"/>
      <c r="P2901" s="563"/>
    </row>
    <row r="2902" spans="2:16" ht="15.75" customHeight="1">
      <c r="B2902" s="567"/>
      <c r="H2902" s="563"/>
      <c r="I2902" s="538"/>
      <c r="J2902" s="564"/>
      <c r="N2902" s="563"/>
      <c r="O2902" s="563"/>
      <c r="P2902" s="563"/>
    </row>
    <row r="2903" spans="2:16" ht="15.75" customHeight="1">
      <c r="B2903" s="567"/>
      <c r="H2903" s="563"/>
      <c r="I2903" s="538"/>
      <c r="J2903" s="564"/>
      <c r="N2903" s="563"/>
      <c r="O2903" s="563"/>
      <c r="P2903" s="563"/>
    </row>
    <row r="2904" spans="2:16" ht="15.75" customHeight="1">
      <c r="B2904" s="567"/>
      <c r="H2904" s="563"/>
      <c r="I2904" s="538"/>
      <c r="J2904" s="564"/>
      <c r="N2904" s="563"/>
      <c r="O2904" s="563"/>
      <c r="P2904" s="563"/>
    </row>
    <row r="2905" spans="2:16" ht="15.75" customHeight="1">
      <c r="B2905" s="567"/>
      <c r="H2905" s="563"/>
      <c r="I2905" s="538"/>
      <c r="J2905" s="564"/>
      <c r="N2905" s="563"/>
      <c r="O2905" s="563"/>
      <c r="P2905" s="563"/>
    </row>
    <row r="2906" spans="2:16" ht="15.75" customHeight="1">
      <c r="B2906" s="567"/>
      <c r="H2906" s="563"/>
      <c r="I2906" s="538"/>
      <c r="J2906" s="564"/>
      <c r="N2906" s="563"/>
      <c r="O2906" s="563"/>
      <c r="P2906" s="563"/>
    </row>
    <row r="2907" spans="2:16" ht="15.75" customHeight="1">
      <c r="B2907" s="567"/>
      <c r="H2907" s="563"/>
      <c r="I2907" s="538"/>
      <c r="J2907" s="564"/>
      <c r="N2907" s="563"/>
      <c r="O2907" s="563"/>
      <c r="P2907" s="563"/>
    </row>
    <row r="2908" spans="2:16" ht="15.75" customHeight="1">
      <c r="B2908" s="567"/>
      <c r="H2908" s="563"/>
      <c r="I2908" s="538"/>
      <c r="J2908" s="564"/>
      <c r="N2908" s="563"/>
      <c r="O2908" s="563"/>
      <c r="P2908" s="563"/>
    </row>
    <row r="2909" spans="2:16" ht="15.75" customHeight="1">
      <c r="B2909" s="567"/>
      <c r="H2909" s="563"/>
      <c r="I2909" s="538"/>
      <c r="J2909" s="564"/>
      <c r="N2909" s="563"/>
      <c r="O2909" s="563"/>
      <c r="P2909" s="563"/>
    </row>
    <row r="2910" spans="2:16" ht="15.75" customHeight="1">
      <c r="B2910" s="567"/>
      <c r="H2910" s="563"/>
      <c r="I2910" s="538"/>
      <c r="J2910" s="564"/>
      <c r="N2910" s="563"/>
      <c r="O2910" s="563"/>
      <c r="P2910" s="563"/>
    </row>
    <row r="2911" spans="2:16" ht="15.75" customHeight="1">
      <c r="B2911" s="567"/>
      <c r="H2911" s="563"/>
      <c r="I2911" s="538"/>
      <c r="J2911" s="564"/>
      <c r="N2911" s="563"/>
      <c r="O2911" s="563"/>
      <c r="P2911" s="563"/>
    </row>
    <row r="2912" spans="2:16" ht="15.75" customHeight="1">
      <c r="B2912" s="567"/>
      <c r="H2912" s="563"/>
      <c r="I2912" s="538"/>
      <c r="J2912" s="564"/>
      <c r="N2912" s="563"/>
      <c r="O2912" s="563"/>
      <c r="P2912" s="563"/>
    </row>
    <row r="2913" spans="2:16" ht="15.75" customHeight="1">
      <c r="B2913" s="567"/>
      <c r="H2913" s="563"/>
      <c r="I2913" s="538"/>
      <c r="J2913" s="564"/>
      <c r="N2913" s="563"/>
      <c r="O2913" s="563"/>
      <c r="P2913" s="563"/>
    </row>
    <row r="2914" spans="2:16" ht="15.75" customHeight="1">
      <c r="B2914" s="567"/>
      <c r="H2914" s="563"/>
      <c r="I2914" s="538"/>
      <c r="J2914" s="564"/>
      <c r="N2914" s="563"/>
      <c r="O2914" s="563"/>
      <c r="P2914" s="563"/>
    </row>
    <row r="2915" spans="2:16" ht="15.75" customHeight="1">
      <c r="B2915" s="567"/>
      <c r="H2915" s="563"/>
      <c r="I2915" s="538"/>
      <c r="J2915" s="564"/>
      <c r="N2915" s="563"/>
      <c r="O2915" s="563"/>
      <c r="P2915" s="563"/>
    </row>
    <row r="2916" spans="2:16" ht="15.75" customHeight="1">
      <c r="B2916" s="567"/>
      <c r="H2916" s="563"/>
      <c r="I2916" s="538"/>
      <c r="J2916" s="564"/>
      <c r="N2916" s="563"/>
      <c r="O2916" s="563"/>
      <c r="P2916" s="563"/>
    </row>
    <row r="2917" spans="2:16" ht="15.75" customHeight="1">
      <c r="B2917" s="567"/>
      <c r="H2917" s="563"/>
      <c r="I2917" s="538"/>
      <c r="J2917" s="564"/>
      <c r="N2917" s="563"/>
      <c r="O2917" s="563"/>
      <c r="P2917" s="563"/>
    </row>
    <row r="2918" spans="2:16" ht="15.75" customHeight="1">
      <c r="B2918" s="567"/>
      <c r="H2918" s="563"/>
      <c r="I2918" s="538"/>
      <c r="J2918" s="564"/>
      <c r="N2918" s="563"/>
      <c r="O2918" s="563"/>
      <c r="P2918" s="563"/>
    </row>
    <row r="2919" spans="2:16" ht="15.75" customHeight="1">
      <c r="B2919" s="567"/>
      <c r="H2919" s="563"/>
      <c r="I2919" s="538"/>
      <c r="J2919" s="564"/>
      <c r="N2919" s="563"/>
      <c r="O2919" s="563"/>
      <c r="P2919" s="563"/>
    </row>
    <row r="2920" spans="2:16" ht="15.75" customHeight="1">
      <c r="B2920" s="567"/>
      <c r="H2920" s="563"/>
      <c r="I2920" s="538"/>
      <c r="J2920" s="564"/>
      <c r="N2920" s="563"/>
      <c r="O2920" s="563"/>
      <c r="P2920" s="563"/>
    </row>
    <row r="2921" spans="2:16" ht="15.75" customHeight="1">
      <c r="B2921" s="567"/>
      <c r="H2921" s="563"/>
      <c r="I2921" s="538"/>
      <c r="J2921" s="564"/>
      <c r="N2921" s="563"/>
      <c r="O2921" s="563"/>
      <c r="P2921" s="563"/>
    </row>
    <row r="2922" spans="2:16" ht="15.75" customHeight="1">
      <c r="B2922" s="567"/>
      <c r="H2922" s="563"/>
      <c r="I2922" s="538"/>
      <c r="J2922" s="564"/>
      <c r="N2922" s="563"/>
      <c r="O2922" s="563"/>
      <c r="P2922" s="563"/>
    </row>
    <row r="2923" spans="2:16" ht="15.75" customHeight="1">
      <c r="B2923" s="567"/>
      <c r="H2923" s="563"/>
      <c r="I2923" s="538"/>
      <c r="J2923" s="564"/>
      <c r="N2923" s="563"/>
      <c r="O2923" s="563"/>
      <c r="P2923" s="563"/>
    </row>
    <row r="2924" spans="2:16" ht="15.75" customHeight="1">
      <c r="B2924" s="567"/>
      <c r="H2924" s="563"/>
      <c r="I2924" s="538"/>
      <c r="J2924" s="564"/>
      <c r="N2924" s="563"/>
      <c r="O2924" s="563"/>
      <c r="P2924" s="563"/>
    </row>
    <row r="2925" spans="2:16" ht="15.75" customHeight="1">
      <c r="B2925" s="567"/>
      <c r="H2925" s="563"/>
      <c r="I2925" s="538"/>
      <c r="J2925" s="564"/>
      <c r="N2925" s="563"/>
      <c r="O2925" s="563"/>
      <c r="P2925" s="563"/>
    </row>
    <row r="2926" spans="2:16" ht="15.75" customHeight="1">
      <c r="B2926" s="567"/>
      <c r="H2926" s="563"/>
      <c r="I2926" s="538"/>
      <c r="J2926" s="564"/>
      <c r="N2926" s="563"/>
      <c r="O2926" s="563"/>
      <c r="P2926" s="563"/>
    </row>
    <row r="2927" spans="2:16" ht="15.75" customHeight="1">
      <c r="B2927" s="567"/>
      <c r="H2927" s="563"/>
      <c r="I2927" s="538"/>
      <c r="J2927" s="564"/>
      <c r="N2927" s="563"/>
      <c r="O2927" s="563"/>
      <c r="P2927" s="563"/>
    </row>
    <row r="2928" spans="2:16" ht="15.75" customHeight="1">
      <c r="B2928" s="567"/>
      <c r="H2928" s="563"/>
      <c r="I2928" s="538"/>
      <c r="J2928" s="564"/>
      <c r="N2928" s="563"/>
      <c r="O2928" s="563"/>
      <c r="P2928" s="563"/>
    </row>
    <row r="2929" spans="2:16" ht="15.75" customHeight="1">
      <c r="B2929" s="567"/>
      <c r="H2929" s="563"/>
      <c r="I2929" s="538"/>
      <c r="J2929" s="564"/>
      <c r="N2929" s="563"/>
      <c r="O2929" s="563"/>
      <c r="P2929" s="563"/>
    </row>
    <row r="2930" spans="2:16" ht="15.75" customHeight="1">
      <c r="B2930" s="567"/>
      <c r="H2930" s="563"/>
      <c r="I2930" s="538"/>
      <c r="J2930" s="564"/>
      <c r="N2930" s="563"/>
      <c r="O2930" s="563"/>
      <c r="P2930" s="563"/>
    </row>
    <row r="2931" spans="2:16" ht="15.75" customHeight="1">
      <c r="B2931" s="567"/>
      <c r="H2931" s="563"/>
      <c r="I2931" s="538"/>
      <c r="J2931" s="564"/>
      <c r="N2931" s="563"/>
      <c r="O2931" s="563"/>
      <c r="P2931" s="563"/>
    </row>
    <row r="2932" spans="2:16" ht="15.75" customHeight="1">
      <c r="B2932" s="567"/>
      <c r="H2932" s="563"/>
      <c r="I2932" s="538"/>
      <c r="J2932" s="564"/>
      <c r="N2932" s="563"/>
      <c r="O2932" s="563"/>
      <c r="P2932" s="563"/>
    </row>
    <row r="2933" spans="2:16" ht="15.75" customHeight="1">
      <c r="B2933" s="567"/>
      <c r="H2933" s="563"/>
      <c r="I2933" s="538"/>
      <c r="J2933" s="564"/>
      <c r="N2933" s="563"/>
      <c r="O2933" s="563"/>
      <c r="P2933" s="563"/>
    </row>
    <row r="2934" spans="2:16" ht="15.75" customHeight="1">
      <c r="B2934" s="567"/>
      <c r="H2934" s="563"/>
      <c r="I2934" s="538"/>
      <c r="J2934" s="564"/>
      <c r="N2934" s="563"/>
      <c r="O2934" s="563"/>
      <c r="P2934" s="563"/>
    </row>
    <row r="2935" spans="2:16" ht="15.75" customHeight="1">
      <c r="B2935" s="567"/>
      <c r="H2935" s="563"/>
      <c r="I2935" s="538"/>
      <c r="J2935" s="564"/>
      <c r="N2935" s="563"/>
      <c r="O2935" s="563"/>
      <c r="P2935" s="563"/>
    </row>
    <row r="2936" spans="2:16" ht="15.75" customHeight="1">
      <c r="B2936" s="567"/>
      <c r="H2936" s="563"/>
      <c r="I2936" s="538"/>
      <c r="J2936" s="564"/>
      <c r="N2936" s="563"/>
      <c r="O2936" s="563"/>
      <c r="P2936" s="563"/>
    </row>
    <row r="2937" spans="2:16" ht="15.75" customHeight="1">
      <c r="B2937" s="567"/>
      <c r="H2937" s="563"/>
      <c r="I2937" s="538"/>
      <c r="J2937" s="564"/>
      <c r="N2937" s="563"/>
      <c r="O2937" s="563"/>
      <c r="P2937" s="563"/>
    </row>
    <row r="2938" spans="2:16" ht="15.75" customHeight="1">
      <c r="B2938" s="567"/>
      <c r="H2938" s="563"/>
      <c r="I2938" s="538"/>
      <c r="J2938" s="564"/>
      <c r="N2938" s="563"/>
      <c r="O2938" s="563"/>
      <c r="P2938" s="563"/>
    </row>
    <row r="2939" spans="2:16" ht="15.75" customHeight="1">
      <c r="B2939" s="567"/>
      <c r="H2939" s="563"/>
      <c r="I2939" s="538"/>
      <c r="J2939" s="564"/>
      <c r="N2939" s="563"/>
      <c r="O2939" s="563"/>
      <c r="P2939" s="563"/>
    </row>
    <row r="2940" spans="2:16" ht="15.75" customHeight="1">
      <c r="B2940" s="567"/>
      <c r="H2940" s="563"/>
      <c r="I2940" s="538"/>
      <c r="J2940" s="564"/>
      <c r="N2940" s="563"/>
      <c r="O2940" s="563"/>
      <c r="P2940" s="563"/>
    </row>
    <row r="2941" spans="2:16" ht="15.75" customHeight="1">
      <c r="B2941" s="567"/>
      <c r="H2941" s="563"/>
      <c r="I2941" s="538"/>
      <c r="J2941" s="564"/>
      <c r="N2941" s="563"/>
      <c r="O2941" s="563"/>
      <c r="P2941" s="563"/>
    </row>
    <row r="2942" spans="2:16" ht="15.75" customHeight="1">
      <c r="B2942" s="567"/>
      <c r="H2942" s="563"/>
      <c r="I2942" s="538"/>
      <c r="J2942" s="564"/>
      <c r="N2942" s="563"/>
      <c r="O2942" s="563"/>
      <c r="P2942" s="563"/>
    </row>
    <row r="2943" spans="2:16" ht="15.75" customHeight="1">
      <c r="B2943" s="567"/>
      <c r="H2943" s="563"/>
      <c r="I2943" s="538"/>
      <c r="J2943" s="564"/>
      <c r="N2943" s="563"/>
      <c r="O2943" s="563"/>
      <c r="P2943" s="563"/>
    </row>
    <row r="2944" spans="2:16" ht="15.75" customHeight="1">
      <c r="B2944" s="567"/>
      <c r="H2944" s="563"/>
      <c r="I2944" s="538"/>
      <c r="J2944" s="564"/>
      <c r="N2944" s="563"/>
      <c r="O2944" s="563"/>
      <c r="P2944" s="563"/>
    </row>
    <row r="2945" spans="2:16" ht="15.75" customHeight="1">
      <c r="B2945" s="567"/>
      <c r="H2945" s="563"/>
      <c r="I2945" s="538"/>
      <c r="J2945" s="564"/>
      <c r="N2945" s="563"/>
      <c r="O2945" s="563"/>
      <c r="P2945" s="563"/>
    </row>
    <row r="2946" spans="2:16" ht="15.75" customHeight="1">
      <c r="B2946" s="567"/>
      <c r="H2946" s="563"/>
      <c r="I2946" s="538"/>
      <c r="J2946" s="564"/>
      <c r="N2946" s="563"/>
      <c r="O2946" s="563"/>
      <c r="P2946" s="563"/>
    </row>
    <row r="2947" spans="2:16" ht="15.75" customHeight="1">
      <c r="B2947" s="567"/>
      <c r="H2947" s="563"/>
      <c r="I2947" s="538"/>
      <c r="J2947" s="564"/>
      <c r="N2947" s="563"/>
      <c r="O2947" s="563"/>
      <c r="P2947" s="563"/>
    </row>
    <row r="2948" spans="2:16" ht="15.75" customHeight="1">
      <c r="B2948" s="567"/>
      <c r="H2948" s="563"/>
      <c r="I2948" s="538"/>
      <c r="J2948" s="564"/>
      <c r="N2948" s="563"/>
      <c r="O2948" s="563"/>
      <c r="P2948" s="563"/>
    </row>
    <row r="2949" spans="2:16" ht="15.75" customHeight="1">
      <c r="B2949" s="567"/>
      <c r="H2949" s="563"/>
      <c r="I2949" s="538"/>
      <c r="J2949" s="564"/>
      <c r="N2949" s="563"/>
      <c r="O2949" s="563"/>
      <c r="P2949" s="563"/>
    </row>
    <row r="2950" spans="2:16" ht="15.75" customHeight="1">
      <c r="B2950" s="567"/>
      <c r="H2950" s="563"/>
      <c r="I2950" s="538"/>
      <c r="J2950" s="564"/>
      <c r="N2950" s="563"/>
      <c r="O2950" s="563"/>
      <c r="P2950" s="563"/>
    </row>
    <row r="2951" spans="2:16" ht="15.75" customHeight="1">
      <c r="B2951" s="567"/>
      <c r="H2951" s="563"/>
      <c r="I2951" s="538"/>
      <c r="J2951" s="564"/>
      <c r="N2951" s="563"/>
      <c r="O2951" s="563"/>
      <c r="P2951" s="563"/>
    </row>
    <row r="2952" spans="2:16" ht="15.75" customHeight="1">
      <c r="B2952" s="567"/>
      <c r="H2952" s="563"/>
      <c r="I2952" s="538"/>
      <c r="J2952" s="564"/>
      <c r="N2952" s="563"/>
      <c r="O2952" s="563"/>
      <c r="P2952" s="563"/>
    </row>
    <row r="2953" spans="2:16" ht="15.75" customHeight="1">
      <c r="B2953" s="567"/>
      <c r="H2953" s="563"/>
      <c r="I2953" s="538"/>
      <c r="J2953" s="564"/>
      <c r="N2953" s="563"/>
      <c r="O2953" s="563"/>
      <c r="P2953" s="563"/>
    </row>
    <row r="2954" spans="2:16" ht="15.75" customHeight="1">
      <c r="B2954" s="567"/>
      <c r="H2954" s="563"/>
      <c r="I2954" s="538"/>
      <c r="J2954" s="564"/>
      <c r="N2954" s="563"/>
      <c r="O2954" s="563"/>
      <c r="P2954" s="563"/>
    </row>
    <row r="2955" spans="2:16" ht="15.75" customHeight="1">
      <c r="B2955" s="567"/>
      <c r="H2955" s="563"/>
      <c r="I2955" s="538"/>
      <c r="J2955" s="564"/>
      <c r="N2955" s="563"/>
      <c r="O2955" s="563"/>
      <c r="P2955" s="563"/>
    </row>
    <row r="2956" spans="2:16" ht="15.75" customHeight="1">
      <c r="B2956" s="567"/>
      <c r="H2956" s="563"/>
      <c r="I2956" s="538"/>
      <c r="J2956" s="564"/>
      <c r="N2956" s="563"/>
      <c r="O2956" s="563"/>
      <c r="P2956" s="563"/>
    </row>
    <row r="2957" spans="2:16" ht="15.75" customHeight="1">
      <c r="B2957" s="567"/>
      <c r="H2957" s="563"/>
      <c r="I2957" s="538"/>
      <c r="J2957" s="564"/>
      <c r="N2957" s="563"/>
      <c r="O2957" s="563"/>
      <c r="P2957" s="563"/>
    </row>
    <row r="2958" spans="2:16" ht="15.75" customHeight="1">
      <c r="B2958" s="567"/>
      <c r="H2958" s="563"/>
      <c r="I2958" s="538"/>
      <c r="J2958" s="564"/>
      <c r="N2958" s="563"/>
      <c r="O2958" s="563"/>
      <c r="P2958" s="563"/>
    </row>
    <row r="2959" spans="2:16" ht="15.75" customHeight="1">
      <c r="B2959" s="567"/>
      <c r="H2959" s="563"/>
      <c r="I2959" s="538"/>
      <c r="J2959" s="564"/>
      <c r="N2959" s="563"/>
      <c r="O2959" s="563"/>
      <c r="P2959" s="563"/>
    </row>
    <row r="2960" spans="2:16" ht="15.75" customHeight="1">
      <c r="B2960" s="567"/>
      <c r="H2960" s="563"/>
      <c r="I2960" s="538"/>
      <c r="J2960" s="564"/>
      <c r="N2960" s="563"/>
      <c r="O2960" s="563"/>
      <c r="P2960" s="563"/>
    </row>
    <row r="2961" spans="2:16" ht="15.75" customHeight="1">
      <c r="B2961" s="567"/>
      <c r="H2961" s="563"/>
      <c r="I2961" s="538"/>
      <c r="J2961" s="564"/>
      <c r="N2961" s="563"/>
      <c r="O2961" s="563"/>
      <c r="P2961" s="563"/>
    </row>
    <row r="2962" spans="2:16" ht="15.75" customHeight="1">
      <c r="B2962" s="567"/>
      <c r="H2962" s="563"/>
      <c r="I2962" s="538"/>
      <c r="J2962" s="564"/>
      <c r="N2962" s="563"/>
      <c r="O2962" s="563"/>
      <c r="P2962" s="563"/>
    </row>
    <row r="2963" spans="2:16" ht="15.75" customHeight="1">
      <c r="B2963" s="567"/>
      <c r="H2963" s="563"/>
      <c r="I2963" s="538"/>
      <c r="J2963" s="564"/>
      <c r="N2963" s="563"/>
      <c r="O2963" s="563"/>
      <c r="P2963" s="563"/>
    </row>
    <row r="2964" spans="2:16" ht="15.75" customHeight="1">
      <c r="B2964" s="567"/>
      <c r="H2964" s="563"/>
      <c r="I2964" s="538"/>
      <c r="J2964" s="564"/>
      <c r="N2964" s="563"/>
      <c r="O2964" s="563"/>
      <c r="P2964" s="563"/>
    </row>
    <row r="2965" spans="2:16" ht="15.75" customHeight="1">
      <c r="B2965" s="567"/>
      <c r="H2965" s="563"/>
      <c r="I2965" s="538"/>
      <c r="J2965" s="564"/>
      <c r="N2965" s="563"/>
      <c r="O2965" s="563"/>
      <c r="P2965" s="563"/>
    </row>
    <row r="2966" spans="2:16" ht="15.75" customHeight="1">
      <c r="B2966" s="567"/>
      <c r="H2966" s="563"/>
      <c r="I2966" s="538"/>
      <c r="J2966" s="564"/>
      <c r="N2966" s="563"/>
      <c r="O2966" s="563"/>
      <c r="P2966" s="563"/>
    </row>
    <row r="2967" spans="2:16" ht="15.75" customHeight="1">
      <c r="B2967" s="567"/>
      <c r="H2967" s="563"/>
      <c r="I2967" s="538"/>
      <c r="J2967" s="564"/>
      <c r="N2967" s="563"/>
      <c r="O2967" s="563"/>
      <c r="P2967" s="563"/>
    </row>
    <row r="2968" spans="2:16" ht="15.75" customHeight="1">
      <c r="B2968" s="567"/>
      <c r="H2968" s="563"/>
      <c r="I2968" s="538"/>
      <c r="J2968" s="564"/>
      <c r="N2968" s="563"/>
      <c r="O2968" s="563"/>
      <c r="P2968" s="563"/>
    </row>
    <row r="2969" spans="2:16" ht="15.75" customHeight="1">
      <c r="B2969" s="567"/>
      <c r="H2969" s="563"/>
      <c r="I2969" s="538"/>
      <c r="J2969" s="564"/>
      <c r="N2969" s="563"/>
      <c r="O2969" s="563"/>
      <c r="P2969" s="563"/>
    </row>
    <row r="2970" spans="2:16" ht="15.75" customHeight="1">
      <c r="B2970" s="567"/>
      <c r="H2970" s="563"/>
      <c r="I2970" s="538"/>
      <c r="J2970" s="564"/>
      <c r="N2970" s="563"/>
      <c r="O2970" s="563"/>
      <c r="P2970" s="563"/>
    </row>
    <row r="2971" spans="2:16" ht="15.75" customHeight="1">
      <c r="B2971" s="567"/>
      <c r="H2971" s="563"/>
      <c r="I2971" s="538"/>
      <c r="J2971" s="564"/>
      <c r="N2971" s="563"/>
      <c r="O2971" s="563"/>
      <c r="P2971" s="563"/>
    </row>
    <row r="2972" spans="2:16" ht="15.75" customHeight="1">
      <c r="B2972" s="567"/>
      <c r="H2972" s="563"/>
      <c r="I2972" s="538"/>
      <c r="J2972" s="564"/>
      <c r="N2972" s="563"/>
      <c r="O2972" s="563"/>
      <c r="P2972" s="563"/>
    </row>
    <row r="2973" spans="2:16" ht="15.75" customHeight="1">
      <c r="B2973" s="567"/>
      <c r="H2973" s="563"/>
      <c r="I2973" s="538"/>
      <c r="J2973" s="564"/>
      <c r="N2973" s="563"/>
      <c r="O2973" s="563"/>
      <c r="P2973" s="563"/>
    </row>
    <row r="2974" spans="2:16" ht="15.75" customHeight="1">
      <c r="B2974" s="567"/>
      <c r="H2974" s="563"/>
      <c r="I2974" s="538"/>
      <c r="J2974" s="564"/>
      <c r="N2974" s="563"/>
      <c r="O2974" s="563"/>
      <c r="P2974" s="563"/>
    </row>
    <row r="2975" spans="2:16" ht="15.75" customHeight="1">
      <c r="B2975" s="567"/>
      <c r="H2975" s="563"/>
      <c r="I2975" s="538"/>
      <c r="J2975" s="564"/>
      <c r="N2975" s="563"/>
      <c r="O2975" s="563"/>
      <c r="P2975" s="563"/>
    </row>
    <row r="2976" spans="2:16" ht="15.75" customHeight="1">
      <c r="B2976" s="567"/>
      <c r="H2976" s="563"/>
      <c r="I2976" s="538"/>
      <c r="J2976" s="564"/>
      <c r="N2976" s="563"/>
      <c r="O2976" s="563"/>
      <c r="P2976" s="563"/>
    </row>
    <row r="2977" spans="2:16" ht="15.75" customHeight="1">
      <c r="B2977" s="567"/>
      <c r="H2977" s="563"/>
      <c r="I2977" s="538"/>
      <c r="J2977" s="564"/>
      <c r="N2977" s="563"/>
      <c r="O2977" s="563"/>
      <c r="P2977" s="563"/>
    </row>
    <row r="2978" spans="2:16" ht="15.75" customHeight="1">
      <c r="B2978" s="567"/>
      <c r="H2978" s="563"/>
      <c r="I2978" s="538"/>
      <c r="J2978" s="564"/>
      <c r="N2978" s="563"/>
      <c r="O2978" s="563"/>
      <c r="P2978" s="563"/>
    </row>
    <row r="2979" spans="2:16" ht="15.75" customHeight="1">
      <c r="B2979" s="567"/>
      <c r="H2979" s="563"/>
      <c r="I2979" s="538"/>
      <c r="J2979" s="564"/>
      <c r="N2979" s="563"/>
      <c r="O2979" s="563"/>
      <c r="P2979" s="563"/>
    </row>
    <row r="2980" spans="2:16" ht="15.75" customHeight="1">
      <c r="B2980" s="567"/>
      <c r="H2980" s="563"/>
      <c r="I2980" s="538"/>
      <c r="J2980" s="564"/>
      <c r="N2980" s="563"/>
      <c r="O2980" s="563"/>
      <c r="P2980" s="563"/>
    </row>
    <row r="2981" spans="2:16" ht="15.75" customHeight="1">
      <c r="B2981" s="567"/>
      <c r="H2981" s="563"/>
      <c r="I2981" s="538"/>
      <c r="J2981" s="564"/>
      <c r="N2981" s="563"/>
      <c r="O2981" s="563"/>
      <c r="P2981" s="563"/>
    </row>
    <row r="2982" spans="2:16" ht="15.75" customHeight="1">
      <c r="B2982" s="567"/>
      <c r="H2982" s="563"/>
      <c r="I2982" s="538"/>
      <c r="J2982" s="564"/>
      <c r="N2982" s="563"/>
      <c r="O2982" s="563"/>
      <c r="P2982" s="563"/>
    </row>
    <row r="2983" spans="2:16" ht="15.75" customHeight="1">
      <c r="B2983" s="567"/>
      <c r="H2983" s="563"/>
      <c r="I2983" s="538"/>
      <c r="J2983" s="564"/>
      <c r="N2983" s="563"/>
      <c r="O2983" s="563"/>
      <c r="P2983" s="563"/>
    </row>
    <row r="2984" spans="2:16" ht="15.75" customHeight="1">
      <c r="B2984" s="567"/>
      <c r="H2984" s="563"/>
      <c r="I2984" s="538"/>
      <c r="J2984" s="564"/>
      <c r="N2984" s="563"/>
      <c r="O2984" s="563"/>
      <c r="P2984" s="563"/>
    </row>
    <row r="2985" spans="2:16" ht="15.75" customHeight="1">
      <c r="B2985" s="567"/>
      <c r="H2985" s="563"/>
      <c r="I2985" s="538"/>
      <c r="J2985" s="564"/>
      <c r="N2985" s="563"/>
      <c r="O2985" s="563"/>
      <c r="P2985" s="563"/>
    </row>
    <row r="2986" spans="2:16" ht="15.75" customHeight="1">
      <c r="B2986" s="567"/>
      <c r="H2986" s="563"/>
      <c r="I2986" s="538"/>
      <c r="J2986" s="564"/>
      <c r="N2986" s="563"/>
      <c r="O2986" s="563"/>
      <c r="P2986" s="563"/>
    </row>
    <row r="2987" spans="2:16" ht="15.75" customHeight="1">
      <c r="B2987" s="567"/>
      <c r="H2987" s="563"/>
      <c r="I2987" s="538"/>
      <c r="J2987" s="564"/>
      <c r="N2987" s="563"/>
      <c r="O2987" s="563"/>
      <c r="P2987" s="563"/>
    </row>
    <row r="2988" spans="2:16" ht="15.75" customHeight="1">
      <c r="B2988" s="567"/>
      <c r="H2988" s="563"/>
      <c r="I2988" s="538"/>
      <c r="J2988" s="564"/>
      <c r="N2988" s="563"/>
      <c r="O2988" s="563"/>
      <c r="P2988" s="563"/>
    </row>
    <row r="2989" spans="2:16" ht="15.75" customHeight="1">
      <c r="B2989" s="567"/>
      <c r="H2989" s="563"/>
      <c r="I2989" s="538"/>
      <c r="J2989" s="564"/>
      <c r="N2989" s="563"/>
      <c r="O2989" s="563"/>
      <c r="P2989" s="563"/>
    </row>
    <row r="2990" spans="2:16" ht="15.75" customHeight="1">
      <c r="B2990" s="567"/>
      <c r="H2990" s="563"/>
      <c r="I2990" s="538"/>
      <c r="J2990" s="564"/>
      <c r="N2990" s="563"/>
      <c r="O2990" s="563"/>
      <c r="P2990" s="563"/>
    </row>
    <row r="2991" spans="2:16" ht="15.75" customHeight="1">
      <c r="B2991" s="567"/>
      <c r="H2991" s="563"/>
      <c r="I2991" s="538"/>
      <c r="J2991" s="564"/>
      <c r="N2991" s="563"/>
      <c r="O2991" s="563"/>
      <c r="P2991" s="563"/>
    </row>
    <row r="2992" spans="2:16" ht="15.75" customHeight="1">
      <c r="B2992" s="567"/>
      <c r="H2992" s="563"/>
      <c r="I2992" s="538"/>
      <c r="J2992" s="564"/>
      <c r="N2992" s="563"/>
      <c r="O2992" s="563"/>
      <c r="P2992" s="563"/>
    </row>
    <row r="2993" spans="2:16" ht="15.75" customHeight="1">
      <c r="B2993" s="567"/>
      <c r="H2993" s="563"/>
      <c r="I2993" s="538"/>
      <c r="J2993" s="564"/>
      <c r="N2993" s="563"/>
      <c r="O2993" s="563"/>
      <c r="P2993" s="563"/>
    </row>
    <row r="2994" spans="2:16" ht="15.75" customHeight="1">
      <c r="B2994" s="567"/>
      <c r="H2994" s="563"/>
      <c r="I2994" s="538"/>
      <c r="J2994" s="564"/>
      <c r="N2994" s="563"/>
      <c r="O2994" s="563"/>
      <c r="P2994" s="563"/>
    </row>
    <row r="2995" spans="2:16" ht="15.75" customHeight="1">
      <c r="B2995" s="567"/>
      <c r="H2995" s="563"/>
      <c r="I2995" s="538"/>
      <c r="J2995" s="564"/>
      <c r="N2995" s="563"/>
      <c r="O2995" s="563"/>
      <c r="P2995" s="563"/>
    </row>
    <row r="2996" spans="2:16" ht="15.75" customHeight="1">
      <c r="B2996" s="567"/>
      <c r="H2996" s="563"/>
      <c r="I2996" s="538"/>
      <c r="J2996" s="564"/>
      <c r="N2996" s="563"/>
      <c r="O2996" s="563"/>
      <c r="P2996" s="563"/>
    </row>
    <row r="2997" spans="2:16" ht="15.75" customHeight="1">
      <c r="B2997" s="567"/>
      <c r="H2997" s="563"/>
      <c r="I2997" s="538"/>
      <c r="J2997" s="564"/>
      <c r="N2997" s="563"/>
      <c r="O2997" s="563"/>
      <c r="P2997" s="563"/>
    </row>
    <row r="2998" spans="2:16" ht="15.75" customHeight="1">
      <c r="B2998" s="567"/>
      <c r="H2998" s="563"/>
      <c r="I2998" s="538"/>
      <c r="J2998" s="564"/>
      <c r="N2998" s="563"/>
      <c r="O2998" s="563"/>
      <c r="P2998" s="563"/>
    </row>
    <row r="2999" spans="2:16" ht="15.75" customHeight="1">
      <c r="B2999" s="567"/>
      <c r="H2999" s="563"/>
      <c r="I2999" s="538"/>
      <c r="J2999" s="564"/>
      <c r="N2999" s="563"/>
      <c r="O2999" s="563"/>
      <c r="P2999" s="563"/>
    </row>
    <row r="3000" spans="2:16" ht="15.75" customHeight="1">
      <c r="B3000" s="567"/>
      <c r="H3000" s="563"/>
      <c r="I3000" s="538"/>
      <c r="J3000" s="564"/>
      <c r="N3000" s="563"/>
      <c r="O3000" s="563"/>
      <c r="P3000" s="563"/>
    </row>
    <row r="3001" spans="2:16" ht="15.75" customHeight="1">
      <c r="B3001" s="567"/>
      <c r="H3001" s="563"/>
      <c r="I3001" s="538"/>
      <c r="J3001" s="564"/>
      <c r="N3001" s="563"/>
      <c r="O3001" s="563"/>
      <c r="P3001" s="563"/>
    </row>
    <row r="3002" spans="2:16" ht="15.75" customHeight="1">
      <c r="B3002" s="567"/>
      <c r="H3002" s="563"/>
      <c r="I3002" s="538"/>
      <c r="J3002" s="564"/>
      <c r="N3002" s="563"/>
      <c r="O3002" s="563"/>
      <c r="P3002" s="563"/>
    </row>
    <row r="3003" spans="2:16" ht="15.75" customHeight="1">
      <c r="B3003" s="567"/>
      <c r="H3003" s="563"/>
      <c r="I3003" s="538"/>
      <c r="J3003" s="564"/>
      <c r="N3003" s="563"/>
      <c r="O3003" s="563"/>
      <c r="P3003" s="563"/>
    </row>
    <row r="3004" spans="2:16" ht="15.75" customHeight="1">
      <c r="B3004" s="567"/>
      <c r="H3004" s="563"/>
      <c r="I3004" s="538"/>
      <c r="J3004" s="564"/>
      <c r="N3004" s="563"/>
      <c r="O3004" s="563"/>
      <c r="P3004" s="563"/>
    </row>
    <row r="3005" spans="2:16" ht="15.75" customHeight="1">
      <c r="B3005" s="567"/>
      <c r="H3005" s="563"/>
      <c r="I3005" s="538"/>
      <c r="J3005" s="564"/>
      <c r="N3005" s="563"/>
      <c r="O3005" s="563"/>
      <c r="P3005" s="563"/>
    </row>
    <row r="3006" spans="2:16" ht="15.75" customHeight="1">
      <c r="B3006" s="567"/>
      <c r="H3006" s="563"/>
      <c r="I3006" s="538"/>
      <c r="J3006" s="564"/>
      <c r="N3006" s="563"/>
      <c r="O3006" s="563"/>
      <c r="P3006" s="563"/>
    </row>
    <row r="3007" spans="2:16" ht="15.75" customHeight="1">
      <c r="B3007" s="567"/>
      <c r="H3007" s="563"/>
      <c r="I3007" s="538"/>
      <c r="J3007" s="564"/>
      <c r="N3007" s="563"/>
      <c r="O3007" s="563"/>
      <c r="P3007" s="563"/>
    </row>
    <row r="3008" spans="2:16" ht="15.75" customHeight="1">
      <c r="B3008" s="567"/>
      <c r="H3008" s="563"/>
      <c r="I3008" s="538"/>
      <c r="J3008" s="564"/>
      <c r="N3008" s="563"/>
      <c r="O3008" s="563"/>
      <c r="P3008" s="563"/>
    </row>
    <row r="3009" spans="2:16" ht="15.75" customHeight="1">
      <c r="B3009" s="567"/>
      <c r="H3009" s="563"/>
      <c r="I3009" s="538"/>
      <c r="J3009" s="564"/>
      <c r="N3009" s="563"/>
      <c r="O3009" s="563"/>
      <c r="P3009" s="563"/>
    </row>
    <row r="3010" spans="2:16" ht="15.75" customHeight="1">
      <c r="B3010" s="567"/>
      <c r="H3010" s="563"/>
      <c r="I3010" s="538"/>
      <c r="J3010" s="564"/>
      <c r="N3010" s="563"/>
      <c r="O3010" s="563"/>
      <c r="P3010" s="563"/>
    </row>
    <row r="3011" spans="2:16" ht="15.75" customHeight="1">
      <c r="B3011" s="567"/>
      <c r="H3011" s="563"/>
      <c r="I3011" s="538"/>
      <c r="J3011" s="564"/>
      <c r="N3011" s="563"/>
      <c r="O3011" s="563"/>
      <c r="P3011" s="563"/>
    </row>
    <row r="3012" spans="2:16" ht="15.75" customHeight="1">
      <c r="B3012" s="567"/>
      <c r="H3012" s="563"/>
      <c r="I3012" s="538"/>
      <c r="J3012" s="564"/>
      <c r="N3012" s="563"/>
      <c r="O3012" s="563"/>
      <c r="P3012" s="563"/>
    </row>
    <row r="3013" spans="2:16" ht="15.75" customHeight="1">
      <c r="B3013" s="567"/>
      <c r="H3013" s="563"/>
      <c r="I3013" s="538"/>
      <c r="J3013" s="564"/>
      <c r="N3013" s="563"/>
      <c r="O3013" s="563"/>
      <c r="P3013" s="563"/>
    </row>
    <row r="3014" spans="2:16" ht="15.75" customHeight="1">
      <c r="B3014" s="567"/>
      <c r="H3014" s="563"/>
      <c r="I3014" s="538"/>
      <c r="J3014" s="564"/>
      <c r="N3014" s="563"/>
      <c r="O3014" s="563"/>
      <c r="P3014" s="563"/>
    </row>
    <row r="3015" spans="2:16" ht="15.75" customHeight="1">
      <c r="B3015" s="567"/>
      <c r="H3015" s="563"/>
      <c r="I3015" s="538"/>
      <c r="J3015" s="564"/>
      <c r="N3015" s="563"/>
      <c r="O3015" s="563"/>
      <c r="P3015" s="563"/>
    </row>
    <row r="3016" spans="2:16" ht="15.75" customHeight="1">
      <c r="B3016" s="567"/>
      <c r="H3016" s="563"/>
      <c r="I3016" s="538"/>
      <c r="J3016" s="564"/>
      <c r="N3016" s="563"/>
      <c r="O3016" s="563"/>
      <c r="P3016" s="563"/>
    </row>
    <row r="3017" spans="2:16" ht="15.75" customHeight="1">
      <c r="B3017" s="567"/>
      <c r="H3017" s="563"/>
      <c r="I3017" s="538"/>
      <c r="J3017" s="564"/>
      <c r="N3017" s="563"/>
      <c r="O3017" s="563"/>
      <c r="P3017" s="563"/>
    </row>
    <row r="3018" spans="2:16" ht="15.75" customHeight="1">
      <c r="B3018" s="567"/>
      <c r="H3018" s="563"/>
      <c r="I3018" s="538"/>
      <c r="J3018" s="564"/>
      <c r="N3018" s="563"/>
      <c r="O3018" s="563"/>
      <c r="P3018" s="563"/>
    </row>
    <row r="3019" spans="2:16" ht="15.75" customHeight="1">
      <c r="B3019" s="567"/>
      <c r="H3019" s="563"/>
      <c r="I3019" s="538"/>
      <c r="J3019" s="564"/>
      <c r="N3019" s="563"/>
      <c r="O3019" s="563"/>
      <c r="P3019" s="563"/>
    </row>
    <row r="3020" spans="2:16" ht="15.75" customHeight="1">
      <c r="B3020" s="567"/>
      <c r="H3020" s="563"/>
      <c r="I3020" s="538"/>
      <c r="J3020" s="564"/>
      <c r="N3020" s="563"/>
      <c r="O3020" s="563"/>
      <c r="P3020" s="563"/>
    </row>
    <row r="3021" spans="2:16" ht="15.75" customHeight="1">
      <c r="B3021" s="567"/>
      <c r="H3021" s="563"/>
      <c r="I3021" s="538"/>
      <c r="J3021" s="564"/>
      <c r="N3021" s="563"/>
      <c r="O3021" s="563"/>
      <c r="P3021" s="563"/>
    </row>
    <row r="3022" spans="2:16" ht="15.75" customHeight="1">
      <c r="B3022" s="567"/>
      <c r="H3022" s="563"/>
      <c r="I3022" s="538"/>
      <c r="J3022" s="564"/>
      <c r="N3022" s="563"/>
      <c r="O3022" s="563"/>
      <c r="P3022" s="563"/>
    </row>
    <row r="3023" spans="2:16" ht="15.75" customHeight="1">
      <c r="B3023" s="567"/>
      <c r="H3023" s="563"/>
      <c r="I3023" s="538"/>
      <c r="J3023" s="564"/>
      <c r="N3023" s="563"/>
      <c r="O3023" s="563"/>
      <c r="P3023" s="563"/>
    </row>
    <row r="3024" spans="2:16" ht="15.75" customHeight="1">
      <c r="B3024" s="567"/>
      <c r="H3024" s="563"/>
      <c r="I3024" s="538"/>
      <c r="J3024" s="564"/>
      <c r="N3024" s="563"/>
      <c r="O3024" s="563"/>
      <c r="P3024" s="563"/>
    </row>
    <row r="3025" spans="2:16" ht="15.75" customHeight="1">
      <c r="B3025" s="567"/>
      <c r="H3025" s="563"/>
      <c r="I3025" s="538"/>
      <c r="J3025" s="564"/>
      <c r="N3025" s="563"/>
      <c r="O3025" s="563"/>
      <c r="P3025" s="563"/>
    </row>
    <row r="3026" spans="2:16" ht="15.75" customHeight="1">
      <c r="B3026" s="567"/>
      <c r="H3026" s="563"/>
      <c r="I3026" s="538"/>
      <c r="J3026" s="564"/>
      <c r="N3026" s="563"/>
      <c r="O3026" s="563"/>
      <c r="P3026" s="563"/>
    </row>
    <row r="3027" spans="2:16" ht="15.75" customHeight="1">
      <c r="B3027" s="567"/>
      <c r="H3027" s="563"/>
      <c r="I3027" s="538"/>
      <c r="J3027" s="564"/>
      <c r="N3027" s="563"/>
      <c r="O3027" s="563"/>
      <c r="P3027" s="563"/>
    </row>
    <row r="3028" spans="2:16" ht="15.75" customHeight="1">
      <c r="B3028" s="567"/>
      <c r="H3028" s="563"/>
      <c r="I3028" s="538"/>
      <c r="J3028" s="564"/>
      <c r="N3028" s="563"/>
      <c r="O3028" s="563"/>
      <c r="P3028" s="563"/>
    </row>
    <row r="3029" spans="2:16" ht="15.75" customHeight="1">
      <c r="B3029" s="567"/>
      <c r="H3029" s="563"/>
      <c r="I3029" s="538"/>
      <c r="J3029" s="564"/>
      <c r="N3029" s="563"/>
      <c r="O3029" s="563"/>
      <c r="P3029" s="563"/>
    </row>
    <row r="3030" spans="2:16" ht="15.75" customHeight="1">
      <c r="B3030" s="567"/>
      <c r="H3030" s="563"/>
      <c r="I3030" s="538"/>
      <c r="J3030" s="564"/>
      <c r="N3030" s="563"/>
      <c r="O3030" s="563"/>
      <c r="P3030" s="563"/>
    </row>
    <row r="3031" spans="2:16" ht="15.75" customHeight="1">
      <c r="B3031" s="567"/>
      <c r="H3031" s="563"/>
      <c r="I3031" s="538"/>
      <c r="J3031" s="564"/>
      <c r="N3031" s="563"/>
      <c r="O3031" s="563"/>
      <c r="P3031" s="563"/>
    </row>
    <row r="3032" spans="2:16" ht="15.75" customHeight="1">
      <c r="B3032" s="567"/>
      <c r="H3032" s="563"/>
      <c r="I3032" s="538"/>
      <c r="J3032" s="564"/>
      <c r="N3032" s="563"/>
      <c r="O3032" s="563"/>
      <c r="P3032" s="563"/>
    </row>
    <row r="3033" spans="2:16" ht="15.75" customHeight="1">
      <c r="B3033" s="567"/>
      <c r="H3033" s="563"/>
      <c r="I3033" s="538"/>
      <c r="J3033" s="564"/>
      <c r="N3033" s="563"/>
      <c r="O3033" s="563"/>
      <c r="P3033" s="563"/>
    </row>
    <row r="3034" spans="2:16" ht="15.75" customHeight="1">
      <c r="H3034" s="563"/>
      <c r="I3034" s="538"/>
      <c r="J3034" s="564"/>
      <c r="N3034" s="563"/>
      <c r="O3034" s="563"/>
      <c r="P3034" s="563"/>
    </row>
    <row r="3035" spans="2:16" ht="15.75" customHeight="1">
      <c r="H3035" s="563"/>
      <c r="I3035" s="538"/>
      <c r="J3035" s="564"/>
      <c r="N3035" s="563"/>
      <c r="O3035" s="563"/>
      <c r="P3035" s="563"/>
    </row>
    <row r="3036" spans="2:16" ht="15.75" customHeight="1">
      <c r="H3036" s="563"/>
      <c r="I3036" s="538"/>
      <c r="J3036" s="564"/>
      <c r="N3036" s="563"/>
      <c r="O3036" s="563"/>
      <c r="P3036" s="563"/>
    </row>
    <row r="3037" spans="2:16" ht="15.75" customHeight="1">
      <c r="H3037" s="563"/>
      <c r="I3037" s="538"/>
      <c r="J3037" s="564"/>
      <c r="N3037" s="563"/>
      <c r="O3037" s="563"/>
      <c r="P3037" s="563"/>
    </row>
    <row r="3038" spans="2:16" ht="15.75" customHeight="1">
      <c r="H3038" s="563"/>
      <c r="I3038" s="538"/>
      <c r="J3038" s="564"/>
      <c r="N3038" s="563"/>
      <c r="O3038" s="563"/>
      <c r="P3038" s="563"/>
    </row>
    <row r="3039" spans="2:16" ht="15.75" customHeight="1">
      <c r="H3039" s="563"/>
      <c r="I3039" s="538"/>
      <c r="J3039" s="564"/>
      <c r="N3039" s="563"/>
      <c r="O3039" s="563"/>
      <c r="P3039" s="563"/>
    </row>
    <row r="3040" spans="2:16" ht="15.75" customHeight="1">
      <c r="H3040" s="563"/>
      <c r="I3040" s="538"/>
      <c r="J3040" s="564"/>
      <c r="N3040" s="563"/>
      <c r="O3040" s="563"/>
      <c r="P3040" s="563"/>
    </row>
    <row r="3041" spans="8:16" ht="15.75" customHeight="1">
      <c r="H3041" s="563"/>
      <c r="I3041" s="538"/>
      <c r="J3041" s="564"/>
      <c r="N3041" s="563"/>
      <c r="O3041" s="563"/>
      <c r="P3041" s="563"/>
    </row>
    <row r="3042" spans="8:16" ht="15.75" customHeight="1">
      <c r="H3042" s="563"/>
      <c r="I3042" s="538"/>
      <c r="J3042" s="564"/>
      <c r="N3042" s="563"/>
      <c r="O3042" s="563"/>
      <c r="P3042" s="563"/>
    </row>
    <row r="3043" spans="8:16" ht="15.75" customHeight="1">
      <c r="H3043" s="563"/>
      <c r="I3043" s="538"/>
      <c r="J3043" s="564"/>
      <c r="N3043" s="563"/>
      <c r="O3043" s="563"/>
      <c r="P3043" s="563"/>
    </row>
    <row r="3044" spans="8:16" ht="15.75" customHeight="1">
      <c r="H3044" s="563"/>
      <c r="I3044" s="538"/>
      <c r="J3044" s="564"/>
      <c r="N3044" s="563"/>
      <c r="O3044" s="563"/>
      <c r="P3044" s="563"/>
    </row>
    <row r="3045" spans="8:16" ht="15.75" customHeight="1">
      <c r="H3045" s="563"/>
      <c r="I3045" s="538"/>
      <c r="J3045" s="564"/>
      <c r="N3045" s="563"/>
      <c r="O3045" s="563"/>
      <c r="P3045" s="563"/>
    </row>
    <row r="3046" spans="8:16" ht="15.75" customHeight="1">
      <c r="H3046" s="563"/>
      <c r="I3046" s="538"/>
      <c r="J3046" s="564"/>
      <c r="N3046" s="563"/>
      <c r="O3046" s="563"/>
      <c r="P3046" s="563"/>
    </row>
    <row r="3047" spans="8:16" ht="15.75" customHeight="1">
      <c r="H3047" s="563"/>
      <c r="I3047" s="538"/>
      <c r="J3047" s="564"/>
      <c r="N3047" s="563"/>
      <c r="O3047" s="563"/>
      <c r="P3047" s="563"/>
    </row>
    <row r="3048" spans="8:16" ht="15.75" customHeight="1">
      <c r="H3048" s="563"/>
      <c r="I3048" s="538"/>
      <c r="J3048" s="564"/>
      <c r="N3048" s="563"/>
      <c r="O3048" s="563"/>
      <c r="P3048" s="563"/>
    </row>
    <row r="3049" spans="8:16" ht="15.75" customHeight="1">
      <c r="H3049" s="563"/>
      <c r="I3049" s="538"/>
      <c r="J3049" s="564"/>
      <c r="N3049" s="563"/>
      <c r="O3049" s="563"/>
      <c r="P3049" s="563"/>
    </row>
    <row r="3050" spans="8:16" ht="15.75" customHeight="1">
      <c r="H3050" s="563"/>
      <c r="I3050" s="538"/>
      <c r="J3050" s="564"/>
      <c r="N3050" s="563"/>
      <c r="O3050" s="563"/>
      <c r="P3050" s="563"/>
    </row>
    <row r="3051" spans="8:16" ht="15.75" customHeight="1">
      <c r="H3051" s="563"/>
      <c r="I3051" s="538"/>
      <c r="J3051" s="564"/>
      <c r="N3051" s="563"/>
      <c r="O3051" s="563"/>
      <c r="P3051" s="563"/>
    </row>
    <row r="3052" spans="8:16" ht="15.75" customHeight="1">
      <c r="H3052" s="563"/>
      <c r="I3052" s="538"/>
      <c r="J3052" s="564"/>
      <c r="N3052" s="563"/>
      <c r="O3052" s="563"/>
      <c r="P3052" s="563"/>
    </row>
    <row r="3053" spans="8:16" ht="15.75" customHeight="1">
      <c r="H3053" s="563"/>
      <c r="I3053" s="538"/>
      <c r="J3053" s="564"/>
      <c r="N3053" s="563"/>
      <c r="O3053" s="563"/>
      <c r="P3053" s="563"/>
    </row>
    <row r="3054" spans="8:16" ht="15.75" customHeight="1">
      <c r="H3054" s="563"/>
      <c r="I3054" s="538"/>
      <c r="J3054" s="564"/>
      <c r="N3054" s="563"/>
      <c r="O3054" s="563"/>
      <c r="P3054" s="563"/>
    </row>
    <row r="3055" spans="8:16" ht="15.75" customHeight="1">
      <c r="H3055" s="563"/>
      <c r="I3055" s="538"/>
      <c r="J3055" s="564"/>
      <c r="N3055" s="563"/>
      <c r="O3055" s="563"/>
      <c r="P3055" s="563"/>
    </row>
    <row r="3056" spans="8:16" ht="15.75" customHeight="1">
      <c r="H3056" s="563"/>
      <c r="I3056" s="538"/>
      <c r="J3056" s="564"/>
      <c r="N3056" s="563"/>
      <c r="O3056" s="563"/>
      <c r="P3056" s="563"/>
    </row>
    <row r="3057" spans="8:16" ht="15.75" customHeight="1">
      <c r="H3057" s="563"/>
      <c r="I3057" s="538"/>
      <c r="J3057" s="564"/>
      <c r="N3057" s="563"/>
      <c r="O3057" s="563"/>
      <c r="P3057" s="563"/>
    </row>
    <row r="3058" spans="8:16" ht="15.75" customHeight="1">
      <c r="H3058" s="563"/>
      <c r="I3058" s="538"/>
      <c r="J3058" s="564"/>
      <c r="N3058" s="563"/>
      <c r="O3058" s="563"/>
      <c r="P3058" s="563"/>
    </row>
    <row r="3059" spans="8:16" ht="15.75" customHeight="1">
      <c r="H3059" s="563"/>
      <c r="I3059" s="538"/>
      <c r="J3059" s="564"/>
      <c r="N3059" s="563"/>
      <c r="O3059" s="563"/>
      <c r="P3059" s="563"/>
    </row>
    <row r="3060" spans="8:16" ht="15.75" customHeight="1">
      <c r="H3060" s="563"/>
      <c r="I3060" s="538"/>
      <c r="J3060" s="564"/>
      <c r="N3060" s="563"/>
      <c r="O3060" s="563"/>
      <c r="P3060" s="563"/>
    </row>
    <row r="3061" spans="8:16" ht="15.75" customHeight="1">
      <c r="H3061" s="563"/>
      <c r="I3061" s="538"/>
      <c r="J3061" s="564"/>
      <c r="N3061" s="563"/>
      <c r="O3061" s="563"/>
      <c r="P3061" s="563"/>
    </row>
    <row r="3062" spans="8:16" ht="15.75" customHeight="1">
      <c r="H3062" s="563"/>
      <c r="I3062" s="538"/>
      <c r="J3062" s="564"/>
      <c r="N3062" s="563"/>
      <c r="O3062" s="563"/>
      <c r="P3062" s="563"/>
    </row>
    <row r="3063" spans="8:16" ht="15.75" customHeight="1">
      <c r="H3063" s="563"/>
      <c r="I3063" s="538"/>
      <c r="J3063" s="564"/>
      <c r="N3063" s="563"/>
      <c r="O3063" s="563"/>
      <c r="P3063" s="563"/>
    </row>
    <row r="3064" spans="8:16" ht="15.75" customHeight="1">
      <c r="H3064" s="563"/>
      <c r="I3064" s="538"/>
      <c r="J3064" s="564"/>
      <c r="N3064" s="563"/>
      <c r="O3064" s="563"/>
      <c r="P3064" s="563"/>
    </row>
    <row r="3065" spans="8:16" ht="15.75" customHeight="1">
      <c r="H3065" s="563"/>
      <c r="I3065" s="538"/>
      <c r="J3065" s="564"/>
      <c r="N3065" s="563"/>
      <c r="O3065" s="563"/>
      <c r="P3065" s="563"/>
    </row>
    <row r="3066" spans="8:16" ht="15.75" customHeight="1">
      <c r="H3066" s="563"/>
      <c r="I3066" s="538"/>
      <c r="J3066" s="564"/>
      <c r="N3066" s="563"/>
      <c r="O3066" s="563"/>
      <c r="P3066" s="563"/>
    </row>
    <row r="3067" spans="8:16" ht="15.75" customHeight="1">
      <c r="H3067" s="563"/>
      <c r="I3067" s="538"/>
      <c r="J3067" s="564"/>
      <c r="N3067" s="563"/>
      <c r="O3067" s="563"/>
      <c r="P3067" s="563"/>
    </row>
    <row r="3068" spans="8:16" ht="15.75" customHeight="1">
      <c r="H3068" s="563"/>
      <c r="I3068" s="538"/>
      <c r="J3068" s="564"/>
      <c r="N3068" s="563"/>
      <c r="O3068" s="563"/>
      <c r="P3068" s="563"/>
    </row>
    <row r="3069" spans="8:16" ht="15.75" customHeight="1">
      <c r="H3069" s="563"/>
      <c r="I3069" s="538"/>
      <c r="J3069" s="564"/>
      <c r="N3069" s="563"/>
      <c r="O3069" s="563"/>
      <c r="P3069" s="563"/>
    </row>
    <row r="3070" spans="8:16" ht="15.75" customHeight="1">
      <c r="H3070" s="563"/>
      <c r="I3070" s="538"/>
      <c r="J3070" s="564"/>
      <c r="N3070" s="563"/>
      <c r="O3070" s="563"/>
      <c r="P3070" s="563"/>
    </row>
    <row r="3071" spans="8:16" ht="15.75" customHeight="1">
      <c r="H3071" s="563"/>
      <c r="I3071" s="538"/>
      <c r="J3071" s="564"/>
      <c r="N3071" s="563"/>
      <c r="O3071" s="563"/>
      <c r="P3071" s="563"/>
    </row>
    <row r="3072" spans="8:16" ht="15.75" customHeight="1">
      <c r="H3072" s="563"/>
      <c r="I3072" s="538"/>
      <c r="J3072" s="564"/>
      <c r="N3072" s="563"/>
      <c r="O3072" s="563"/>
      <c r="P3072" s="563"/>
    </row>
    <row r="3073" spans="8:16" ht="15.75" customHeight="1">
      <c r="H3073" s="563"/>
      <c r="I3073" s="538"/>
      <c r="J3073" s="564"/>
      <c r="N3073" s="563"/>
      <c r="O3073" s="563"/>
      <c r="P3073" s="563"/>
    </row>
    <row r="3074" spans="8:16" ht="15.75" customHeight="1">
      <c r="H3074" s="563"/>
      <c r="I3074" s="538"/>
      <c r="J3074" s="564"/>
      <c r="N3074" s="563"/>
      <c r="O3074" s="563"/>
      <c r="P3074" s="563"/>
    </row>
    <row r="3075" spans="8:16" ht="15.75" customHeight="1">
      <c r="H3075" s="563"/>
      <c r="I3075" s="538"/>
      <c r="J3075" s="564"/>
      <c r="N3075" s="563"/>
      <c r="O3075" s="563"/>
      <c r="P3075" s="563"/>
    </row>
    <row r="3076" spans="8:16" ht="15.75" customHeight="1">
      <c r="H3076" s="563"/>
      <c r="I3076" s="538"/>
      <c r="J3076" s="564"/>
      <c r="N3076" s="563"/>
      <c r="O3076" s="563"/>
      <c r="P3076" s="563"/>
    </row>
    <row r="3077" spans="8:16" ht="15.75" customHeight="1">
      <c r="H3077" s="563"/>
      <c r="I3077" s="538"/>
      <c r="J3077" s="564"/>
      <c r="N3077" s="563"/>
      <c r="O3077" s="563"/>
      <c r="P3077" s="563"/>
    </row>
    <row r="3078" spans="8:16" ht="15.75" customHeight="1">
      <c r="H3078" s="563"/>
      <c r="I3078" s="538"/>
      <c r="J3078" s="564"/>
      <c r="N3078" s="563"/>
      <c r="O3078" s="563"/>
      <c r="P3078" s="563"/>
    </row>
    <row r="3079" spans="8:16" ht="15.75" customHeight="1">
      <c r="H3079" s="563"/>
      <c r="I3079" s="538"/>
      <c r="J3079" s="564"/>
      <c r="N3079" s="563"/>
      <c r="O3079" s="563"/>
      <c r="P3079" s="563"/>
    </row>
    <row r="3080" spans="8:16" ht="15.75" customHeight="1">
      <c r="H3080" s="563"/>
      <c r="I3080" s="538"/>
      <c r="J3080" s="564"/>
      <c r="N3080" s="563"/>
      <c r="O3080" s="563"/>
      <c r="P3080" s="563"/>
    </row>
    <row r="3081" spans="8:16" ht="15.75" customHeight="1">
      <c r="H3081" s="563"/>
      <c r="I3081" s="538"/>
      <c r="J3081" s="564"/>
      <c r="N3081" s="563"/>
      <c r="O3081" s="563"/>
      <c r="P3081" s="563"/>
    </row>
    <row r="3082" spans="8:16" ht="15.75" customHeight="1">
      <c r="H3082" s="563"/>
      <c r="I3082" s="538"/>
      <c r="J3082" s="564"/>
      <c r="N3082" s="563"/>
      <c r="O3082" s="563"/>
      <c r="P3082" s="563"/>
    </row>
    <row r="3083" spans="8:16" ht="15.75" customHeight="1">
      <c r="H3083" s="563"/>
      <c r="I3083" s="538"/>
      <c r="J3083" s="564"/>
      <c r="N3083" s="563"/>
      <c r="O3083" s="563"/>
      <c r="P3083" s="563"/>
    </row>
    <row r="3084" spans="8:16" ht="15.75" customHeight="1">
      <c r="H3084" s="563"/>
      <c r="I3084" s="538"/>
      <c r="J3084" s="564"/>
      <c r="N3084" s="563"/>
      <c r="O3084" s="563"/>
      <c r="P3084" s="563"/>
    </row>
    <row r="3085" spans="8:16" ht="15.75" customHeight="1">
      <c r="H3085" s="563"/>
      <c r="I3085" s="538"/>
      <c r="J3085" s="564"/>
      <c r="N3085" s="563"/>
      <c r="O3085" s="563"/>
      <c r="P3085" s="563"/>
    </row>
    <row r="3086" spans="8:16" ht="15.75" customHeight="1">
      <c r="H3086" s="563"/>
      <c r="I3086" s="538"/>
      <c r="J3086" s="564"/>
      <c r="N3086" s="563"/>
      <c r="O3086" s="563"/>
      <c r="P3086" s="563"/>
    </row>
    <row r="3087" spans="8:16" ht="15.75" customHeight="1">
      <c r="H3087" s="563"/>
      <c r="I3087" s="538"/>
      <c r="J3087" s="564"/>
      <c r="N3087" s="563"/>
      <c r="O3087" s="563"/>
      <c r="P3087" s="563"/>
    </row>
    <row r="3088" spans="8:16" ht="15.75" customHeight="1">
      <c r="H3088" s="563"/>
      <c r="I3088" s="538"/>
      <c r="J3088" s="564"/>
      <c r="N3088" s="563"/>
      <c r="O3088" s="563"/>
      <c r="P3088" s="563"/>
    </row>
    <row r="3089" spans="8:16" ht="15.75" customHeight="1">
      <c r="H3089" s="563"/>
      <c r="I3089" s="538"/>
      <c r="J3089" s="564"/>
      <c r="N3089" s="563"/>
      <c r="O3089" s="563"/>
      <c r="P3089" s="563"/>
    </row>
    <row r="3090" spans="8:16" ht="15.75" customHeight="1">
      <c r="H3090" s="563"/>
      <c r="I3090" s="538"/>
      <c r="J3090" s="564"/>
      <c r="N3090" s="563"/>
      <c r="O3090" s="563"/>
      <c r="P3090" s="563"/>
    </row>
    <row r="3091" spans="8:16" ht="15.75" customHeight="1">
      <c r="H3091" s="563"/>
      <c r="I3091" s="538"/>
      <c r="J3091" s="564"/>
      <c r="N3091" s="563"/>
      <c r="O3091" s="563"/>
      <c r="P3091" s="563"/>
    </row>
    <row r="3092" spans="8:16" ht="15.75" customHeight="1">
      <c r="H3092" s="563"/>
      <c r="I3092" s="538"/>
      <c r="J3092" s="564"/>
      <c r="N3092" s="563"/>
      <c r="O3092" s="563"/>
      <c r="P3092" s="563"/>
    </row>
    <row r="3093" spans="8:16" ht="15.75" customHeight="1">
      <c r="H3093" s="563"/>
      <c r="I3093" s="538"/>
      <c r="J3093" s="564"/>
      <c r="N3093" s="563"/>
      <c r="O3093" s="563"/>
      <c r="P3093" s="563"/>
    </row>
    <row r="3094" spans="8:16" ht="15.75" customHeight="1">
      <c r="H3094" s="563"/>
      <c r="I3094" s="538"/>
      <c r="J3094" s="564"/>
      <c r="N3094" s="563"/>
      <c r="O3094" s="563"/>
      <c r="P3094" s="563"/>
    </row>
    <row r="3095" spans="8:16" ht="15.75" customHeight="1">
      <c r="H3095" s="563"/>
      <c r="I3095" s="538"/>
      <c r="J3095" s="564"/>
      <c r="N3095" s="563"/>
      <c r="O3095" s="563"/>
      <c r="P3095" s="563"/>
    </row>
    <row r="3096" spans="8:16" ht="15.75" customHeight="1">
      <c r="H3096" s="563"/>
      <c r="I3096" s="538"/>
      <c r="J3096" s="564"/>
      <c r="N3096" s="563"/>
      <c r="O3096" s="563"/>
      <c r="P3096" s="563"/>
    </row>
    <row r="3097" spans="8:16" ht="15.75" customHeight="1">
      <c r="H3097" s="563"/>
      <c r="I3097" s="538"/>
      <c r="J3097" s="564"/>
      <c r="N3097" s="563"/>
      <c r="O3097" s="563"/>
      <c r="P3097" s="563"/>
    </row>
    <row r="3098" spans="8:16" ht="15.75" customHeight="1">
      <c r="H3098" s="563"/>
      <c r="I3098" s="538"/>
      <c r="J3098" s="564"/>
      <c r="N3098" s="563"/>
      <c r="O3098" s="563"/>
      <c r="P3098" s="563"/>
    </row>
    <row r="3099" spans="8:16" ht="15.75" customHeight="1">
      <c r="H3099" s="563"/>
      <c r="I3099" s="538"/>
      <c r="J3099" s="564"/>
      <c r="N3099" s="563"/>
      <c r="O3099" s="563"/>
      <c r="P3099" s="563"/>
    </row>
    <row r="3100" spans="8:16" ht="15.75" customHeight="1">
      <c r="H3100" s="563"/>
      <c r="I3100" s="538"/>
      <c r="J3100" s="564"/>
      <c r="N3100" s="563"/>
      <c r="O3100" s="563"/>
      <c r="P3100" s="563"/>
    </row>
    <row r="3101" spans="8:16" ht="15.75" customHeight="1">
      <c r="H3101" s="563"/>
      <c r="I3101" s="538"/>
      <c r="J3101" s="564"/>
      <c r="N3101" s="563"/>
      <c r="O3101" s="563"/>
      <c r="P3101" s="563"/>
    </row>
    <row r="3102" spans="8:16" ht="15.75" customHeight="1">
      <c r="H3102" s="563"/>
      <c r="I3102" s="538"/>
      <c r="J3102" s="564"/>
      <c r="N3102" s="563"/>
      <c r="O3102" s="563"/>
      <c r="P3102" s="563"/>
    </row>
    <row r="3103" spans="8:16" ht="15.75" customHeight="1">
      <c r="H3103" s="563"/>
      <c r="I3103" s="538"/>
      <c r="J3103" s="564"/>
      <c r="N3103" s="563"/>
      <c r="O3103" s="563"/>
      <c r="P3103" s="563"/>
    </row>
    <row r="3104" spans="8:16" ht="15.75" customHeight="1">
      <c r="H3104" s="563"/>
      <c r="I3104" s="538"/>
      <c r="J3104" s="564"/>
      <c r="N3104" s="563"/>
      <c r="O3104" s="563"/>
      <c r="P3104" s="563"/>
    </row>
    <row r="3105" spans="8:16" ht="15.75" customHeight="1">
      <c r="H3105" s="563"/>
      <c r="I3105" s="538"/>
      <c r="J3105" s="564"/>
      <c r="N3105" s="563"/>
      <c r="O3105" s="563"/>
      <c r="P3105" s="563"/>
    </row>
    <row r="3106" spans="8:16" ht="15.75" customHeight="1">
      <c r="H3106" s="563"/>
      <c r="I3106" s="538"/>
      <c r="J3106" s="564"/>
      <c r="N3106" s="563"/>
      <c r="O3106" s="563"/>
      <c r="P3106" s="563"/>
    </row>
    <row r="3107" spans="8:16" ht="15.75" customHeight="1">
      <c r="H3107" s="563"/>
      <c r="I3107" s="538"/>
      <c r="J3107" s="564"/>
      <c r="N3107" s="563"/>
      <c r="O3107" s="563"/>
      <c r="P3107" s="563"/>
    </row>
    <row r="3108" spans="8:16" ht="15.75" customHeight="1">
      <c r="H3108" s="563"/>
      <c r="I3108" s="538"/>
      <c r="J3108" s="564"/>
      <c r="N3108" s="563"/>
      <c r="O3108" s="563"/>
      <c r="P3108" s="563"/>
    </row>
    <row r="3109" spans="8:16" ht="15.75" customHeight="1">
      <c r="H3109" s="563"/>
      <c r="I3109" s="538"/>
      <c r="J3109" s="564"/>
      <c r="N3109" s="563"/>
      <c r="O3109" s="563"/>
      <c r="P3109" s="563"/>
    </row>
    <row r="3110" spans="8:16" ht="15.75" customHeight="1">
      <c r="H3110" s="563"/>
      <c r="I3110" s="538"/>
      <c r="J3110" s="564"/>
      <c r="N3110" s="563"/>
      <c r="O3110" s="563"/>
      <c r="P3110" s="563"/>
    </row>
    <row r="3111" spans="8:16" ht="15.75" customHeight="1">
      <c r="H3111" s="563"/>
      <c r="I3111" s="538"/>
      <c r="J3111" s="564"/>
      <c r="N3111" s="563"/>
      <c r="O3111" s="563"/>
      <c r="P3111" s="563"/>
    </row>
    <row r="3112" spans="8:16" ht="15.75" customHeight="1">
      <c r="H3112" s="563"/>
      <c r="I3112" s="538"/>
      <c r="J3112" s="564"/>
      <c r="N3112" s="563"/>
      <c r="O3112" s="563"/>
      <c r="P3112" s="563"/>
    </row>
    <row r="3113" spans="8:16" ht="15.75" customHeight="1">
      <c r="H3113" s="563"/>
      <c r="I3113" s="538"/>
      <c r="J3113" s="564"/>
      <c r="N3113" s="563"/>
      <c r="O3113" s="563"/>
      <c r="P3113" s="563"/>
    </row>
    <row r="3114" spans="8:16" ht="15.75" customHeight="1">
      <c r="H3114" s="563"/>
      <c r="I3114" s="538"/>
      <c r="J3114" s="564"/>
      <c r="N3114" s="563"/>
      <c r="O3114" s="563"/>
      <c r="P3114" s="563"/>
    </row>
    <row r="3115" spans="8:16" ht="15.75" customHeight="1">
      <c r="H3115" s="563"/>
      <c r="I3115" s="538"/>
      <c r="J3115" s="564"/>
      <c r="N3115" s="563"/>
      <c r="O3115" s="563"/>
      <c r="P3115" s="563"/>
    </row>
    <row r="3116" spans="8:16" ht="15.75" customHeight="1">
      <c r="H3116" s="563"/>
      <c r="I3116" s="538"/>
      <c r="J3116" s="564"/>
      <c r="N3116" s="563"/>
      <c r="O3116" s="563"/>
      <c r="P3116" s="563"/>
    </row>
    <row r="3117" spans="8:16" ht="15.75" customHeight="1">
      <c r="H3117" s="563"/>
      <c r="I3117" s="538"/>
      <c r="J3117" s="564"/>
      <c r="N3117" s="563"/>
      <c r="O3117" s="563"/>
      <c r="P3117" s="563"/>
    </row>
    <row r="3118" spans="8:16" ht="15.75" customHeight="1">
      <c r="H3118" s="563"/>
      <c r="I3118" s="538"/>
      <c r="J3118" s="564"/>
      <c r="N3118" s="563"/>
      <c r="O3118" s="563"/>
      <c r="P3118" s="563"/>
    </row>
    <row r="3119" spans="8:16" ht="15.75" customHeight="1">
      <c r="H3119" s="563"/>
      <c r="I3119" s="538"/>
      <c r="J3119" s="564"/>
      <c r="N3119" s="563"/>
      <c r="O3119" s="563"/>
      <c r="P3119" s="563"/>
    </row>
    <row r="3120" spans="8:16" ht="15.75" customHeight="1">
      <c r="H3120" s="563"/>
      <c r="I3120" s="538"/>
      <c r="J3120" s="564"/>
      <c r="N3120" s="563"/>
      <c r="O3120" s="563"/>
      <c r="P3120" s="563"/>
    </row>
    <row r="3121" spans="8:16" ht="15.75" customHeight="1">
      <c r="H3121" s="563"/>
      <c r="I3121" s="538"/>
      <c r="J3121" s="564"/>
      <c r="N3121" s="563"/>
      <c r="O3121" s="563"/>
      <c r="P3121" s="563"/>
    </row>
    <row r="3122" spans="8:16" ht="15.75" customHeight="1">
      <c r="H3122" s="563"/>
      <c r="I3122" s="538"/>
      <c r="J3122" s="564"/>
      <c r="N3122" s="563"/>
      <c r="O3122" s="563"/>
      <c r="P3122" s="563"/>
    </row>
    <row r="3123" spans="8:16" ht="15.75" customHeight="1">
      <c r="H3123" s="563"/>
      <c r="I3123" s="538"/>
      <c r="J3123" s="564"/>
      <c r="N3123" s="563"/>
      <c r="O3123" s="563"/>
      <c r="P3123" s="563"/>
    </row>
    <row r="3124" spans="8:16" ht="15.75" customHeight="1">
      <c r="H3124" s="563"/>
      <c r="I3124" s="538"/>
      <c r="J3124" s="564"/>
      <c r="N3124" s="563"/>
      <c r="O3124" s="563"/>
      <c r="P3124" s="563"/>
    </row>
    <row r="3125" spans="8:16" ht="15.75" customHeight="1">
      <c r="H3125" s="563"/>
      <c r="I3125" s="538"/>
      <c r="J3125" s="564"/>
      <c r="N3125" s="563"/>
      <c r="O3125" s="563"/>
      <c r="P3125" s="563"/>
    </row>
    <row r="3126" spans="8:16" ht="15.75" customHeight="1">
      <c r="H3126" s="563"/>
      <c r="I3126" s="538"/>
      <c r="J3126" s="564"/>
      <c r="N3126" s="563"/>
      <c r="O3126" s="563"/>
      <c r="P3126" s="563"/>
    </row>
    <row r="3127" spans="8:16" ht="15.75" customHeight="1">
      <c r="H3127" s="563"/>
      <c r="I3127" s="538"/>
      <c r="J3127" s="564"/>
      <c r="N3127" s="563"/>
      <c r="O3127" s="563"/>
      <c r="P3127" s="563"/>
    </row>
    <row r="3128" spans="8:16" ht="15.75" customHeight="1">
      <c r="H3128" s="563"/>
      <c r="I3128" s="538"/>
      <c r="J3128" s="564"/>
      <c r="N3128" s="563"/>
      <c r="O3128" s="563"/>
      <c r="P3128" s="563"/>
    </row>
    <row r="3129" spans="8:16" ht="15.75" customHeight="1">
      <c r="H3129" s="563"/>
      <c r="I3129" s="538"/>
      <c r="J3129" s="564"/>
      <c r="N3129" s="563"/>
      <c r="O3129" s="563"/>
      <c r="P3129" s="563"/>
    </row>
    <row r="3130" spans="8:16" ht="15.75" customHeight="1">
      <c r="H3130" s="563"/>
      <c r="I3130" s="538"/>
      <c r="J3130" s="564"/>
      <c r="N3130" s="563"/>
      <c r="O3130" s="563"/>
      <c r="P3130" s="563"/>
    </row>
    <row r="3131" spans="8:16" ht="15.75" customHeight="1">
      <c r="H3131" s="563"/>
      <c r="I3131" s="538"/>
      <c r="J3131" s="564"/>
      <c r="N3131" s="563"/>
      <c r="O3131" s="563"/>
      <c r="P3131" s="563"/>
    </row>
    <row r="3132" spans="8:16" ht="15.75" customHeight="1">
      <c r="H3132" s="563"/>
      <c r="I3132" s="538"/>
      <c r="J3132" s="564"/>
      <c r="N3132" s="563"/>
      <c r="O3132" s="563"/>
      <c r="P3132" s="563"/>
    </row>
    <row r="3133" spans="8:16" ht="15.75" customHeight="1">
      <c r="H3133" s="563"/>
      <c r="I3133" s="538"/>
      <c r="J3133" s="564"/>
      <c r="N3133" s="563"/>
      <c r="O3133" s="563"/>
      <c r="P3133" s="563"/>
    </row>
    <row r="3134" spans="8:16" ht="15.75" customHeight="1">
      <c r="H3134" s="563"/>
      <c r="I3134" s="538"/>
      <c r="J3134" s="564"/>
      <c r="N3134" s="563"/>
      <c r="O3134" s="563"/>
      <c r="P3134" s="563"/>
    </row>
    <row r="3135" spans="8:16" ht="15.75" customHeight="1">
      <c r="H3135" s="563"/>
      <c r="I3135" s="538"/>
      <c r="J3135" s="564"/>
      <c r="N3135" s="563"/>
      <c r="O3135" s="563"/>
      <c r="P3135" s="563"/>
    </row>
    <row r="3136" spans="8:16" ht="15.75" customHeight="1">
      <c r="H3136" s="563"/>
      <c r="I3136" s="538"/>
      <c r="J3136" s="564"/>
      <c r="N3136" s="563"/>
      <c r="O3136" s="563"/>
      <c r="P3136" s="563"/>
    </row>
    <row r="3137" spans="8:16" ht="15.75" customHeight="1">
      <c r="H3137" s="563"/>
      <c r="I3137" s="538"/>
      <c r="J3137" s="564"/>
      <c r="N3137" s="563"/>
      <c r="O3137" s="563"/>
      <c r="P3137" s="563"/>
    </row>
    <row r="3138" spans="8:16" ht="15.75" customHeight="1">
      <c r="H3138" s="563"/>
      <c r="I3138" s="538"/>
      <c r="J3138" s="564"/>
      <c r="N3138" s="563"/>
      <c r="O3138" s="563"/>
      <c r="P3138" s="563"/>
    </row>
    <row r="3139" spans="8:16" ht="15.75" customHeight="1">
      <c r="H3139" s="563"/>
      <c r="I3139" s="538"/>
      <c r="J3139" s="564"/>
      <c r="N3139" s="563"/>
      <c r="O3139" s="563"/>
      <c r="P3139" s="563"/>
    </row>
    <row r="3140" spans="8:16" ht="15.75" customHeight="1">
      <c r="H3140" s="563"/>
      <c r="I3140" s="538"/>
      <c r="J3140" s="564"/>
      <c r="N3140" s="563"/>
      <c r="O3140" s="563"/>
      <c r="P3140" s="563"/>
    </row>
    <row r="3141" spans="8:16" ht="15.75" customHeight="1">
      <c r="H3141" s="563"/>
      <c r="I3141" s="538"/>
      <c r="J3141" s="564"/>
      <c r="N3141" s="563"/>
      <c r="O3141" s="563"/>
      <c r="P3141" s="563"/>
    </row>
    <row r="3142" spans="8:16" ht="15.75" customHeight="1">
      <c r="H3142" s="563"/>
      <c r="I3142" s="538"/>
      <c r="J3142" s="564"/>
      <c r="N3142" s="563"/>
      <c r="O3142" s="563"/>
      <c r="P3142" s="563"/>
    </row>
    <row r="3143" spans="8:16" ht="15.75" customHeight="1">
      <c r="H3143" s="563"/>
      <c r="I3143" s="538"/>
      <c r="J3143" s="564"/>
      <c r="N3143" s="563"/>
      <c r="O3143" s="563"/>
      <c r="P3143" s="563"/>
    </row>
    <row r="3144" spans="8:16" ht="15.75" customHeight="1">
      <c r="H3144" s="563"/>
      <c r="I3144" s="538"/>
      <c r="J3144" s="564"/>
      <c r="N3144" s="563"/>
      <c r="O3144" s="563"/>
      <c r="P3144" s="563"/>
    </row>
    <row r="3145" spans="8:16" ht="15.75" customHeight="1">
      <c r="H3145" s="563"/>
      <c r="I3145" s="538"/>
      <c r="J3145" s="564"/>
      <c r="N3145" s="563"/>
      <c r="O3145" s="563"/>
      <c r="P3145" s="563"/>
    </row>
    <row r="3146" spans="8:16" ht="15.75" customHeight="1">
      <c r="H3146" s="563"/>
      <c r="I3146" s="538"/>
      <c r="J3146" s="564"/>
      <c r="N3146" s="563"/>
      <c r="O3146" s="563"/>
      <c r="P3146" s="563"/>
    </row>
    <row r="3147" spans="8:16" ht="15.75" customHeight="1">
      <c r="H3147" s="563"/>
      <c r="I3147" s="538"/>
      <c r="J3147" s="564"/>
      <c r="N3147" s="563"/>
      <c r="O3147" s="563"/>
      <c r="P3147" s="563"/>
    </row>
    <row r="3148" spans="8:16" ht="15.75" customHeight="1">
      <c r="H3148" s="563"/>
      <c r="I3148" s="538"/>
      <c r="J3148" s="564"/>
      <c r="N3148" s="563"/>
      <c r="O3148" s="563"/>
      <c r="P3148" s="563"/>
    </row>
    <row r="3149" spans="8:16" ht="15.75" customHeight="1">
      <c r="H3149" s="563"/>
      <c r="I3149" s="538"/>
      <c r="J3149" s="564"/>
      <c r="N3149" s="563"/>
      <c r="O3149" s="563"/>
      <c r="P3149" s="563"/>
    </row>
    <row r="3150" spans="8:16" ht="15.75" customHeight="1">
      <c r="H3150" s="563"/>
      <c r="I3150" s="538"/>
      <c r="J3150" s="564"/>
      <c r="N3150" s="563"/>
      <c r="O3150" s="563"/>
      <c r="P3150" s="563"/>
    </row>
    <row r="3151" spans="8:16" ht="15.75" customHeight="1">
      <c r="H3151" s="563"/>
      <c r="I3151" s="538"/>
      <c r="J3151" s="564"/>
      <c r="N3151" s="563"/>
      <c r="O3151" s="563"/>
      <c r="P3151" s="563"/>
    </row>
    <row r="3152" spans="8:16" ht="15.75" customHeight="1">
      <c r="H3152" s="563"/>
      <c r="I3152" s="538"/>
      <c r="J3152" s="564"/>
      <c r="N3152" s="563"/>
      <c r="O3152" s="563"/>
      <c r="P3152" s="563"/>
    </row>
    <row r="3153" spans="8:16" ht="15.75" customHeight="1">
      <c r="H3153" s="563"/>
      <c r="I3153" s="538"/>
      <c r="J3153" s="564"/>
      <c r="N3153" s="563"/>
      <c r="O3153" s="563"/>
      <c r="P3153" s="563"/>
    </row>
    <row r="3154" spans="8:16" ht="15.75" customHeight="1">
      <c r="H3154" s="563"/>
      <c r="I3154" s="538"/>
      <c r="J3154" s="564"/>
      <c r="N3154" s="563"/>
      <c r="O3154" s="563"/>
      <c r="P3154" s="563"/>
    </row>
    <row r="3155" spans="8:16" ht="15.75" customHeight="1">
      <c r="H3155" s="563"/>
      <c r="I3155" s="538"/>
      <c r="J3155" s="564"/>
      <c r="N3155" s="563"/>
      <c r="O3155" s="563"/>
      <c r="P3155" s="563"/>
    </row>
    <row r="3156" spans="8:16" ht="15.75" customHeight="1">
      <c r="H3156" s="563"/>
      <c r="I3156" s="538"/>
      <c r="J3156" s="564"/>
      <c r="N3156" s="563"/>
      <c r="O3156" s="563"/>
      <c r="P3156" s="563"/>
    </row>
    <row r="3157" spans="8:16" ht="15.75" customHeight="1">
      <c r="H3157" s="563"/>
      <c r="I3157" s="538"/>
      <c r="J3157" s="564"/>
      <c r="N3157" s="563"/>
      <c r="O3157" s="563"/>
      <c r="P3157" s="563"/>
    </row>
    <row r="3158" spans="8:16" ht="15.75" customHeight="1">
      <c r="H3158" s="563"/>
      <c r="I3158" s="538"/>
      <c r="J3158" s="564"/>
      <c r="N3158" s="563"/>
      <c r="O3158" s="563"/>
      <c r="P3158" s="563"/>
    </row>
    <row r="3159" spans="8:16" ht="15.75" customHeight="1">
      <c r="H3159" s="563"/>
      <c r="I3159" s="538"/>
      <c r="J3159" s="564"/>
      <c r="N3159" s="563"/>
      <c r="O3159" s="563"/>
      <c r="P3159" s="563"/>
    </row>
    <row r="3160" spans="8:16" ht="15.75" customHeight="1">
      <c r="H3160" s="563"/>
      <c r="I3160" s="538"/>
      <c r="J3160" s="564"/>
      <c r="N3160" s="563"/>
      <c r="O3160" s="563"/>
      <c r="P3160" s="563"/>
    </row>
    <row r="3161" spans="8:16" ht="15.75" customHeight="1">
      <c r="H3161" s="563"/>
      <c r="I3161" s="538"/>
      <c r="J3161" s="564"/>
      <c r="N3161" s="563"/>
      <c r="O3161" s="563"/>
      <c r="P3161" s="563"/>
    </row>
    <row r="3162" spans="8:16" ht="15.75" customHeight="1">
      <c r="H3162" s="563"/>
      <c r="I3162" s="538"/>
      <c r="J3162" s="564"/>
      <c r="N3162" s="563"/>
      <c r="O3162" s="563"/>
      <c r="P3162" s="563"/>
    </row>
    <row r="3163" spans="8:16" ht="15.75" customHeight="1">
      <c r="H3163" s="563"/>
      <c r="I3163" s="538"/>
      <c r="J3163" s="564"/>
      <c r="N3163" s="563"/>
      <c r="O3163" s="563"/>
      <c r="P3163" s="563"/>
    </row>
    <row r="3164" spans="8:16" ht="15.75" customHeight="1">
      <c r="H3164" s="563"/>
      <c r="I3164" s="538"/>
      <c r="J3164" s="564"/>
      <c r="N3164" s="563"/>
      <c r="O3164" s="563"/>
      <c r="P3164" s="563"/>
    </row>
    <row r="3165" spans="8:16" ht="15.75" customHeight="1">
      <c r="H3165" s="563"/>
      <c r="I3165" s="538"/>
      <c r="J3165" s="564"/>
      <c r="N3165" s="563"/>
      <c r="O3165" s="563"/>
      <c r="P3165" s="563"/>
    </row>
    <row r="3166" spans="8:16" ht="15.75" customHeight="1">
      <c r="H3166" s="563"/>
      <c r="I3166" s="538"/>
      <c r="J3166" s="564"/>
      <c r="N3166" s="563"/>
      <c r="O3166" s="563"/>
      <c r="P3166" s="563"/>
    </row>
    <row r="3167" spans="8:16" ht="15.75" customHeight="1">
      <c r="H3167" s="563"/>
      <c r="I3167" s="538"/>
      <c r="J3167" s="564"/>
      <c r="N3167" s="563"/>
      <c r="O3167" s="563"/>
      <c r="P3167" s="563"/>
    </row>
    <row r="3168" spans="8:16" ht="15.75" customHeight="1">
      <c r="H3168" s="563"/>
      <c r="I3168" s="538"/>
      <c r="J3168" s="564"/>
      <c r="N3168" s="563"/>
      <c r="O3168" s="563"/>
      <c r="P3168" s="563"/>
    </row>
    <row r="3169" spans="8:16" ht="15.75" customHeight="1">
      <c r="H3169" s="563"/>
      <c r="I3169" s="538"/>
      <c r="J3169" s="564"/>
      <c r="N3169" s="563"/>
      <c r="O3169" s="563"/>
      <c r="P3169" s="563"/>
    </row>
    <row r="3170" spans="8:16" ht="15.75" customHeight="1">
      <c r="H3170" s="563"/>
      <c r="I3170" s="538"/>
      <c r="J3170" s="564"/>
      <c r="N3170" s="563"/>
      <c r="O3170" s="563"/>
      <c r="P3170" s="563"/>
    </row>
    <row r="3171" spans="8:16" ht="15.75" customHeight="1">
      <c r="H3171" s="563"/>
      <c r="I3171" s="538"/>
      <c r="J3171" s="564"/>
      <c r="N3171" s="563"/>
      <c r="O3171" s="563"/>
      <c r="P3171" s="563"/>
    </row>
    <row r="3172" spans="8:16" ht="15.75" customHeight="1">
      <c r="H3172" s="563"/>
      <c r="I3172" s="538"/>
      <c r="J3172" s="564"/>
      <c r="N3172" s="563"/>
      <c r="O3172" s="563"/>
      <c r="P3172" s="563"/>
    </row>
    <row r="3173" spans="8:16" ht="15.75" customHeight="1">
      <c r="H3173" s="563"/>
      <c r="I3173" s="538"/>
      <c r="J3173" s="564"/>
      <c r="N3173" s="563"/>
      <c r="O3173" s="563"/>
      <c r="P3173" s="563"/>
    </row>
    <row r="3174" spans="8:16" ht="15.75" customHeight="1">
      <c r="H3174" s="563"/>
      <c r="I3174" s="538"/>
      <c r="J3174" s="564"/>
      <c r="N3174" s="563"/>
      <c r="O3174" s="563"/>
      <c r="P3174" s="563"/>
    </row>
    <row r="3175" spans="8:16" ht="15.75" customHeight="1">
      <c r="H3175" s="563"/>
      <c r="I3175" s="538"/>
      <c r="J3175" s="564"/>
      <c r="N3175" s="563"/>
      <c r="O3175" s="563"/>
      <c r="P3175" s="563"/>
    </row>
    <row r="3176" spans="8:16" ht="15.75" customHeight="1">
      <c r="H3176" s="563"/>
      <c r="I3176" s="538"/>
      <c r="J3176" s="564"/>
      <c r="N3176" s="563"/>
      <c r="O3176" s="563"/>
      <c r="P3176" s="563"/>
    </row>
    <row r="3177" spans="8:16" ht="15.75" customHeight="1">
      <c r="H3177" s="563"/>
      <c r="I3177" s="538"/>
      <c r="J3177" s="564"/>
      <c r="N3177" s="563"/>
      <c r="O3177" s="563"/>
      <c r="P3177" s="563"/>
    </row>
    <row r="3178" spans="8:16" ht="15.75" customHeight="1">
      <c r="H3178" s="563"/>
      <c r="I3178" s="538"/>
      <c r="J3178" s="564"/>
      <c r="N3178" s="563"/>
      <c r="O3178" s="563"/>
      <c r="P3178" s="563"/>
    </row>
    <row r="3179" spans="8:16" ht="15.75" customHeight="1">
      <c r="H3179" s="563"/>
      <c r="I3179" s="538"/>
      <c r="J3179" s="564"/>
      <c r="N3179" s="563"/>
      <c r="O3179" s="563"/>
      <c r="P3179" s="563"/>
    </row>
    <row r="3180" spans="8:16" ht="15.75" customHeight="1">
      <c r="H3180" s="563"/>
      <c r="I3180" s="538"/>
      <c r="J3180" s="564"/>
      <c r="N3180" s="563"/>
      <c r="O3180" s="563"/>
      <c r="P3180" s="563"/>
    </row>
    <row r="3181" spans="8:16" ht="15.75" customHeight="1">
      <c r="H3181" s="563"/>
      <c r="I3181" s="538"/>
      <c r="J3181" s="564"/>
      <c r="N3181" s="563"/>
      <c r="O3181" s="563"/>
      <c r="P3181" s="563"/>
    </row>
    <row r="3182" spans="8:16" ht="15.75" customHeight="1">
      <c r="H3182" s="563"/>
      <c r="I3182" s="538"/>
      <c r="J3182" s="564"/>
      <c r="N3182" s="563"/>
      <c r="O3182" s="563"/>
      <c r="P3182" s="563"/>
    </row>
    <row r="3183" spans="8:16" ht="15.75" customHeight="1">
      <c r="H3183" s="563"/>
      <c r="I3183" s="538"/>
      <c r="J3183" s="564"/>
      <c r="N3183" s="563"/>
      <c r="O3183" s="563"/>
      <c r="P3183" s="563"/>
    </row>
    <row r="3184" spans="8:16" ht="15.75" customHeight="1">
      <c r="H3184" s="563"/>
      <c r="I3184" s="538"/>
      <c r="J3184" s="564"/>
      <c r="N3184" s="563"/>
      <c r="O3184" s="563"/>
      <c r="P3184" s="563"/>
    </row>
    <row r="3185" spans="8:16" ht="15.75" customHeight="1">
      <c r="H3185" s="563"/>
      <c r="I3185" s="538"/>
      <c r="J3185" s="564"/>
      <c r="N3185" s="563"/>
      <c r="O3185" s="563"/>
      <c r="P3185" s="563"/>
    </row>
    <row r="3186" spans="8:16" ht="15.75" customHeight="1">
      <c r="H3186" s="563"/>
      <c r="I3186" s="538"/>
      <c r="J3186" s="564"/>
      <c r="N3186" s="563"/>
      <c r="O3186" s="563"/>
      <c r="P3186" s="563"/>
    </row>
    <row r="3187" spans="8:16" ht="15.75" customHeight="1">
      <c r="H3187" s="563"/>
      <c r="I3187" s="538"/>
      <c r="J3187" s="564"/>
      <c r="N3187" s="563"/>
      <c r="O3187" s="563"/>
      <c r="P3187" s="563"/>
    </row>
    <row r="3188" spans="8:16" ht="15.75" customHeight="1">
      <c r="H3188" s="563"/>
      <c r="I3188" s="538"/>
      <c r="J3188" s="564"/>
      <c r="N3188" s="563"/>
      <c r="O3188" s="563"/>
      <c r="P3188" s="563"/>
    </row>
    <row r="3189" spans="8:16" ht="15.75" customHeight="1">
      <c r="H3189" s="563"/>
      <c r="I3189" s="538"/>
      <c r="J3189" s="564"/>
      <c r="N3189" s="563"/>
      <c r="O3189" s="563"/>
      <c r="P3189" s="563"/>
    </row>
    <row r="3190" spans="8:16" ht="15.75" customHeight="1">
      <c r="H3190" s="563"/>
      <c r="I3190" s="538"/>
      <c r="J3190" s="564"/>
      <c r="N3190" s="563"/>
      <c r="O3190" s="563"/>
      <c r="P3190" s="563"/>
    </row>
    <row r="3191" spans="8:16" ht="15.75" customHeight="1">
      <c r="H3191" s="563"/>
      <c r="I3191" s="538"/>
      <c r="J3191" s="564"/>
      <c r="N3191" s="563"/>
      <c r="O3191" s="563"/>
      <c r="P3191" s="563"/>
    </row>
    <row r="3192" spans="8:16" ht="15.75" customHeight="1">
      <c r="H3192" s="563"/>
      <c r="I3192" s="538"/>
      <c r="J3192" s="564"/>
      <c r="N3192" s="563"/>
      <c r="O3192" s="563"/>
      <c r="P3192" s="563"/>
    </row>
    <row r="3193" spans="8:16" ht="15.75" customHeight="1">
      <c r="H3193" s="563"/>
      <c r="I3193" s="538"/>
      <c r="J3193" s="564"/>
      <c r="N3193" s="563"/>
      <c r="O3193" s="563"/>
      <c r="P3193" s="563"/>
    </row>
    <row r="3194" spans="8:16" ht="15.75" customHeight="1">
      <c r="H3194" s="563"/>
      <c r="I3194" s="538"/>
      <c r="J3194" s="564"/>
      <c r="N3194" s="563"/>
      <c r="O3194" s="563"/>
      <c r="P3194" s="563"/>
    </row>
    <row r="3195" spans="8:16" ht="15.75" customHeight="1">
      <c r="H3195" s="563"/>
      <c r="I3195" s="538"/>
      <c r="J3195" s="564"/>
      <c r="N3195" s="563"/>
      <c r="O3195" s="563"/>
      <c r="P3195" s="563"/>
    </row>
    <row r="3196" spans="8:16" ht="15.75" customHeight="1">
      <c r="H3196" s="563"/>
      <c r="I3196" s="538"/>
      <c r="J3196" s="564"/>
      <c r="N3196" s="563"/>
      <c r="O3196" s="563"/>
      <c r="P3196" s="563"/>
    </row>
    <row r="3197" spans="8:16" ht="15.75" customHeight="1">
      <c r="H3197" s="563"/>
      <c r="I3197" s="538"/>
      <c r="J3197" s="564"/>
      <c r="N3197" s="563"/>
      <c r="O3197" s="563"/>
      <c r="P3197" s="563"/>
    </row>
    <row r="3198" spans="8:16" ht="15.75" customHeight="1">
      <c r="H3198" s="563"/>
      <c r="I3198" s="538"/>
      <c r="J3198" s="564"/>
      <c r="N3198" s="563"/>
      <c r="O3198" s="563"/>
      <c r="P3198" s="563"/>
    </row>
    <row r="3199" spans="8:16" ht="15.75" customHeight="1">
      <c r="H3199" s="563"/>
      <c r="I3199" s="538"/>
      <c r="J3199" s="564"/>
      <c r="N3199" s="563"/>
      <c r="O3199" s="563"/>
      <c r="P3199" s="563"/>
    </row>
    <row r="3200" spans="8:16" ht="15.75" customHeight="1">
      <c r="H3200" s="563"/>
      <c r="I3200" s="538"/>
      <c r="J3200" s="564"/>
      <c r="N3200" s="563"/>
      <c r="O3200" s="563"/>
      <c r="P3200" s="563"/>
    </row>
    <row r="3201" spans="8:16" ht="15.75" customHeight="1">
      <c r="H3201" s="563"/>
      <c r="I3201" s="538"/>
      <c r="J3201" s="564"/>
      <c r="N3201" s="563"/>
      <c r="O3201" s="563"/>
      <c r="P3201" s="563"/>
    </row>
    <row r="3202" spans="8:16" ht="15.75" customHeight="1">
      <c r="H3202" s="563"/>
      <c r="I3202" s="538"/>
      <c r="J3202" s="564"/>
      <c r="N3202" s="563"/>
      <c r="O3202" s="563"/>
      <c r="P3202" s="563"/>
    </row>
    <row r="3203" spans="8:16" ht="15.75" customHeight="1">
      <c r="H3203" s="563"/>
      <c r="I3203" s="538"/>
      <c r="J3203" s="564"/>
      <c r="N3203" s="563"/>
      <c r="O3203" s="563"/>
      <c r="P3203" s="563"/>
    </row>
    <row r="3204" spans="8:16" ht="15.75" customHeight="1">
      <c r="H3204" s="563"/>
      <c r="I3204" s="538"/>
      <c r="J3204" s="564"/>
      <c r="N3204" s="563"/>
      <c r="O3204" s="563"/>
      <c r="P3204" s="563"/>
    </row>
    <row r="3205" spans="8:16" ht="15.75" customHeight="1">
      <c r="H3205" s="563"/>
      <c r="I3205" s="538"/>
      <c r="J3205" s="564"/>
      <c r="N3205" s="563"/>
      <c r="O3205" s="563"/>
      <c r="P3205" s="563"/>
    </row>
    <row r="3206" spans="8:16" ht="15.75" customHeight="1">
      <c r="H3206" s="563"/>
      <c r="I3206" s="538"/>
      <c r="J3206" s="564"/>
      <c r="N3206" s="563"/>
      <c r="O3206" s="563"/>
      <c r="P3206" s="563"/>
    </row>
    <row r="3207" spans="8:16" ht="15.75" customHeight="1">
      <c r="H3207" s="563"/>
      <c r="I3207" s="538"/>
      <c r="J3207" s="564"/>
      <c r="N3207" s="563"/>
      <c r="O3207" s="563"/>
      <c r="P3207" s="563"/>
    </row>
    <row r="3208" spans="8:16" ht="15.75" customHeight="1">
      <c r="H3208" s="563"/>
      <c r="I3208" s="538"/>
      <c r="J3208" s="564"/>
      <c r="N3208" s="563"/>
      <c r="O3208" s="563"/>
      <c r="P3208" s="563"/>
    </row>
    <row r="3209" spans="8:16" ht="15.75" customHeight="1">
      <c r="H3209" s="563"/>
      <c r="I3209" s="538"/>
      <c r="J3209" s="564"/>
      <c r="N3209" s="563"/>
      <c r="O3209" s="563"/>
      <c r="P3209" s="563"/>
    </row>
    <row r="3210" spans="8:16" ht="15.75" customHeight="1">
      <c r="H3210" s="563"/>
      <c r="I3210" s="538"/>
      <c r="J3210" s="564"/>
      <c r="N3210" s="563"/>
      <c r="O3210" s="563"/>
      <c r="P3210" s="563"/>
    </row>
    <row r="3211" spans="8:16" ht="15.75" customHeight="1">
      <c r="H3211" s="563"/>
      <c r="I3211" s="538"/>
      <c r="J3211" s="564"/>
      <c r="N3211" s="563"/>
      <c r="O3211" s="563"/>
      <c r="P3211" s="563"/>
    </row>
    <row r="3212" spans="8:16" ht="15.75" customHeight="1">
      <c r="H3212" s="563"/>
      <c r="I3212" s="538"/>
      <c r="J3212" s="564"/>
      <c r="N3212" s="563"/>
      <c r="O3212" s="563"/>
      <c r="P3212" s="563"/>
    </row>
    <row r="3213" spans="8:16" ht="15.75" customHeight="1">
      <c r="H3213" s="563"/>
      <c r="I3213" s="538"/>
      <c r="J3213" s="564"/>
      <c r="N3213" s="563"/>
      <c r="O3213" s="563"/>
      <c r="P3213" s="563"/>
    </row>
    <row r="3214" spans="8:16" ht="15.75" customHeight="1">
      <c r="H3214" s="563"/>
      <c r="I3214" s="538"/>
      <c r="J3214" s="564"/>
      <c r="N3214" s="563"/>
      <c r="O3214" s="563"/>
      <c r="P3214" s="563"/>
    </row>
    <row r="3215" spans="8:16" ht="15.75" customHeight="1">
      <c r="H3215" s="563"/>
      <c r="I3215" s="538"/>
      <c r="J3215" s="564"/>
      <c r="N3215" s="563"/>
      <c r="O3215" s="563"/>
      <c r="P3215" s="563"/>
    </row>
    <row r="3216" spans="8:16" ht="15.75" customHeight="1">
      <c r="H3216" s="563"/>
      <c r="I3216" s="538"/>
      <c r="J3216" s="564"/>
      <c r="N3216" s="563"/>
      <c r="O3216" s="563"/>
      <c r="P3216" s="563"/>
    </row>
    <row r="3217" spans="8:16" ht="15.75" customHeight="1">
      <c r="H3217" s="563"/>
      <c r="I3217" s="538"/>
      <c r="J3217" s="564"/>
      <c r="N3217" s="563"/>
      <c r="O3217" s="563"/>
      <c r="P3217" s="563"/>
    </row>
    <row r="3218" spans="8:16" ht="15.75" customHeight="1">
      <c r="H3218" s="563"/>
      <c r="I3218" s="538"/>
      <c r="J3218" s="564"/>
      <c r="N3218" s="563"/>
      <c r="O3218" s="563"/>
      <c r="P3218" s="563"/>
    </row>
    <row r="3219" spans="8:16" ht="15.75" customHeight="1">
      <c r="H3219" s="563"/>
      <c r="I3219" s="538"/>
      <c r="J3219" s="564"/>
      <c r="N3219" s="563"/>
      <c r="O3219" s="563"/>
      <c r="P3219" s="563"/>
    </row>
    <row r="3220" spans="8:16" ht="15.75" customHeight="1">
      <c r="H3220" s="563"/>
      <c r="I3220" s="538"/>
      <c r="J3220" s="564"/>
      <c r="N3220" s="563"/>
      <c r="O3220" s="563"/>
      <c r="P3220" s="563"/>
    </row>
    <row r="3221" spans="8:16" ht="15.75" customHeight="1">
      <c r="H3221" s="563"/>
      <c r="I3221" s="538"/>
      <c r="J3221" s="564"/>
      <c r="N3221" s="563"/>
      <c r="O3221" s="563"/>
      <c r="P3221" s="563"/>
    </row>
    <row r="3222" spans="8:16" ht="15.75" customHeight="1">
      <c r="H3222" s="563"/>
      <c r="I3222" s="538"/>
      <c r="J3222" s="564"/>
      <c r="N3222" s="563"/>
      <c r="O3222" s="563"/>
      <c r="P3222" s="563"/>
    </row>
    <row r="3223" spans="8:16" ht="15.75" customHeight="1">
      <c r="H3223" s="563"/>
      <c r="I3223" s="538"/>
      <c r="J3223" s="564"/>
      <c r="N3223" s="563"/>
      <c r="O3223" s="563"/>
      <c r="P3223" s="563"/>
    </row>
    <row r="3224" spans="8:16" ht="15.75" customHeight="1">
      <c r="H3224" s="563"/>
      <c r="I3224" s="538"/>
      <c r="J3224" s="564"/>
      <c r="N3224" s="563"/>
      <c r="O3224" s="563"/>
      <c r="P3224" s="563"/>
    </row>
    <row r="3225" spans="8:16" ht="15.75" customHeight="1">
      <c r="H3225" s="563"/>
      <c r="I3225" s="538"/>
      <c r="J3225" s="564"/>
      <c r="N3225" s="563"/>
      <c r="O3225" s="563"/>
      <c r="P3225" s="563"/>
    </row>
    <row r="3226" spans="8:16" ht="15.75" customHeight="1">
      <c r="H3226" s="563"/>
      <c r="I3226" s="538"/>
      <c r="J3226" s="564"/>
      <c r="N3226" s="563"/>
      <c r="O3226" s="563"/>
      <c r="P3226" s="563"/>
    </row>
    <row r="3227" spans="8:16" ht="15.75" customHeight="1">
      <c r="H3227" s="563"/>
      <c r="I3227" s="538"/>
      <c r="J3227" s="564"/>
      <c r="N3227" s="563"/>
      <c r="O3227" s="563"/>
      <c r="P3227" s="563"/>
    </row>
    <row r="3228" spans="8:16" ht="15.75" customHeight="1">
      <c r="H3228" s="563"/>
      <c r="I3228" s="538"/>
      <c r="J3228" s="564"/>
      <c r="N3228" s="563"/>
      <c r="O3228" s="563"/>
      <c r="P3228" s="563"/>
    </row>
    <row r="3229" spans="8:16" ht="15.75" customHeight="1">
      <c r="H3229" s="563"/>
      <c r="I3229" s="538"/>
      <c r="J3229" s="564"/>
      <c r="N3229" s="563"/>
      <c r="O3229" s="563"/>
      <c r="P3229" s="563"/>
    </row>
    <row r="3230" spans="8:16" ht="15.75" customHeight="1">
      <c r="H3230" s="563"/>
      <c r="I3230" s="538"/>
      <c r="J3230" s="564"/>
      <c r="N3230" s="563"/>
      <c r="O3230" s="563"/>
      <c r="P3230" s="563"/>
    </row>
    <row r="3231" spans="8:16" ht="15.75" customHeight="1">
      <c r="H3231" s="563"/>
      <c r="I3231" s="538"/>
      <c r="J3231" s="564"/>
      <c r="N3231" s="563"/>
      <c r="O3231" s="563"/>
      <c r="P3231" s="563"/>
    </row>
    <row r="3232" spans="8:16" ht="15.75" customHeight="1">
      <c r="H3232" s="563"/>
      <c r="I3232" s="538"/>
      <c r="J3232" s="564"/>
      <c r="N3232" s="563"/>
      <c r="O3232" s="563"/>
      <c r="P3232" s="563"/>
    </row>
    <row r="3233" spans="8:16" ht="15.75" customHeight="1">
      <c r="H3233" s="563"/>
      <c r="I3233" s="538"/>
      <c r="J3233" s="564"/>
      <c r="N3233" s="563"/>
      <c r="O3233" s="563"/>
      <c r="P3233" s="563"/>
    </row>
    <row r="3234" spans="8:16" ht="15.75" customHeight="1">
      <c r="H3234" s="563"/>
      <c r="I3234" s="538"/>
      <c r="J3234" s="564"/>
      <c r="N3234" s="563"/>
      <c r="O3234" s="563"/>
      <c r="P3234" s="563"/>
    </row>
    <row r="3235" spans="8:16" ht="15.75" customHeight="1">
      <c r="H3235" s="563"/>
      <c r="I3235" s="538"/>
      <c r="J3235" s="564"/>
      <c r="N3235" s="563"/>
      <c r="O3235" s="563"/>
      <c r="P3235" s="563"/>
    </row>
    <row r="3236" spans="8:16" ht="15.75" customHeight="1">
      <c r="H3236" s="563"/>
      <c r="I3236" s="538"/>
      <c r="J3236" s="564"/>
      <c r="N3236" s="563"/>
      <c r="O3236" s="563"/>
      <c r="P3236" s="563"/>
    </row>
    <row r="3237" spans="8:16" ht="15.75" customHeight="1">
      <c r="H3237" s="563"/>
      <c r="I3237" s="538"/>
      <c r="J3237" s="564"/>
      <c r="N3237" s="563"/>
      <c r="O3237" s="563"/>
      <c r="P3237" s="563"/>
    </row>
    <row r="3238" spans="8:16" ht="15.75" customHeight="1">
      <c r="H3238" s="563"/>
      <c r="I3238" s="538"/>
      <c r="J3238" s="564"/>
      <c r="N3238" s="563"/>
      <c r="O3238" s="563"/>
      <c r="P3238" s="563"/>
    </row>
    <row r="3239" spans="8:16" ht="15.75" customHeight="1">
      <c r="H3239" s="563"/>
      <c r="I3239" s="538"/>
      <c r="J3239" s="564"/>
      <c r="N3239" s="563"/>
      <c r="O3239" s="563"/>
      <c r="P3239" s="563"/>
    </row>
    <row r="3240" spans="8:16" ht="15.75" customHeight="1">
      <c r="H3240" s="563"/>
      <c r="I3240" s="538"/>
      <c r="J3240" s="564"/>
      <c r="N3240" s="563"/>
      <c r="O3240" s="563"/>
      <c r="P3240" s="563"/>
    </row>
    <row r="3241" spans="8:16" ht="15.75" customHeight="1">
      <c r="H3241" s="563"/>
      <c r="I3241" s="538"/>
      <c r="J3241" s="564"/>
      <c r="N3241" s="563"/>
      <c r="O3241" s="563"/>
      <c r="P3241" s="563"/>
    </row>
    <row r="3242" spans="8:16" ht="15.75" customHeight="1">
      <c r="H3242" s="563"/>
      <c r="I3242" s="538"/>
      <c r="J3242" s="564"/>
      <c r="N3242" s="563"/>
      <c r="O3242" s="563"/>
      <c r="P3242" s="563"/>
    </row>
    <row r="3243" spans="8:16" ht="15.75" customHeight="1">
      <c r="H3243" s="563"/>
      <c r="I3243" s="538"/>
      <c r="J3243" s="564"/>
      <c r="N3243" s="563"/>
      <c r="O3243" s="563"/>
      <c r="P3243" s="563"/>
    </row>
    <row r="3244" spans="8:16" ht="15.75" customHeight="1">
      <c r="H3244" s="563"/>
      <c r="I3244" s="538"/>
      <c r="J3244" s="564"/>
      <c r="N3244" s="563"/>
      <c r="O3244" s="563"/>
      <c r="P3244" s="563"/>
    </row>
    <row r="3245" spans="8:16" ht="15.75" customHeight="1">
      <c r="H3245" s="563"/>
      <c r="I3245" s="538"/>
      <c r="J3245" s="564"/>
      <c r="N3245" s="563"/>
      <c r="O3245" s="563"/>
      <c r="P3245" s="563"/>
    </row>
    <row r="3246" spans="8:16" ht="15.75" customHeight="1">
      <c r="H3246" s="563"/>
      <c r="I3246" s="538"/>
      <c r="J3246" s="564"/>
      <c r="N3246" s="563"/>
      <c r="O3246" s="563"/>
      <c r="P3246" s="563"/>
    </row>
    <row r="3247" spans="8:16" ht="15.75" customHeight="1">
      <c r="H3247" s="563"/>
      <c r="I3247" s="538"/>
      <c r="J3247" s="564"/>
      <c r="N3247" s="563"/>
      <c r="O3247" s="563"/>
      <c r="P3247" s="563"/>
    </row>
    <row r="3248" spans="8:16" ht="15.75" customHeight="1">
      <c r="H3248" s="563"/>
      <c r="I3248" s="538"/>
      <c r="J3248" s="564"/>
      <c r="N3248" s="563"/>
      <c r="O3248" s="563"/>
      <c r="P3248" s="563"/>
    </row>
    <row r="3249" spans="8:16" ht="15.75" customHeight="1">
      <c r="H3249" s="563"/>
      <c r="I3249" s="538"/>
      <c r="J3249" s="564"/>
      <c r="N3249" s="563"/>
      <c r="O3249" s="563"/>
      <c r="P3249" s="563"/>
    </row>
    <row r="3250" spans="8:16" ht="15.75" customHeight="1">
      <c r="H3250" s="563"/>
      <c r="I3250" s="538"/>
      <c r="J3250" s="564"/>
      <c r="N3250" s="563"/>
      <c r="O3250" s="563"/>
      <c r="P3250" s="563"/>
    </row>
    <row r="3251" spans="8:16" ht="15.75" customHeight="1">
      <c r="H3251" s="563"/>
      <c r="I3251" s="538"/>
      <c r="J3251" s="564"/>
      <c r="N3251" s="563"/>
      <c r="O3251" s="563"/>
      <c r="P3251" s="563"/>
    </row>
    <row r="3252" spans="8:16" ht="15.75" customHeight="1">
      <c r="H3252" s="563"/>
      <c r="I3252" s="538"/>
      <c r="J3252" s="564"/>
      <c r="N3252" s="563"/>
      <c r="O3252" s="563"/>
      <c r="P3252" s="563"/>
    </row>
    <row r="3253" spans="8:16" ht="15.75" customHeight="1">
      <c r="H3253" s="563"/>
      <c r="I3253" s="538"/>
      <c r="J3253" s="564"/>
      <c r="N3253" s="563"/>
      <c r="O3253" s="563"/>
      <c r="P3253" s="563"/>
    </row>
    <row r="3254" spans="8:16" ht="15.75" customHeight="1">
      <c r="H3254" s="563"/>
      <c r="I3254" s="538"/>
      <c r="J3254" s="564"/>
      <c r="N3254" s="563"/>
      <c r="O3254" s="563"/>
      <c r="P3254" s="563"/>
    </row>
    <row r="3255" spans="8:16" ht="15.75" customHeight="1">
      <c r="H3255" s="563"/>
      <c r="I3255" s="538"/>
      <c r="J3255" s="564"/>
      <c r="N3255" s="563"/>
      <c r="O3255" s="563"/>
      <c r="P3255" s="563"/>
    </row>
    <row r="3256" spans="8:16" ht="15.75" customHeight="1">
      <c r="H3256" s="563"/>
      <c r="I3256" s="538"/>
      <c r="J3256" s="564"/>
      <c r="N3256" s="563"/>
      <c r="O3256" s="563"/>
      <c r="P3256" s="563"/>
    </row>
    <row r="3257" spans="8:16" ht="15.75" customHeight="1">
      <c r="H3257" s="563"/>
      <c r="I3257" s="538"/>
      <c r="J3257" s="564"/>
      <c r="N3257" s="563"/>
      <c r="O3257" s="563"/>
      <c r="P3257" s="563"/>
    </row>
    <row r="3258" spans="8:16" ht="15.75" customHeight="1">
      <c r="H3258" s="563"/>
      <c r="I3258" s="538"/>
      <c r="J3258" s="564"/>
      <c r="N3258" s="563"/>
      <c r="O3258" s="563"/>
      <c r="P3258" s="563"/>
    </row>
    <row r="3259" spans="8:16" ht="15.75" customHeight="1">
      <c r="H3259" s="563"/>
      <c r="I3259" s="538"/>
      <c r="J3259" s="564"/>
      <c r="N3259" s="563"/>
      <c r="O3259" s="563"/>
      <c r="P3259" s="563"/>
    </row>
    <row r="3260" spans="8:16" ht="15.75" customHeight="1">
      <c r="H3260" s="563"/>
      <c r="I3260" s="538"/>
      <c r="J3260" s="564"/>
      <c r="N3260" s="563"/>
      <c r="O3260" s="563"/>
      <c r="P3260" s="563"/>
    </row>
    <row r="3261" spans="8:16" ht="15.75" customHeight="1">
      <c r="H3261" s="563"/>
      <c r="I3261" s="538"/>
      <c r="J3261" s="564"/>
      <c r="N3261" s="563"/>
      <c r="O3261" s="563"/>
      <c r="P3261" s="563"/>
    </row>
    <row r="3262" spans="8:16" ht="15.75" customHeight="1">
      <c r="H3262" s="563"/>
      <c r="I3262" s="538"/>
      <c r="J3262" s="564"/>
      <c r="N3262" s="563"/>
      <c r="O3262" s="563"/>
      <c r="P3262" s="563"/>
    </row>
    <row r="3263" spans="8:16" ht="15.75" customHeight="1">
      <c r="H3263" s="563"/>
      <c r="I3263" s="538"/>
      <c r="J3263" s="564"/>
      <c r="N3263" s="563"/>
      <c r="O3263" s="563"/>
      <c r="P3263" s="563"/>
    </row>
    <row r="3264" spans="8:16" ht="15.75" customHeight="1">
      <c r="H3264" s="563"/>
      <c r="I3264" s="538"/>
      <c r="J3264" s="564"/>
      <c r="N3264" s="563"/>
      <c r="O3264" s="563"/>
      <c r="P3264" s="563"/>
    </row>
    <row r="3265" spans="8:16" ht="15.75" customHeight="1">
      <c r="H3265" s="563"/>
      <c r="I3265" s="538"/>
      <c r="J3265" s="564"/>
      <c r="N3265" s="563"/>
      <c r="O3265" s="563"/>
      <c r="P3265" s="563"/>
    </row>
    <row r="3266" spans="8:16" ht="15.75" customHeight="1">
      <c r="H3266" s="563"/>
      <c r="I3266" s="538"/>
      <c r="J3266" s="564"/>
      <c r="N3266" s="563"/>
      <c r="O3266" s="563"/>
      <c r="P3266" s="563"/>
    </row>
    <row r="3267" spans="8:16" ht="15.75" customHeight="1">
      <c r="H3267" s="563"/>
      <c r="I3267" s="538"/>
      <c r="J3267" s="564"/>
      <c r="N3267" s="563"/>
      <c r="O3267" s="563"/>
      <c r="P3267" s="563"/>
    </row>
    <row r="3268" spans="8:16" ht="15.75" customHeight="1">
      <c r="H3268" s="563"/>
      <c r="I3268" s="538"/>
      <c r="J3268" s="564"/>
      <c r="N3268" s="563"/>
      <c r="O3268" s="563"/>
      <c r="P3268" s="563"/>
    </row>
    <row r="3269" spans="8:16" ht="15.75" customHeight="1">
      <c r="H3269" s="563"/>
      <c r="I3269" s="538"/>
      <c r="J3269" s="564"/>
      <c r="N3269" s="563"/>
      <c r="O3269" s="563"/>
      <c r="P3269" s="563"/>
    </row>
    <row r="3270" spans="8:16" ht="15.75" customHeight="1">
      <c r="H3270" s="563"/>
      <c r="I3270" s="538"/>
      <c r="J3270" s="564"/>
      <c r="N3270" s="563"/>
      <c r="O3270" s="563"/>
      <c r="P3270" s="563"/>
    </row>
    <row r="3271" spans="8:16" ht="15.75" customHeight="1">
      <c r="H3271" s="563"/>
      <c r="I3271" s="538"/>
      <c r="J3271" s="564"/>
      <c r="N3271" s="563"/>
      <c r="O3271" s="563"/>
      <c r="P3271" s="563"/>
    </row>
    <row r="3272" spans="8:16" ht="15.75" customHeight="1">
      <c r="H3272" s="563"/>
      <c r="I3272" s="538"/>
      <c r="J3272" s="564"/>
      <c r="N3272" s="563"/>
      <c r="O3272" s="563"/>
      <c r="P3272" s="563"/>
    </row>
    <row r="3273" spans="8:16" ht="15.75" customHeight="1">
      <c r="H3273" s="563"/>
      <c r="I3273" s="538"/>
      <c r="J3273" s="564"/>
      <c r="N3273" s="563"/>
      <c r="O3273" s="563"/>
      <c r="P3273" s="563"/>
    </row>
    <row r="3274" spans="8:16" ht="15.75" customHeight="1">
      <c r="H3274" s="563"/>
      <c r="I3274" s="538"/>
      <c r="J3274" s="564"/>
      <c r="N3274" s="563"/>
      <c r="O3274" s="563"/>
      <c r="P3274" s="563"/>
    </row>
    <row r="3275" spans="8:16" ht="15.75" customHeight="1">
      <c r="H3275" s="563"/>
      <c r="I3275" s="538"/>
      <c r="J3275" s="564"/>
      <c r="N3275" s="563"/>
      <c r="O3275" s="563"/>
      <c r="P3275" s="563"/>
    </row>
    <row r="3276" spans="8:16" ht="15.75" customHeight="1">
      <c r="H3276" s="563"/>
      <c r="I3276" s="538"/>
      <c r="J3276" s="564"/>
      <c r="N3276" s="563"/>
      <c r="O3276" s="563"/>
      <c r="P3276" s="563"/>
    </row>
    <row r="3277" spans="8:16" ht="15.75" customHeight="1">
      <c r="H3277" s="563"/>
      <c r="I3277" s="538"/>
      <c r="J3277" s="564"/>
      <c r="N3277" s="563"/>
      <c r="O3277" s="563"/>
      <c r="P3277" s="563"/>
    </row>
    <row r="3278" spans="8:16" ht="15.75" customHeight="1">
      <c r="H3278" s="563"/>
      <c r="I3278" s="538"/>
      <c r="J3278" s="564"/>
      <c r="N3278" s="563"/>
      <c r="O3278" s="563"/>
      <c r="P3278" s="563"/>
    </row>
    <row r="3279" spans="8:16" ht="15.75" customHeight="1">
      <c r="H3279" s="563"/>
      <c r="I3279" s="538"/>
      <c r="J3279" s="564"/>
      <c r="N3279" s="563"/>
      <c r="O3279" s="563"/>
      <c r="P3279" s="563"/>
    </row>
    <row r="3280" spans="8:16" ht="15.75" customHeight="1">
      <c r="H3280" s="563"/>
      <c r="I3280" s="538"/>
      <c r="J3280" s="564"/>
      <c r="N3280" s="563"/>
      <c r="O3280" s="563"/>
      <c r="P3280" s="563"/>
    </row>
    <row r="3281" spans="8:16" ht="15.75" customHeight="1">
      <c r="H3281" s="563"/>
      <c r="I3281" s="538"/>
      <c r="J3281" s="564"/>
      <c r="N3281" s="563"/>
      <c r="O3281" s="563"/>
      <c r="P3281" s="563"/>
    </row>
    <row r="3282" spans="8:16" ht="15.75" customHeight="1">
      <c r="H3282" s="563"/>
      <c r="I3282" s="538"/>
      <c r="J3282" s="564"/>
      <c r="N3282" s="563"/>
      <c r="O3282" s="563"/>
      <c r="P3282" s="563"/>
    </row>
    <row r="3283" spans="8:16" ht="15.75" customHeight="1">
      <c r="H3283" s="563"/>
      <c r="I3283" s="538"/>
      <c r="J3283" s="564"/>
      <c r="N3283" s="563"/>
      <c r="O3283" s="563"/>
      <c r="P3283" s="563"/>
    </row>
    <row r="3284" spans="8:16" ht="15.75" customHeight="1">
      <c r="H3284" s="563"/>
      <c r="I3284" s="538"/>
      <c r="J3284" s="564"/>
      <c r="N3284" s="563"/>
      <c r="O3284" s="563"/>
      <c r="P3284" s="563"/>
    </row>
    <row r="3285" spans="8:16" ht="15.75" customHeight="1">
      <c r="H3285" s="563"/>
      <c r="I3285" s="538"/>
      <c r="J3285" s="564"/>
      <c r="N3285" s="563"/>
      <c r="O3285" s="563"/>
      <c r="P3285" s="563"/>
    </row>
    <row r="3286" spans="8:16" ht="15.75" customHeight="1">
      <c r="H3286" s="563"/>
      <c r="I3286" s="538"/>
      <c r="J3286" s="564"/>
      <c r="N3286" s="563"/>
      <c r="O3286" s="563"/>
      <c r="P3286" s="563"/>
    </row>
    <row r="3287" spans="8:16" ht="15.75" customHeight="1">
      <c r="H3287" s="563"/>
      <c r="I3287" s="538"/>
      <c r="J3287" s="564"/>
      <c r="N3287" s="563"/>
      <c r="O3287" s="563"/>
      <c r="P3287" s="563"/>
    </row>
    <row r="3288" spans="8:16" ht="15.75" customHeight="1">
      <c r="H3288" s="563"/>
      <c r="I3288" s="538"/>
      <c r="J3288" s="564"/>
      <c r="N3288" s="563"/>
      <c r="O3288" s="563"/>
      <c r="P3288" s="563"/>
    </row>
    <row r="3289" spans="8:16" ht="15.75" customHeight="1">
      <c r="H3289" s="563"/>
      <c r="I3289" s="538"/>
      <c r="J3289" s="564"/>
      <c r="N3289" s="563"/>
      <c r="O3289" s="563"/>
      <c r="P3289" s="563"/>
    </row>
    <row r="3290" spans="8:16" ht="15.75" customHeight="1">
      <c r="H3290" s="563"/>
      <c r="I3290" s="538"/>
      <c r="J3290" s="564"/>
      <c r="N3290" s="563"/>
      <c r="O3290" s="563"/>
      <c r="P3290" s="563"/>
    </row>
    <row r="3291" spans="8:16" ht="15.75" customHeight="1">
      <c r="H3291" s="563"/>
      <c r="I3291" s="538"/>
      <c r="J3291" s="564"/>
      <c r="N3291" s="563"/>
      <c r="O3291" s="563"/>
      <c r="P3291" s="563"/>
    </row>
    <row r="3292" spans="8:16" ht="15.75" customHeight="1">
      <c r="H3292" s="563"/>
      <c r="I3292" s="538"/>
      <c r="J3292" s="564"/>
      <c r="N3292" s="563"/>
      <c r="O3292" s="563"/>
      <c r="P3292" s="563"/>
    </row>
    <row r="3293" spans="8:16" ht="15.75" customHeight="1">
      <c r="H3293" s="563"/>
      <c r="I3293" s="538"/>
      <c r="J3293" s="564"/>
      <c r="N3293" s="563"/>
      <c r="O3293" s="563"/>
      <c r="P3293" s="563"/>
    </row>
    <row r="3294" spans="8:16" ht="15.75" customHeight="1">
      <c r="H3294" s="563"/>
      <c r="I3294" s="538"/>
      <c r="J3294" s="564"/>
      <c r="N3294" s="563"/>
      <c r="O3294" s="563"/>
      <c r="P3294" s="563"/>
    </row>
    <row r="3295" spans="8:16" ht="15.75" customHeight="1">
      <c r="H3295" s="563"/>
      <c r="I3295" s="538"/>
      <c r="J3295" s="564"/>
      <c r="N3295" s="563"/>
      <c r="O3295" s="563"/>
      <c r="P3295" s="563"/>
    </row>
    <row r="3296" spans="8:16" ht="15.75" customHeight="1">
      <c r="H3296" s="563"/>
      <c r="I3296" s="538"/>
      <c r="J3296" s="564"/>
      <c r="N3296" s="563"/>
      <c r="O3296" s="563"/>
      <c r="P3296" s="563"/>
    </row>
    <row r="3297" spans="8:16" ht="15.75" customHeight="1">
      <c r="H3297" s="563"/>
      <c r="I3297" s="538"/>
      <c r="J3297" s="564"/>
      <c r="N3297" s="563"/>
      <c r="O3297" s="563"/>
      <c r="P3297" s="563"/>
    </row>
    <row r="3298" spans="8:16" ht="15.75" customHeight="1">
      <c r="H3298" s="563"/>
      <c r="I3298" s="538"/>
      <c r="J3298" s="564"/>
      <c r="N3298" s="563"/>
      <c r="O3298" s="563"/>
      <c r="P3298" s="563"/>
    </row>
    <row r="3299" spans="8:16" ht="15.75" customHeight="1">
      <c r="H3299" s="563"/>
      <c r="I3299" s="538"/>
      <c r="J3299" s="564"/>
      <c r="N3299" s="563"/>
      <c r="O3299" s="563"/>
      <c r="P3299" s="563"/>
    </row>
    <row r="3300" spans="8:16" ht="15.75" customHeight="1">
      <c r="H3300" s="563"/>
      <c r="I3300" s="538"/>
      <c r="J3300" s="564"/>
      <c r="N3300" s="563"/>
      <c r="O3300" s="563"/>
      <c r="P3300" s="563"/>
    </row>
    <row r="3301" spans="8:16" ht="15.75" customHeight="1">
      <c r="H3301" s="563"/>
      <c r="I3301" s="538"/>
      <c r="J3301" s="564"/>
      <c r="N3301" s="563"/>
      <c r="O3301" s="563"/>
      <c r="P3301" s="563"/>
    </row>
    <row r="3302" spans="8:16" ht="15.75" customHeight="1">
      <c r="H3302" s="563"/>
      <c r="I3302" s="538"/>
      <c r="J3302" s="564"/>
      <c r="N3302" s="563"/>
      <c r="O3302" s="563"/>
      <c r="P3302" s="563"/>
    </row>
    <row r="3303" spans="8:16" ht="15.75" customHeight="1">
      <c r="H3303" s="563"/>
      <c r="I3303" s="538"/>
      <c r="J3303" s="564"/>
      <c r="N3303" s="563"/>
      <c r="O3303" s="563"/>
      <c r="P3303" s="563"/>
    </row>
    <row r="3304" spans="8:16" ht="15.75" customHeight="1">
      <c r="H3304" s="563"/>
      <c r="I3304" s="538"/>
      <c r="J3304" s="564"/>
      <c r="N3304" s="563"/>
      <c r="O3304" s="563"/>
      <c r="P3304" s="563"/>
    </row>
    <row r="3305" spans="8:16" ht="15.75" customHeight="1">
      <c r="H3305" s="563"/>
      <c r="I3305" s="538"/>
      <c r="J3305" s="564"/>
      <c r="N3305" s="563"/>
      <c r="O3305" s="563"/>
      <c r="P3305" s="563"/>
    </row>
    <row r="3306" spans="8:16" ht="15.75" customHeight="1">
      <c r="H3306" s="563"/>
      <c r="I3306" s="538"/>
      <c r="J3306" s="564"/>
      <c r="N3306" s="563"/>
      <c r="O3306" s="563"/>
      <c r="P3306" s="563"/>
    </row>
    <row r="3307" spans="8:16" ht="15.75" customHeight="1">
      <c r="H3307" s="563"/>
      <c r="I3307" s="538"/>
      <c r="J3307" s="564"/>
      <c r="N3307" s="563"/>
      <c r="O3307" s="563"/>
      <c r="P3307" s="563"/>
    </row>
    <row r="3308" spans="8:16" ht="15.75" customHeight="1">
      <c r="H3308" s="563"/>
      <c r="I3308" s="538"/>
      <c r="J3308" s="564"/>
      <c r="N3308" s="563"/>
      <c r="O3308" s="563"/>
      <c r="P3308" s="563"/>
    </row>
    <row r="3309" spans="8:16" ht="15.75" customHeight="1">
      <c r="H3309" s="563"/>
      <c r="I3309" s="538"/>
      <c r="J3309" s="564"/>
      <c r="N3309" s="563"/>
      <c r="O3309" s="563"/>
      <c r="P3309" s="563"/>
    </row>
    <row r="3310" spans="8:16" ht="15.75" customHeight="1">
      <c r="H3310" s="563"/>
      <c r="I3310" s="538"/>
      <c r="J3310" s="564"/>
      <c r="N3310" s="563"/>
      <c r="O3310" s="563"/>
      <c r="P3310" s="563"/>
    </row>
    <row r="3311" spans="8:16" ht="15.75" customHeight="1">
      <c r="H3311" s="563"/>
      <c r="I3311" s="538"/>
      <c r="J3311" s="564"/>
      <c r="N3311" s="563"/>
      <c r="O3311" s="563"/>
      <c r="P3311" s="563"/>
    </row>
    <row r="3312" spans="8:16" ht="15.75" customHeight="1">
      <c r="H3312" s="563"/>
      <c r="I3312" s="538"/>
      <c r="J3312" s="564"/>
      <c r="N3312" s="563"/>
      <c r="O3312" s="563"/>
      <c r="P3312" s="563"/>
    </row>
    <row r="3313" spans="8:16" ht="15.75" customHeight="1">
      <c r="H3313" s="563"/>
      <c r="I3313" s="538"/>
      <c r="J3313" s="564"/>
      <c r="N3313" s="563"/>
      <c r="O3313" s="563"/>
      <c r="P3313" s="563"/>
    </row>
    <row r="3314" spans="8:16" ht="15.75" customHeight="1">
      <c r="H3314" s="563"/>
      <c r="I3314" s="538"/>
      <c r="J3314" s="564"/>
      <c r="N3314" s="563"/>
      <c r="O3314" s="563"/>
      <c r="P3314" s="563"/>
    </row>
    <row r="3315" spans="8:16" ht="15.75" customHeight="1">
      <c r="H3315" s="563"/>
      <c r="I3315" s="538"/>
      <c r="J3315" s="564"/>
      <c r="N3315" s="563"/>
      <c r="O3315" s="563"/>
      <c r="P3315" s="563"/>
    </row>
    <row r="3316" spans="8:16" ht="15.75" customHeight="1">
      <c r="H3316" s="563"/>
      <c r="I3316" s="538"/>
      <c r="J3316" s="564"/>
      <c r="N3316" s="563"/>
      <c r="O3316" s="563"/>
      <c r="P3316" s="563"/>
    </row>
    <row r="3317" spans="8:16" ht="15.75" customHeight="1">
      <c r="H3317" s="563"/>
      <c r="I3317" s="538"/>
      <c r="J3317" s="564"/>
      <c r="N3317" s="563"/>
      <c r="O3317" s="563"/>
      <c r="P3317" s="563"/>
    </row>
    <row r="3318" spans="8:16" ht="15.75" customHeight="1">
      <c r="H3318" s="563"/>
      <c r="I3318" s="538"/>
      <c r="J3318" s="564"/>
      <c r="N3318" s="563"/>
      <c r="O3318" s="563"/>
      <c r="P3318" s="563"/>
    </row>
    <row r="3319" spans="8:16" ht="15.75" customHeight="1">
      <c r="H3319" s="563"/>
      <c r="I3319" s="538"/>
      <c r="J3319" s="564"/>
      <c r="N3319" s="563"/>
      <c r="O3319" s="563"/>
      <c r="P3319" s="563"/>
    </row>
    <row r="3320" spans="8:16" ht="15.75" customHeight="1">
      <c r="H3320" s="563"/>
      <c r="I3320" s="538"/>
      <c r="J3320" s="564"/>
      <c r="N3320" s="563"/>
      <c r="O3320" s="563"/>
      <c r="P3320" s="563"/>
    </row>
    <row r="3321" spans="8:16" ht="15.75" customHeight="1">
      <c r="H3321" s="563"/>
      <c r="I3321" s="538"/>
      <c r="J3321" s="564"/>
      <c r="N3321" s="563"/>
      <c r="O3321" s="563"/>
      <c r="P3321" s="563"/>
    </row>
    <row r="3322" spans="8:16" ht="15.75" customHeight="1">
      <c r="H3322" s="563"/>
      <c r="I3322" s="538"/>
      <c r="J3322" s="564"/>
      <c r="N3322" s="563"/>
      <c r="O3322" s="563"/>
      <c r="P3322" s="563"/>
    </row>
    <row r="3323" spans="8:16" ht="15.75" customHeight="1">
      <c r="H3323" s="563"/>
      <c r="I3323" s="538"/>
      <c r="J3323" s="564"/>
      <c r="N3323" s="563"/>
      <c r="O3323" s="563"/>
      <c r="P3323" s="563"/>
    </row>
    <row r="3324" spans="8:16" ht="15.75" customHeight="1">
      <c r="H3324" s="563"/>
      <c r="I3324" s="538"/>
      <c r="J3324" s="564"/>
      <c r="N3324" s="563"/>
      <c r="O3324" s="563"/>
      <c r="P3324" s="563"/>
    </row>
    <row r="3325" spans="8:16" ht="15.75" customHeight="1">
      <c r="H3325" s="563"/>
      <c r="I3325" s="538"/>
      <c r="J3325" s="564"/>
      <c r="N3325" s="563"/>
      <c r="O3325" s="563"/>
      <c r="P3325" s="563"/>
    </row>
    <row r="3326" spans="8:16" ht="15.75" customHeight="1">
      <c r="H3326" s="563"/>
      <c r="I3326" s="538"/>
      <c r="J3326" s="564"/>
      <c r="N3326" s="563"/>
      <c r="O3326" s="563"/>
      <c r="P3326" s="563"/>
    </row>
    <row r="3327" spans="8:16" ht="15.75" customHeight="1">
      <c r="H3327" s="563"/>
      <c r="I3327" s="538"/>
      <c r="J3327" s="564"/>
      <c r="N3327" s="563"/>
      <c r="O3327" s="563"/>
      <c r="P3327" s="563"/>
    </row>
    <row r="3328" spans="8:16" ht="15.75" customHeight="1">
      <c r="H3328" s="563"/>
      <c r="I3328" s="538"/>
      <c r="J3328" s="564"/>
      <c r="N3328" s="563"/>
      <c r="O3328" s="563"/>
      <c r="P3328" s="563"/>
    </row>
    <row r="3329" spans="8:16" ht="15.75" customHeight="1">
      <c r="H3329" s="563"/>
      <c r="I3329" s="538"/>
      <c r="J3329" s="564"/>
      <c r="N3329" s="563"/>
      <c r="O3329" s="563"/>
      <c r="P3329" s="563"/>
    </row>
    <row r="3330" spans="8:16" ht="15.75" customHeight="1">
      <c r="H3330" s="563"/>
      <c r="I3330" s="538"/>
      <c r="J3330" s="564"/>
      <c r="N3330" s="563"/>
      <c r="O3330" s="563"/>
      <c r="P3330" s="563"/>
    </row>
    <row r="3331" spans="8:16" ht="15.75" customHeight="1">
      <c r="H3331" s="563"/>
      <c r="I3331" s="538"/>
      <c r="J3331" s="564"/>
      <c r="N3331" s="563"/>
      <c r="O3331" s="563"/>
      <c r="P3331" s="563"/>
    </row>
    <row r="3332" spans="8:16" ht="15.75" customHeight="1">
      <c r="H3332" s="563"/>
      <c r="I3332" s="538"/>
      <c r="J3332" s="564"/>
      <c r="N3332" s="563"/>
      <c r="O3332" s="563"/>
      <c r="P3332" s="563"/>
    </row>
    <row r="3333" spans="8:16" ht="15.75" customHeight="1">
      <c r="H3333" s="563"/>
      <c r="I3333" s="538"/>
      <c r="J3333" s="564"/>
      <c r="N3333" s="563"/>
      <c r="O3333" s="563"/>
      <c r="P3333" s="563"/>
    </row>
    <row r="3334" spans="8:16" ht="15.75" customHeight="1">
      <c r="H3334" s="563"/>
      <c r="I3334" s="538"/>
      <c r="J3334" s="564"/>
      <c r="N3334" s="563"/>
      <c r="O3334" s="563"/>
      <c r="P3334" s="563"/>
    </row>
    <row r="3335" spans="8:16" ht="15.75" customHeight="1">
      <c r="H3335" s="563"/>
      <c r="I3335" s="538"/>
      <c r="J3335" s="564"/>
      <c r="N3335" s="563"/>
      <c r="O3335" s="563"/>
      <c r="P3335" s="563"/>
    </row>
    <row r="3336" spans="8:16" ht="15.75" customHeight="1">
      <c r="H3336" s="563"/>
      <c r="I3336" s="538"/>
      <c r="J3336" s="564"/>
      <c r="N3336" s="563"/>
      <c r="O3336" s="563"/>
      <c r="P3336" s="563"/>
    </row>
    <row r="3337" spans="8:16" ht="15.75" customHeight="1">
      <c r="H3337" s="563"/>
      <c r="I3337" s="538"/>
      <c r="J3337" s="564"/>
      <c r="N3337" s="563"/>
      <c r="O3337" s="563"/>
      <c r="P3337" s="563"/>
    </row>
    <row r="3338" spans="8:16" ht="15.75" customHeight="1">
      <c r="H3338" s="563"/>
      <c r="I3338" s="538"/>
      <c r="J3338" s="564"/>
      <c r="N3338" s="563"/>
      <c r="O3338" s="563"/>
      <c r="P3338" s="563"/>
    </row>
    <row r="3339" spans="8:16" ht="15.75" customHeight="1">
      <c r="H3339" s="563"/>
      <c r="I3339" s="538"/>
      <c r="J3339" s="564"/>
      <c r="N3339" s="563"/>
      <c r="O3339" s="563"/>
      <c r="P3339" s="563"/>
    </row>
    <row r="3340" spans="8:16" ht="15.75" customHeight="1">
      <c r="H3340" s="563"/>
      <c r="I3340" s="538"/>
      <c r="J3340" s="564"/>
      <c r="N3340" s="563"/>
      <c r="O3340" s="563"/>
      <c r="P3340" s="563"/>
    </row>
    <row r="3341" spans="8:16" ht="15.75" customHeight="1">
      <c r="H3341" s="563"/>
      <c r="I3341" s="538"/>
      <c r="J3341" s="564"/>
      <c r="N3341" s="563"/>
      <c r="O3341" s="563"/>
      <c r="P3341" s="563"/>
    </row>
    <row r="3342" spans="8:16" ht="15.75" customHeight="1">
      <c r="H3342" s="563"/>
      <c r="I3342" s="538"/>
      <c r="J3342" s="564"/>
      <c r="N3342" s="563"/>
      <c r="O3342" s="563"/>
      <c r="P3342" s="563"/>
    </row>
    <row r="3343" spans="8:16" ht="15.75" customHeight="1">
      <c r="H3343" s="563"/>
      <c r="I3343" s="538"/>
      <c r="J3343" s="564"/>
      <c r="N3343" s="563"/>
      <c r="O3343" s="563"/>
      <c r="P3343" s="563"/>
    </row>
    <row r="3344" spans="8:16" ht="15.75" customHeight="1">
      <c r="H3344" s="563"/>
      <c r="I3344" s="538"/>
      <c r="J3344" s="564"/>
      <c r="N3344" s="563"/>
      <c r="O3344" s="563"/>
      <c r="P3344" s="563"/>
    </row>
    <row r="3345" spans="8:16" ht="15.75" customHeight="1">
      <c r="H3345" s="563"/>
      <c r="I3345" s="538"/>
      <c r="J3345" s="564"/>
      <c r="N3345" s="563"/>
      <c r="O3345" s="563"/>
      <c r="P3345" s="563"/>
    </row>
    <row r="3346" spans="8:16" ht="15.75" customHeight="1">
      <c r="H3346" s="563"/>
      <c r="I3346" s="538"/>
      <c r="J3346" s="564"/>
      <c r="N3346" s="563"/>
      <c r="O3346" s="563"/>
      <c r="P3346" s="563"/>
    </row>
    <row r="3347" spans="8:16" ht="15.75" customHeight="1">
      <c r="H3347" s="563"/>
      <c r="I3347" s="538"/>
      <c r="J3347" s="564"/>
      <c r="N3347" s="563"/>
      <c r="O3347" s="563"/>
      <c r="P3347" s="563"/>
    </row>
    <row r="3348" spans="8:16" ht="15.75" customHeight="1">
      <c r="H3348" s="563"/>
      <c r="I3348" s="538"/>
      <c r="J3348" s="564"/>
      <c r="N3348" s="563"/>
      <c r="O3348" s="563"/>
      <c r="P3348" s="563"/>
    </row>
    <row r="3349" spans="8:16" ht="15.75" customHeight="1">
      <c r="H3349" s="563"/>
      <c r="I3349" s="538"/>
      <c r="J3349" s="564"/>
      <c r="N3349" s="563"/>
      <c r="O3349" s="563"/>
      <c r="P3349" s="563"/>
    </row>
    <row r="3350" spans="8:16" ht="15.75" customHeight="1">
      <c r="H3350" s="563"/>
      <c r="I3350" s="538"/>
      <c r="J3350" s="564"/>
      <c r="N3350" s="563"/>
      <c r="O3350" s="563"/>
      <c r="P3350" s="563"/>
    </row>
    <row r="3351" spans="8:16" ht="15.75" customHeight="1">
      <c r="H3351" s="563"/>
      <c r="I3351" s="538"/>
      <c r="J3351" s="564"/>
      <c r="N3351" s="563"/>
      <c r="O3351" s="563"/>
      <c r="P3351" s="563"/>
    </row>
    <row r="3352" spans="8:16" ht="15.75" customHeight="1">
      <c r="H3352" s="563"/>
      <c r="I3352" s="538"/>
      <c r="J3352" s="564"/>
      <c r="N3352" s="563"/>
      <c r="O3352" s="563"/>
      <c r="P3352" s="563"/>
    </row>
    <row r="3353" spans="8:16" ht="15.75" customHeight="1">
      <c r="H3353" s="563"/>
      <c r="I3353" s="538"/>
      <c r="J3353" s="564"/>
      <c r="N3353" s="563"/>
      <c r="O3353" s="563"/>
      <c r="P3353" s="563"/>
    </row>
    <row r="3354" spans="8:16" ht="15.75" customHeight="1">
      <c r="H3354" s="563"/>
      <c r="I3354" s="538"/>
      <c r="J3354" s="564"/>
      <c r="N3354" s="563"/>
      <c r="O3354" s="563"/>
      <c r="P3354" s="563"/>
    </row>
    <row r="3355" spans="8:16" ht="15.75" customHeight="1">
      <c r="H3355" s="563"/>
      <c r="I3355" s="538"/>
      <c r="J3355" s="564"/>
      <c r="N3355" s="563"/>
      <c r="O3355" s="563"/>
      <c r="P3355" s="563"/>
    </row>
    <row r="3356" spans="8:16" ht="15.75" customHeight="1">
      <c r="H3356" s="563"/>
      <c r="I3356" s="538"/>
      <c r="J3356" s="564"/>
      <c r="N3356" s="563"/>
      <c r="O3356" s="563"/>
      <c r="P3356" s="563"/>
    </row>
    <row r="3357" spans="8:16" ht="15.75" customHeight="1">
      <c r="H3357" s="563"/>
      <c r="I3357" s="538"/>
      <c r="J3357" s="564"/>
      <c r="N3357" s="563"/>
      <c r="O3357" s="563"/>
      <c r="P3357" s="563"/>
    </row>
    <row r="3358" spans="8:16" ht="15.75" customHeight="1">
      <c r="H3358" s="563"/>
      <c r="I3358" s="538"/>
      <c r="J3358" s="564"/>
      <c r="N3358" s="563"/>
      <c r="O3358" s="563"/>
      <c r="P3358" s="563"/>
    </row>
    <row r="3359" spans="8:16" ht="15.75" customHeight="1">
      <c r="H3359" s="563"/>
      <c r="I3359" s="538"/>
      <c r="J3359" s="564"/>
      <c r="N3359" s="563"/>
      <c r="O3359" s="563"/>
      <c r="P3359" s="563"/>
    </row>
    <row r="3360" spans="8:16" ht="15.75" customHeight="1">
      <c r="H3360" s="563"/>
      <c r="I3360" s="538"/>
      <c r="J3360" s="564"/>
      <c r="N3360" s="563"/>
      <c r="O3360" s="563"/>
      <c r="P3360" s="563"/>
    </row>
    <row r="3361" spans="8:16" ht="15.75" customHeight="1">
      <c r="H3361" s="563"/>
      <c r="I3361" s="538"/>
      <c r="J3361" s="564"/>
      <c r="N3361" s="563"/>
      <c r="O3361" s="563"/>
      <c r="P3361" s="563"/>
    </row>
    <row r="3362" spans="8:16" ht="15.75" customHeight="1">
      <c r="H3362" s="563"/>
      <c r="I3362" s="538"/>
      <c r="J3362" s="564"/>
      <c r="N3362" s="563"/>
      <c r="O3362" s="563"/>
      <c r="P3362" s="563"/>
    </row>
    <row r="3363" spans="8:16" ht="15.75" customHeight="1">
      <c r="H3363" s="563"/>
      <c r="I3363" s="538"/>
      <c r="J3363" s="564"/>
      <c r="N3363" s="563"/>
      <c r="O3363" s="563"/>
      <c r="P3363" s="563"/>
    </row>
    <row r="3364" spans="8:16" ht="15.75" customHeight="1">
      <c r="H3364" s="563"/>
      <c r="I3364" s="538"/>
      <c r="J3364" s="564"/>
      <c r="N3364" s="563"/>
      <c r="O3364" s="563"/>
      <c r="P3364" s="563"/>
    </row>
    <row r="3365" spans="8:16" ht="15.75" customHeight="1">
      <c r="H3365" s="563"/>
      <c r="I3365" s="538"/>
      <c r="J3365" s="564"/>
      <c r="N3365" s="563"/>
      <c r="O3365" s="563"/>
      <c r="P3365" s="563"/>
    </row>
    <row r="3366" spans="8:16" ht="15.75" customHeight="1">
      <c r="H3366" s="563"/>
      <c r="I3366" s="538"/>
      <c r="J3366" s="564"/>
      <c r="N3366" s="563"/>
      <c r="O3366" s="563"/>
      <c r="P3366" s="563"/>
    </row>
    <row r="3367" spans="8:16" ht="15.75" customHeight="1">
      <c r="H3367" s="563"/>
      <c r="I3367" s="538"/>
      <c r="J3367" s="564"/>
      <c r="N3367" s="563"/>
      <c r="O3367" s="563"/>
      <c r="P3367" s="563"/>
    </row>
    <row r="3368" spans="8:16" ht="15.75" customHeight="1">
      <c r="H3368" s="563"/>
      <c r="I3368" s="538"/>
      <c r="J3368" s="564"/>
      <c r="N3368" s="563"/>
      <c r="O3368" s="563"/>
      <c r="P3368" s="563"/>
    </row>
    <row r="3369" spans="8:16" ht="15.75" customHeight="1">
      <c r="H3369" s="563"/>
      <c r="I3369" s="538"/>
      <c r="J3369" s="564"/>
      <c r="N3369" s="563"/>
      <c r="O3369" s="563"/>
      <c r="P3369" s="563"/>
    </row>
    <row r="3370" spans="8:16" ht="15.75" customHeight="1">
      <c r="H3370" s="563"/>
      <c r="I3370" s="538"/>
      <c r="J3370" s="564"/>
      <c r="N3370" s="563"/>
      <c r="O3370" s="563"/>
      <c r="P3370" s="563"/>
    </row>
    <row r="3371" spans="8:16" ht="15.75" customHeight="1">
      <c r="H3371" s="563"/>
      <c r="I3371" s="538"/>
      <c r="J3371" s="564"/>
      <c r="N3371" s="563"/>
      <c r="O3371" s="563"/>
      <c r="P3371" s="563"/>
    </row>
    <row r="3372" spans="8:16" ht="15.75" customHeight="1">
      <c r="H3372" s="563"/>
      <c r="I3372" s="538"/>
      <c r="J3372" s="564"/>
      <c r="N3372" s="563"/>
      <c r="O3372" s="563"/>
      <c r="P3372" s="563"/>
    </row>
    <row r="3373" spans="8:16" ht="15.75" customHeight="1">
      <c r="H3373" s="563"/>
      <c r="I3373" s="538"/>
      <c r="J3373" s="564"/>
      <c r="N3373" s="563"/>
      <c r="O3373" s="563"/>
      <c r="P3373" s="563"/>
    </row>
    <row r="3374" spans="8:16" ht="15.75" customHeight="1">
      <c r="H3374" s="563"/>
      <c r="I3374" s="538"/>
      <c r="J3374" s="564"/>
      <c r="N3374" s="563"/>
      <c r="O3374" s="563"/>
      <c r="P3374" s="563"/>
    </row>
    <row r="3375" spans="8:16" ht="15.75" customHeight="1">
      <c r="H3375" s="563"/>
      <c r="I3375" s="538"/>
      <c r="J3375" s="564"/>
      <c r="N3375" s="563"/>
      <c r="O3375" s="563"/>
      <c r="P3375" s="563"/>
    </row>
    <row r="3376" spans="8:16" ht="15.75" customHeight="1">
      <c r="H3376" s="563"/>
      <c r="I3376" s="538"/>
      <c r="J3376" s="564"/>
      <c r="N3376" s="563"/>
      <c r="O3376" s="563"/>
      <c r="P3376" s="563"/>
    </row>
    <row r="3377" spans="8:16" ht="15.75" customHeight="1">
      <c r="H3377" s="563"/>
      <c r="I3377" s="538"/>
      <c r="J3377" s="564"/>
      <c r="N3377" s="563"/>
      <c r="O3377" s="563"/>
      <c r="P3377" s="563"/>
    </row>
    <row r="3378" spans="8:16" ht="15.75" customHeight="1">
      <c r="H3378" s="563"/>
      <c r="I3378" s="538"/>
      <c r="J3378" s="564"/>
      <c r="N3378" s="563"/>
      <c r="O3378" s="563"/>
      <c r="P3378" s="563"/>
    </row>
    <row r="3379" spans="8:16" ht="15.75" customHeight="1">
      <c r="H3379" s="563"/>
      <c r="I3379" s="538"/>
      <c r="J3379" s="564"/>
      <c r="N3379" s="563"/>
      <c r="O3379" s="563"/>
      <c r="P3379" s="563"/>
    </row>
    <row r="3380" spans="8:16" ht="15.75" customHeight="1">
      <c r="H3380" s="563"/>
      <c r="I3380" s="538"/>
      <c r="J3380" s="564"/>
      <c r="N3380" s="563"/>
      <c r="O3380" s="563"/>
      <c r="P3380" s="563"/>
    </row>
    <row r="3381" spans="8:16" ht="15.75" customHeight="1">
      <c r="H3381" s="563"/>
      <c r="I3381" s="538"/>
      <c r="J3381" s="564"/>
      <c r="N3381" s="563"/>
      <c r="O3381" s="563"/>
      <c r="P3381" s="563"/>
    </row>
    <row r="3382" spans="8:16" ht="15.75" customHeight="1">
      <c r="H3382" s="563"/>
      <c r="I3382" s="538"/>
      <c r="J3382" s="564"/>
      <c r="N3382" s="563"/>
      <c r="O3382" s="563"/>
      <c r="P3382" s="563"/>
    </row>
    <row r="3383" spans="8:16" ht="15.75" customHeight="1">
      <c r="H3383" s="563"/>
      <c r="I3383" s="538"/>
      <c r="J3383" s="564"/>
      <c r="N3383" s="563"/>
      <c r="O3383" s="563"/>
      <c r="P3383" s="563"/>
    </row>
    <row r="3384" spans="8:16" ht="15.75" customHeight="1">
      <c r="H3384" s="563"/>
      <c r="I3384" s="538"/>
      <c r="J3384" s="564"/>
      <c r="N3384" s="563"/>
      <c r="O3384" s="563"/>
      <c r="P3384" s="563"/>
    </row>
    <row r="3385" spans="8:16" ht="15.75" customHeight="1">
      <c r="H3385" s="563"/>
      <c r="I3385" s="538"/>
      <c r="J3385" s="564"/>
      <c r="N3385" s="563"/>
      <c r="O3385" s="563"/>
      <c r="P3385" s="563"/>
    </row>
    <row r="3386" spans="8:16" ht="15.75" customHeight="1">
      <c r="H3386" s="563"/>
      <c r="I3386" s="538"/>
      <c r="J3386" s="564"/>
      <c r="N3386" s="563"/>
      <c r="O3386" s="563"/>
      <c r="P3386" s="563"/>
    </row>
    <row r="3387" spans="8:16" ht="15.75" customHeight="1">
      <c r="H3387" s="563"/>
      <c r="I3387" s="538"/>
      <c r="J3387" s="564"/>
      <c r="N3387" s="563"/>
      <c r="O3387" s="563"/>
      <c r="P3387" s="563"/>
    </row>
    <row r="3388" spans="8:16" ht="15.75" customHeight="1">
      <c r="H3388" s="563"/>
      <c r="I3388" s="538"/>
      <c r="J3388" s="564"/>
      <c r="N3388" s="563"/>
      <c r="O3388" s="563"/>
      <c r="P3388" s="563"/>
    </row>
    <row r="3389" spans="8:16" ht="15.75" customHeight="1">
      <c r="H3389" s="563"/>
      <c r="I3389" s="538"/>
      <c r="J3389" s="564"/>
      <c r="N3389" s="563"/>
      <c r="O3389" s="563"/>
      <c r="P3389" s="563"/>
    </row>
    <row r="3390" spans="8:16" ht="15.75" customHeight="1">
      <c r="H3390" s="563"/>
      <c r="I3390" s="538"/>
      <c r="J3390" s="564"/>
      <c r="N3390" s="563"/>
      <c r="O3390" s="563"/>
      <c r="P3390" s="563"/>
    </row>
    <row r="3391" spans="8:16" ht="15.75" customHeight="1">
      <c r="H3391" s="563"/>
      <c r="I3391" s="538"/>
      <c r="J3391" s="564"/>
      <c r="N3391" s="563"/>
      <c r="O3391" s="563"/>
      <c r="P3391" s="563"/>
    </row>
    <row r="3392" spans="8:16" ht="15.75" customHeight="1">
      <c r="H3392" s="563"/>
      <c r="I3392" s="538"/>
      <c r="J3392" s="564"/>
      <c r="N3392" s="563"/>
      <c r="O3392" s="563"/>
      <c r="P3392" s="563"/>
    </row>
    <row r="3393" spans="8:16" ht="15.75" customHeight="1">
      <c r="H3393" s="563"/>
      <c r="I3393" s="538"/>
      <c r="J3393" s="564"/>
      <c r="N3393" s="563"/>
      <c r="O3393" s="563"/>
      <c r="P3393" s="563"/>
    </row>
    <row r="3394" spans="8:16" ht="15.75" customHeight="1">
      <c r="H3394" s="563"/>
      <c r="I3394" s="538"/>
      <c r="J3394" s="564"/>
      <c r="N3394" s="563"/>
      <c r="O3394" s="563"/>
      <c r="P3394" s="563"/>
    </row>
    <row r="3395" spans="8:16" ht="15.75" customHeight="1">
      <c r="H3395" s="563"/>
      <c r="I3395" s="538"/>
      <c r="J3395" s="564"/>
      <c r="N3395" s="563"/>
      <c r="O3395" s="563"/>
      <c r="P3395" s="563"/>
    </row>
    <row r="3396" spans="8:16" ht="15.75" customHeight="1">
      <c r="H3396" s="563"/>
      <c r="I3396" s="538"/>
      <c r="J3396" s="564"/>
      <c r="N3396" s="563"/>
      <c r="O3396" s="563"/>
      <c r="P3396" s="563"/>
    </row>
    <row r="3397" spans="8:16" ht="15.75" customHeight="1">
      <c r="H3397" s="563"/>
      <c r="I3397" s="538"/>
      <c r="J3397" s="564"/>
      <c r="N3397" s="563"/>
      <c r="O3397" s="563"/>
      <c r="P3397" s="563"/>
    </row>
    <row r="3398" spans="8:16" ht="15.75" customHeight="1">
      <c r="H3398" s="563"/>
      <c r="I3398" s="538"/>
      <c r="J3398" s="564"/>
      <c r="N3398" s="563"/>
      <c r="O3398" s="563"/>
      <c r="P3398" s="563"/>
    </row>
    <row r="3399" spans="8:16" ht="15.75" customHeight="1">
      <c r="H3399" s="563"/>
      <c r="I3399" s="538"/>
      <c r="J3399" s="564"/>
      <c r="N3399" s="563"/>
      <c r="O3399" s="563"/>
      <c r="P3399" s="563"/>
    </row>
    <row r="3400" spans="8:16" ht="15.75" customHeight="1">
      <c r="H3400" s="563"/>
      <c r="I3400" s="538"/>
      <c r="J3400" s="564"/>
      <c r="N3400" s="563"/>
      <c r="O3400" s="563"/>
      <c r="P3400" s="563"/>
    </row>
    <row r="3401" spans="8:16" ht="15.75" customHeight="1">
      <c r="H3401" s="563"/>
      <c r="I3401" s="538"/>
      <c r="J3401" s="564"/>
      <c r="N3401" s="563"/>
      <c r="O3401" s="563"/>
      <c r="P3401" s="563"/>
    </row>
    <row r="3402" spans="8:16" ht="15.75" customHeight="1">
      <c r="H3402" s="563"/>
      <c r="I3402" s="538"/>
      <c r="J3402" s="564"/>
      <c r="N3402" s="563"/>
      <c r="O3402" s="563"/>
      <c r="P3402" s="563"/>
    </row>
    <row r="3403" spans="8:16" ht="15.75" customHeight="1">
      <c r="H3403" s="563"/>
      <c r="I3403" s="538"/>
      <c r="J3403" s="564"/>
      <c r="N3403" s="563"/>
      <c r="O3403" s="563"/>
      <c r="P3403" s="563"/>
    </row>
    <row r="3404" spans="8:16" ht="15.75" customHeight="1">
      <c r="H3404" s="563"/>
      <c r="I3404" s="538"/>
      <c r="J3404" s="564"/>
      <c r="N3404" s="563"/>
      <c r="O3404" s="563"/>
      <c r="P3404" s="563"/>
    </row>
    <row r="3405" spans="8:16" ht="15.75" customHeight="1">
      <c r="H3405" s="563"/>
      <c r="I3405" s="538"/>
      <c r="J3405" s="564"/>
      <c r="N3405" s="563"/>
      <c r="O3405" s="563"/>
      <c r="P3405" s="563"/>
    </row>
    <row r="3406" spans="8:16" ht="15.75" customHeight="1">
      <c r="H3406" s="563"/>
      <c r="I3406" s="538"/>
      <c r="J3406" s="564"/>
      <c r="N3406" s="563"/>
      <c r="O3406" s="563"/>
      <c r="P3406" s="563"/>
    </row>
    <row r="3407" spans="8:16" ht="15.75" customHeight="1">
      <c r="H3407" s="563"/>
      <c r="I3407" s="538"/>
      <c r="J3407" s="564"/>
      <c r="N3407" s="563"/>
      <c r="O3407" s="563"/>
      <c r="P3407" s="563"/>
    </row>
    <row r="3408" spans="8:16" ht="15.75" customHeight="1">
      <c r="H3408" s="563"/>
      <c r="I3408" s="538"/>
      <c r="J3408" s="564"/>
      <c r="N3408" s="563"/>
      <c r="O3408" s="563"/>
      <c r="P3408" s="563"/>
    </row>
    <row r="3409" spans="8:16" ht="15.75" customHeight="1">
      <c r="H3409" s="563"/>
      <c r="I3409" s="538"/>
      <c r="J3409" s="564"/>
      <c r="N3409" s="563"/>
      <c r="O3409" s="563"/>
      <c r="P3409" s="563"/>
    </row>
    <row r="3410" spans="8:16" ht="15.75" customHeight="1">
      <c r="H3410" s="563"/>
      <c r="I3410" s="538"/>
      <c r="J3410" s="564"/>
      <c r="N3410" s="563"/>
      <c r="O3410" s="563"/>
      <c r="P3410" s="563"/>
    </row>
    <row r="3411" spans="8:16" ht="15.75" customHeight="1">
      <c r="H3411" s="563"/>
      <c r="I3411" s="538"/>
      <c r="J3411" s="564"/>
      <c r="N3411" s="563"/>
      <c r="O3411" s="563"/>
      <c r="P3411" s="563"/>
    </row>
    <row r="3412" spans="8:16" ht="15.75" customHeight="1">
      <c r="H3412" s="563"/>
      <c r="I3412" s="538"/>
      <c r="J3412" s="564"/>
      <c r="N3412" s="563"/>
      <c r="O3412" s="563"/>
      <c r="P3412" s="563"/>
    </row>
    <row r="3413" spans="8:16" ht="15.75" customHeight="1">
      <c r="H3413" s="563"/>
      <c r="I3413" s="538"/>
      <c r="J3413" s="564"/>
      <c r="N3413" s="563"/>
      <c r="O3413" s="563"/>
      <c r="P3413" s="563"/>
    </row>
    <row r="3414" spans="8:16" ht="15.75" customHeight="1">
      <c r="H3414" s="563"/>
      <c r="I3414" s="538"/>
      <c r="J3414" s="564"/>
      <c r="N3414" s="563"/>
      <c r="O3414" s="563"/>
      <c r="P3414" s="563"/>
    </row>
    <row r="3415" spans="8:16" ht="15.75" customHeight="1">
      <c r="H3415" s="563"/>
      <c r="I3415" s="538"/>
      <c r="J3415" s="564"/>
      <c r="N3415" s="563"/>
      <c r="O3415" s="563"/>
      <c r="P3415" s="563"/>
    </row>
    <row r="3416" spans="8:16" ht="15.75" customHeight="1">
      <c r="H3416" s="563"/>
      <c r="I3416" s="538"/>
      <c r="J3416" s="564"/>
      <c r="N3416" s="563"/>
      <c r="O3416" s="563"/>
      <c r="P3416" s="563"/>
    </row>
    <row r="3417" spans="8:16" ht="15.75" customHeight="1">
      <c r="H3417" s="563"/>
      <c r="I3417" s="538"/>
      <c r="J3417" s="564"/>
      <c r="N3417" s="563"/>
      <c r="O3417" s="563"/>
      <c r="P3417" s="563"/>
    </row>
    <row r="3418" spans="8:16" ht="15.75" customHeight="1">
      <c r="H3418" s="563"/>
      <c r="I3418" s="538"/>
      <c r="J3418" s="564"/>
      <c r="N3418" s="563"/>
      <c r="O3418" s="563"/>
      <c r="P3418" s="563"/>
    </row>
    <row r="3419" spans="8:16" ht="15.75" customHeight="1">
      <c r="H3419" s="563"/>
      <c r="I3419" s="538"/>
      <c r="J3419" s="564"/>
      <c r="N3419" s="563"/>
      <c r="O3419" s="563"/>
      <c r="P3419" s="563"/>
    </row>
    <row r="3420" spans="8:16" ht="15.75" customHeight="1">
      <c r="H3420" s="563"/>
      <c r="I3420" s="538"/>
      <c r="J3420" s="564"/>
      <c r="N3420" s="563"/>
      <c r="O3420" s="563"/>
      <c r="P3420" s="563"/>
    </row>
    <row r="3421" spans="8:16" ht="15.75" customHeight="1">
      <c r="H3421" s="563"/>
      <c r="I3421" s="538"/>
      <c r="J3421" s="564"/>
      <c r="N3421" s="563"/>
      <c r="O3421" s="563"/>
      <c r="P3421" s="563"/>
    </row>
    <row r="3422" spans="8:16" ht="15.75" customHeight="1">
      <c r="H3422" s="563"/>
      <c r="I3422" s="538"/>
      <c r="J3422" s="564"/>
      <c r="N3422" s="563"/>
      <c r="O3422" s="563"/>
      <c r="P3422" s="563"/>
    </row>
    <row r="3423" spans="8:16" ht="15.75" customHeight="1">
      <c r="H3423" s="563"/>
      <c r="I3423" s="538"/>
      <c r="J3423" s="564"/>
      <c r="N3423" s="563"/>
      <c r="O3423" s="563"/>
      <c r="P3423" s="563"/>
    </row>
    <row r="3424" spans="8:16" ht="15.75" customHeight="1">
      <c r="H3424" s="563"/>
      <c r="I3424" s="538"/>
      <c r="J3424" s="564"/>
      <c r="N3424" s="563"/>
      <c r="O3424" s="563"/>
      <c r="P3424" s="563"/>
    </row>
    <row r="3425" spans="8:16" ht="15.75" customHeight="1">
      <c r="H3425" s="563"/>
      <c r="I3425" s="538"/>
      <c r="J3425" s="564"/>
      <c r="N3425" s="563"/>
      <c r="O3425" s="563"/>
      <c r="P3425" s="563"/>
    </row>
    <row r="3426" spans="8:16" ht="15.75" customHeight="1">
      <c r="H3426" s="563"/>
      <c r="I3426" s="538"/>
      <c r="J3426" s="564"/>
      <c r="N3426" s="563"/>
      <c r="O3426" s="563"/>
      <c r="P3426" s="563"/>
    </row>
    <row r="3427" spans="8:16" ht="15.75" customHeight="1">
      <c r="H3427" s="563"/>
      <c r="I3427" s="538"/>
      <c r="J3427" s="564"/>
      <c r="N3427" s="563"/>
      <c r="O3427" s="563"/>
      <c r="P3427" s="563"/>
    </row>
    <row r="3428" spans="8:16" ht="15.75" customHeight="1">
      <c r="H3428" s="563"/>
      <c r="I3428" s="538"/>
      <c r="J3428" s="564"/>
      <c r="N3428" s="563"/>
      <c r="O3428" s="563"/>
      <c r="P3428" s="563"/>
    </row>
    <row r="3429" spans="8:16" ht="15.75" customHeight="1">
      <c r="H3429" s="563"/>
      <c r="I3429" s="538"/>
      <c r="J3429" s="564"/>
      <c r="P3429" s="563"/>
    </row>
    <row r="3430" spans="8:16" ht="15.75" customHeight="1">
      <c r="H3430" s="563"/>
      <c r="I3430" s="538"/>
      <c r="J3430" s="564"/>
      <c r="P3430" s="563"/>
    </row>
    <row r="3431" spans="8:16" ht="15.75" customHeight="1">
      <c r="H3431" s="563"/>
      <c r="I3431" s="538"/>
      <c r="J3431" s="564"/>
      <c r="P3431" s="563"/>
    </row>
    <row r="3432" spans="8:16" ht="15.75" customHeight="1">
      <c r="H3432" s="563"/>
      <c r="I3432" s="538"/>
      <c r="J3432" s="564"/>
      <c r="P3432" s="563"/>
    </row>
    <row r="3433" spans="8:16" ht="15.75" customHeight="1">
      <c r="H3433" s="563"/>
      <c r="I3433" s="538"/>
      <c r="J3433" s="564"/>
      <c r="P3433" s="563"/>
    </row>
    <row r="3434" spans="8:16" ht="15.75" customHeight="1">
      <c r="H3434" s="563"/>
      <c r="I3434" s="538"/>
      <c r="J3434" s="564"/>
      <c r="P3434" s="563"/>
    </row>
    <row r="3435" spans="8:16" ht="15.75" customHeight="1">
      <c r="H3435" s="563"/>
      <c r="I3435" s="538"/>
      <c r="J3435" s="564"/>
      <c r="P3435" s="563"/>
    </row>
    <row r="3436" spans="8:16" ht="15.75" customHeight="1">
      <c r="H3436" s="563"/>
      <c r="I3436" s="538"/>
      <c r="J3436" s="564"/>
      <c r="P3436" s="563"/>
    </row>
    <row r="3437" spans="8:16" ht="15.75" customHeight="1">
      <c r="H3437" s="563"/>
      <c r="I3437" s="538"/>
      <c r="J3437" s="564"/>
      <c r="P3437" s="563"/>
    </row>
    <row r="3438" spans="8:16" ht="15.75" customHeight="1">
      <c r="H3438" s="563"/>
      <c r="I3438" s="538"/>
      <c r="J3438" s="564"/>
      <c r="P3438" s="563"/>
    </row>
    <row r="3439" spans="8:16" ht="15.75" customHeight="1">
      <c r="H3439" s="563"/>
      <c r="I3439" s="538"/>
      <c r="J3439" s="564"/>
      <c r="P3439" s="563"/>
    </row>
    <row r="3440" spans="8:16" ht="15.75" customHeight="1">
      <c r="H3440" s="563"/>
      <c r="I3440" s="538"/>
      <c r="J3440" s="564"/>
      <c r="P3440" s="563"/>
    </row>
    <row r="3441" spans="8:16" ht="15.75" customHeight="1">
      <c r="H3441" s="563"/>
      <c r="I3441" s="538"/>
      <c r="J3441" s="564"/>
      <c r="P3441" s="563"/>
    </row>
    <row r="3442" spans="8:16" ht="15.75" customHeight="1">
      <c r="H3442" s="563"/>
      <c r="I3442" s="538"/>
      <c r="J3442" s="564"/>
    </row>
    <row r="3443" spans="8:16" ht="15.75" customHeight="1">
      <c r="H3443" s="563"/>
      <c r="I3443" s="538"/>
      <c r="J3443" s="564"/>
    </row>
    <row r="3444" spans="8:16" ht="15.75" customHeight="1">
      <c r="H3444" s="563"/>
      <c r="I3444" s="538"/>
      <c r="J3444" s="564"/>
    </row>
    <row r="3445" spans="8:16" ht="15.75" customHeight="1">
      <c r="H3445" s="563"/>
      <c r="I3445" s="538"/>
      <c r="J3445" s="564"/>
    </row>
    <row r="3446" spans="8:16" ht="15.75" customHeight="1">
      <c r="H3446" s="563"/>
      <c r="I3446" s="538"/>
      <c r="J3446" s="564"/>
    </row>
    <row r="3447" spans="8:16" ht="15.75" customHeight="1">
      <c r="H3447" s="563"/>
      <c r="I3447" s="538"/>
      <c r="J3447" s="564"/>
    </row>
    <row r="3448" spans="8:16" ht="15.75" customHeight="1">
      <c r="H3448" s="563"/>
      <c r="I3448" s="538"/>
      <c r="J3448" s="564"/>
    </row>
    <row r="3449" spans="8:16" ht="15.75" customHeight="1">
      <c r="H3449" s="563"/>
      <c r="I3449" s="538"/>
      <c r="J3449" s="564"/>
    </row>
    <row r="3450" spans="8:16" ht="15.75" customHeight="1">
      <c r="H3450" s="563"/>
      <c r="I3450" s="538"/>
      <c r="J3450" s="564"/>
    </row>
    <row r="3451" spans="8:16" ht="15.75" customHeight="1">
      <c r="H3451" s="563"/>
      <c r="I3451" s="538"/>
      <c r="J3451" s="564"/>
    </row>
    <row r="3452" spans="8:16" ht="15.75" customHeight="1">
      <c r="H3452" s="563"/>
      <c r="I3452" s="538"/>
      <c r="J3452" s="564"/>
    </row>
    <row r="3453" spans="8:16" ht="15.75" customHeight="1">
      <c r="H3453" s="563"/>
      <c r="I3453" s="538"/>
      <c r="J3453" s="564"/>
    </row>
    <row r="3454" spans="8:16" ht="15.75" customHeight="1">
      <c r="H3454" s="563"/>
      <c r="I3454" s="538"/>
      <c r="J3454" s="564"/>
    </row>
    <row r="3455" spans="8:16" ht="15.75" customHeight="1">
      <c r="H3455" s="563"/>
      <c r="I3455" s="538"/>
      <c r="J3455" s="564"/>
    </row>
    <row r="3456" spans="8:16" ht="15.75" customHeight="1">
      <c r="H3456" s="563"/>
      <c r="I3456" s="538"/>
      <c r="J3456" s="564"/>
    </row>
    <row r="3457" spans="8:10" ht="15.75" customHeight="1">
      <c r="H3457" s="563"/>
      <c r="I3457" s="538"/>
      <c r="J3457" s="564"/>
    </row>
    <row r="3458" spans="8:10" ht="15.75" customHeight="1">
      <c r="H3458" s="563"/>
      <c r="I3458" s="538"/>
      <c r="J3458" s="564"/>
    </row>
    <row r="3459" spans="8:10" ht="15.75" customHeight="1">
      <c r="H3459" s="563"/>
      <c r="I3459" s="538"/>
      <c r="J3459" s="564"/>
    </row>
    <row r="3460" spans="8:10" ht="15.75" customHeight="1">
      <c r="H3460" s="563"/>
      <c r="I3460" s="538"/>
      <c r="J3460" s="564"/>
    </row>
    <row r="3461" spans="8:10" ht="15.75" customHeight="1">
      <c r="H3461" s="563"/>
      <c r="I3461" s="538"/>
      <c r="J3461" s="564"/>
    </row>
    <row r="3462" spans="8:10" ht="15.75" customHeight="1">
      <c r="H3462" s="563"/>
      <c r="I3462" s="538"/>
      <c r="J3462" s="564"/>
    </row>
    <row r="3463" spans="8:10" ht="15.75" customHeight="1">
      <c r="H3463" s="563"/>
      <c r="I3463" s="538"/>
      <c r="J3463" s="564"/>
    </row>
    <row r="3464" spans="8:10" ht="15.75" customHeight="1">
      <c r="H3464" s="563"/>
      <c r="I3464" s="538"/>
      <c r="J3464" s="564"/>
    </row>
    <row r="3465" spans="8:10" ht="15.75" customHeight="1">
      <c r="H3465" s="563"/>
      <c r="I3465" s="538"/>
      <c r="J3465" s="564"/>
    </row>
    <row r="3466" spans="8:10" ht="15.75" customHeight="1">
      <c r="H3466" s="563"/>
      <c r="I3466" s="538"/>
      <c r="J3466" s="564"/>
    </row>
    <row r="3467" spans="8:10" ht="15.75" customHeight="1">
      <c r="H3467" s="563"/>
      <c r="I3467" s="538"/>
      <c r="J3467" s="564"/>
    </row>
    <row r="3468" spans="8:10" ht="15.75" customHeight="1">
      <c r="H3468" s="563"/>
      <c r="I3468" s="538"/>
      <c r="J3468" s="564"/>
    </row>
    <row r="3469" spans="8:10" ht="15.75" customHeight="1">
      <c r="H3469" s="563"/>
      <c r="I3469" s="538"/>
      <c r="J3469" s="564"/>
    </row>
    <row r="3470" spans="8:10" ht="15.75" customHeight="1">
      <c r="H3470" s="563"/>
      <c r="I3470" s="538"/>
      <c r="J3470" s="564"/>
    </row>
    <row r="3471" spans="8:10" ht="15.75" customHeight="1">
      <c r="H3471" s="563"/>
      <c r="I3471" s="538"/>
      <c r="J3471" s="564"/>
    </row>
    <row r="3472" spans="8:10" ht="15.75" customHeight="1">
      <c r="H3472" s="563"/>
      <c r="I3472" s="538"/>
      <c r="J3472" s="564"/>
    </row>
    <row r="3473" spans="8:10" ht="15.75" customHeight="1">
      <c r="H3473" s="563"/>
      <c r="I3473" s="538"/>
      <c r="J3473" s="564"/>
    </row>
    <row r="3474" spans="8:10" ht="15.75" customHeight="1">
      <c r="H3474" s="563"/>
      <c r="I3474" s="538"/>
      <c r="J3474" s="564"/>
    </row>
    <row r="3475" spans="8:10" ht="15.75" customHeight="1">
      <c r="H3475" s="563"/>
      <c r="I3475" s="538"/>
      <c r="J3475" s="564"/>
    </row>
    <row r="3476" spans="8:10" ht="15.75" customHeight="1">
      <c r="H3476" s="563"/>
      <c r="I3476" s="538"/>
      <c r="J3476" s="564"/>
    </row>
    <row r="3477" spans="8:10" ht="15.75" customHeight="1">
      <c r="H3477" s="563"/>
      <c r="I3477" s="538"/>
      <c r="J3477" s="564"/>
    </row>
    <row r="3478" spans="8:10" ht="15.75" customHeight="1">
      <c r="H3478" s="563"/>
      <c r="I3478" s="538"/>
      <c r="J3478" s="564"/>
    </row>
    <row r="3479" spans="8:10" ht="15.75" customHeight="1">
      <c r="H3479" s="563"/>
      <c r="I3479" s="538"/>
      <c r="J3479" s="564"/>
    </row>
    <row r="3480" spans="8:10" ht="15.75" customHeight="1">
      <c r="H3480" s="563"/>
      <c r="I3480" s="538"/>
      <c r="J3480" s="564"/>
    </row>
    <row r="3481" spans="8:10" ht="15.75" customHeight="1">
      <c r="H3481" s="563"/>
      <c r="I3481" s="538"/>
      <c r="J3481" s="564"/>
    </row>
    <row r="3482" spans="8:10" ht="15.75" customHeight="1">
      <c r="H3482" s="563"/>
      <c r="I3482" s="538"/>
      <c r="J3482" s="564"/>
    </row>
    <row r="3483" spans="8:10" ht="15.75" customHeight="1">
      <c r="H3483" s="563"/>
      <c r="I3483" s="538"/>
      <c r="J3483" s="564"/>
    </row>
    <row r="3484" spans="8:10" ht="15.75" customHeight="1">
      <c r="H3484" s="563"/>
      <c r="I3484" s="538"/>
      <c r="J3484" s="564"/>
    </row>
    <row r="3485" spans="8:10" ht="15.75" customHeight="1">
      <c r="H3485" s="563"/>
      <c r="I3485" s="538"/>
      <c r="J3485" s="564"/>
    </row>
    <row r="3486" spans="8:10" ht="15.75" customHeight="1">
      <c r="H3486" s="563"/>
      <c r="I3486" s="538"/>
      <c r="J3486" s="564"/>
    </row>
    <row r="3487" spans="8:10" ht="15.75" customHeight="1">
      <c r="H3487" s="563"/>
      <c r="I3487" s="538"/>
      <c r="J3487" s="564"/>
    </row>
    <row r="3488" spans="8:10" ht="15.75" customHeight="1">
      <c r="H3488" s="563"/>
      <c r="I3488" s="538"/>
      <c r="J3488" s="564"/>
    </row>
    <row r="3489" spans="8:10" ht="15.75" customHeight="1">
      <c r="H3489" s="563"/>
      <c r="I3489" s="538"/>
      <c r="J3489" s="564"/>
    </row>
    <row r="3490" spans="8:10" ht="15.75" customHeight="1">
      <c r="H3490" s="563"/>
      <c r="I3490" s="538"/>
      <c r="J3490" s="564"/>
    </row>
    <row r="3491" spans="8:10" ht="15.75" customHeight="1">
      <c r="H3491" s="563"/>
      <c r="I3491" s="538"/>
      <c r="J3491" s="564"/>
    </row>
    <row r="3492" spans="8:10" ht="15.75" customHeight="1">
      <c r="H3492" s="563"/>
      <c r="I3492" s="538"/>
      <c r="J3492" s="564"/>
    </row>
    <row r="3493" spans="8:10" ht="15.75" customHeight="1">
      <c r="H3493" s="563"/>
      <c r="I3493" s="538"/>
      <c r="J3493" s="564"/>
    </row>
    <row r="3494" spans="8:10" ht="15.75" customHeight="1">
      <c r="H3494" s="563"/>
      <c r="I3494" s="538"/>
      <c r="J3494" s="564"/>
    </row>
    <row r="3495" spans="8:10" ht="15.75" customHeight="1">
      <c r="H3495" s="563"/>
      <c r="I3495" s="538"/>
      <c r="J3495" s="564"/>
    </row>
    <row r="3496" spans="8:10" ht="15.75" customHeight="1">
      <c r="H3496" s="563"/>
      <c r="I3496" s="538"/>
      <c r="J3496" s="564"/>
    </row>
    <row r="3497" spans="8:10" ht="15.75" customHeight="1">
      <c r="H3497" s="563"/>
      <c r="I3497" s="538"/>
      <c r="J3497" s="564"/>
    </row>
    <row r="3498" spans="8:10" ht="15.75" customHeight="1">
      <c r="H3498" s="563"/>
      <c r="I3498" s="538"/>
      <c r="J3498" s="564"/>
    </row>
    <row r="3499" spans="8:10" ht="15.75" customHeight="1">
      <c r="H3499" s="563"/>
      <c r="I3499" s="538"/>
      <c r="J3499" s="564"/>
    </row>
    <row r="3500" spans="8:10" ht="15.75" customHeight="1">
      <c r="H3500" s="563"/>
      <c r="I3500" s="538"/>
      <c r="J3500" s="564"/>
    </row>
    <row r="3501" spans="8:10" ht="15.75" customHeight="1">
      <c r="H3501" s="563"/>
      <c r="I3501" s="538"/>
      <c r="J3501" s="564"/>
    </row>
    <row r="3502" spans="8:10" ht="15.75" customHeight="1">
      <c r="H3502" s="563"/>
      <c r="I3502" s="538"/>
      <c r="J3502" s="564"/>
    </row>
    <row r="3503" spans="8:10" ht="15.75" customHeight="1">
      <c r="H3503" s="563"/>
      <c r="I3503" s="538"/>
      <c r="J3503" s="564"/>
    </row>
    <row r="3504" spans="8:10" ht="15.75" customHeight="1">
      <c r="H3504" s="563"/>
      <c r="I3504" s="538"/>
      <c r="J3504" s="564"/>
    </row>
    <row r="3505" spans="8:10" ht="15.75" customHeight="1">
      <c r="H3505" s="563"/>
      <c r="I3505" s="538"/>
      <c r="J3505" s="564"/>
    </row>
    <row r="3506" spans="8:10" ht="15.75" customHeight="1">
      <c r="H3506" s="563"/>
      <c r="I3506" s="538"/>
      <c r="J3506" s="564"/>
    </row>
    <row r="3507" spans="8:10" ht="15.75" customHeight="1">
      <c r="H3507" s="563"/>
      <c r="I3507" s="538"/>
      <c r="J3507" s="564"/>
    </row>
    <row r="3508" spans="8:10" ht="15.75" customHeight="1">
      <c r="H3508" s="563"/>
      <c r="I3508" s="538"/>
      <c r="J3508" s="564"/>
    </row>
    <row r="3509" spans="8:10" ht="15.75" customHeight="1">
      <c r="H3509" s="563"/>
      <c r="I3509" s="538"/>
      <c r="J3509" s="564"/>
    </row>
    <row r="3510" spans="8:10" ht="15.75" customHeight="1">
      <c r="H3510" s="563"/>
      <c r="I3510" s="538"/>
      <c r="J3510" s="564"/>
    </row>
    <row r="3511" spans="8:10" ht="15.75" customHeight="1">
      <c r="H3511" s="563"/>
      <c r="I3511" s="538"/>
      <c r="J3511" s="564"/>
    </row>
    <row r="3512" spans="8:10" ht="15.75" customHeight="1">
      <c r="H3512" s="563"/>
      <c r="I3512" s="538"/>
      <c r="J3512" s="564"/>
    </row>
    <row r="3513" spans="8:10" ht="15.75" customHeight="1">
      <c r="H3513" s="563"/>
      <c r="I3513" s="538"/>
      <c r="J3513" s="564"/>
    </row>
    <row r="3514" spans="8:10" ht="15.75" customHeight="1">
      <c r="H3514" s="563"/>
      <c r="I3514" s="538"/>
      <c r="J3514" s="564"/>
    </row>
    <row r="3515" spans="8:10" ht="15.75" customHeight="1">
      <c r="H3515" s="563"/>
      <c r="I3515" s="538"/>
      <c r="J3515" s="564"/>
    </row>
    <row r="3516" spans="8:10" ht="15.75" customHeight="1">
      <c r="H3516" s="563"/>
      <c r="I3516" s="538"/>
      <c r="J3516" s="564"/>
    </row>
    <row r="3517" spans="8:10" ht="15.75" customHeight="1">
      <c r="H3517" s="563"/>
      <c r="I3517" s="538"/>
      <c r="J3517" s="564"/>
    </row>
    <row r="3518" spans="8:10" ht="15.75" customHeight="1">
      <c r="H3518" s="563"/>
      <c r="I3518" s="538"/>
      <c r="J3518" s="564"/>
    </row>
    <row r="3519" spans="8:10" ht="15.75" customHeight="1">
      <c r="H3519" s="563"/>
      <c r="I3519" s="538"/>
      <c r="J3519" s="564"/>
    </row>
    <row r="3520" spans="8:10" ht="15.75" customHeight="1">
      <c r="H3520" s="563"/>
      <c r="I3520" s="538"/>
      <c r="J3520" s="564"/>
    </row>
    <row r="3521" spans="8:10" ht="15.75" customHeight="1">
      <c r="H3521" s="563"/>
      <c r="I3521" s="538"/>
      <c r="J3521" s="564"/>
    </row>
    <row r="3522" spans="8:10" ht="15.75" customHeight="1">
      <c r="H3522" s="563"/>
      <c r="I3522" s="538"/>
      <c r="J3522" s="564"/>
    </row>
    <row r="3523" spans="8:10" ht="15.75" customHeight="1">
      <c r="H3523" s="563"/>
      <c r="I3523" s="538"/>
      <c r="J3523" s="564"/>
    </row>
    <row r="3524" spans="8:10" ht="15.75" customHeight="1">
      <c r="H3524" s="563"/>
      <c r="I3524" s="538"/>
      <c r="J3524" s="564"/>
    </row>
    <row r="3525" spans="8:10" ht="15.75" customHeight="1">
      <c r="H3525" s="563"/>
      <c r="I3525" s="538"/>
      <c r="J3525" s="564"/>
    </row>
    <row r="3526" spans="8:10" ht="15.75" customHeight="1">
      <c r="H3526" s="563"/>
      <c r="I3526" s="538"/>
      <c r="J3526" s="564"/>
    </row>
    <row r="3527" spans="8:10" ht="15.75" customHeight="1">
      <c r="H3527" s="563"/>
      <c r="I3527" s="538"/>
      <c r="J3527" s="564"/>
    </row>
    <row r="3528" spans="8:10" ht="15.75" customHeight="1">
      <c r="H3528" s="563"/>
      <c r="I3528" s="538"/>
      <c r="J3528" s="564"/>
    </row>
    <row r="3529" spans="8:10" ht="15.75" customHeight="1">
      <c r="H3529" s="563"/>
      <c r="I3529" s="538"/>
      <c r="J3529" s="564"/>
    </row>
    <row r="3530" spans="8:10" ht="15.75" customHeight="1">
      <c r="H3530" s="563"/>
      <c r="I3530" s="538"/>
      <c r="J3530" s="564"/>
    </row>
    <row r="3531" spans="8:10" ht="15.75" customHeight="1">
      <c r="H3531" s="563"/>
      <c r="I3531" s="538"/>
      <c r="J3531" s="564"/>
    </row>
    <row r="3532" spans="8:10" ht="15.75" customHeight="1">
      <c r="H3532" s="563"/>
      <c r="I3532" s="538"/>
      <c r="J3532" s="564"/>
    </row>
    <row r="3533" spans="8:10" ht="15.75" customHeight="1">
      <c r="H3533" s="563"/>
      <c r="I3533" s="538"/>
      <c r="J3533" s="564"/>
    </row>
    <row r="3534" spans="8:10" ht="15.75" customHeight="1">
      <c r="H3534" s="563"/>
      <c r="I3534" s="538"/>
      <c r="J3534" s="564"/>
    </row>
    <row r="3535" spans="8:10" ht="15.75" customHeight="1">
      <c r="H3535" s="563"/>
      <c r="I3535" s="538"/>
      <c r="J3535" s="564"/>
    </row>
    <row r="3536" spans="8:10" ht="15.75" customHeight="1">
      <c r="H3536" s="563"/>
      <c r="I3536" s="538"/>
      <c r="J3536" s="564"/>
    </row>
    <row r="3537" spans="8:10" ht="15.75" customHeight="1">
      <c r="H3537" s="563"/>
      <c r="I3537" s="538"/>
      <c r="J3537" s="564"/>
    </row>
    <row r="3538" spans="8:10" ht="15.75" customHeight="1">
      <c r="H3538" s="563"/>
      <c r="I3538" s="538"/>
      <c r="J3538" s="564"/>
    </row>
    <row r="3539" spans="8:10" ht="15.75" customHeight="1">
      <c r="H3539" s="563"/>
      <c r="I3539" s="538"/>
      <c r="J3539" s="564"/>
    </row>
    <row r="3540" spans="8:10" ht="15.75" customHeight="1">
      <c r="H3540" s="563"/>
      <c r="I3540" s="538"/>
      <c r="J3540" s="564"/>
    </row>
    <row r="3541" spans="8:10" ht="15.75" customHeight="1">
      <c r="H3541" s="563"/>
      <c r="I3541" s="538"/>
      <c r="J3541" s="564"/>
    </row>
    <row r="3542" spans="8:10" ht="15.75" customHeight="1">
      <c r="H3542" s="563"/>
      <c r="I3542" s="538"/>
      <c r="J3542" s="564"/>
    </row>
    <row r="3543" spans="8:10" ht="15.75" customHeight="1">
      <c r="H3543" s="563"/>
      <c r="I3543" s="538"/>
      <c r="J3543" s="564"/>
    </row>
    <row r="3544" spans="8:10" ht="15.75" customHeight="1">
      <c r="H3544" s="563"/>
      <c r="I3544" s="538"/>
      <c r="J3544" s="564"/>
    </row>
    <row r="3545" spans="8:10" ht="15.75" customHeight="1">
      <c r="H3545" s="563"/>
      <c r="I3545" s="538"/>
      <c r="J3545" s="564"/>
    </row>
    <row r="3546" spans="8:10" ht="15.75" customHeight="1">
      <c r="H3546" s="563"/>
      <c r="I3546" s="538"/>
      <c r="J3546" s="564"/>
    </row>
    <row r="3547" spans="8:10" ht="15.75" customHeight="1">
      <c r="H3547" s="563"/>
      <c r="I3547" s="538"/>
      <c r="J3547" s="564"/>
    </row>
    <row r="3548" spans="8:10" ht="15.75" customHeight="1">
      <c r="H3548" s="563"/>
      <c r="I3548" s="538"/>
      <c r="J3548" s="564"/>
    </row>
    <row r="3549" spans="8:10" ht="15.75" customHeight="1">
      <c r="H3549" s="563"/>
      <c r="I3549" s="538"/>
      <c r="J3549" s="564"/>
    </row>
    <row r="3550" spans="8:10" ht="15.75" customHeight="1">
      <c r="H3550" s="563"/>
      <c r="I3550" s="538"/>
      <c r="J3550" s="564"/>
    </row>
    <row r="3551" spans="8:10" ht="15.75" customHeight="1">
      <c r="H3551" s="563"/>
      <c r="I3551" s="538"/>
      <c r="J3551" s="564"/>
    </row>
    <row r="3552" spans="8:10" ht="15.75" customHeight="1">
      <c r="H3552" s="563"/>
      <c r="I3552" s="538"/>
      <c r="J3552" s="564"/>
    </row>
    <row r="3553" spans="8:10" ht="15.75" customHeight="1">
      <c r="H3553" s="563"/>
      <c r="I3553" s="538"/>
      <c r="J3553" s="564"/>
    </row>
    <row r="3554" spans="8:10" ht="15.75" customHeight="1">
      <c r="H3554" s="563"/>
      <c r="I3554" s="538"/>
      <c r="J3554" s="564"/>
    </row>
    <row r="3555" spans="8:10" ht="15.75" customHeight="1">
      <c r="H3555" s="563"/>
      <c r="I3555" s="538"/>
      <c r="J3555" s="564"/>
    </row>
    <row r="3556" spans="8:10" ht="15.75" customHeight="1">
      <c r="H3556" s="563"/>
      <c r="I3556" s="538"/>
      <c r="J3556" s="564"/>
    </row>
    <row r="3557" spans="8:10" ht="15.75" customHeight="1">
      <c r="H3557" s="563"/>
      <c r="I3557" s="538"/>
      <c r="J3557" s="564"/>
    </row>
    <row r="3558" spans="8:10" ht="15.75" customHeight="1">
      <c r="H3558" s="563"/>
      <c r="I3558" s="538"/>
      <c r="J3558" s="564"/>
    </row>
    <row r="3559" spans="8:10" ht="15.75" customHeight="1">
      <c r="H3559" s="563"/>
      <c r="I3559" s="538"/>
      <c r="J3559" s="564"/>
    </row>
    <row r="3560" spans="8:10" ht="15.75" customHeight="1">
      <c r="H3560" s="563"/>
      <c r="I3560" s="538"/>
      <c r="J3560" s="564"/>
    </row>
    <row r="3561" spans="8:10" ht="15.75" customHeight="1">
      <c r="H3561" s="563"/>
      <c r="I3561" s="538"/>
      <c r="J3561" s="564"/>
    </row>
    <row r="3562" spans="8:10" ht="15.75" customHeight="1">
      <c r="H3562" s="563"/>
      <c r="I3562" s="538"/>
      <c r="J3562" s="564"/>
    </row>
    <row r="3563" spans="8:10" ht="15.75" customHeight="1">
      <c r="H3563" s="563"/>
      <c r="I3563" s="538"/>
      <c r="J3563" s="564"/>
    </row>
    <row r="3564" spans="8:10" ht="15.75" customHeight="1">
      <c r="H3564" s="563"/>
      <c r="I3564" s="538"/>
      <c r="J3564" s="564"/>
    </row>
    <row r="3565" spans="8:10" ht="15.75" customHeight="1">
      <c r="H3565" s="563"/>
      <c r="I3565" s="538"/>
      <c r="J3565" s="564"/>
    </row>
    <row r="3566" spans="8:10" ht="15.75" customHeight="1">
      <c r="H3566" s="563"/>
      <c r="I3566" s="538"/>
      <c r="J3566" s="564"/>
    </row>
    <row r="3567" spans="8:10" ht="15.75" customHeight="1">
      <c r="H3567" s="563"/>
      <c r="I3567" s="538"/>
      <c r="J3567" s="564"/>
    </row>
    <row r="3568" spans="8:10" ht="15.75" customHeight="1">
      <c r="H3568" s="563"/>
      <c r="I3568" s="538"/>
      <c r="J3568" s="564"/>
    </row>
    <row r="3569" spans="8:10" ht="15.75" customHeight="1">
      <c r="H3569" s="563"/>
      <c r="I3569" s="538"/>
      <c r="J3569" s="564"/>
    </row>
    <row r="3570" spans="8:10" ht="15.75" customHeight="1">
      <c r="H3570" s="563"/>
      <c r="I3570" s="538"/>
      <c r="J3570" s="564"/>
    </row>
    <row r="3571" spans="8:10" ht="15.75" customHeight="1">
      <c r="H3571" s="563"/>
      <c r="I3571" s="538"/>
      <c r="J3571" s="564"/>
    </row>
    <row r="3572" spans="8:10" ht="15.75" customHeight="1">
      <c r="H3572" s="563"/>
      <c r="I3572" s="538"/>
      <c r="J3572" s="564"/>
    </row>
    <row r="3573" spans="8:10" ht="15.75" customHeight="1">
      <c r="H3573" s="563"/>
      <c r="I3573" s="538"/>
      <c r="J3573" s="564"/>
    </row>
    <row r="3574" spans="8:10" ht="15.75" customHeight="1">
      <c r="H3574" s="563"/>
      <c r="I3574" s="538"/>
      <c r="J3574" s="564"/>
    </row>
    <row r="3575" spans="8:10" ht="15.75" customHeight="1">
      <c r="H3575" s="563"/>
      <c r="I3575" s="538"/>
      <c r="J3575" s="564"/>
    </row>
    <row r="3576" spans="8:10" ht="15.75" customHeight="1">
      <c r="H3576" s="563"/>
      <c r="I3576" s="538"/>
      <c r="J3576" s="564"/>
    </row>
    <row r="3577" spans="8:10" ht="15.75" customHeight="1">
      <c r="H3577" s="563"/>
      <c r="I3577" s="538"/>
      <c r="J3577" s="564"/>
    </row>
    <row r="3578" spans="8:10" ht="15.75" customHeight="1">
      <c r="H3578" s="563"/>
      <c r="I3578" s="538"/>
      <c r="J3578" s="564"/>
    </row>
    <row r="3579" spans="8:10" ht="15.75" customHeight="1">
      <c r="H3579" s="563"/>
      <c r="I3579" s="538"/>
      <c r="J3579" s="564"/>
    </row>
    <row r="3580" spans="8:10" ht="15.75" customHeight="1">
      <c r="H3580" s="563"/>
      <c r="I3580" s="538"/>
      <c r="J3580" s="564"/>
    </row>
    <row r="3581" spans="8:10" ht="15.75" customHeight="1">
      <c r="H3581" s="563"/>
      <c r="I3581" s="538"/>
      <c r="J3581" s="564"/>
    </row>
    <row r="3582" spans="8:10" ht="15.75" customHeight="1">
      <c r="H3582" s="563"/>
      <c r="I3582" s="538"/>
      <c r="J3582" s="564"/>
    </row>
    <row r="3583" spans="8:10" ht="15.75" customHeight="1">
      <c r="H3583" s="563"/>
      <c r="I3583" s="538"/>
      <c r="J3583" s="564"/>
    </row>
    <row r="3584" spans="8:10" ht="15.75" customHeight="1">
      <c r="H3584" s="563"/>
      <c r="I3584" s="538"/>
      <c r="J3584" s="564"/>
    </row>
    <row r="3585" spans="8:10" ht="15.75" customHeight="1">
      <c r="H3585" s="563"/>
      <c r="I3585" s="538"/>
      <c r="J3585" s="564"/>
    </row>
    <row r="3586" spans="8:10" ht="15.75" customHeight="1">
      <c r="H3586" s="563"/>
      <c r="I3586" s="538"/>
      <c r="J3586" s="564"/>
    </row>
    <row r="3587" spans="8:10" ht="15.75" customHeight="1">
      <c r="H3587" s="563"/>
      <c r="I3587" s="538"/>
      <c r="J3587" s="564"/>
    </row>
    <row r="3588" spans="8:10" ht="15.75" customHeight="1">
      <c r="H3588" s="563"/>
      <c r="I3588" s="538"/>
      <c r="J3588" s="564"/>
    </row>
    <row r="3589" spans="8:10" ht="15.75" customHeight="1">
      <c r="H3589" s="563"/>
      <c r="I3589" s="538"/>
      <c r="J3589" s="564"/>
    </row>
    <row r="3590" spans="8:10" ht="15.75" customHeight="1">
      <c r="H3590" s="563"/>
      <c r="I3590" s="538"/>
      <c r="J3590" s="564"/>
    </row>
    <row r="3591" spans="8:10" ht="15.75" customHeight="1">
      <c r="H3591" s="563"/>
      <c r="I3591" s="538"/>
      <c r="J3591" s="564"/>
    </row>
    <row r="3592" spans="8:10" ht="15.75" customHeight="1">
      <c r="H3592" s="563"/>
      <c r="I3592" s="538"/>
      <c r="J3592" s="564"/>
    </row>
    <row r="3593" spans="8:10" ht="15.75" customHeight="1">
      <c r="H3593" s="563"/>
      <c r="I3593" s="538"/>
      <c r="J3593" s="564"/>
    </row>
    <row r="3594" spans="8:10" ht="15.75" customHeight="1">
      <c r="H3594" s="563"/>
      <c r="I3594" s="538"/>
      <c r="J3594" s="564"/>
    </row>
    <row r="3595" spans="8:10" ht="15.75" customHeight="1">
      <c r="H3595" s="563"/>
      <c r="I3595" s="538"/>
      <c r="J3595" s="564"/>
    </row>
    <row r="3596" spans="8:10" ht="15.75" customHeight="1">
      <c r="H3596" s="563"/>
      <c r="I3596" s="538"/>
      <c r="J3596" s="564"/>
    </row>
    <row r="3597" spans="8:10" ht="15.75" customHeight="1">
      <c r="H3597" s="563"/>
      <c r="I3597" s="538"/>
      <c r="J3597" s="564"/>
    </row>
    <row r="3598" spans="8:10" ht="15.75" customHeight="1">
      <c r="H3598" s="563"/>
      <c r="I3598" s="538"/>
      <c r="J3598" s="564"/>
    </row>
    <row r="3599" spans="8:10" ht="15.75" customHeight="1">
      <c r="H3599" s="563"/>
      <c r="I3599" s="538"/>
      <c r="J3599" s="564"/>
    </row>
    <row r="3600" spans="8:10" ht="15.75" customHeight="1">
      <c r="H3600" s="563"/>
      <c r="I3600" s="538"/>
      <c r="J3600" s="564"/>
    </row>
    <row r="3601" spans="8:10" ht="15.75" customHeight="1">
      <c r="H3601" s="563"/>
      <c r="I3601" s="538"/>
      <c r="J3601" s="564"/>
    </row>
    <row r="3602" spans="8:10" ht="15.75" customHeight="1">
      <c r="H3602" s="563"/>
      <c r="I3602" s="538"/>
      <c r="J3602" s="564"/>
    </row>
    <row r="3603" spans="8:10" ht="15.75" customHeight="1">
      <c r="H3603" s="563"/>
      <c r="I3603" s="538"/>
      <c r="J3603" s="564"/>
    </row>
    <row r="3604" spans="8:10" ht="15.75" customHeight="1">
      <c r="H3604" s="563"/>
      <c r="I3604" s="538"/>
      <c r="J3604" s="564"/>
    </row>
    <row r="3605" spans="8:10" ht="15.75" customHeight="1">
      <c r="H3605" s="563"/>
      <c r="I3605" s="538"/>
      <c r="J3605" s="564"/>
    </row>
    <row r="3606" spans="8:10" ht="15.75" customHeight="1">
      <c r="H3606" s="563"/>
      <c r="I3606" s="538"/>
      <c r="J3606" s="564"/>
    </row>
    <row r="3607" spans="8:10" ht="15.75" customHeight="1">
      <c r="H3607" s="563"/>
      <c r="I3607" s="538"/>
      <c r="J3607" s="564"/>
    </row>
    <row r="3608" spans="8:10" ht="15.75" customHeight="1">
      <c r="H3608" s="563"/>
      <c r="I3608" s="538"/>
      <c r="J3608" s="564"/>
    </row>
    <row r="3609" spans="8:10" ht="15.75" customHeight="1">
      <c r="H3609" s="563"/>
      <c r="I3609" s="538"/>
      <c r="J3609" s="564"/>
    </row>
    <row r="3610" spans="8:10" ht="15.75" customHeight="1">
      <c r="H3610" s="563"/>
      <c r="I3610" s="538"/>
      <c r="J3610" s="564"/>
    </row>
    <row r="3611" spans="8:10" ht="15.75" customHeight="1">
      <c r="H3611" s="563"/>
      <c r="I3611" s="538"/>
      <c r="J3611" s="564"/>
    </row>
    <row r="3612" spans="8:10" ht="15.75" customHeight="1">
      <c r="H3612" s="563"/>
      <c r="I3612" s="538"/>
      <c r="J3612" s="564"/>
    </row>
    <row r="3613" spans="8:10" ht="15.75" customHeight="1">
      <c r="H3613" s="563"/>
      <c r="I3613" s="538"/>
      <c r="J3613" s="564"/>
    </row>
    <row r="3614" spans="8:10" ht="15.75" customHeight="1">
      <c r="H3614" s="563"/>
      <c r="I3614" s="538"/>
      <c r="J3614" s="564"/>
    </row>
    <row r="3615" spans="8:10" ht="15.75" customHeight="1">
      <c r="H3615" s="563"/>
      <c r="I3615" s="538"/>
      <c r="J3615" s="564"/>
    </row>
    <row r="3616" spans="8:10" ht="15.75" customHeight="1">
      <c r="H3616" s="563"/>
      <c r="I3616" s="538"/>
      <c r="J3616" s="564"/>
    </row>
    <row r="3617" spans="8:10" ht="15.75" customHeight="1">
      <c r="H3617" s="563"/>
      <c r="I3617" s="538"/>
      <c r="J3617" s="564"/>
    </row>
    <row r="3618" spans="8:10" ht="15.75" customHeight="1">
      <c r="H3618" s="563"/>
      <c r="I3618" s="538"/>
      <c r="J3618" s="564"/>
    </row>
    <row r="3619" spans="8:10" ht="15.75" customHeight="1">
      <c r="H3619" s="563"/>
      <c r="I3619" s="538"/>
      <c r="J3619" s="564"/>
    </row>
    <row r="3620" spans="8:10" ht="15.75" customHeight="1">
      <c r="H3620" s="563"/>
      <c r="I3620" s="538"/>
      <c r="J3620" s="564"/>
    </row>
    <row r="3621" spans="8:10" ht="15.75" customHeight="1">
      <c r="H3621" s="563"/>
      <c r="I3621" s="538"/>
      <c r="J3621" s="564"/>
    </row>
    <row r="3622" spans="8:10" ht="15.75" customHeight="1">
      <c r="H3622" s="563"/>
      <c r="I3622" s="538"/>
      <c r="J3622" s="564"/>
    </row>
    <row r="3623" spans="8:10" ht="15.75" customHeight="1">
      <c r="H3623" s="563"/>
      <c r="I3623" s="538"/>
      <c r="J3623" s="564"/>
    </row>
    <row r="3624" spans="8:10" ht="15.75" customHeight="1">
      <c r="H3624" s="563"/>
      <c r="I3624" s="538"/>
      <c r="J3624" s="564"/>
    </row>
    <row r="3625" spans="8:10" ht="15.75" customHeight="1">
      <c r="H3625" s="563"/>
      <c r="I3625" s="538"/>
      <c r="J3625" s="564"/>
    </row>
    <row r="3626" spans="8:10" ht="15.75" customHeight="1">
      <c r="H3626" s="563"/>
      <c r="I3626" s="538"/>
      <c r="J3626" s="564"/>
    </row>
    <row r="3627" spans="8:10" ht="15.75" customHeight="1">
      <c r="H3627" s="563"/>
      <c r="I3627" s="538"/>
      <c r="J3627" s="564"/>
    </row>
    <row r="3628" spans="8:10" ht="15.75" customHeight="1">
      <c r="H3628" s="563"/>
      <c r="I3628" s="538"/>
      <c r="J3628" s="564"/>
    </row>
    <row r="3629" spans="8:10" ht="15.75" customHeight="1">
      <c r="H3629" s="563"/>
      <c r="I3629" s="538"/>
      <c r="J3629" s="564"/>
    </row>
    <row r="3630" spans="8:10" ht="15.75" customHeight="1">
      <c r="H3630" s="563"/>
      <c r="I3630" s="538"/>
      <c r="J3630" s="564"/>
    </row>
    <row r="3631" spans="8:10" ht="15.75" customHeight="1">
      <c r="H3631" s="563"/>
      <c r="I3631" s="538"/>
      <c r="J3631" s="564"/>
    </row>
    <row r="3632" spans="8:10" ht="15.75" customHeight="1">
      <c r="H3632" s="563"/>
      <c r="I3632" s="538"/>
      <c r="J3632" s="564"/>
    </row>
    <row r="3633" spans="8:10" ht="15.75" customHeight="1">
      <c r="H3633" s="563"/>
      <c r="I3633" s="538"/>
      <c r="J3633" s="564"/>
    </row>
    <row r="3634" spans="8:10" ht="15.75" customHeight="1">
      <c r="H3634" s="563"/>
      <c r="I3634" s="538"/>
      <c r="J3634" s="564"/>
    </row>
    <row r="3635" spans="8:10" ht="15.75" customHeight="1">
      <c r="H3635" s="563"/>
      <c r="I3635" s="538"/>
      <c r="J3635" s="564"/>
    </row>
    <row r="3636" spans="8:10" ht="15.75" customHeight="1">
      <c r="H3636" s="563"/>
      <c r="I3636" s="538"/>
      <c r="J3636" s="564"/>
    </row>
    <row r="3637" spans="8:10" ht="15.75" customHeight="1">
      <c r="H3637" s="563"/>
      <c r="I3637" s="538"/>
      <c r="J3637" s="564"/>
    </row>
    <row r="3638" spans="8:10" ht="15.75" customHeight="1">
      <c r="H3638" s="563"/>
      <c r="I3638" s="538"/>
      <c r="J3638" s="564"/>
    </row>
    <row r="3639" spans="8:10" ht="15.75" customHeight="1">
      <c r="H3639" s="563"/>
      <c r="I3639" s="538"/>
      <c r="J3639" s="564"/>
    </row>
    <row r="3640" spans="8:10" ht="15.75" customHeight="1">
      <c r="H3640" s="563"/>
      <c r="I3640" s="538"/>
      <c r="J3640" s="564"/>
    </row>
    <row r="3641" spans="8:10" ht="15.75" customHeight="1">
      <c r="H3641" s="563"/>
      <c r="I3641" s="538"/>
      <c r="J3641" s="564"/>
    </row>
    <row r="3642" spans="8:10" ht="15.75" customHeight="1">
      <c r="H3642" s="563"/>
      <c r="I3642" s="538"/>
      <c r="J3642" s="564"/>
    </row>
    <row r="3643" spans="8:10" ht="15.75" customHeight="1">
      <c r="H3643" s="563"/>
      <c r="I3643" s="538"/>
      <c r="J3643" s="564"/>
    </row>
    <row r="3644" spans="8:10" ht="15.75" customHeight="1">
      <c r="H3644" s="563"/>
      <c r="I3644" s="538"/>
      <c r="J3644" s="564"/>
    </row>
    <row r="3645" spans="8:10" ht="15.75" customHeight="1">
      <c r="H3645" s="563"/>
      <c r="I3645" s="538"/>
      <c r="J3645" s="564"/>
    </row>
    <row r="3646" spans="8:10" ht="15.75" customHeight="1">
      <c r="H3646" s="563"/>
      <c r="I3646" s="538"/>
      <c r="J3646" s="564"/>
    </row>
    <row r="3647" spans="8:10" ht="15.75" customHeight="1">
      <c r="H3647" s="563"/>
      <c r="I3647" s="538"/>
      <c r="J3647" s="564"/>
    </row>
    <row r="3648" spans="8:10" ht="15.75" customHeight="1">
      <c r="H3648" s="563"/>
      <c r="I3648" s="538"/>
      <c r="J3648" s="564"/>
    </row>
    <row r="3649" spans="8:10" ht="15.75" customHeight="1">
      <c r="H3649" s="563"/>
      <c r="I3649" s="538"/>
      <c r="J3649" s="564"/>
    </row>
    <row r="3650" spans="8:10" ht="15.75" customHeight="1">
      <c r="H3650" s="563"/>
      <c r="I3650" s="538"/>
      <c r="J3650" s="564"/>
    </row>
    <row r="3651" spans="8:10" ht="15.75" customHeight="1">
      <c r="H3651" s="563"/>
      <c r="I3651" s="538"/>
      <c r="J3651" s="564"/>
    </row>
    <row r="3652" spans="8:10" ht="15.75" customHeight="1">
      <c r="H3652" s="563"/>
      <c r="I3652" s="538"/>
      <c r="J3652" s="564"/>
    </row>
    <row r="3653" spans="8:10" ht="15.75" customHeight="1">
      <c r="H3653" s="563"/>
      <c r="I3653" s="538"/>
      <c r="J3653" s="564"/>
    </row>
    <row r="3654" spans="8:10" ht="15.75" customHeight="1">
      <c r="H3654" s="563"/>
      <c r="I3654" s="538"/>
      <c r="J3654" s="564"/>
    </row>
    <row r="3655" spans="8:10" ht="15.75" customHeight="1">
      <c r="H3655" s="563"/>
      <c r="I3655" s="538"/>
      <c r="J3655" s="564"/>
    </row>
    <row r="3656" spans="8:10" ht="15.75" customHeight="1">
      <c r="H3656" s="563"/>
      <c r="I3656" s="538"/>
      <c r="J3656" s="564"/>
    </row>
    <row r="3657" spans="8:10" ht="15.75" customHeight="1">
      <c r="H3657" s="563"/>
      <c r="I3657" s="538"/>
      <c r="J3657" s="564"/>
    </row>
    <row r="3658" spans="8:10" ht="15.75" customHeight="1">
      <c r="H3658" s="563"/>
      <c r="I3658" s="538"/>
      <c r="J3658" s="564"/>
    </row>
    <row r="3659" spans="8:10" ht="15.75" customHeight="1">
      <c r="H3659" s="563"/>
      <c r="I3659" s="538"/>
      <c r="J3659" s="564"/>
    </row>
    <row r="3660" spans="8:10" ht="15.75" customHeight="1">
      <c r="H3660" s="563"/>
      <c r="I3660" s="538"/>
      <c r="J3660" s="564"/>
    </row>
    <row r="3661" spans="8:10" ht="15.75" customHeight="1">
      <c r="H3661" s="563"/>
      <c r="I3661" s="538"/>
      <c r="J3661" s="564"/>
    </row>
    <row r="3662" spans="8:10" ht="15.75" customHeight="1">
      <c r="H3662" s="563"/>
      <c r="I3662" s="538"/>
      <c r="J3662" s="564"/>
    </row>
    <row r="3663" spans="8:10" ht="15.75" customHeight="1">
      <c r="H3663" s="563"/>
      <c r="I3663" s="538"/>
      <c r="J3663" s="564"/>
    </row>
    <row r="3664" spans="8:10" ht="15.75" customHeight="1">
      <c r="H3664" s="563"/>
      <c r="I3664" s="538"/>
      <c r="J3664" s="564"/>
    </row>
    <row r="3665" spans="8:10" ht="15.75" customHeight="1">
      <c r="H3665" s="563"/>
      <c r="I3665" s="538"/>
      <c r="J3665" s="564"/>
    </row>
    <row r="3666" spans="8:10" ht="15.75" customHeight="1">
      <c r="H3666" s="563"/>
      <c r="I3666" s="538"/>
      <c r="J3666" s="564"/>
    </row>
    <row r="3667" spans="8:10" ht="15.75" customHeight="1">
      <c r="H3667" s="563"/>
      <c r="I3667" s="538"/>
      <c r="J3667" s="564"/>
    </row>
    <row r="3668" spans="8:10" ht="15.75" customHeight="1">
      <c r="H3668" s="563"/>
      <c r="I3668" s="538"/>
      <c r="J3668" s="564"/>
    </row>
    <row r="3669" spans="8:10" ht="15.75" customHeight="1">
      <c r="H3669" s="563"/>
      <c r="I3669" s="538"/>
      <c r="J3669" s="564"/>
    </row>
    <row r="3670" spans="8:10" ht="15.75" customHeight="1">
      <c r="H3670" s="563"/>
      <c r="I3670" s="538"/>
      <c r="J3670" s="564"/>
    </row>
    <row r="3671" spans="8:10" ht="15.75" customHeight="1">
      <c r="H3671" s="563"/>
      <c r="I3671" s="538"/>
      <c r="J3671" s="564"/>
    </row>
    <row r="3672" spans="8:10" ht="15.75" customHeight="1">
      <c r="H3672" s="563"/>
      <c r="I3672" s="538"/>
      <c r="J3672" s="564"/>
    </row>
    <row r="3673" spans="8:10" ht="15.75" customHeight="1">
      <c r="H3673" s="563"/>
      <c r="I3673" s="538"/>
      <c r="J3673" s="564"/>
    </row>
    <row r="3674" spans="8:10" ht="15.75" customHeight="1">
      <c r="H3674" s="563"/>
      <c r="I3674" s="538"/>
      <c r="J3674" s="564"/>
    </row>
    <row r="3675" spans="8:10" ht="15.75" customHeight="1">
      <c r="H3675" s="563"/>
      <c r="I3675" s="538"/>
      <c r="J3675" s="564"/>
    </row>
    <row r="3676" spans="8:10" ht="15.75" customHeight="1">
      <c r="H3676" s="563"/>
      <c r="I3676" s="538"/>
      <c r="J3676" s="564"/>
    </row>
    <row r="3677" spans="8:10" ht="15.75" customHeight="1">
      <c r="H3677" s="563"/>
      <c r="I3677" s="538"/>
      <c r="J3677" s="564"/>
    </row>
    <row r="3678" spans="8:10" ht="15.75" customHeight="1">
      <c r="H3678" s="563"/>
      <c r="I3678" s="538"/>
      <c r="J3678" s="564"/>
    </row>
    <row r="3679" spans="8:10" ht="15.75" customHeight="1">
      <c r="H3679" s="563"/>
      <c r="I3679" s="538"/>
      <c r="J3679" s="564"/>
    </row>
    <row r="3680" spans="8:10" ht="15.75" customHeight="1">
      <c r="H3680" s="563"/>
      <c r="I3680" s="538"/>
      <c r="J3680" s="564"/>
    </row>
    <row r="3681" spans="8:10" ht="15.75" customHeight="1">
      <c r="H3681" s="563"/>
      <c r="I3681" s="538"/>
      <c r="J3681" s="564"/>
    </row>
    <row r="3682" spans="8:10" ht="15.75" customHeight="1">
      <c r="H3682" s="563"/>
      <c r="I3682" s="538"/>
      <c r="J3682" s="564"/>
    </row>
    <row r="3683" spans="8:10" ht="15.75" customHeight="1">
      <c r="H3683" s="563"/>
      <c r="I3683" s="538"/>
      <c r="J3683" s="564"/>
    </row>
    <row r="3684" spans="8:10" ht="15.75" customHeight="1">
      <c r="H3684" s="563"/>
      <c r="I3684" s="538"/>
      <c r="J3684" s="564"/>
    </row>
    <row r="3685" spans="8:10" ht="15.75" customHeight="1">
      <c r="H3685" s="563"/>
      <c r="I3685" s="538"/>
      <c r="J3685" s="564"/>
    </row>
    <row r="3686" spans="8:10" ht="15.75" customHeight="1">
      <c r="H3686" s="563"/>
      <c r="I3686" s="538"/>
      <c r="J3686" s="564"/>
    </row>
    <row r="3687" spans="8:10" ht="15.75" customHeight="1">
      <c r="H3687" s="563"/>
      <c r="I3687" s="538"/>
      <c r="J3687" s="564"/>
    </row>
    <row r="3688" spans="8:10" ht="15.75" customHeight="1">
      <c r="H3688" s="563"/>
      <c r="I3688" s="538"/>
      <c r="J3688" s="564"/>
    </row>
    <row r="3689" spans="8:10" ht="15.75" customHeight="1">
      <c r="H3689" s="563"/>
      <c r="I3689" s="538"/>
      <c r="J3689" s="564"/>
    </row>
    <row r="3690" spans="8:10" ht="15.75" customHeight="1">
      <c r="H3690" s="563"/>
      <c r="I3690" s="538"/>
      <c r="J3690" s="564"/>
    </row>
    <row r="3691" spans="8:10" ht="15.75" customHeight="1">
      <c r="H3691" s="563"/>
      <c r="I3691" s="538"/>
      <c r="J3691" s="564"/>
    </row>
    <row r="3692" spans="8:10" ht="15.75" customHeight="1">
      <c r="H3692" s="563"/>
      <c r="I3692" s="538"/>
      <c r="J3692" s="564"/>
    </row>
    <row r="3693" spans="8:10" ht="15.75" customHeight="1">
      <c r="H3693" s="563"/>
      <c r="I3693" s="538"/>
      <c r="J3693" s="564"/>
    </row>
    <row r="3694" spans="8:10" ht="15.75" customHeight="1">
      <c r="H3694" s="563"/>
      <c r="I3694" s="538"/>
      <c r="J3694" s="564"/>
    </row>
    <row r="3695" spans="8:10" ht="15.75" customHeight="1">
      <c r="H3695" s="563"/>
      <c r="I3695" s="538"/>
      <c r="J3695" s="564"/>
    </row>
    <row r="3696" spans="8:10" ht="15.75" customHeight="1">
      <c r="H3696" s="563"/>
      <c r="I3696" s="538"/>
      <c r="J3696" s="564"/>
    </row>
    <row r="3697" spans="8:10" ht="15.75" customHeight="1">
      <c r="H3697" s="563"/>
      <c r="I3697" s="538"/>
      <c r="J3697" s="564"/>
    </row>
    <row r="3698" spans="8:10" ht="15.75" customHeight="1">
      <c r="H3698" s="563"/>
      <c r="I3698" s="538"/>
      <c r="J3698" s="564"/>
    </row>
    <row r="3699" spans="8:10" ht="15.75" customHeight="1">
      <c r="H3699" s="563"/>
      <c r="I3699" s="538"/>
      <c r="J3699" s="564"/>
    </row>
    <row r="3700" spans="8:10" ht="15.75" customHeight="1">
      <c r="H3700" s="563"/>
      <c r="I3700" s="538"/>
      <c r="J3700" s="564"/>
    </row>
    <row r="3701" spans="8:10" ht="15.75" customHeight="1">
      <c r="H3701" s="563"/>
      <c r="I3701" s="538"/>
      <c r="J3701" s="564"/>
    </row>
    <row r="3702" spans="8:10" ht="15.75" customHeight="1">
      <c r="H3702" s="563"/>
      <c r="I3702" s="538"/>
      <c r="J3702" s="564"/>
    </row>
    <row r="3703" spans="8:10" ht="15.75" customHeight="1">
      <c r="H3703" s="563"/>
      <c r="I3703" s="538"/>
      <c r="J3703" s="564"/>
    </row>
    <row r="3704" spans="8:10" ht="15.75" customHeight="1">
      <c r="H3704" s="563"/>
      <c r="I3704" s="538"/>
      <c r="J3704" s="564"/>
    </row>
    <row r="3705" spans="8:10" ht="15.75" customHeight="1">
      <c r="H3705" s="563"/>
      <c r="I3705" s="538"/>
      <c r="J3705" s="564"/>
    </row>
    <row r="3706" spans="8:10" ht="15.75" customHeight="1">
      <c r="H3706" s="563"/>
      <c r="I3706" s="538"/>
      <c r="J3706" s="564"/>
    </row>
    <row r="3707" spans="8:10" ht="15.75" customHeight="1">
      <c r="H3707" s="563"/>
      <c r="I3707" s="538"/>
      <c r="J3707" s="564"/>
    </row>
    <row r="3708" spans="8:10" ht="15.75" customHeight="1">
      <c r="H3708" s="563"/>
      <c r="I3708" s="538"/>
      <c r="J3708" s="564"/>
    </row>
    <row r="3709" spans="8:10" ht="15.75" customHeight="1">
      <c r="H3709" s="563"/>
      <c r="I3709" s="538"/>
      <c r="J3709" s="564"/>
    </row>
    <row r="3710" spans="8:10" ht="15.75" customHeight="1">
      <c r="H3710" s="563"/>
      <c r="I3710" s="538"/>
      <c r="J3710" s="564"/>
    </row>
    <row r="3711" spans="8:10" ht="15.75" customHeight="1">
      <c r="H3711" s="563"/>
      <c r="I3711" s="538"/>
      <c r="J3711" s="564"/>
    </row>
    <row r="3712" spans="8:10" ht="15.75" customHeight="1">
      <c r="H3712" s="563"/>
      <c r="I3712" s="538"/>
      <c r="J3712" s="564"/>
    </row>
    <row r="3713" spans="8:10" ht="15.75" customHeight="1">
      <c r="H3713" s="563"/>
      <c r="I3713" s="538"/>
      <c r="J3713" s="564"/>
    </row>
    <row r="3714" spans="8:10" ht="15.75" customHeight="1">
      <c r="H3714" s="563"/>
      <c r="I3714" s="538"/>
      <c r="J3714" s="564"/>
    </row>
    <row r="3715" spans="8:10" ht="15.75" customHeight="1">
      <c r="H3715" s="563"/>
      <c r="I3715" s="538"/>
      <c r="J3715" s="564"/>
    </row>
    <row r="3716" spans="8:10" ht="15.75" customHeight="1">
      <c r="H3716" s="563"/>
      <c r="I3716" s="538"/>
      <c r="J3716" s="564"/>
    </row>
    <row r="3717" spans="8:10" ht="15.75" customHeight="1">
      <c r="H3717" s="563"/>
      <c r="I3717" s="538"/>
      <c r="J3717" s="564"/>
    </row>
    <row r="3718" spans="8:10" ht="15.75" customHeight="1">
      <c r="H3718" s="563"/>
      <c r="I3718" s="538"/>
      <c r="J3718" s="564"/>
    </row>
    <row r="3719" spans="8:10" ht="15.75" customHeight="1">
      <c r="H3719" s="563"/>
      <c r="I3719" s="538"/>
      <c r="J3719" s="564"/>
    </row>
    <row r="3720" spans="8:10" ht="15.75" customHeight="1">
      <c r="H3720" s="563"/>
      <c r="I3720" s="538"/>
      <c r="J3720" s="564"/>
    </row>
    <row r="3721" spans="8:10" ht="15.75" customHeight="1">
      <c r="H3721" s="563"/>
      <c r="I3721" s="538"/>
      <c r="J3721" s="564"/>
    </row>
    <row r="3722" spans="8:10" ht="15.75" customHeight="1">
      <c r="H3722" s="563"/>
      <c r="I3722" s="538"/>
      <c r="J3722" s="564"/>
    </row>
    <row r="3723" spans="8:10" ht="15.75" customHeight="1">
      <c r="H3723" s="563"/>
      <c r="I3723" s="538"/>
      <c r="J3723" s="564"/>
    </row>
    <row r="3724" spans="8:10" ht="15.75" customHeight="1">
      <c r="H3724" s="563"/>
      <c r="I3724" s="538"/>
      <c r="J3724" s="564"/>
    </row>
    <row r="3725" spans="8:10" ht="15.75" customHeight="1">
      <c r="H3725" s="563"/>
      <c r="I3725" s="538"/>
      <c r="J3725" s="564"/>
    </row>
    <row r="3726" spans="8:10" ht="15.75" customHeight="1">
      <c r="H3726" s="563"/>
      <c r="I3726" s="538"/>
      <c r="J3726" s="564"/>
    </row>
    <row r="3727" spans="8:10" ht="15.75" customHeight="1">
      <c r="H3727" s="563"/>
      <c r="I3727" s="538"/>
      <c r="J3727" s="564"/>
    </row>
    <row r="3728" spans="8:10" ht="15.75" customHeight="1">
      <c r="H3728" s="563"/>
      <c r="I3728" s="538"/>
      <c r="J3728" s="564"/>
    </row>
    <row r="3729" spans="8:10" ht="15.75" customHeight="1">
      <c r="H3729" s="563"/>
      <c r="I3729" s="538"/>
      <c r="J3729" s="564"/>
    </row>
    <row r="3730" spans="8:10" ht="15.75" customHeight="1">
      <c r="H3730" s="563"/>
      <c r="I3730" s="538"/>
      <c r="J3730" s="564"/>
    </row>
    <row r="3731" spans="8:10" ht="15.75" customHeight="1">
      <c r="H3731" s="563"/>
      <c r="I3731" s="538"/>
      <c r="J3731" s="564"/>
    </row>
    <row r="3732" spans="8:10" ht="15.75" customHeight="1">
      <c r="H3732" s="563"/>
      <c r="I3732" s="538"/>
      <c r="J3732" s="564"/>
    </row>
    <row r="3733" spans="8:10" ht="15.75" customHeight="1">
      <c r="H3733" s="563"/>
      <c r="I3733" s="538"/>
      <c r="J3733" s="564"/>
    </row>
    <row r="3734" spans="8:10" ht="15.75" customHeight="1">
      <c r="H3734" s="563"/>
      <c r="I3734" s="538"/>
      <c r="J3734" s="564"/>
    </row>
    <row r="3735" spans="8:10" ht="15.75" customHeight="1">
      <c r="H3735" s="563"/>
      <c r="I3735" s="538"/>
      <c r="J3735" s="564"/>
    </row>
    <row r="3736" spans="8:10" ht="15.75" customHeight="1">
      <c r="H3736" s="563"/>
      <c r="I3736" s="538"/>
      <c r="J3736" s="564"/>
    </row>
    <row r="3737" spans="8:10" ht="15.75" customHeight="1">
      <c r="H3737" s="563"/>
      <c r="I3737" s="538"/>
      <c r="J3737" s="564"/>
    </row>
    <row r="3738" spans="8:10" ht="15.75" customHeight="1">
      <c r="H3738" s="563"/>
      <c r="I3738" s="538"/>
      <c r="J3738" s="564"/>
    </row>
    <row r="3739" spans="8:10" ht="15.75" customHeight="1">
      <c r="H3739" s="563"/>
      <c r="I3739" s="538"/>
      <c r="J3739" s="564"/>
    </row>
    <row r="3740" spans="8:10" ht="15.75" customHeight="1">
      <c r="H3740" s="563"/>
      <c r="I3740" s="538"/>
      <c r="J3740" s="564"/>
    </row>
    <row r="3741" spans="8:10" ht="15.75" customHeight="1">
      <c r="H3741" s="563"/>
      <c r="I3741" s="538"/>
      <c r="J3741" s="564"/>
    </row>
    <row r="3742" spans="8:10" ht="15.75" customHeight="1">
      <c r="H3742" s="563"/>
      <c r="I3742" s="538"/>
      <c r="J3742" s="564"/>
    </row>
    <row r="3743" spans="8:10" ht="15.75" customHeight="1">
      <c r="H3743" s="563"/>
      <c r="I3743" s="538"/>
      <c r="J3743" s="564"/>
    </row>
    <row r="3744" spans="8:10" ht="15.75" customHeight="1">
      <c r="H3744" s="563"/>
      <c r="I3744" s="538"/>
      <c r="J3744" s="564"/>
    </row>
    <row r="3745" spans="8:10" ht="15.75" customHeight="1">
      <c r="H3745" s="563"/>
      <c r="I3745" s="538"/>
      <c r="J3745" s="564"/>
    </row>
    <row r="3746" spans="8:10" ht="15.75" customHeight="1">
      <c r="H3746" s="563"/>
      <c r="I3746" s="538"/>
      <c r="J3746" s="564"/>
    </row>
    <row r="3747" spans="8:10" ht="15.75" customHeight="1">
      <c r="H3747" s="563"/>
      <c r="I3747" s="538"/>
      <c r="J3747" s="564"/>
    </row>
    <row r="3748" spans="8:10" ht="15.75" customHeight="1">
      <c r="H3748" s="563"/>
      <c r="I3748" s="538"/>
      <c r="J3748" s="564"/>
    </row>
    <row r="3749" spans="8:10" ht="15.75" customHeight="1">
      <c r="H3749" s="563"/>
      <c r="I3749" s="538"/>
      <c r="J3749" s="564"/>
    </row>
    <row r="3750" spans="8:10" ht="15.75" customHeight="1">
      <c r="H3750" s="563"/>
      <c r="I3750" s="538"/>
      <c r="J3750" s="564"/>
    </row>
    <row r="3751" spans="8:10" ht="15.75" customHeight="1">
      <c r="H3751" s="563"/>
      <c r="I3751" s="538"/>
      <c r="J3751" s="564"/>
    </row>
    <row r="3752" spans="8:10" ht="15.75" customHeight="1">
      <c r="H3752" s="563"/>
      <c r="I3752" s="538"/>
      <c r="J3752" s="564"/>
    </row>
    <row r="3753" spans="8:10" ht="15.75" customHeight="1">
      <c r="H3753" s="563"/>
      <c r="I3753" s="538"/>
      <c r="J3753" s="564"/>
    </row>
    <row r="3754" spans="8:10" ht="15.75" customHeight="1">
      <c r="H3754" s="563"/>
      <c r="I3754" s="538"/>
      <c r="J3754" s="564"/>
    </row>
    <row r="3755" spans="8:10" ht="15.75" customHeight="1">
      <c r="H3755" s="563"/>
      <c r="I3755" s="538"/>
      <c r="J3755" s="564"/>
    </row>
    <row r="3756" spans="8:10" ht="15.75" customHeight="1">
      <c r="H3756" s="563"/>
      <c r="I3756" s="538"/>
      <c r="J3756" s="564"/>
    </row>
    <row r="3757" spans="8:10" ht="15.75" customHeight="1">
      <c r="H3757" s="563"/>
      <c r="I3757" s="538"/>
      <c r="J3757" s="564"/>
    </row>
    <row r="3758" spans="8:10" ht="15.75" customHeight="1">
      <c r="H3758" s="563"/>
      <c r="I3758" s="538"/>
      <c r="J3758" s="564"/>
    </row>
    <row r="3759" spans="8:10" ht="15.75" customHeight="1">
      <c r="H3759" s="563"/>
      <c r="I3759" s="538"/>
      <c r="J3759" s="564"/>
    </row>
    <row r="3760" spans="8:10" ht="15.75" customHeight="1">
      <c r="H3760" s="563"/>
      <c r="I3760" s="538"/>
      <c r="J3760" s="564"/>
    </row>
    <row r="3761" spans="8:10" ht="15.75" customHeight="1">
      <c r="H3761" s="563"/>
      <c r="I3761" s="538"/>
      <c r="J3761" s="564"/>
    </row>
    <row r="3762" spans="8:10" ht="15.75" customHeight="1">
      <c r="H3762" s="563"/>
      <c r="I3762" s="538"/>
      <c r="J3762" s="564"/>
    </row>
    <row r="3763" spans="8:10" ht="15.75" customHeight="1">
      <c r="H3763" s="563"/>
      <c r="I3763" s="538"/>
      <c r="J3763" s="564"/>
    </row>
    <row r="3764" spans="8:10" ht="15.75" customHeight="1">
      <c r="H3764" s="563"/>
      <c r="I3764" s="538"/>
      <c r="J3764" s="564"/>
    </row>
    <row r="3765" spans="8:10" ht="15.75" customHeight="1">
      <c r="H3765" s="563"/>
      <c r="I3765" s="538"/>
      <c r="J3765" s="564"/>
    </row>
    <row r="3766" spans="8:10" ht="15.75" customHeight="1">
      <c r="H3766" s="563"/>
      <c r="I3766" s="538"/>
      <c r="J3766" s="564"/>
    </row>
    <row r="3767" spans="8:10" ht="15.75" customHeight="1">
      <c r="H3767" s="563"/>
      <c r="I3767" s="538"/>
      <c r="J3767" s="564"/>
    </row>
    <row r="3768" spans="8:10" ht="15.75" customHeight="1">
      <c r="H3768" s="563"/>
      <c r="I3768" s="538"/>
      <c r="J3768" s="564"/>
    </row>
    <row r="3769" spans="8:10" ht="15.75" customHeight="1">
      <c r="H3769" s="563"/>
      <c r="I3769" s="538"/>
      <c r="J3769" s="564"/>
    </row>
    <row r="3770" spans="8:10" ht="15.75" customHeight="1">
      <c r="H3770" s="563"/>
      <c r="I3770" s="538"/>
      <c r="J3770" s="564"/>
    </row>
    <row r="3771" spans="8:10" ht="15.75" customHeight="1">
      <c r="H3771" s="563"/>
      <c r="I3771" s="538"/>
      <c r="J3771" s="564"/>
    </row>
    <row r="3772" spans="8:10" ht="15.75" customHeight="1">
      <c r="H3772" s="563"/>
      <c r="I3772" s="538"/>
      <c r="J3772" s="564"/>
    </row>
    <row r="3773" spans="8:10" ht="15.75" customHeight="1">
      <c r="H3773" s="563"/>
      <c r="I3773" s="538"/>
      <c r="J3773" s="564"/>
    </row>
    <row r="3774" spans="8:10" ht="15.75" customHeight="1">
      <c r="H3774" s="563"/>
      <c r="I3774" s="538"/>
      <c r="J3774" s="564"/>
    </row>
    <row r="3775" spans="8:10" ht="15.75" customHeight="1">
      <c r="H3775" s="563"/>
      <c r="I3775" s="538"/>
      <c r="J3775" s="564"/>
    </row>
    <row r="3776" spans="8:10" ht="15.75" customHeight="1">
      <c r="H3776" s="563"/>
      <c r="I3776" s="538"/>
      <c r="J3776" s="564"/>
    </row>
    <row r="3777" spans="8:10" ht="15.75" customHeight="1">
      <c r="H3777" s="563"/>
      <c r="I3777" s="538"/>
      <c r="J3777" s="564"/>
    </row>
    <row r="3778" spans="8:10" ht="15.75" customHeight="1">
      <c r="H3778" s="563"/>
      <c r="I3778" s="538"/>
      <c r="J3778" s="564"/>
    </row>
    <row r="3779" spans="8:10" ht="15.75" customHeight="1">
      <c r="H3779" s="563"/>
      <c r="I3779" s="538"/>
      <c r="J3779" s="564"/>
    </row>
    <row r="3780" spans="8:10" ht="15.75" customHeight="1">
      <c r="H3780" s="563"/>
      <c r="I3780" s="538"/>
      <c r="J3780" s="564"/>
    </row>
    <row r="3781" spans="8:10" ht="15.75" customHeight="1">
      <c r="H3781" s="563"/>
      <c r="I3781" s="538"/>
      <c r="J3781" s="564"/>
    </row>
    <row r="3782" spans="8:10" ht="15.75" customHeight="1">
      <c r="H3782" s="563"/>
      <c r="I3782" s="538"/>
      <c r="J3782" s="564"/>
    </row>
    <row r="3783" spans="8:10" ht="15.75" customHeight="1">
      <c r="H3783" s="563"/>
      <c r="I3783" s="538"/>
      <c r="J3783" s="564"/>
    </row>
    <row r="3784" spans="8:10" ht="15.75" customHeight="1">
      <c r="H3784" s="563"/>
      <c r="I3784" s="538"/>
      <c r="J3784" s="564"/>
    </row>
    <row r="3785" spans="8:10" ht="15.75" customHeight="1">
      <c r="H3785" s="563"/>
      <c r="I3785" s="538"/>
      <c r="J3785" s="564"/>
    </row>
    <row r="3786" spans="8:10" ht="15.75" customHeight="1">
      <c r="H3786" s="563"/>
      <c r="I3786" s="538"/>
      <c r="J3786" s="564"/>
    </row>
    <row r="3787" spans="8:10" ht="15.75" customHeight="1">
      <c r="H3787" s="563"/>
      <c r="I3787" s="538"/>
      <c r="J3787" s="564"/>
    </row>
    <row r="3788" spans="8:10" ht="15.75" customHeight="1">
      <c r="H3788" s="563"/>
      <c r="I3788" s="538"/>
      <c r="J3788" s="564"/>
    </row>
    <row r="3789" spans="8:10" ht="15.75" customHeight="1">
      <c r="H3789" s="563"/>
      <c r="I3789" s="538"/>
      <c r="J3789" s="564"/>
    </row>
    <row r="3790" spans="8:10" ht="15.75" customHeight="1">
      <c r="H3790" s="563"/>
      <c r="I3790" s="538"/>
      <c r="J3790" s="564"/>
    </row>
    <row r="3791" spans="8:10" ht="15.75" customHeight="1">
      <c r="H3791" s="563"/>
      <c r="I3791" s="538"/>
      <c r="J3791" s="564"/>
    </row>
    <row r="3792" spans="8:10" ht="15.75" customHeight="1">
      <c r="H3792" s="563"/>
      <c r="I3792" s="538"/>
      <c r="J3792" s="564"/>
    </row>
    <row r="3793" spans="8:10" ht="15.75" customHeight="1">
      <c r="H3793" s="563"/>
      <c r="I3793" s="538"/>
      <c r="J3793" s="564"/>
    </row>
    <row r="3794" spans="8:10" ht="15.75" customHeight="1">
      <c r="H3794" s="563"/>
      <c r="I3794" s="538"/>
      <c r="J3794" s="564"/>
    </row>
    <row r="3795" spans="8:10" ht="15.75" customHeight="1">
      <c r="H3795" s="563"/>
      <c r="I3795" s="538"/>
      <c r="J3795" s="564"/>
    </row>
    <row r="3796" spans="8:10" ht="15.75" customHeight="1">
      <c r="H3796" s="563"/>
      <c r="I3796" s="538"/>
      <c r="J3796" s="564"/>
    </row>
    <row r="3797" spans="8:10" ht="15.75" customHeight="1">
      <c r="H3797" s="563"/>
      <c r="I3797" s="538"/>
      <c r="J3797" s="564"/>
    </row>
    <row r="3798" spans="8:10" ht="15.75" customHeight="1">
      <c r="H3798" s="563"/>
      <c r="I3798" s="538"/>
      <c r="J3798" s="564"/>
    </row>
    <row r="3799" spans="8:10" ht="15.75" customHeight="1">
      <c r="H3799" s="563"/>
      <c r="I3799" s="538"/>
      <c r="J3799" s="564"/>
    </row>
    <row r="3800" spans="8:10" ht="15.75" customHeight="1">
      <c r="H3800" s="563"/>
      <c r="I3800" s="538"/>
      <c r="J3800" s="564"/>
    </row>
    <row r="3801" spans="8:10" ht="15.75" customHeight="1">
      <c r="H3801" s="563"/>
      <c r="I3801" s="538"/>
      <c r="J3801" s="564"/>
    </row>
    <row r="3802" spans="8:10" ht="15.75" customHeight="1">
      <c r="H3802" s="563"/>
      <c r="I3802" s="538"/>
      <c r="J3802" s="564"/>
    </row>
    <row r="3803" spans="8:10" ht="15.75" customHeight="1">
      <c r="H3803" s="563"/>
      <c r="I3803" s="538"/>
      <c r="J3803" s="564"/>
    </row>
    <row r="3804" spans="8:10" ht="15.75" customHeight="1">
      <c r="H3804" s="563"/>
      <c r="I3804" s="538"/>
      <c r="J3804" s="564"/>
    </row>
    <row r="3805" spans="8:10" ht="15.75" customHeight="1">
      <c r="H3805" s="563"/>
      <c r="I3805" s="538"/>
      <c r="J3805" s="564"/>
    </row>
    <row r="3806" spans="8:10" ht="15.75" customHeight="1">
      <c r="H3806" s="563"/>
      <c r="I3806" s="538"/>
      <c r="J3806" s="564"/>
    </row>
    <row r="3807" spans="8:10" ht="15.75" customHeight="1">
      <c r="H3807" s="563"/>
      <c r="I3807" s="538"/>
      <c r="J3807" s="564"/>
    </row>
    <row r="3808" spans="8:10" ht="15.75" customHeight="1">
      <c r="H3808" s="563"/>
      <c r="I3808" s="538"/>
      <c r="J3808" s="564"/>
    </row>
    <row r="3809" spans="8:10" ht="15.75" customHeight="1">
      <c r="H3809" s="563"/>
      <c r="I3809" s="538"/>
      <c r="J3809" s="564"/>
    </row>
    <row r="3810" spans="8:10" ht="15.75" customHeight="1">
      <c r="H3810" s="563"/>
      <c r="I3810" s="538"/>
      <c r="J3810" s="564"/>
    </row>
    <row r="3811" spans="8:10" ht="15.75" customHeight="1">
      <c r="H3811" s="563"/>
      <c r="I3811" s="538"/>
      <c r="J3811" s="564"/>
    </row>
    <row r="3812" spans="8:10" ht="15.75" customHeight="1">
      <c r="H3812" s="563"/>
      <c r="I3812" s="538"/>
      <c r="J3812" s="564"/>
    </row>
    <row r="3813" spans="8:10" ht="15.75" customHeight="1">
      <c r="H3813" s="563"/>
      <c r="I3813" s="538"/>
      <c r="J3813" s="564"/>
    </row>
    <row r="3814" spans="8:10" ht="15.75" customHeight="1">
      <c r="H3814" s="563"/>
      <c r="I3814" s="538"/>
      <c r="J3814" s="564"/>
    </row>
    <row r="3815" spans="8:10" ht="15.75" customHeight="1">
      <c r="H3815" s="563"/>
      <c r="I3815" s="538"/>
      <c r="J3815" s="564"/>
    </row>
    <row r="3816" spans="8:10" ht="15.75" customHeight="1">
      <c r="H3816" s="563"/>
      <c r="I3816" s="538"/>
      <c r="J3816" s="564"/>
    </row>
    <row r="3817" spans="8:10" ht="15.75" customHeight="1">
      <c r="H3817" s="563"/>
      <c r="I3817" s="538"/>
      <c r="J3817" s="564"/>
    </row>
    <row r="3818" spans="8:10" ht="15.75" customHeight="1">
      <c r="H3818" s="563"/>
      <c r="I3818" s="538"/>
      <c r="J3818" s="564"/>
    </row>
    <row r="3819" spans="8:10" ht="15.75" customHeight="1">
      <c r="H3819" s="563"/>
      <c r="I3819" s="538"/>
      <c r="J3819" s="564"/>
    </row>
    <row r="3820" spans="8:10" ht="15.75" customHeight="1">
      <c r="H3820" s="563"/>
      <c r="I3820" s="538"/>
      <c r="J3820" s="564"/>
    </row>
    <row r="3821" spans="8:10" ht="15.75" customHeight="1">
      <c r="H3821" s="563"/>
      <c r="I3821" s="538"/>
      <c r="J3821" s="564"/>
    </row>
    <row r="3822" spans="8:10" ht="15.75" customHeight="1">
      <c r="H3822" s="563"/>
      <c r="I3822" s="538"/>
      <c r="J3822" s="564"/>
    </row>
    <row r="3823" spans="8:10" ht="15.75" customHeight="1">
      <c r="H3823" s="563"/>
      <c r="I3823" s="538"/>
      <c r="J3823" s="564"/>
    </row>
    <row r="3824" spans="8:10" ht="15.75" customHeight="1">
      <c r="H3824" s="563"/>
      <c r="I3824" s="538"/>
      <c r="J3824" s="564"/>
    </row>
    <row r="3825" spans="8:10" ht="15.75" customHeight="1">
      <c r="H3825" s="563"/>
      <c r="I3825" s="538"/>
      <c r="J3825" s="564"/>
    </row>
    <row r="3826" spans="8:10" ht="15.75" customHeight="1">
      <c r="H3826" s="563"/>
      <c r="I3826" s="538"/>
      <c r="J3826" s="564"/>
    </row>
    <row r="3827" spans="8:10" ht="15.75" customHeight="1">
      <c r="H3827" s="563"/>
      <c r="I3827" s="538"/>
      <c r="J3827" s="564"/>
    </row>
    <row r="3828" spans="8:10" ht="15.75" customHeight="1">
      <c r="H3828" s="563"/>
      <c r="I3828" s="538"/>
      <c r="J3828" s="564"/>
    </row>
    <row r="3829" spans="8:10" ht="15.75" customHeight="1">
      <c r="H3829" s="563"/>
      <c r="I3829" s="538"/>
      <c r="J3829" s="564"/>
    </row>
    <row r="3830" spans="8:10" ht="15.75" customHeight="1">
      <c r="H3830" s="563"/>
      <c r="I3830" s="538"/>
      <c r="J3830" s="564"/>
    </row>
    <row r="3831" spans="8:10" ht="15.75" customHeight="1">
      <c r="H3831" s="563"/>
      <c r="I3831" s="538"/>
      <c r="J3831" s="564"/>
    </row>
    <row r="3832" spans="8:10" ht="15.75" customHeight="1">
      <c r="H3832" s="563"/>
      <c r="I3832" s="538"/>
      <c r="J3832" s="564"/>
    </row>
    <row r="3833" spans="8:10" ht="15.75" customHeight="1">
      <c r="H3833" s="563"/>
      <c r="I3833" s="538"/>
      <c r="J3833" s="564"/>
    </row>
    <row r="3834" spans="8:10" ht="15.75" customHeight="1">
      <c r="H3834" s="563"/>
      <c r="I3834" s="538"/>
      <c r="J3834" s="564"/>
    </row>
    <row r="3835" spans="8:10" ht="15.75" customHeight="1">
      <c r="H3835" s="563"/>
      <c r="I3835" s="538"/>
      <c r="J3835" s="564"/>
    </row>
    <row r="3836" spans="8:10" ht="15.75" customHeight="1">
      <c r="H3836" s="563"/>
      <c r="I3836" s="538"/>
      <c r="J3836" s="564"/>
    </row>
    <row r="3837" spans="8:10" ht="15.75" customHeight="1">
      <c r="H3837" s="563"/>
      <c r="I3837" s="538"/>
      <c r="J3837" s="564"/>
    </row>
    <row r="3838" spans="8:10" ht="15.75" customHeight="1">
      <c r="H3838" s="563"/>
      <c r="I3838" s="538"/>
      <c r="J3838" s="564"/>
    </row>
    <row r="3839" spans="8:10" ht="15.75" customHeight="1">
      <c r="H3839" s="563"/>
      <c r="I3839" s="538"/>
      <c r="J3839" s="564"/>
    </row>
    <row r="3840" spans="8:10" ht="15.75" customHeight="1">
      <c r="H3840" s="563"/>
      <c r="I3840" s="538"/>
      <c r="J3840" s="564"/>
    </row>
    <row r="3841" spans="8:10" ht="15.75" customHeight="1">
      <c r="H3841" s="563"/>
      <c r="I3841" s="538"/>
      <c r="J3841" s="564"/>
    </row>
    <row r="3842" spans="8:10" ht="15.75" customHeight="1">
      <c r="H3842" s="563"/>
      <c r="I3842" s="538"/>
      <c r="J3842" s="564"/>
    </row>
    <row r="3843" spans="8:10" ht="15.75" customHeight="1">
      <c r="H3843" s="563"/>
      <c r="I3843" s="538"/>
      <c r="J3843" s="564"/>
    </row>
    <row r="3844" spans="8:10" ht="15.75" customHeight="1">
      <c r="H3844" s="563"/>
      <c r="I3844" s="538"/>
      <c r="J3844" s="564"/>
    </row>
    <row r="3845" spans="8:10" ht="15.75" customHeight="1">
      <c r="H3845" s="563"/>
      <c r="I3845" s="538"/>
      <c r="J3845" s="564"/>
    </row>
    <row r="3846" spans="8:10" ht="15.75" customHeight="1">
      <c r="H3846" s="563"/>
      <c r="I3846" s="538"/>
      <c r="J3846" s="564"/>
    </row>
    <row r="3847" spans="8:10" ht="15.75" customHeight="1">
      <c r="H3847" s="563"/>
      <c r="I3847" s="538"/>
      <c r="J3847" s="564"/>
    </row>
    <row r="3848" spans="8:10" ht="15.75" customHeight="1">
      <c r="H3848" s="563"/>
      <c r="I3848" s="538"/>
      <c r="J3848" s="564"/>
    </row>
    <row r="3849" spans="8:10" ht="15.75" customHeight="1">
      <c r="H3849" s="563"/>
      <c r="I3849" s="538"/>
      <c r="J3849" s="564"/>
    </row>
    <row r="3850" spans="8:10" ht="15.75" customHeight="1">
      <c r="H3850" s="563"/>
      <c r="I3850" s="538"/>
      <c r="J3850" s="564"/>
    </row>
    <row r="3851" spans="8:10" ht="15.75" customHeight="1">
      <c r="H3851" s="563"/>
      <c r="I3851" s="538"/>
      <c r="J3851" s="564"/>
    </row>
    <row r="3852" spans="8:10" ht="15.75" customHeight="1">
      <c r="H3852" s="563"/>
      <c r="I3852" s="538"/>
      <c r="J3852" s="564"/>
    </row>
    <row r="3853" spans="8:10" ht="15.75" customHeight="1">
      <c r="H3853" s="563"/>
      <c r="I3853" s="538"/>
      <c r="J3853" s="564"/>
    </row>
    <row r="3854" spans="8:10" ht="15.75" customHeight="1">
      <c r="H3854" s="563"/>
      <c r="I3854" s="538"/>
      <c r="J3854" s="564"/>
    </row>
    <row r="3855" spans="8:10" ht="15.75" customHeight="1">
      <c r="H3855" s="563"/>
      <c r="I3855" s="538"/>
      <c r="J3855" s="564"/>
    </row>
    <row r="3856" spans="8:10" ht="15.75" customHeight="1">
      <c r="H3856" s="563"/>
      <c r="I3856" s="538"/>
      <c r="J3856" s="564"/>
    </row>
    <row r="3857" spans="8:10" ht="15.75" customHeight="1">
      <c r="H3857" s="563"/>
      <c r="I3857" s="538"/>
      <c r="J3857" s="564"/>
    </row>
    <row r="3858" spans="8:10" ht="15.75" customHeight="1">
      <c r="H3858" s="563"/>
      <c r="I3858" s="538"/>
      <c r="J3858" s="564"/>
    </row>
    <row r="3859" spans="8:10" ht="15.75" customHeight="1">
      <c r="H3859" s="563"/>
      <c r="I3859" s="538"/>
      <c r="J3859" s="564"/>
    </row>
    <row r="3860" spans="8:10" ht="15.75" customHeight="1">
      <c r="H3860" s="563"/>
      <c r="I3860" s="538"/>
      <c r="J3860" s="564"/>
    </row>
    <row r="3861" spans="8:10" ht="15.75" customHeight="1">
      <c r="H3861" s="563"/>
      <c r="I3861" s="538"/>
      <c r="J3861" s="564"/>
    </row>
    <row r="3862" spans="8:10" ht="15.75" customHeight="1">
      <c r="H3862" s="563"/>
      <c r="I3862" s="538"/>
      <c r="J3862" s="564"/>
    </row>
    <row r="3863" spans="8:10" ht="15.75" customHeight="1">
      <c r="H3863" s="563"/>
      <c r="I3863" s="538"/>
      <c r="J3863" s="564"/>
    </row>
    <row r="3864" spans="8:10" ht="15.75" customHeight="1">
      <c r="H3864" s="563"/>
      <c r="I3864" s="538"/>
      <c r="J3864" s="564"/>
    </row>
    <row r="3865" spans="8:10" ht="15.75" customHeight="1">
      <c r="H3865" s="563"/>
      <c r="I3865" s="538"/>
      <c r="J3865" s="564"/>
    </row>
    <row r="3866" spans="8:10" ht="15.75" customHeight="1">
      <c r="H3866" s="563"/>
      <c r="I3866" s="538"/>
      <c r="J3866" s="564"/>
    </row>
    <row r="3867" spans="8:10" ht="15.75" customHeight="1">
      <c r="H3867" s="563"/>
      <c r="I3867" s="538"/>
      <c r="J3867" s="564"/>
    </row>
    <row r="3868" spans="8:10" ht="15.75" customHeight="1">
      <c r="H3868" s="563"/>
      <c r="I3868" s="538"/>
      <c r="J3868" s="564"/>
    </row>
    <row r="3869" spans="8:10" ht="15.75" customHeight="1">
      <c r="H3869" s="563"/>
      <c r="I3869" s="538"/>
      <c r="J3869" s="564"/>
    </row>
    <row r="3870" spans="8:10" ht="15.75" customHeight="1">
      <c r="H3870" s="563"/>
      <c r="I3870" s="538"/>
      <c r="J3870" s="564"/>
    </row>
    <row r="3871" spans="8:10" ht="15.75" customHeight="1">
      <c r="H3871" s="563"/>
      <c r="I3871" s="538"/>
      <c r="J3871" s="564"/>
    </row>
    <row r="3872" spans="8:10" ht="15.75" customHeight="1">
      <c r="H3872" s="563"/>
      <c r="I3872" s="538"/>
      <c r="J3872" s="564"/>
    </row>
    <row r="3873" spans="8:10" ht="15.75" customHeight="1">
      <c r="H3873" s="563"/>
      <c r="I3873" s="538"/>
      <c r="J3873" s="564"/>
    </row>
    <row r="3874" spans="8:10" ht="15.75" customHeight="1">
      <c r="H3874" s="563"/>
      <c r="I3874" s="538"/>
      <c r="J3874" s="564"/>
    </row>
    <row r="3875" spans="8:10" ht="15.75" customHeight="1">
      <c r="H3875" s="563"/>
      <c r="I3875" s="538"/>
      <c r="J3875" s="564"/>
    </row>
    <row r="3876" spans="8:10" ht="15.75" customHeight="1">
      <c r="H3876" s="563"/>
      <c r="I3876" s="538"/>
      <c r="J3876" s="564"/>
    </row>
    <row r="3877" spans="8:10" ht="15.75" customHeight="1">
      <c r="H3877" s="563"/>
      <c r="I3877" s="538"/>
      <c r="J3877" s="564"/>
    </row>
    <row r="3878" spans="8:10" ht="15.75" customHeight="1">
      <c r="H3878" s="563"/>
      <c r="I3878" s="538"/>
      <c r="J3878" s="564"/>
    </row>
    <row r="3879" spans="8:10" ht="15.75" customHeight="1">
      <c r="H3879" s="563"/>
      <c r="I3879" s="538"/>
      <c r="J3879" s="564"/>
    </row>
    <row r="3880" spans="8:10" ht="15.75" customHeight="1">
      <c r="H3880" s="563"/>
      <c r="I3880" s="538"/>
      <c r="J3880" s="564"/>
    </row>
    <row r="3881" spans="8:10" ht="15.75" customHeight="1">
      <c r="H3881" s="563"/>
      <c r="I3881" s="538"/>
      <c r="J3881" s="564"/>
    </row>
    <row r="3882" spans="8:10" ht="15.75" customHeight="1">
      <c r="H3882" s="563"/>
      <c r="I3882" s="538"/>
      <c r="J3882" s="564"/>
    </row>
    <row r="3883" spans="8:10" ht="15.75" customHeight="1">
      <c r="H3883" s="563"/>
      <c r="I3883" s="538"/>
      <c r="J3883" s="564"/>
    </row>
    <row r="3884" spans="8:10" ht="15.75" customHeight="1">
      <c r="H3884" s="563"/>
      <c r="I3884" s="538"/>
      <c r="J3884" s="564"/>
    </row>
    <row r="3885" spans="8:10" ht="15.75" customHeight="1">
      <c r="H3885" s="563"/>
      <c r="I3885" s="538"/>
      <c r="J3885" s="564"/>
    </row>
    <row r="3886" spans="8:10" ht="15.75" customHeight="1">
      <c r="H3886" s="563"/>
      <c r="I3886" s="538"/>
      <c r="J3886" s="564"/>
    </row>
    <row r="3887" spans="8:10" ht="15.75" customHeight="1">
      <c r="H3887" s="563"/>
      <c r="I3887" s="538"/>
      <c r="J3887" s="564"/>
    </row>
    <row r="3888" spans="8:10" ht="15.75" customHeight="1">
      <c r="H3888" s="563"/>
      <c r="I3888" s="538"/>
      <c r="J3888" s="564"/>
    </row>
    <row r="3889" spans="8:10" ht="15.75" customHeight="1">
      <c r="H3889" s="563"/>
      <c r="I3889" s="538"/>
      <c r="J3889" s="564"/>
    </row>
    <row r="3890" spans="8:10" ht="15.75" customHeight="1">
      <c r="H3890" s="563"/>
      <c r="I3890" s="538"/>
      <c r="J3890" s="564"/>
    </row>
    <row r="3891" spans="8:10" ht="15.75" customHeight="1">
      <c r="H3891" s="563"/>
      <c r="I3891" s="538"/>
      <c r="J3891" s="564"/>
    </row>
    <row r="3892" spans="8:10" ht="15.75" customHeight="1">
      <c r="H3892" s="563"/>
      <c r="I3892" s="538"/>
      <c r="J3892" s="564"/>
    </row>
    <row r="3893" spans="8:10" ht="15.75" customHeight="1">
      <c r="H3893" s="563"/>
      <c r="I3893" s="538"/>
      <c r="J3893" s="564"/>
    </row>
    <row r="3894" spans="8:10" ht="15.75" customHeight="1">
      <c r="H3894" s="563"/>
      <c r="I3894" s="538"/>
      <c r="J3894" s="564"/>
    </row>
    <row r="3895" spans="8:10" ht="15.75" customHeight="1">
      <c r="H3895" s="563"/>
      <c r="I3895" s="538"/>
      <c r="J3895" s="564"/>
    </row>
    <row r="3896" spans="8:10" ht="15.75" customHeight="1">
      <c r="H3896" s="563"/>
      <c r="I3896" s="538"/>
      <c r="J3896" s="564"/>
    </row>
    <row r="3897" spans="8:10" ht="15.75" customHeight="1">
      <c r="H3897" s="563"/>
      <c r="I3897" s="538"/>
      <c r="J3897" s="564"/>
    </row>
    <row r="3898" spans="8:10" ht="15.75" customHeight="1">
      <c r="H3898" s="563"/>
      <c r="I3898" s="538"/>
      <c r="J3898" s="564"/>
    </row>
    <row r="3899" spans="8:10" ht="15.75" customHeight="1">
      <c r="H3899" s="563"/>
      <c r="I3899" s="538"/>
      <c r="J3899" s="564"/>
    </row>
    <row r="3900" spans="8:10" ht="15.75" customHeight="1">
      <c r="H3900" s="563"/>
      <c r="I3900" s="538"/>
      <c r="J3900" s="564"/>
    </row>
    <row r="3901" spans="8:10" ht="15.75" customHeight="1">
      <c r="H3901" s="563"/>
      <c r="I3901" s="538"/>
      <c r="J3901" s="564"/>
    </row>
    <row r="3902" spans="8:10" ht="15.75" customHeight="1">
      <c r="H3902" s="563"/>
      <c r="I3902" s="538"/>
      <c r="J3902" s="564"/>
    </row>
    <row r="3903" spans="8:10" ht="15.75" customHeight="1">
      <c r="H3903" s="563"/>
      <c r="I3903" s="538"/>
      <c r="J3903" s="564"/>
    </row>
    <row r="3904" spans="8:10" ht="15.75" customHeight="1">
      <c r="H3904" s="563"/>
      <c r="I3904" s="538"/>
      <c r="J3904" s="564"/>
    </row>
    <row r="3905" spans="8:10" ht="15.75" customHeight="1">
      <c r="H3905" s="563"/>
      <c r="I3905" s="538"/>
      <c r="J3905" s="564"/>
    </row>
    <row r="3906" spans="8:10" ht="15.75" customHeight="1">
      <c r="H3906" s="563"/>
      <c r="I3906" s="538"/>
      <c r="J3906" s="564"/>
    </row>
    <row r="3907" spans="8:10" ht="15.75" customHeight="1">
      <c r="H3907" s="563"/>
      <c r="I3907" s="538"/>
      <c r="J3907" s="564"/>
    </row>
    <row r="3908" spans="8:10" ht="15.75" customHeight="1">
      <c r="H3908" s="563"/>
      <c r="I3908" s="538"/>
      <c r="J3908" s="564"/>
    </row>
    <row r="3909" spans="8:10" ht="15.75" customHeight="1">
      <c r="H3909" s="563"/>
      <c r="I3909" s="538"/>
      <c r="J3909" s="564"/>
    </row>
    <row r="3910" spans="8:10" ht="15.75" customHeight="1">
      <c r="H3910" s="563"/>
      <c r="I3910" s="538"/>
      <c r="J3910" s="564"/>
    </row>
    <row r="3911" spans="8:10" ht="15.75" customHeight="1">
      <c r="H3911" s="563"/>
      <c r="I3911" s="538"/>
      <c r="J3911" s="564"/>
    </row>
    <row r="3912" spans="8:10" ht="15.75" customHeight="1">
      <c r="H3912" s="563"/>
      <c r="I3912" s="538"/>
      <c r="J3912" s="564"/>
    </row>
    <row r="3913" spans="8:10" ht="15.75" customHeight="1">
      <c r="H3913" s="563"/>
      <c r="I3913" s="538"/>
      <c r="J3913" s="564"/>
    </row>
    <row r="3914" spans="8:10" ht="15.75" customHeight="1">
      <c r="H3914" s="563"/>
      <c r="I3914" s="538"/>
      <c r="J3914" s="564"/>
    </row>
    <row r="3915" spans="8:10" ht="15.75" customHeight="1">
      <c r="H3915" s="563"/>
      <c r="I3915" s="538"/>
      <c r="J3915" s="564"/>
    </row>
    <row r="3916" spans="8:10" ht="15.75" customHeight="1">
      <c r="H3916" s="563"/>
      <c r="I3916" s="538"/>
      <c r="J3916" s="564"/>
    </row>
    <row r="3917" spans="8:10" ht="15.75" customHeight="1">
      <c r="H3917" s="563"/>
      <c r="I3917" s="538"/>
      <c r="J3917" s="564"/>
    </row>
    <row r="3918" spans="8:10" ht="15.75" customHeight="1">
      <c r="H3918" s="563"/>
      <c r="I3918" s="538"/>
      <c r="J3918" s="564"/>
    </row>
    <row r="3919" spans="8:10" ht="15.75" customHeight="1">
      <c r="H3919" s="563"/>
      <c r="I3919" s="538"/>
      <c r="J3919" s="564"/>
    </row>
    <row r="3920" spans="8:10" ht="15.75" customHeight="1">
      <c r="H3920" s="563"/>
      <c r="I3920" s="538"/>
      <c r="J3920" s="564"/>
    </row>
    <row r="3921" spans="8:10" ht="15.75" customHeight="1">
      <c r="H3921" s="563"/>
      <c r="I3921" s="538"/>
      <c r="J3921" s="564"/>
    </row>
    <row r="3922" spans="8:10" ht="15.75" customHeight="1">
      <c r="H3922" s="563"/>
      <c r="I3922" s="538"/>
      <c r="J3922" s="564"/>
    </row>
    <row r="3923" spans="8:10" ht="15.75" customHeight="1">
      <c r="H3923" s="563"/>
      <c r="I3923" s="538"/>
      <c r="J3923" s="564"/>
    </row>
    <row r="3924" spans="8:10" ht="15.75" customHeight="1">
      <c r="H3924" s="563"/>
      <c r="I3924" s="538"/>
      <c r="J3924" s="564"/>
    </row>
    <row r="3925" spans="8:10" ht="15.75" customHeight="1">
      <c r="H3925" s="563"/>
      <c r="I3925" s="538"/>
      <c r="J3925" s="564"/>
    </row>
    <row r="3926" spans="8:10" ht="15.75" customHeight="1">
      <c r="H3926" s="563"/>
      <c r="I3926" s="538"/>
      <c r="J3926" s="564"/>
    </row>
    <row r="3927" spans="8:10" ht="15.75" customHeight="1">
      <c r="H3927" s="563"/>
      <c r="I3927" s="538"/>
      <c r="J3927" s="564"/>
    </row>
    <row r="3928" spans="8:10" ht="15.75" customHeight="1">
      <c r="H3928" s="563"/>
      <c r="I3928" s="538"/>
      <c r="J3928" s="564"/>
    </row>
    <row r="3929" spans="8:10" ht="15.75" customHeight="1">
      <c r="H3929" s="563"/>
      <c r="I3929" s="538"/>
      <c r="J3929" s="564"/>
    </row>
    <row r="3930" spans="8:10" ht="15.75" customHeight="1">
      <c r="H3930" s="563"/>
      <c r="I3930" s="538"/>
      <c r="J3930" s="564"/>
    </row>
    <row r="3931" spans="8:10" ht="15.75" customHeight="1">
      <c r="H3931" s="563"/>
      <c r="I3931" s="538"/>
      <c r="J3931" s="564"/>
    </row>
    <row r="3932" spans="8:10" ht="15.75" customHeight="1">
      <c r="H3932" s="563"/>
      <c r="I3932" s="538"/>
      <c r="J3932" s="564"/>
    </row>
    <row r="3933" spans="8:10" ht="15.75" customHeight="1">
      <c r="H3933" s="563"/>
      <c r="I3933" s="538"/>
      <c r="J3933" s="564"/>
    </row>
    <row r="3934" spans="8:10" ht="15.75" customHeight="1">
      <c r="H3934" s="563"/>
      <c r="I3934" s="538"/>
      <c r="J3934" s="564"/>
    </row>
    <row r="3935" spans="8:10" ht="15.75" customHeight="1">
      <c r="H3935" s="563"/>
      <c r="I3935" s="538"/>
      <c r="J3935" s="564"/>
    </row>
    <row r="3936" spans="8:10" ht="15.75" customHeight="1">
      <c r="H3936" s="563"/>
      <c r="I3936" s="538"/>
      <c r="J3936" s="564"/>
    </row>
    <row r="3937" spans="8:10" ht="15.75" customHeight="1">
      <c r="H3937" s="563"/>
      <c r="I3937" s="538"/>
      <c r="J3937" s="564"/>
    </row>
    <row r="3938" spans="8:10" ht="15.75" customHeight="1">
      <c r="H3938" s="563"/>
      <c r="I3938" s="538"/>
      <c r="J3938" s="564"/>
    </row>
    <row r="3939" spans="8:10" ht="15.75" customHeight="1">
      <c r="H3939" s="563"/>
      <c r="I3939" s="538"/>
      <c r="J3939" s="564"/>
    </row>
    <row r="3940" spans="8:10" ht="15.75" customHeight="1">
      <c r="H3940" s="563"/>
      <c r="I3940" s="538"/>
      <c r="J3940" s="564"/>
    </row>
    <row r="3941" spans="8:10" ht="15.75" customHeight="1">
      <c r="H3941" s="563"/>
      <c r="I3941" s="538"/>
      <c r="J3941" s="564"/>
    </row>
    <row r="3942" spans="8:10" ht="15.75" customHeight="1">
      <c r="H3942" s="563"/>
      <c r="I3942" s="538"/>
      <c r="J3942" s="564"/>
    </row>
    <row r="3943" spans="8:10" ht="15.75" customHeight="1">
      <c r="H3943" s="563"/>
      <c r="I3943" s="538"/>
      <c r="J3943" s="564"/>
    </row>
    <row r="3944" spans="8:10" ht="15.75" customHeight="1">
      <c r="H3944" s="563"/>
      <c r="I3944" s="538"/>
      <c r="J3944" s="564"/>
    </row>
    <row r="3945" spans="8:10" ht="15.75" customHeight="1">
      <c r="H3945" s="563"/>
      <c r="I3945" s="538"/>
      <c r="J3945" s="564"/>
    </row>
    <row r="3946" spans="8:10" ht="15.75" customHeight="1">
      <c r="H3946" s="563"/>
      <c r="I3946" s="538"/>
      <c r="J3946" s="564"/>
    </row>
    <row r="3947" spans="8:10" ht="15.75" customHeight="1">
      <c r="H3947" s="563"/>
      <c r="I3947" s="538"/>
      <c r="J3947" s="564"/>
    </row>
    <row r="3948" spans="8:10" ht="15.75" customHeight="1">
      <c r="H3948" s="563"/>
      <c r="I3948" s="538"/>
      <c r="J3948" s="564"/>
    </row>
    <row r="3949" spans="8:10" ht="15.75" customHeight="1">
      <c r="H3949" s="563"/>
      <c r="I3949" s="538"/>
      <c r="J3949" s="564"/>
    </row>
    <row r="3950" spans="8:10" ht="15.75" customHeight="1">
      <c r="H3950" s="563"/>
      <c r="I3950" s="538"/>
      <c r="J3950" s="564"/>
    </row>
    <row r="3951" spans="8:10" ht="15.75" customHeight="1">
      <c r="H3951" s="563"/>
      <c r="I3951" s="538"/>
      <c r="J3951" s="564"/>
    </row>
    <row r="3952" spans="8:10" ht="15.75" customHeight="1">
      <c r="H3952" s="563"/>
      <c r="I3952" s="538"/>
      <c r="J3952" s="564"/>
    </row>
    <row r="3953" spans="8:10" ht="15.75" customHeight="1">
      <c r="H3953" s="563"/>
      <c r="I3953" s="538"/>
      <c r="J3953" s="564"/>
    </row>
    <row r="3954" spans="8:10" ht="15.75" customHeight="1">
      <c r="H3954" s="563"/>
      <c r="I3954" s="538"/>
      <c r="J3954" s="564"/>
    </row>
    <row r="3955" spans="8:10" ht="15.75" customHeight="1">
      <c r="H3955" s="563"/>
      <c r="I3955" s="538"/>
      <c r="J3955" s="564"/>
    </row>
    <row r="3956" spans="8:10" ht="15.75" customHeight="1">
      <c r="H3956" s="563"/>
      <c r="I3956" s="538"/>
      <c r="J3956" s="564"/>
    </row>
    <row r="3957" spans="8:10" ht="15.75" customHeight="1">
      <c r="H3957" s="563"/>
      <c r="I3957" s="538"/>
      <c r="J3957" s="564"/>
    </row>
    <row r="3958" spans="8:10" ht="15.75" customHeight="1">
      <c r="H3958" s="563"/>
      <c r="I3958" s="538"/>
      <c r="J3958" s="564"/>
    </row>
    <row r="3959" spans="8:10" ht="15.75" customHeight="1">
      <c r="H3959" s="563"/>
      <c r="I3959" s="538"/>
      <c r="J3959" s="564"/>
    </row>
    <row r="3960" spans="8:10" ht="15.75" customHeight="1">
      <c r="H3960" s="563"/>
      <c r="I3960" s="538"/>
      <c r="J3960" s="564"/>
    </row>
    <row r="3961" spans="8:10" ht="15.75" customHeight="1">
      <c r="H3961" s="563"/>
      <c r="I3961" s="538"/>
      <c r="J3961" s="564"/>
    </row>
    <row r="3962" spans="8:10" ht="15.75" customHeight="1">
      <c r="H3962" s="563"/>
      <c r="I3962" s="538"/>
      <c r="J3962" s="564"/>
    </row>
    <row r="3963" spans="8:10" ht="15.75" customHeight="1">
      <c r="H3963" s="563"/>
      <c r="I3963" s="538"/>
      <c r="J3963" s="564"/>
    </row>
    <row r="3964" spans="8:10" ht="15.75" customHeight="1">
      <c r="H3964" s="563"/>
      <c r="I3964" s="538"/>
      <c r="J3964" s="564"/>
    </row>
    <row r="3965" spans="8:10" ht="15.75" customHeight="1">
      <c r="H3965" s="563"/>
      <c r="I3965" s="538"/>
      <c r="J3965" s="564"/>
    </row>
    <row r="3966" spans="8:10" ht="15.75" customHeight="1">
      <c r="H3966" s="563"/>
      <c r="I3966" s="538"/>
      <c r="J3966" s="564"/>
    </row>
    <row r="3967" spans="8:10" ht="15.75" customHeight="1">
      <c r="H3967" s="563"/>
      <c r="I3967" s="538"/>
      <c r="J3967" s="564"/>
    </row>
    <row r="3968" spans="8:10" ht="15.75" customHeight="1">
      <c r="H3968" s="563"/>
      <c r="I3968" s="538"/>
      <c r="J3968" s="564"/>
    </row>
    <row r="3969" spans="8:10" ht="15.75" customHeight="1">
      <c r="H3969" s="563"/>
      <c r="I3969" s="538"/>
      <c r="J3969" s="564"/>
    </row>
    <row r="3970" spans="8:10" ht="15.75" customHeight="1">
      <c r="H3970" s="563"/>
      <c r="I3970" s="538"/>
      <c r="J3970" s="564"/>
    </row>
    <row r="3971" spans="8:10" ht="15.75" customHeight="1">
      <c r="H3971" s="563"/>
      <c r="I3971" s="538"/>
      <c r="J3971" s="564"/>
    </row>
    <row r="3972" spans="8:10" ht="15.75" customHeight="1">
      <c r="H3972" s="563"/>
      <c r="I3972" s="538"/>
      <c r="J3972" s="564"/>
    </row>
    <row r="3973" spans="8:10" ht="15.75" customHeight="1">
      <c r="H3973" s="563"/>
      <c r="I3973" s="538"/>
      <c r="J3973" s="564"/>
    </row>
    <row r="3974" spans="8:10" ht="15.75" customHeight="1">
      <c r="H3974" s="563"/>
      <c r="I3974" s="538"/>
      <c r="J3974" s="564"/>
    </row>
    <row r="3975" spans="8:10" ht="15.75" customHeight="1">
      <c r="H3975" s="563"/>
      <c r="I3975" s="538"/>
      <c r="J3975" s="564"/>
    </row>
    <row r="3976" spans="8:10" ht="15.75" customHeight="1">
      <c r="H3976" s="563"/>
      <c r="I3976" s="538"/>
      <c r="J3976" s="564"/>
    </row>
    <row r="3977" spans="8:10" ht="15.75" customHeight="1">
      <c r="H3977" s="563"/>
      <c r="I3977" s="538"/>
      <c r="J3977" s="564"/>
    </row>
    <row r="3978" spans="8:10" ht="15.75" customHeight="1">
      <c r="H3978" s="563"/>
      <c r="I3978" s="538"/>
      <c r="J3978" s="564"/>
    </row>
    <row r="3979" spans="8:10" ht="15.75" customHeight="1">
      <c r="H3979" s="563"/>
      <c r="I3979" s="538"/>
      <c r="J3979" s="564"/>
    </row>
    <row r="3980" spans="8:10" ht="15.75" customHeight="1">
      <c r="H3980" s="563"/>
      <c r="I3980" s="538"/>
      <c r="J3980" s="564"/>
    </row>
    <row r="3981" spans="8:10" ht="15.75" customHeight="1">
      <c r="H3981" s="563"/>
      <c r="I3981" s="538"/>
      <c r="J3981" s="564"/>
    </row>
    <row r="3982" spans="8:10" ht="15.75" customHeight="1">
      <c r="H3982" s="563"/>
      <c r="I3982" s="538"/>
      <c r="J3982" s="564"/>
    </row>
    <row r="3983" spans="8:10" ht="15.75" customHeight="1">
      <c r="H3983" s="563"/>
      <c r="I3983" s="538"/>
      <c r="J3983" s="564"/>
    </row>
    <row r="3984" spans="8:10" ht="15.75" customHeight="1">
      <c r="H3984" s="563"/>
      <c r="I3984" s="538"/>
      <c r="J3984" s="564"/>
    </row>
    <row r="3985" spans="8:10" ht="15.75" customHeight="1">
      <c r="H3985" s="563"/>
      <c r="I3985" s="538"/>
      <c r="J3985" s="564"/>
    </row>
    <row r="3986" spans="8:10" ht="15.75" customHeight="1">
      <c r="H3986" s="563"/>
      <c r="I3986" s="538"/>
      <c r="J3986" s="564"/>
    </row>
    <row r="3987" spans="8:10" ht="15.75" customHeight="1">
      <c r="H3987" s="563"/>
      <c r="I3987" s="538"/>
      <c r="J3987" s="564"/>
    </row>
    <row r="3988" spans="8:10" ht="15.75" customHeight="1">
      <c r="H3988" s="563"/>
      <c r="I3988" s="538"/>
      <c r="J3988" s="564"/>
    </row>
    <row r="3989" spans="8:10" ht="15.75" customHeight="1">
      <c r="H3989" s="563"/>
      <c r="I3989" s="538"/>
      <c r="J3989" s="564"/>
    </row>
    <row r="3990" spans="8:10" ht="15.75" customHeight="1">
      <c r="H3990" s="563"/>
      <c r="I3990" s="538"/>
      <c r="J3990" s="564"/>
    </row>
    <row r="3991" spans="8:10" ht="15.75" customHeight="1">
      <c r="H3991" s="563"/>
      <c r="I3991" s="538"/>
      <c r="J3991" s="564"/>
    </row>
    <row r="3992" spans="8:10" ht="15.75" customHeight="1">
      <c r="H3992" s="563"/>
      <c r="I3992" s="538"/>
      <c r="J3992" s="564"/>
    </row>
    <row r="3993" spans="8:10" ht="15.75" customHeight="1">
      <c r="H3993" s="563"/>
      <c r="I3993" s="538"/>
      <c r="J3993" s="564"/>
    </row>
    <row r="3994" spans="8:10" ht="15.75" customHeight="1">
      <c r="H3994" s="563"/>
      <c r="I3994" s="538"/>
      <c r="J3994" s="564"/>
    </row>
    <row r="3995" spans="8:10" ht="15.75" customHeight="1">
      <c r="H3995" s="563"/>
      <c r="I3995" s="538"/>
      <c r="J3995" s="564"/>
    </row>
    <row r="3996" spans="8:10" ht="15.75" customHeight="1">
      <c r="H3996" s="563"/>
      <c r="I3996" s="538"/>
      <c r="J3996" s="564"/>
    </row>
    <row r="3997" spans="8:10" ht="15.75" customHeight="1">
      <c r="H3997" s="563"/>
      <c r="I3997" s="538"/>
      <c r="J3997" s="564"/>
    </row>
    <row r="3998" spans="8:10" ht="15.75" customHeight="1">
      <c r="H3998" s="563"/>
      <c r="I3998" s="538"/>
      <c r="J3998" s="564"/>
    </row>
    <row r="3999" spans="8:10" ht="15.75" customHeight="1">
      <c r="H3999" s="563"/>
      <c r="I3999" s="538"/>
      <c r="J3999" s="564"/>
    </row>
    <row r="4000" spans="8:10" ht="15.75" customHeight="1">
      <c r="H4000" s="563"/>
      <c r="I4000" s="538"/>
      <c r="J4000" s="564"/>
    </row>
    <row r="4001" spans="8:10" ht="15.75" customHeight="1">
      <c r="H4001" s="563"/>
      <c r="I4001" s="538"/>
      <c r="J4001" s="564"/>
    </row>
    <row r="4002" spans="8:10" ht="15.75" customHeight="1">
      <c r="H4002" s="563"/>
      <c r="I4002" s="538"/>
      <c r="J4002" s="564"/>
    </row>
    <row r="4003" spans="8:10" ht="15.75" customHeight="1">
      <c r="H4003" s="563"/>
      <c r="I4003" s="538"/>
      <c r="J4003" s="564"/>
    </row>
    <row r="4004" spans="8:10" ht="15.75" customHeight="1">
      <c r="H4004" s="563"/>
      <c r="I4004" s="538"/>
      <c r="J4004" s="564"/>
    </row>
    <row r="4005" spans="8:10" ht="15.75" customHeight="1">
      <c r="H4005" s="563"/>
      <c r="I4005" s="538"/>
      <c r="J4005" s="564"/>
    </row>
    <row r="4006" spans="8:10" ht="15.75" customHeight="1">
      <c r="H4006" s="563"/>
      <c r="I4006" s="538"/>
      <c r="J4006" s="564"/>
    </row>
    <row r="4007" spans="8:10" ht="15.75" customHeight="1">
      <c r="H4007" s="563"/>
      <c r="I4007" s="538"/>
      <c r="J4007" s="564"/>
    </row>
    <row r="4008" spans="8:10" ht="15.75" customHeight="1">
      <c r="H4008" s="563"/>
      <c r="I4008" s="538"/>
      <c r="J4008" s="564"/>
    </row>
    <row r="4009" spans="8:10" ht="15.75" customHeight="1">
      <c r="H4009" s="563"/>
      <c r="I4009" s="538"/>
      <c r="J4009" s="564"/>
    </row>
    <row r="4010" spans="8:10" ht="15.75" customHeight="1">
      <c r="H4010" s="563"/>
      <c r="I4010" s="538"/>
      <c r="J4010" s="564"/>
    </row>
    <row r="4011" spans="8:10" ht="15.75" customHeight="1">
      <c r="H4011" s="563"/>
      <c r="I4011" s="538"/>
      <c r="J4011" s="564"/>
    </row>
    <row r="4012" spans="8:10" ht="15.75" customHeight="1">
      <c r="H4012" s="563"/>
      <c r="I4012" s="538"/>
      <c r="J4012" s="564"/>
    </row>
    <row r="4013" spans="8:10" ht="15.75" customHeight="1">
      <c r="H4013" s="563"/>
      <c r="I4013" s="538"/>
      <c r="J4013" s="564"/>
    </row>
    <row r="4014" spans="8:10" ht="15.75" customHeight="1">
      <c r="H4014" s="563"/>
      <c r="I4014" s="538"/>
      <c r="J4014" s="564"/>
    </row>
    <row r="4015" spans="8:10" ht="15.75" customHeight="1">
      <c r="H4015" s="563"/>
      <c r="I4015" s="538"/>
      <c r="J4015" s="564"/>
    </row>
    <row r="4016" spans="8:10" ht="15.75" customHeight="1">
      <c r="H4016" s="563"/>
      <c r="I4016" s="538"/>
      <c r="J4016" s="564"/>
    </row>
    <row r="4017" spans="8:10" ht="15.75" customHeight="1">
      <c r="H4017" s="563"/>
      <c r="I4017" s="538"/>
      <c r="J4017" s="564"/>
    </row>
    <row r="4018" spans="8:10" ht="15.75" customHeight="1">
      <c r="H4018" s="563"/>
      <c r="I4018" s="538"/>
      <c r="J4018" s="564"/>
    </row>
    <row r="4019" spans="8:10" ht="15.75" customHeight="1">
      <c r="H4019" s="563"/>
      <c r="I4019" s="538"/>
      <c r="J4019" s="564"/>
    </row>
    <row r="4020" spans="8:10" ht="15.75" customHeight="1">
      <c r="H4020" s="563"/>
      <c r="I4020" s="538"/>
      <c r="J4020" s="564"/>
    </row>
    <row r="4021" spans="8:10" ht="15.75" customHeight="1">
      <c r="H4021" s="563"/>
      <c r="I4021" s="538"/>
      <c r="J4021" s="564"/>
    </row>
    <row r="4022" spans="8:10" ht="15.75" customHeight="1">
      <c r="H4022" s="563"/>
      <c r="I4022" s="538"/>
      <c r="J4022" s="564"/>
    </row>
    <row r="4023" spans="8:10" ht="15.75" customHeight="1">
      <c r="H4023" s="563"/>
      <c r="I4023" s="538"/>
      <c r="J4023" s="564"/>
    </row>
    <row r="4024" spans="8:10" ht="15.75" customHeight="1">
      <c r="H4024" s="563"/>
      <c r="I4024" s="538"/>
      <c r="J4024" s="564"/>
    </row>
    <row r="4025" spans="8:10" ht="15.75" customHeight="1">
      <c r="H4025" s="563"/>
      <c r="I4025" s="538"/>
      <c r="J4025" s="564"/>
    </row>
    <row r="4026" spans="8:10" ht="15.75" customHeight="1">
      <c r="H4026" s="563"/>
      <c r="I4026" s="538"/>
      <c r="J4026" s="564"/>
    </row>
    <row r="4027" spans="8:10" ht="15.75" customHeight="1">
      <c r="H4027" s="563"/>
      <c r="I4027" s="538"/>
      <c r="J4027" s="564"/>
    </row>
    <row r="4028" spans="8:10" ht="15.75" customHeight="1">
      <c r="H4028" s="563"/>
      <c r="I4028" s="538"/>
      <c r="J4028" s="564"/>
    </row>
    <row r="4029" spans="8:10" ht="15.75" customHeight="1">
      <c r="H4029" s="563"/>
      <c r="I4029" s="538"/>
      <c r="J4029" s="564"/>
    </row>
    <row r="4030" spans="8:10" ht="15.75" customHeight="1">
      <c r="H4030" s="563"/>
      <c r="I4030" s="538"/>
      <c r="J4030" s="564"/>
    </row>
    <row r="4031" spans="8:10" ht="15.75" customHeight="1">
      <c r="H4031" s="563"/>
      <c r="I4031" s="538"/>
      <c r="J4031" s="564"/>
    </row>
    <row r="4032" spans="8:10" ht="15.75" customHeight="1">
      <c r="H4032" s="563"/>
      <c r="I4032" s="538"/>
      <c r="J4032" s="564"/>
    </row>
    <row r="4033" spans="8:10" ht="15.75" customHeight="1">
      <c r="H4033" s="563"/>
      <c r="I4033" s="538"/>
      <c r="J4033" s="564"/>
    </row>
    <row r="4034" spans="8:10" ht="15.75" customHeight="1">
      <c r="H4034" s="563"/>
      <c r="I4034" s="538"/>
      <c r="J4034" s="564"/>
    </row>
    <row r="4035" spans="8:10" ht="15.75" customHeight="1">
      <c r="H4035" s="563"/>
      <c r="I4035" s="538"/>
      <c r="J4035" s="564"/>
    </row>
    <row r="4036" spans="8:10" ht="15.75" customHeight="1">
      <c r="H4036" s="563"/>
      <c r="I4036" s="538"/>
      <c r="J4036" s="564"/>
    </row>
    <row r="4037" spans="8:10" ht="15.75" customHeight="1">
      <c r="H4037" s="563"/>
      <c r="I4037" s="538"/>
      <c r="J4037" s="564"/>
    </row>
    <row r="4038" spans="8:10" ht="15.75" customHeight="1">
      <c r="H4038" s="563"/>
      <c r="I4038" s="538"/>
      <c r="J4038" s="564"/>
    </row>
    <row r="4039" spans="8:10" ht="15.75" customHeight="1">
      <c r="H4039" s="563"/>
      <c r="I4039" s="538"/>
      <c r="J4039" s="564"/>
    </row>
    <row r="4040" spans="8:10" ht="15.75" customHeight="1">
      <c r="H4040" s="563"/>
      <c r="I4040" s="538"/>
      <c r="J4040" s="564"/>
    </row>
    <row r="4041" spans="8:10" ht="15.75" customHeight="1">
      <c r="H4041" s="563"/>
      <c r="I4041" s="538"/>
      <c r="J4041" s="564"/>
    </row>
    <row r="4042" spans="8:10" ht="15.75" customHeight="1">
      <c r="H4042" s="563"/>
      <c r="I4042" s="538"/>
      <c r="J4042" s="564"/>
    </row>
    <row r="4043" spans="8:10" ht="15.75" customHeight="1">
      <c r="H4043" s="563"/>
      <c r="I4043" s="538"/>
      <c r="J4043" s="564"/>
    </row>
    <row r="4044" spans="8:10" ht="15.75" customHeight="1">
      <c r="H4044" s="563"/>
      <c r="I4044" s="538"/>
      <c r="J4044" s="564"/>
    </row>
    <row r="4045" spans="8:10" ht="15.75" customHeight="1">
      <c r="H4045" s="563"/>
      <c r="I4045" s="538"/>
      <c r="J4045" s="564"/>
    </row>
    <row r="4046" spans="8:10" ht="15.75" customHeight="1">
      <c r="H4046" s="563"/>
      <c r="I4046" s="538"/>
      <c r="J4046" s="564"/>
    </row>
    <row r="4047" spans="8:10" ht="15.75" customHeight="1">
      <c r="H4047" s="563"/>
      <c r="I4047" s="538"/>
      <c r="J4047" s="564"/>
    </row>
    <row r="4048" spans="8:10" ht="15.75" customHeight="1">
      <c r="H4048" s="563"/>
      <c r="I4048" s="538"/>
      <c r="J4048" s="564"/>
    </row>
    <row r="4049" spans="8:10" ht="15.75" customHeight="1">
      <c r="H4049" s="563"/>
      <c r="I4049" s="538"/>
      <c r="J4049" s="564"/>
    </row>
    <row r="4050" spans="8:10" ht="15.75" customHeight="1">
      <c r="H4050" s="563"/>
      <c r="I4050" s="538"/>
      <c r="J4050" s="564"/>
    </row>
    <row r="4051" spans="8:10" ht="15.75" customHeight="1">
      <c r="H4051" s="563"/>
      <c r="I4051" s="538"/>
      <c r="J4051" s="564"/>
    </row>
    <row r="4052" spans="8:10" ht="15.75" customHeight="1">
      <c r="H4052" s="563"/>
      <c r="I4052" s="538"/>
      <c r="J4052" s="564"/>
    </row>
    <row r="4053" spans="8:10" ht="15.75" customHeight="1">
      <c r="H4053" s="563"/>
      <c r="I4053" s="538"/>
      <c r="J4053" s="564"/>
    </row>
    <row r="4054" spans="8:10" ht="15.75" customHeight="1">
      <c r="H4054" s="563"/>
      <c r="I4054" s="538"/>
      <c r="J4054" s="564"/>
    </row>
    <row r="4055" spans="8:10" ht="15.75" customHeight="1">
      <c r="H4055" s="563"/>
      <c r="I4055" s="538"/>
      <c r="J4055" s="564"/>
    </row>
    <row r="4056" spans="8:10" ht="15.75" customHeight="1">
      <c r="H4056" s="563"/>
      <c r="I4056" s="538"/>
      <c r="J4056" s="564"/>
    </row>
    <row r="4057" spans="8:10" ht="15.75" customHeight="1">
      <c r="H4057" s="563"/>
      <c r="I4057" s="538"/>
      <c r="J4057" s="564"/>
    </row>
    <row r="4058" spans="8:10" ht="15.75" customHeight="1">
      <c r="H4058" s="563"/>
      <c r="I4058" s="538"/>
      <c r="J4058" s="564"/>
    </row>
    <row r="4059" spans="8:10" ht="15.75" customHeight="1">
      <c r="H4059" s="563"/>
      <c r="I4059" s="538"/>
      <c r="J4059" s="564"/>
    </row>
    <row r="4060" spans="8:10" ht="15.75" customHeight="1">
      <c r="H4060" s="563"/>
      <c r="I4060" s="538"/>
      <c r="J4060" s="564"/>
    </row>
    <row r="4061" spans="8:10" ht="15.75" customHeight="1">
      <c r="H4061" s="563"/>
      <c r="I4061" s="538"/>
      <c r="J4061" s="564"/>
    </row>
    <row r="4062" spans="8:10" ht="15.75" customHeight="1">
      <c r="H4062" s="563"/>
      <c r="I4062" s="538"/>
      <c r="J4062" s="564"/>
    </row>
    <row r="4063" spans="8:10" ht="15.75" customHeight="1">
      <c r="H4063" s="563"/>
      <c r="I4063" s="538"/>
      <c r="J4063" s="564"/>
    </row>
    <row r="4064" spans="8:10" ht="15.75" customHeight="1">
      <c r="H4064" s="563"/>
      <c r="I4064" s="538"/>
      <c r="J4064" s="564"/>
    </row>
    <row r="4065" spans="8:10" ht="15.75" customHeight="1">
      <c r="H4065" s="563"/>
      <c r="I4065" s="538"/>
      <c r="J4065" s="564"/>
    </row>
    <row r="4066" spans="8:10" ht="15.75" customHeight="1">
      <c r="H4066" s="563"/>
      <c r="I4066" s="538"/>
      <c r="J4066" s="564"/>
    </row>
    <row r="4067" spans="8:10" ht="15.75" customHeight="1">
      <c r="H4067" s="563"/>
      <c r="I4067" s="538"/>
      <c r="J4067" s="564"/>
    </row>
    <row r="4068" spans="8:10" ht="15.75" customHeight="1">
      <c r="H4068" s="563"/>
      <c r="I4068" s="538"/>
      <c r="J4068" s="564"/>
    </row>
    <row r="4069" spans="8:10" ht="15.75" customHeight="1">
      <c r="H4069" s="563"/>
      <c r="I4069" s="538"/>
      <c r="J4069" s="564"/>
    </row>
    <row r="4070" spans="8:10" ht="15.75" customHeight="1">
      <c r="H4070" s="563"/>
      <c r="I4070" s="538"/>
      <c r="J4070" s="564"/>
    </row>
    <row r="4071" spans="8:10" ht="15.75" customHeight="1">
      <c r="H4071" s="563"/>
      <c r="I4071" s="538"/>
      <c r="J4071" s="564"/>
    </row>
    <row r="4072" spans="8:10" ht="15.75" customHeight="1">
      <c r="H4072" s="563"/>
      <c r="I4072" s="538"/>
      <c r="J4072" s="564"/>
    </row>
    <row r="4073" spans="8:10" ht="15.75" customHeight="1">
      <c r="H4073" s="563"/>
      <c r="I4073" s="538"/>
      <c r="J4073" s="564"/>
    </row>
    <row r="4074" spans="8:10" ht="15.75" customHeight="1">
      <c r="H4074" s="563"/>
      <c r="I4074" s="538"/>
      <c r="J4074" s="564"/>
    </row>
    <row r="4075" spans="8:10" ht="15.75" customHeight="1">
      <c r="H4075" s="563"/>
      <c r="I4075" s="538"/>
      <c r="J4075" s="564"/>
    </row>
    <row r="4076" spans="8:10" ht="15.75" customHeight="1">
      <c r="H4076" s="563"/>
      <c r="I4076" s="538"/>
      <c r="J4076" s="564"/>
    </row>
    <row r="4077" spans="8:10" ht="15.75" customHeight="1">
      <c r="H4077" s="563"/>
      <c r="I4077" s="538"/>
      <c r="J4077" s="564"/>
    </row>
    <row r="4078" spans="8:10" ht="15.75" customHeight="1">
      <c r="H4078" s="563"/>
      <c r="I4078" s="538"/>
      <c r="J4078" s="564"/>
    </row>
    <row r="4079" spans="8:10" ht="15.75" customHeight="1">
      <c r="H4079" s="563"/>
      <c r="I4079" s="538"/>
      <c r="J4079" s="564"/>
    </row>
    <row r="4080" spans="8:10" ht="15.75" customHeight="1">
      <c r="H4080" s="563"/>
      <c r="I4080" s="538"/>
      <c r="J4080" s="564"/>
    </row>
    <row r="4081" spans="8:10" ht="15.75" customHeight="1">
      <c r="H4081" s="563"/>
      <c r="I4081" s="538"/>
      <c r="J4081" s="564"/>
    </row>
    <row r="4082" spans="8:10" ht="15.75" customHeight="1">
      <c r="H4082" s="563"/>
      <c r="I4082" s="538"/>
      <c r="J4082" s="564"/>
    </row>
    <row r="4083" spans="8:10" ht="15.75" customHeight="1">
      <c r="H4083" s="563"/>
      <c r="I4083" s="538"/>
      <c r="J4083" s="564"/>
    </row>
    <row r="4084" spans="8:10" ht="15.75" customHeight="1">
      <c r="H4084" s="563"/>
      <c r="I4084" s="538"/>
      <c r="J4084" s="564"/>
    </row>
    <row r="4085" spans="8:10" ht="15.75" customHeight="1">
      <c r="H4085" s="563"/>
      <c r="I4085" s="538"/>
      <c r="J4085" s="564"/>
    </row>
    <row r="4086" spans="8:10" ht="15.75" customHeight="1">
      <c r="H4086" s="563"/>
      <c r="I4086" s="538"/>
      <c r="J4086" s="564"/>
    </row>
    <row r="4087" spans="8:10" ht="15.75" customHeight="1">
      <c r="H4087" s="563"/>
      <c r="I4087" s="538"/>
      <c r="J4087" s="564"/>
    </row>
    <row r="4088" spans="8:10" ht="15.75" customHeight="1">
      <c r="H4088" s="563"/>
      <c r="I4088" s="538"/>
      <c r="J4088" s="564"/>
    </row>
    <row r="4089" spans="8:10" ht="15.75" customHeight="1">
      <c r="H4089" s="563"/>
      <c r="I4089" s="538"/>
      <c r="J4089" s="564"/>
    </row>
    <row r="4090" spans="8:10" ht="15.75" customHeight="1">
      <c r="H4090" s="563"/>
      <c r="I4090" s="538"/>
      <c r="J4090" s="564"/>
    </row>
    <row r="4091" spans="8:10" ht="15.75" customHeight="1">
      <c r="H4091" s="563"/>
      <c r="I4091" s="538"/>
      <c r="J4091" s="564"/>
    </row>
    <row r="4092" spans="8:10" ht="15.75" customHeight="1">
      <c r="H4092" s="563"/>
      <c r="I4092" s="538"/>
      <c r="J4092" s="564"/>
    </row>
    <row r="4093" spans="8:10" ht="15.75" customHeight="1">
      <c r="H4093" s="563"/>
      <c r="I4093" s="538"/>
      <c r="J4093" s="564"/>
    </row>
    <row r="4094" spans="8:10" ht="15.75" customHeight="1">
      <c r="H4094" s="563"/>
      <c r="I4094" s="538"/>
      <c r="J4094" s="564"/>
    </row>
    <row r="4095" spans="8:10" ht="15.75" customHeight="1">
      <c r="H4095" s="563"/>
      <c r="I4095" s="538"/>
      <c r="J4095" s="564"/>
    </row>
    <row r="4096" spans="8:10" ht="15.75" customHeight="1">
      <c r="H4096" s="563"/>
      <c r="I4096" s="538"/>
      <c r="J4096" s="564"/>
    </row>
    <row r="4097" spans="8:10" ht="15.75" customHeight="1">
      <c r="H4097" s="563"/>
      <c r="I4097" s="538"/>
      <c r="J4097" s="564"/>
    </row>
    <row r="4098" spans="8:10" ht="15.75" customHeight="1">
      <c r="H4098" s="563"/>
      <c r="I4098" s="538"/>
      <c r="J4098" s="564"/>
    </row>
    <row r="4099" spans="8:10" ht="15.75" customHeight="1">
      <c r="H4099" s="563"/>
      <c r="I4099" s="538"/>
      <c r="J4099" s="564"/>
    </row>
    <row r="4100" spans="8:10" ht="15.75" customHeight="1">
      <c r="H4100" s="563"/>
      <c r="I4100" s="538"/>
      <c r="J4100" s="564"/>
    </row>
    <row r="4101" spans="8:10" ht="15.75" customHeight="1">
      <c r="H4101" s="563"/>
      <c r="I4101" s="538"/>
      <c r="J4101" s="564"/>
    </row>
    <row r="4102" spans="8:10" ht="15.75" customHeight="1">
      <c r="H4102" s="563"/>
      <c r="I4102" s="538"/>
      <c r="J4102" s="564"/>
    </row>
    <row r="4103" spans="8:10" ht="15.75" customHeight="1">
      <c r="H4103" s="563"/>
      <c r="I4103" s="538"/>
      <c r="J4103" s="564"/>
    </row>
    <row r="4104" spans="8:10" ht="15.75" customHeight="1">
      <c r="H4104" s="563"/>
      <c r="I4104" s="538"/>
      <c r="J4104" s="564"/>
    </row>
    <row r="4105" spans="8:10" ht="15.75" customHeight="1">
      <c r="H4105" s="563"/>
      <c r="I4105" s="538"/>
      <c r="J4105" s="564"/>
    </row>
    <row r="4106" spans="8:10" ht="15.75" customHeight="1">
      <c r="H4106" s="563"/>
      <c r="I4106" s="538"/>
      <c r="J4106" s="564"/>
    </row>
    <row r="4107" spans="8:10" ht="15.75" customHeight="1">
      <c r="H4107" s="563"/>
      <c r="I4107" s="538"/>
      <c r="J4107" s="564"/>
    </row>
    <row r="4108" spans="8:10" ht="15.75" customHeight="1">
      <c r="H4108" s="563"/>
      <c r="I4108" s="538"/>
      <c r="J4108" s="564"/>
    </row>
    <row r="4109" spans="8:10" ht="15.75" customHeight="1">
      <c r="H4109" s="563"/>
      <c r="I4109" s="538"/>
      <c r="J4109" s="564"/>
    </row>
    <row r="4110" spans="8:10" ht="15.75" customHeight="1">
      <c r="H4110" s="563"/>
      <c r="I4110" s="538"/>
      <c r="J4110" s="564"/>
    </row>
    <row r="4111" spans="8:10" ht="15.75" customHeight="1">
      <c r="H4111" s="563"/>
      <c r="I4111" s="538"/>
      <c r="J4111" s="564"/>
    </row>
    <row r="4112" spans="8:10" ht="15.75" customHeight="1">
      <c r="H4112" s="563"/>
      <c r="I4112" s="538"/>
      <c r="J4112" s="564"/>
    </row>
    <row r="4113" spans="8:10" ht="15.75" customHeight="1">
      <c r="H4113" s="563"/>
      <c r="I4113" s="538"/>
      <c r="J4113" s="564"/>
    </row>
    <row r="4114" spans="8:10" ht="15.75" customHeight="1">
      <c r="H4114" s="563"/>
      <c r="I4114" s="538"/>
      <c r="J4114" s="564"/>
    </row>
    <row r="4115" spans="8:10" ht="15.75" customHeight="1">
      <c r="H4115" s="563"/>
      <c r="I4115" s="538"/>
      <c r="J4115" s="564"/>
    </row>
    <row r="4116" spans="8:10" ht="15.75" customHeight="1">
      <c r="H4116" s="563"/>
      <c r="I4116" s="538"/>
      <c r="J4116" s="564"/>
    </row>
    <row r="4117" spans="8:10" ht="15.75" customHeight="1">
      <c r="H4117" s="563"/>
      <c r="I4117" s="538"/>
      <c r="J4117" s="564"/>
    </row>
    <row r="4118" spans="8:10" ht="15.75" customHeight="1">
      <c r="H4118" s="563"/>
      <c r="I4118" s="538"/>
      <c r="J4118" s="564"/>
    </row>
    <row r="4119" spans="8:10" ht="15.75" customHeight="1">
      <c r="H4119" s="563"/>
      <c r="I4119" s="538"/>
      <c r="J4119" s="564"/>
    </row>
    <row r="4120" spans="8:10" ht="15.75" customHeight="1">
      <c r="H4120" s="563"/>
      <c r="I4120" s="538"/>
      <c r="J4120" s="564"/>
    </row>
    <row r="4121" spans="8:10" ht="15.75" customHeight="1">
      <c r="H4121" s="563"/>
      <c r="I4121" s="538"/>
      <c r="J4121" s="564"/>
    </row>
    <row r="4122" spans="8:10" ht="15.75" customHeight="1">
      <c r="H4122" s="563"/>
      <c r="I4122" s="538"/>
      <c r="J4122" s="564"/>
    </row>
    <row r="4123" spans="8:10" ht="15.75" customHeight="1">
      <c r="H4123" s="563"/>
      <c r="I4123" s="538"/>
      <c r="J4123" s="564"/>
    </row>
    <row r="4124" spans="8:10" ht="15.75" customHeight="1">
      <c r="H4124" s="563"/>
      <c r="I4124" s="538"/>
      <c r="J4124" s="564"/>
    </row>
    <row r="4125" spans="8:10" ht="15.75" customHeight="1">
      <c r="H4125" s="563"/>
      <c r="I4125" s="538"/>
      <c r="J4125" s="564"/>
    </row>
    <row r="4126" spans="8:10" ht="15.75" customHeight="1">
      <c r="H4126" s="563"/>
      <c r="I4126" s="538"/>
      <c r="J4126" s="564"/>
    </row>
    <row r="4127" spans="8:10" ht="15.75" customHeight="1">
      <c r="H4127" s="563"/>
      <c r="I4127" s="538"/>
      <c r="J4127" s="564"/>
    </row>
    <row r="4128" spans="8:10" ht="15.75" customHeight="1">
      <c r="H4128" s="563"/>
      <c r="I4128" s="538"/>
      <c r="J4128" s="564"/>
    </row>
    <row r="4129" spans="8:10" ht="15.75" customHeight="1">
      <c r="H4129" s="563"/>
      <c r="I4129" s="538"/>
      <c r="J4129" s="564"/>
    </row>
    <row r="4130" spans="8:10" ht="15.75" customHeight="1">
      <c r="H4130" s="563"/>
      <c r="I4130" s="538"/>
      <c r="J4130" s="564"/>
    </row>
    <row r="4131" spans="8:10" ht="15.75" customHeight="1">
      <c r="H4131" s="563"/>
      <c r="I4131" s="538"/>
      <c r="J4131" s="564"/>
    </row>
    <row r="4132" spans="8:10" ht="15.75" customHeight="1">
      <c r="H4132" s="563"/>
      <c r="I4132" s="538"/>
      <c r="J4132" s="564"/>
    </row>
    <row r="4133" spans="8:10" ht="15.75" customHeight="1">
      <c r="H4133" s="563"/>
      <c r="I4133" s="538"/>
      <c r="J4133" s="564"/>
    </row>
    <row r="4134" spans="8:10" ht="15.75" customHeight="1">
      <c r="H4134" s="563"/>
      <c r="I4134" s="538"/>
      <c r="J4134" s="564"/>
    </row>
    <row r="4135" spans="8:10" ht="15.75" customHeight="1">
      <c r="H4135" s="563"/>
      <c r="I4135" s="538"/>
      <c r="J4135" s="564"/>
    </row>
    <row r="4136" spans="8:10" ht="15.75" customHeight="1">
      <c r="H4136" s="563"/>
      <c r="I4136" s="538"/>
      <c r="J4136" s="564"/>
    </row>
    <row r="4137" spans="8:10" ht="15.75" customHeight="1">
      <c r="H4137" s="563"/>
      <c r="I4137" s="538"/>
      <c r="J4137" s="564"/>
    </row>
    <row r="4138" spans="8:10" ht="15.75" customHeight="1">
      <c r="H4138" s="563"/>
      <c r="I4138" s="538"/>
      <c r="J4138" s="564"/>
    </row>
    <row r="4139" spans="8:10" ht="15.75" customHeight="1">
      <c r="H4139" s="563"/>
      <c r="I4139" s="538"/>
      <c r="J4139" s="564"/>
    </row>
    <row r="4140" spans="8:10" ht="15.75" customHeight="1">
      <c r="H4140" s="563"/>
      <c r="I4140" s="538"/>
      <c r="J4140" s="564"/>
    </row>
    <row r="4141" spans="8:10" ht="15.75" customHeight="1">
      <c r="H4141" s="563"/>
      <c r="I4141" s="538"/>
      <c r="J4141" s="564"/>
    </row>
    <row r="4142" spans="8:10" ht="15.75" customHeight="1">
      <c r="H4142" s="563"/>
      <c r="I4142" s="538"/>
      <c r="J4142" s="564"/>
    </row>
    <row r="4143" spans="8:10" ht="15.75" customHeight="1">
      <c r="H4143" s="563"/>
      <c r="I4143" s="538"/>
      <c r="J4143" s="564"/>
    </row>
    <row r="4144" spans="8:10" ht="15.75" customHeight="1">
      <c r="H4144" s="563"/>
      <c r="I4144" s="538"/>
      <c r="J4144" s="564"/>
    </row>
    <row r="4145" spans="8:10" ht="15.75" customHeight="1">
      <c r="H4145" s="563"/>
      <c r="I4145" s="538"/>
      <c r="J4145" s="564"/>
    </row>
    <row r="4146" spans="8:10" ht="15.75" customHeight="1">
      <c r="H4146" s="563"/>
      <c r="I4146" s="538"/>
      <c r="J4146" s="564"/>
    </row>
    <row r="4147" spans="8:10" ht="15.75" customHeight="1">
      <c r="H4147" s="563"/>
      <c r="I4147" s="538"/>
      <c r="J4147" s="564"/>
    </row>
    <row r="4148" spans="8:10" ht="15.75" customHeight="1">
      <c r="H4148" s="563"/>
      <c r="I4148" s="538"/>
      <c r="J4148" s="564"/>
    </row>
    <row r="4149" spans="8:10" ht="15.75" customHeight="1">
      <c r="H4149" s="563"/>
      <c r="I4149" s="538"/>
      <c r="J4149" s="564"/>
    </row>
    <row r="4150" spans="8:10" ht="15.75" customHeight="1">
      <c r="H4150" s="563"/>
      <c r="I4150" s="538"/>
      <c r="J4150" s="564"/>
    </row>
    <row r="4151" spans="8:10" ht="15.75" customHeight="1">
      <c r="H4151" s="563"/>
      <c r="I4151" s="538"/>
      <c r="J4151" s="564"/>
    </row>
    <row r="4152" spans="8:10" ht="15.75" customHeight="1">
      <c r="H4152" s="563"/>
      <c r="I4152" s="538"/>
      <c r="J4152" s="564"/>
    </row>
    <row r="4153" spans="8:10" ht="15.75" customHeight="1">
      <c r="H4153" s="563"/>
      <c r="I4153" s="538"/>
      <c r="J4153" s="564"/>
    </row>
    <row r="4154" spans="8:10" ht="15.75" customHeight="1">
      <c r="H4154" s="563"/>
      <c r="I4154" s="538"/>
      <c r="J4154" s="564"/>
    </row>
    <row r="4155" spans="8:10" ht="15.75" customHeight="1">
      <c r="H4155" s="563"/>
      <c r="I4155" s="538"/>
      <c r="J4155" s="564"/>
    </row>
    <row r="4156" spans="8:10" ht="15.75" customHeight="1">
      <c r="H4156" s="563"/>
      <c r="I4156" s="538"/>
      <c r="J4156" s="564"/>
    </row>
    <row r="4157" spans="8:10" ht="15.75" customHeight="1">
      <c r="H4157" s="563"/>
      <c r="I4157" s="538"/>
      <c r="J4157" s="564"/>
    </row>
    <row r="4158" spans="8:10" ht="15.75" customHeight="1">
      <c r="H4158" s="563"/>
      <c r="I4158" s="538"/>
      <c r="J4158" s="564"/>
    </row>
    <row r="4159" spans="8:10" ht="15.75" customHeight="1">
      <c r="H4159" s="563"/>
      <c r="I4159" s="538"/>
      <c r="J4159" s="564"/>
    </row>
    <row r="4160" spans="8:10" ht="15.75" customHeight="1">
      <c r="H4160" s="563"/>
      <c r="I4160" s="538"/>
      <c r="J4160" s="564"/>
    </row>
    <row r="4161" spans="8:10" ht="15.75" customHeight="1">
      <c r="H4161" s="563"/>
      <c r="I4161" s="538"/>
      <c r="J4161" s="564"/>
    </row>
    <row r="4162" spans="8:10" ht="15.75" customHeight="1">
      <c r="H4162" s="563"/>
      <c r="I4162" s="538"/>
      <c r="J4162" s="564"/>
    </row>
    <row r="4163" spans="8:10" ht="15.75" customHeight="1">
      <c r="H4163" s="563"/>
      <c r="I4163" s="538"/>
      <c r="J4163" s="564"/>
    </row>
    <row r="4164" spans="8:10" ht="15.75" customHeight="1">
      <c r="H4164" s="563"/>
      <c r="I4164" s="538"/>
      <c r="J4164" s="564"/>
    </row>
    <row r="4165" spans="8:10" ht="15.75" customHeight="1">
      <c r="H4165" s="563"/>
      <c r="I4165" s="538"/>
      <c r="J4165" s="564"/>
    </row>
    <row r="4166" spans="8:10" ht="15.75" customHeight="1">
      <c r="H4166" s="563"/>
      <c r="I4166" s="538"/>
      <c r="J4166" s="564"/>
    </row>
    <row r="4167" spans="8:10" ht="15.75" customHeight="1">
      <c r="H4167" s="563"/>
      <c r="I4167" s="538"/>
      <c r="J4167" s="564"/>
    </row>
    <row r="4168" spans="8:10" ht="15.75" customHeight="1">
      <c r="H4168" s="563"/>
      <c r="I4168" s="538"/>
      <c r="J4168" s="564"/>
    </row>
    <row r="4169" spans="8:10" ht="15.75" customHeight="1">
      <c r="H4169" s="563"/>
      <c r="I4169" s="538"/>
      <c r="J4169" s="564"/>
    </row>
    <row r="4170" spans="8:10" ht="15.75" customHeight="1">
      <c r="H4170" s="563"/>
      <c r="I4170" s="538"/>
      <c r="J4170" s="564"/>
    </row>
    <row r="4171" spans="8:10" ht="15.75" customHeight="1">
      <c r="H4171" s="563"/>
      <c r="I4171" s="538"/>
      <c r="J4171" s="564"/>
    </row>
    <row r="4172" spans="8:10" ht="15.75" customHeight="1">
      <c r="H4172" s="563"/>
      <c r="I4172" s="538"/>
      <c r="J4172" s="564"/>
    </row>
    <row r="4173" spans="8:10" ht="15.75" customHeight="1">
      <c r="H4173" s="563"/>
      <c r="I4173" s="538"/>
      <c r="J4173" s="564"/>
    </row>
    <row r="4174" spans="8:10" ht="15.75" customHeight="1">
      <c r="H4174" s="563"/>
      <c r="I4174" s="538"/>
      <c r="J4174" s="564"/>
    </row>
    <row r="4175" spans="8:10" ht="15.75" customHeight="1">
      <c r="H4175" s="563"/>
      <c r="I4175" s="538"/>
      <c r="J4175" s="564"/>
    </row>
    <row r="4176" spans="8:10" ht="15.75" customHeight="1">
      <c r="H4176" s="563"/>
      <c r="I4176" s="538"/>
      <c r="J4176" s="564"/>
    </row>
    <row r="4177" spans="8:10" ht="15.75" customHeight="1">
      <c r="H4177" s="563"/>
      <c r="I4177" s="538"/>
      <c r="J4177" s="564"/>
    </row>
    <row r="4178" spans="8:10" ht="15.75" customHeight="1">
      <c r="H4178" s="563"/>
      <c r="I4178" s="538"/>
      <c r="J4178" s="564"/>
    </row>
    <row r="4179" spans="8:10" ht="15.75" customHeight="1">
      <c r="H4179" s="563"/>
      <c r="I4179" s="538"/>
      <c r="J4179" s="564"/>
    </row>
    <row r="4180" spans="8:10" ht="15.75" customHeight="1">
      <c r="H4180" s="563"/>
      <c r="I4180" s="538"/>
      <c r="J4180" s="564"/>
    </row>
    <row r="4181" spans="8:10" ht="15.75" customHeight="1">
      <c r="H4181" s="563"/>
      <c r="I4181" s="538"/>
      <c r="J4181" s="564"/>
    </row>
    <row r="4182" spans="8:10" ht="15.75" customHeight="1">
      <c r="H4182" s="563"/>
      <c r="I4182" s="538"/>
      <c r="J4182" s="564"/>
    </row>
    <row r="4183" spans="8:10" ht="15.75" customHeight="1">
      <c r="H4183" s="563"/>
      <c r="I4183" s="538"/>
      <c r="J4183" s="564"/>
    </row>
    <row r="4184" spans="8:10" ht="15.75" customHeight="1">
      <c r="H4184" s="563"/>
      <c r="I4184" s="538"/>
      <c r="J4184" s="564"/>
    </row>
    <row r="4185" spans="8:10" ht="15.75" customHeight="1">
      <c r="H4185" s="563"/>
      <c r="I4185" s="538"/>
      <c r="J4185" s="564"/>
    </row>
    <row r="4186" spans="8:10" ht="15.75" customHeight="1">
      <c r="H4186" s="563"/>
      <c r="I4186" s="538"/>
      <c r="J4186" s="564"/>
    </row>
    <row r="4187" spans="8:10" ht="15.75" customHeight="1">
      <c r="H4187" s="563"/>
      <c r="I4187" s="538"/>
      <c r="J4187" s="564"/>
    </row>
    <row r="4188" spans="8:10" ht="15.75" customHeight="1">
      <c r="H4188" s="563"/>
      <c r="I4188" s="538"/>
      <c r="J4188" s="564"/>
    </row>
    <row r="4189" spans="8:10" ht="15.75" customHeight="1">
      <c r="H4189" s="563"/>
      <c r="I4189" s="538"/>
      <c r="J4189" s="564"/>
    </row>
    <row r="4190" spans="8:10" ht="15.75" customHeight="1">
      <c r="H4190" s="563"/>
      <c r="I4190" s="538"/>
      <c r="J4190" s="564"/>
    </row>
    <row r="4191" spans="8:10" ht="15.75" customHeight="1">
      <c r="H4191" s="563"/>
      <c r="I4191" s="538"/>
      <c r="J4191" s="564"/>
    </row>
    <row r="4192" spans="8:10" ht="15.75" customHeight="1">
      <c r="H4192" s="563"/>
      <c r="I4192" s="538"/>
      <c r="J4192" s="564"/>
    </row>
    <row r="4193" spans="8:10" ht="15.75" customHeight="1">
      <c r="H4193" s="563"/>
      <c r="I4193" s="538"/>
      <c r="J4193" s="564"/>
    </row>
    <row r="4194" spans="8:10" ht="15.75" customHeight="1">
      <c r="H4194" s="563"/>
      <c r="I4194" s="538"/>
      <c r="J4194" s="564"/>
    </row>
    <row r="4195" spans="8:10" ht="15.75" customHeight="1">
      <c r="H4195" s="563"/>
      <c r="I4195" s="538"/>
      <c r="J4195" s="564"/>
    </row>
    <row r="4196" spans="8:10" ht="15.75" customHeight="1">
      <c r="H4196" s="563"/>
      <c r="I4196" s="538"/>
      <c r="J4196" s="564"/>
    </row>
    <row r="4197" spans="8:10" ht="15.75" customHeight="1">
      <c r="H4197" s="563"/>
      <c r="I4197" s="538"/>
      <c r="J4197" s="564"/>
    </row>
    <row r="4198" spans="8:10" ht="15.75" customHeight="1">
      <c r="H4198" s="563"/>
      <c r="I4198" s="538"/>
      <c r="J4198" s="564"/>
    </row>
    <row r="4199" spans="8:10" ht="15.75" customHeight="1">
      <c r="H4199" s="563"/>
      <c r="I4199" s="538"/>
      <c r="J4199" s="564"/>
    </row>
    <row r="4200" spans="8:10" ht="15.75" customHeight="1">
      <c r="H4200" s="563"/>
      <c r="I4200" s="538"/>
      <c r="J4200" s="564"/>
    </row>
    <row r="4201" spans="8:10" ht="15.75" customHeight="1">
      <c r="H4201" s="563"/>
      <c r="I4201" s="538"/>
      <c r="J4201" s="564"/>
    </row>
    <row r="4202" spans="8:10" ht="15.75" customHeight="1">
      <c r="H4202" s="563"/>
      <c r="I4202" s="538"/>
      <c r="J4202" s="564"/>
    </row>
    <row r="4203" spans="8:10" ht="15.75" customHeight="1">
      <c r="H4203" s="563"/>
      <c r="I4203" s="538"/>
      <c r="J4203" s="564"/>
    </row>
    <row r="4204" spans="8:10" ht="15.75" customHeight="1">
      <c r="H4204" s="563"/>
      <c r="I4204" s="538"/>
      <c r="J4204" s="564"/>
    </row>
    <row r="4205" spans="8:10" ht="15.75" customHeight="1">
      <c r="H4205" s="563"/>
      <c r="I4205" s="538"/>
      <c r="J4205" s="564"/>
    </row>
    <row r="4206" spans="8:10" ht="15.75" customHeight="1">
      <c r="H4206" s="563"/>
      <c r="I4206" s="538"/>
      <c r="J4206" s="564"/>
    </row>
    <row r="4207" spans="8:10" ht="15.75" customHeight="1">
      <c r="H4207" s="563"/>
      <c r="I4207" s="538"/>
      <c r="J4207" s="564"/>
    </row>
    <row r="4208" spans="8:10" ht="15.75" customHeight="1">
      <c r="H4208" s="563"/>
      <c r="I4208" s="538"/>
      <c r="J4208" s="564"/>
    </row>
    <row r="4209" spans="8:10" ht="15.75" customHeight="1">
      <c r="H4209" s="563"/>
      <c r="I4209" s="538"/>
      <c r="J4209" s="564"/>
    </row>
    <row r="4210" spans="8:10" ht="15.75" customHeight="1">
      <c r="H4210" s="563"/>
      <c r="I4210" s="538"/>
      <c r="J4210" s="564"/>
    </row>
    <row r="4211" spans="8:10" ht="15.75" customHeight="1">
      <c r="H4211" s="563"/>
      <c r="I4211" s="538"/>
      <c r="J4211" s="564"/>
    </row>
    <row r="4212" spans="8:10" ht="15.75" customHeight="1">
      <c r="H4212" s="563"/>
      <c r="I4212" s="538"/>
      <c r="J4212" s="564"/>
    </row>
    <row r="4213" spans="8:10" ht="15.75" customHeight="1">
      <c r="H4213" s="563"/>
      <c r="I4213" s="538"/>
      <c r="J4213" s="564"/>
    </row>
    <row r="4214" spans="8:10" ht="15.75" customHeight="1">
      <c r="H4214" s="563"/>
      <c r="I4214" s="538"/>
      <c r="J4214" s="564"/>
    </row>
    <row r="4215" spans="8:10" ht="15.75" customHeight="1">
      <c r="H4215" s="563"/>
      <c r="I4215" s="538"/>
      <c r="J4215" s="564"/>
    </row>
    <row r="4216" spans="8:10" ht="15.75" customHeight="1">
      <c r="H4216" s="563"/>
      <c r="I4216" s="538"/>
      <c r="J4216" s="564"/>
    </row>
    <row r="4217" spans="8:10" ht="15.75" customHeight="1">
      <c r="H4217" s="563"/>
      <c r="I4217" s="538"/>
      <c r="J4217" s="564"/>
    </row>
    <row r="4218" spans="8:10" ht="15.75" customHeight="1">
      <c r="H4218" s="563"/>
      <c r="I4218" s="538"/>
      <c r="J4218" s="564"/>
    </row>
    <row r="4219" spans="8:10" ht="15.75" customHeight="1">
      <c r="H4219" s="563"/>
      <c r="I4219" s="538"/>
      <c r="J4219" s="564"/>
    </row>
    <row r="4220" spans="8:10" ht="15.75" customHeight="1">
      <c r="H4220" s="563"/>
      <c r="I4220" s="538"/>
      <c r="J4220" s="564"/>
    </row>
    <row r="4221" spans="8:10" ht="15.75" customHeight="1">
      <c r="H4221" s="563"/>
      <c r="I4221" s="538"/>
      <c r="J4221" s="564"/>
    </row>
    <row r="4222" spans="8:10" ht="15.75" customHeight="1">
      <c r="H4222" s="563"/>
      <c r="I4222" s="538"/>
      <c r="J4222" s="564"/>
    </row>
    <row r="4223" spans="8:10" ht="15.75" customHeight="1">
      <c r="H4223" s="563"/>
      <c r="I4223" s="538"/>
      <c r="J4223" s="564"/>
    </row>
    <row r="4224" spans="8:10" ht="15.75" customHeight="1">
      <c r="H4224" s="563"/>
      <c r="I4224" s="538"/>
      <c r="J4224" s="564"/>
    </row>
    <row r="4225" spans="8:10" ht="15.75" customHeight="1">
      <c r="H4225" s="563"/>
      <c r="I4225" s="538"/>
      <c r="J4225" s="564"/>
    </row>
    <row r="4226" spans="8:10" ht="15.75" customHeight="1">
      <c r="H4226" s="563"/>
      <c r="I4226" s="538"/>
      <c r="J4226" s="564"/>
    </row>
    <row r="4227" spans="8:10" ht="15.75" customHeight="1">
      <c r="H4227" s="563"/>
      <c r="I4227" s="538"/>
      <c r="J4227" s="564"/>
    </row>
    <row r="4228" spans="8:10" ht="15.75" customHeight="1">
      <c r="H4228" s="563"/>
      <c r="I4228" s="538"/>
      <c r="J4228" s="564"/>
    </row>
    <row r="4229" spans="8:10" ht="15.75" customHeight="1">
      <c r="H4229" s="563"/>
      <c r="I4229" s="538"/>
      <c r="J4229" s="564"/>
    </row>
    <row r="4230" spans="8:10" ht="15.75" customHeight="1">
      <c r="H4230" s="563"/>
      <c r="I4230" s="538"/>
      <c r="J4230" s="564"/>
    </row>
    <row r="4231" spans="8:10" ht="15.75" customHeight="1">
      <c r="H4231" s="563"/>
      <c r="I4231" s="538"/>
      <c r="J4231" s="564"/>
    </row>
    <row r="4232" spans="8:10" ht="15.75" customHeight="1">
      <c r="H4232" s="563"/>
      <c r="I4232" s="538"/>
      <c r="J4232" s="564"/>
    </row>
    <row r="4233" spans="8:10" ht="15.75" customHeight="1">
      <c r="H4233" s="563"/>
      <c r="I4233" s="538"/>
      <c r="J4233" s="564"/>
    </row>
    <row r="4234" spans="8:10" ht="15.75" customHeight="1">
      <c r="H4234" s="563"/>
      <c r="I4234" s="538"/>
      <c r="J4234" s="564"/>
    </row>
    <row r="4235" spans="8:10" ht="15.75" customHeight="1">
      <c r="H4235" s="563"/>
      <c r="I4235" s="538"/>
      <c r="J4235" s="564"/>
    </row>
    <row r="4236" spans="8:10" ht="15.75" customHeight="1">
      <c r="H4236" s="563"/>
      <c r="I4236" s="538"/>
      <c r="J4236" s="564"/>
    </row>
    <row r="4237" spans="8:10" ht="15.75" customHeight="1">
      <c r="H4237" s="563"/>
      <c r="I4237" s="538"/>
      <c r="J4237" s="564"/>
    </row>
    <row r="4238" spans="8:10" ht="15.75" customHeight="1">
      <c r="H4238" s="563"/>
      <c r="I4238" s="538"/>
      <c r="J4238" s="564"/>
    </row>
    <row r="4239" spans="8:10" ht="15.75" customHeight="1">
      <c r="H4239" s="563"/>
      <c r="I4239" s="538"/>
      <c r="J4239" s="564"/>
    </row>
    <row r="4240" spans="8:10" ht="15.75" customHeight="1">
      <c r="H4240" s="563"/>
      <c r="I4240" s="538"/>
      <c r="J4240" s="564"/>
    </row>
    <row r="4241" spans="8:10" ht="15.75" customHeight="1">
      <c r="H4241" s="563"/>
      <c r="I4241" s="538"/>
      <c r="J4241" s="564"/>
    </row>
    <row r="4242" spans="8:10" ht="15.75" customHeight="1">
      <c r="H4242" s="563"/>
      <c r="I4242" s="538"/>
      <c r="J4242" s="564"/>
    </row>
    <row r="4243" spans="8:10" ht="15.75" customHeight="1">
      <c r="H4243" s="563"/>
      <c r="I4243" s="538"/>
      <c r="J4243" s="564"/>
    </row>
    <row r="4244" spans="8:10" ht="15.75" customHeight="1">
      <c r="H4244" s="563"/>
      <c r="I4244" s="538"/>
      <c r="J4244" s="564"/>
    </row>
    <row r="4245" spans="8:10" ht="15.75" customHeight="1">
      <c r="H4245" s="563"/>
      <c r="I4245" s="538"/>
      <c r="J4245" s="564"/>
    </row>
    <row r="4246" spans="8:10" ht="15.75" customHeight="1">
      <c r="H4246" s="563"/>
      <c r="I4246" s="538"/>
      <c r="J4246" s="564"/>
    </row>
    <row r="4247" spans="8:10" ht="15.75" customHeight="1">
      <c r="H4247" s="563"/>
      <c r="I4247" s="538"/>
      <c r="J4247" s="564"/>
    </row>
    <row r="4248" spans="8:10" ht="15.75" customHeight="1">
      <c r="H4248" s="563"/>
      <c r="I4248" s="538"/>
      <c r="J4248" s="564"/>
    </row>
    <row r="4249" spans="8:10" ht="15.75" customHeight="1">
      <c r="H4249" s="563"/>
      <c r="I4249" s="538"/>
      <c r="J4249" s="564"/>
    </row>
    <row r="4250" spans="8:10" ht="15.75" customHeight="1">
      <c r="H4250" s="563"/>
      <c r="I4250" s="538"/>
      <c r="J4250" s="564"/>
    </row>
    <row r="4251" spans="8:10" ht="15.75" customHeight="1">
      <c r="H4251" s="563"/>
      <c r="I4251" s="538"/>
      <c r="J4251" s="564"/>
    </row>
    <row r="4252" spans="8:10" ht="15.75" customHeight="1">
      <c r="H4252" s="563"/>
      <c r="I4252" s="538"/>
      <c r="J4252" s="564"/>
    </row>
    <row r="4253" spans="8:10" ht="15.75" customHeight="1">
      <c r="H4253" s="563"/>
      <c r="I4253" s="538"/>
      <c r="J4253" s="564"/>
    </row>
    <row r="4254" spans="8:10" ht="15.75" customHeight="1">
      <c r="H4254" s="563"/>
      <c r="I4254" s="538"/>
      <c r="J4254" s="564"/>
    </row>
    <row r="4255" spans="8:10" ht="15.75" customHeight="1">
      <c r="H4255" s="563"/>
      <c r="I4255" s="538"/>
      <c r="J4255" s="564"/>
    </row>
    <row r="4256" spans="8:10" ht="15.75" customHeight="1">
      <c r="H4256" s="563"/>
      <c r="I4256" s="538"/>
      <c r="J4256" s="564"/>
    </row>
    <row r="4257" spans="8:10" ht="15.75" customHeight="1">
      <c r="H4257" s="563"/>
      <c r="I4257" s="538"/>
      <c r="J4257" s="564"/>
    </row>
    <row r="4258" spans="8:10" ht="15.75" customHeight="1">
      <c r="H4258" s="563"/>
      <c r="I4258" s="538"/>
      <c r="J4258" s="564"/>
    </row>
    <row r="4259" spans="8:10" ht="15.75" customHeight="1">
      <c r="H4259" s="563"/>
      <c r="I4259" s="538"/>
      <c r="J4259" s="564"/>
    </row>
    <row r="4260" spans="8:10" ht="15.75" customHeight="1">
      <c r="H4260" s="563"/>
      <c r="I4260" s="538"/>
      <c r="J4260" s="564"/>
    </row>
    <row r="4261" spans="8:10" ht="15.75" customHeight="1">
      <c r="H4261" s="563"/>
      <c r="I4261" s="538"/>
      <c r="J4261" s="564"/>
    </row>
    <row r="4262" spans="8:10" ht="15.75" customHeight="1">
      <c r="H4262" s="563"/>
      <c r="I4262" s="538"/>
      <c r="J4262" s="564"/>
    </row>
    <row r="4263" spans="8:10" ht="15.75" customHeight="1">
      <c r="H4263" s="563"/>
      <c r="I4263" s="538"/>
      <c r="J4263" s="564"/>
    </row>
    <row r="4264" spans="8:10" ht="15.75" customHeight="1">
      <c r="H4264" s="563"/>
      <c r="I4264" s="538"/>
      <c r="J4264" s="564"/>
    </row>
    <row r="4265" spans="8:10" ht="15.75" customHeight="1">
      <c r="H4265" s="563"/>
      <c r="I4265" s="538"/>
      <c r="J4265" s="564"/>
    </row>
    <row r="4266" spans="8:10" ht="15.75" customHeight="1">
      <c r="H4266" s="563"/>
      <c r="I4266" s="538"/>
      <c r="J4266" s="564"/>
    </row>
    <row r="4267" spans="8:10" ht="15.75" customHeight="1">
      <c r="H4267" s="563"/>
      <c r="I4267" s="538"/>
      <c r="J4267" s="564"/>
    </row>
    <row r="4268" spans="8:10" ht="15.75" customHeight="1">
      <c r="H4268" s="563"/>
      <c r="I4268" s="538"/>
      <c r="J4268" s="564"/>
    </row>
    <row r="4269" spans="8:10" ht="15.75" customHeight="1">
      <c r="H4269" s="563"/>
      <c r="I4269" s="538"/>
      <c r="J4269" s="564"/>
    </row>
    <row r="4270" spans="8:10" ht="15.75" customHeight="1">
      <c r="H4270" s="563"/>
      <c r="I4270" s="538"/>
      <c r="J4270" s="564"/>
    </row>
    <row r="4271" spans="8:10" ht="15.75" customHeight="1">
      <c r="H4271" s="563"/>
      <c r="I4271" s="538"/>
      <c r="J4271" s="564"/>
    </row>
    <row r="4272" spans="8:10" ht="15.75" customHeight="1">
      <c r="H4272" s="563"/>
      <c r="I4272" s="538"/>
      <c r="J4272" s="564"/>
    </row>
    <row r="4273" spans="8:10" ht="15.75" customHeight="1">
      <c r="H4273" s="563"/>
      <c r="I4273" s="538"/>
      <c r="J4273" s="564"/>
    </row>
    <row r="4274" spans="8:10" ht="15.75" customHeight="1">
      <c r="H4274" s="563"/>
      <c r="I4274" s="538"/>
      <c r="J4274" s="564"/>
    </row>
    <row r="4275" spans="8:10" ht="15.75" customHeight="1">
      <c r="H4275" s="563"/>
      <c r="I4275" s="538"/>
      <c r="J4275" s="564"/>
    </row>
    <row r="4276" spans="8:10" ht="15.75" customHeight="1">
      <c r="H4276" s="563"/>
      <c r="I4276" s="538"/>
      <c r="J4276" s="564"/>
    </row>
    <row r="4277" spans="8:10" ht="15.75" customHeight="1">
      <c r="H4277" s="563"/>
      <c r="I4277" s="538"/>
      <c r="J4277" s="564"/>
    </row>
    <row r="4278" spans="8:10" ht="15.75" customHeight="1">
      <c r="H4278" s="563"/>
      <c r="I4278" s="538"/>
      <c r="J4278" s="564"/>
    </row>
    <row r="4279" spans="8:10" ht="15.75" customHeight="1">
      <c r="H4279" s="563"/>
      <c r="I4279" s="538"/>
      <c r="J4279" s="564"/>
    </row>
    <row r="4280" spans="8:10" ht="15.75" customHeight="1">
      <c r="H4280" s="563"/>
      <c r="I4280" s="538"/>
      <c r="J4280" s="564"/>
    </row>
    <row r="4281" spans="8:10" ht="15.75" customHeight="1">
      <c r="H4281" s="563"/>
      <c r="I4281" s="538"/>
      <c r="J4281" s="564"/>
    </row>
    <row r="4282" spans="8:10" ht="15.75" customHeight="1">
      <c r="H4282" s="563"/>
      <c r="I4282" s="538"/>
      <c r="J4282" s="564"/>
    </row>
    <row r="4283" spans="8:10" ht="15.75" customHeight="1">
      <c r="H4283" s="563"/>
      <c r="I4283" s="538"/>
      <c r="J4283" s="564"/>
    </row>
    <row r="4284" spans="8:10" ht="15.75" customHeight="1">
      <c r="H4284" s="563"/>
      <c r="I4284" s="538"/>
      <c r="J4284" s="564"/>
    </row>
    <row r="4285" spans="8:10" ht="15.75" customHeight="1">
      <c r="H4285" s="563"/>
      <c r="I4285" s="538"/>
      <c r="J4285" s="564"/>
    </row>
    <row r="4286" spans="8:10" ht="15.75" customHeight="1">
      <c r="H4286" s="563"/>
      <c r="I4286" s="538"/>
      <c r="J4286" s="564"/>
    </row>
    <row r="4287" spans="8:10" ht="15.75" customHeight="1">
      <c r="H4287" s="563"/>
      <c r="I4287" s="538"/>
      <c r="J4287" s="564"/>
    </row>
    <row r="4288" spans="8:10" ht="15.75" customHeight="1">
      <c r="H4288" s="563"/>
      <c r="I4288" s="538"/>
      <c r="J4288" s="564"/>
    </row>
    <row r="4289" spans="8:10" ht="15.75" customHeight="1">
      <c r="H4289" s="563"/>
      <c r="I4289" s="538"/>
      <c r="J4289" s="564"/>
    </row>
    <row r="4290" spans="8:10" ht="15.75" customHeight="1">
      <c r="H4290" s="563"/>
      <c r="I4290" s="538"/>
      <c r="J4290" s="564"/>
    </row>
    <row r="4291" spans="8:10" ht="15.75" customHeight="1">
      <c r="H4291" s="563"/>
      <c r="I4291" s="538"/>
      <c r="J4291" s="564"/>
    </row>
    <row r="4292" spans="8:10" ht="15.75" customHeight="1">
      <c r="H4292" s="563"/>
      <c r="I4292" s="538"/>
      <c r="J4292" s="564"/>
    </row>
    <row r="4293" spans="8:10" ht="15.75" customHeight="1">
      <c r="H4293" s="563"/>
      <c r="I4293" s="538"/>
      <c r="J4293" s="564"/>
    </row>
    <row r="4294" spans="8:10" ht="15.75" customHeight="1">
      <c r="H4294" s="563"/>
      <c r="I4294" s="538"/>
      <c r="J4294" s="564"/>
    </row>
    <row r="4295" spans="8:10" ht="15.75" customHeight="1">
      <c r="H4295" s="563"/>
      <c r="I4295" s="538"/>
      <c r="J4295" s="564"/>
    </row>
    <row r="4296" spans="8:10" ht="15.75" customHeight="1">
      <c r="H4296" s="563"/>
      <c r="I4296" s="538"/>
      <c r="J4296" s="564"/>
    </row>
    <row r="4297" spans="8:10" ht="15.75" customHeight="1">
      <c r="H4297" s="563"/>
      <c r="I4297" s="538"/>
      <c r="J4297" s="564"/>
    </row>
    <row r="4298" spans="8:10" ht="15.75" customHeight="1">
      <c r="H4298" s="563"/>
      <c r="I4298" s="538"/>
      <c r="J4298" s="564"/>
    </row>
    <row r="4299" spans="8:10" ht="15.75" customHeight="1">
      <c r="H4299" s="563"/>
      <c r="I4299" s="538"/>
      <c r="J4299" s="564"/>
    </row>
    <row r="4300" spans="8:10" ht="15.75" customHeight="1">
      <c r="H4300" s="563"/>
      <c r="I4300" s="538"/>
      <c r="J4300" s="564"/>
    </row>
    <row r="4301" spans="8:10" ht="15.75" customHeight="1">
      <c r="H4301" s="563"/>
      <c r="I4301" s="538"/>
      <c r="J4301" s="564"/>
    </row>
    <row r="4302" spans="8:10" ht="15.75" customHeight="1">
      <c r="H4302" s="563"/>
      <c r="I4302" s="538"/>
      <c r="J4302" s="564"/>
    </row>
    <row r="4303" spans="8:10" ht="15.75" customHeight="1">
      <c r="H4303" s="563"/>
      <c r="I4303" s="538"/>
      <c r="J4303" s="564"/>
    </row>
    <row r="4304" spans="8:10" ht="15.75" customHeight="1">
      <c r="H4304" s="563"/>
      <c r="I4304" s="538"/>
      <c r="J4304" s="564"/>
    </row>
    <row r="4305" spans="8:10" ht="15.75" customHeight="1">
      <c r="H4305" s="563"/>
      <c r="I4305" s="538"/>
      <c r="J4305" s="564"/>
    </row>
    <row r="4306" spans="8:10" ht="15.75" customHeight="1">
      <c r="H4306" s="563"/>
      <c r="I4306" s="538"/>
      <c r="J4306" s="564"/>
    </row>
    <row r="4307" spans="8:10" ht="15.75" customHeight="1">
      <c r="H4307" s="563"/>
      <c r="I4307" s="538"/>
      <c r="J4307" s="564"/>
    </row>
    <row r="4308" spans="8:10" ht="15.75" customHeight="1">
      <c r="H4308" s="563"/>
      <c r="I4308" s="538"/>
      <c r="J4308" s="564"/>
    </row>
    <row r="4309" spans="8:10" ht="15.75" customHeight="1">
      <c r="H4309" s="563"/>
      <c r="I4309" s="538"/>
      <c r="J4309" s="564"/>
    </row>
    <row r="4310" spans="8:10" ht="15.75" customHeight="1">
      <c r="H4310" s="563"/>
      <c r="I4310" s="538"/>
      <c r="J4310" s="564"/>
    </row>
    <row r="4311" spans="8:10" ht="15.75" customHeight="1">
      <c r="H4311" s="563"/>
      <c r="I4311" s="538"/>
      <c r="J4311" s="564"/>
    </row>
    <row r="4312" spans="8:10" ht="15.75" customHeight="1">
      <c r="H4312" s="563"/>
      <c r="I4312" s="538"/>
      <c r="J4312" s="564"/>
    </row>
    <row r="4313" spans="8:10" ht="15.75" customHeight="1">
      <c r="H4313" s="563"/>
      <c r="I4313" s="538"/>
      <c r="J4313" s="564"/>
    </row>
    <row r="4314" spans="8:10" ht="15.75" customHeight="1">
      <c r="H4314" s="563"/>
      <c r="I4314" s="538"/>
      <c r="J4314" s="564"/>
    </row>
    <row r="4315" spans="8:10" ht="15.75" customHeight="1">
      <c r="H4315" s="563"/>
      <c r="I4315" s="538"/>
      <c r="J4315" s="564"/>
    </row>
    <row r="4316" spans="8:10" ht="15.75" customHeight="1">
      <c r="H4316" s="563"/>
      <c r="I4316" s="538"/>
      <c r="J4316" s="564"/>
    </row>
    <row r="4317" spans="8:10" ht="15.75" customHeight="1">
      <c r="H4317" s="563"/>
      <c r="I4317" s="538"/>
      <c r="J4317" s="564"/>
    </row>
    <row r="4318" spans="8:10" ht="15.75" customHeight="1">
      <c r="H4318" s="563"/>
      <c r="I4318" s="538"/>
      <c r="J4318" s="564"/>
    </row>
    <row r="4319" spans="8:10" ht="15.75" customHeight="1">
      <c r="H4319" s="563"/>
      <c r="I4319" s="538"/>
      <c r="J4319" s="564"/>
    </row>
    <row r="4320" spans="8:10" ht="15.75" customHeight="1">
      <c r="H4320" s="563"/>
      <c r="I4320" s="538"/>
      <c r="J4320" s="564"/>
    </row>
    <row r="4321" spans="8:10" ht="15.75" customHeight="1">
      <c r="H4321" s="563"/>
      <c r="I4321" s="538"/>
      <c r="J4321" s="564"/>
    </row>
    <row r="4322" spans="8:10" ht="15.75" customHeight="1">
      <c r="H4322" s="563"/>
      <c r="I4322" s="538"/>
      <c r="J4322" s="564"/>
    </row>
    <row r="4323" spans="8:10" ht="15.75" customHeight="1">
      <c r="H4323" s="563"/>
      <c r="I4323" s="538"/>
      <c r="J4323" s="564"/>
    </row>
    <row r="4324" spans="8:10" ht="15.75" customHeight="1">
      <c r="H4324" s="563"/>
      <c r="I4324" s="538"/>
      <c r="J4324" s="564"/>
    </row>
    <row r="4325" spans="8:10" ht="15.75" customHeight="1">
      <c r="H4325" s="563"/>
      <c r="I4325" s="538"/>
      <c r="J4325" s="564"/>
    </row>
    <row r="4326" spans="8:10" ht="15.75" customHeight="1">
      <c r="H4326" s="563"/>
      <c r="I4326" s="538"/>
      <c r="J4326" s="564"/>
    </row>
    <row r="4327" spans="8:10" ht="15.75" customHeight="1">
      <c r="H4327" s="563"/>
      <c r="I4327" s="538"/>
      <c r="J4327" s="564"/>
    </row>
    <row r="4328" spans="8:10" ht="15.75" customHeight="1">
      <c r="H4328" s="563"/>
      <c r="I4328" s="538"/>
      <c r="J4328" s="564"/>
    </row>
    <row r="4329" spans="8:10" ht="15.75" customHeight="1">
      <c r="H4329" s="563"/>
      <c r="I4329" s="538"/>
      <c r="J4329" s="564"/>
    </row>
    <row r="4330" spans="8:10" ht="15.75" customHeight="1">
      <c r="H4330" s="563"/>
      <c r="I4330" s="538"/>
      <c r="J4330" s="564"/>
    </row>
    <row r="4331" spans="8:10" ht="15.75" customHeight="1">
      <c r="H4331" s="563"/>
      <c r="I4331" s="538"/>
      <c r="J4331" s="564"/>
    </row>
    <row r="4332" spans="8:10" ht="15.75" customHeight="1">
      <c r="H4332" s="563"/>
      <c r="I4332" s="538"/>
      <c r="J4332" s="564"/>
    </row>
    <row r="4333" spans="8:10" ht="15.75" customHeight="1">
      <c r="H4333" s="563"/>
      <c r="I4333" s="538"/>
      <c r="J4333" s="564"/>
    </row>
    <row r="4334" spans="8:10" ht="15.75" customHeight="1">
      <c r="H4334" s="563"/>
      <c r="I4334" s="538"/>
      <c r="J4334" s="564"/>
    </row>
    <row r="4335" spans="8:10" ht="15.75" customHeight="1">
      <c r="H4335" s="563"/>
      <c r="I4335" s="538"/>
      <c r="J4335" s="564"/>
    </row>
    <row r="4336" spans="8:10" ht="15.75" customHeight="1">
      <c r="H4336" s="563"/>
      <c r="I4336" s="538"/>
      <c r="J4336" s="564"/>
    </row>
    <row r="4337" spans="8:10" ht="15.75" customHeight="1">
      <c r="H4337" s="563"/>
      <c r="I4337" s="538"/>
      <c r="J4337" s="564"/>
    </row>
    <row r="4338" spans="8:10" ht="15.75" customHeight="1">
      <c r="H4338" s="563"/>
      <c r="I4338" s="538"/>
      <c r="J4338" s="564"/>
    </row>
    <row r="4339" spans="8:10" ht="15.75" customHeight="1">
      <c r="H4339" s="563"/>
      <c r="I4339" s="538"/>
      <c r="J4339" s="564"/>
    </row>
    <row r="4340" spans="8:10" ht="15.75" customHeight="1">
      <c r="H4340" s="563"/>
      <c r="I4340" s="538"/>
      <c r="J4340" s="564"/>
    </row>
    <row r="4341" spans="8:10" ht="15.75" customHeight="1">
      <c r="H4341" s="563"/>
      <c r="I4341" s="538"/>
      <c r="J4341" s="564"/>
    </row>
    <row r="4342" spans="8:10" ht="15.75" customHeight="1">
      <c r="H4342" s="563"/>
      <c r="I4342" s="538"/>
      <c r="J4342" s="564"/>
    </row>
    <row r="4343" spans="8:10" ht="15.75" customHeight="1">
      <c r="H4343" s="563"/>
      <c r="I4343" s="538"/>
      <c r="J4343" s="564"/>
    </row>
    <row r="4344" spans="8:10" ht="15.75" customHeight="1">
      <c r="H4344" s="563"/>
      <c r="I4344" s="538"/>
      <c r="J4344" s="564"/>
    </row>
    <row r="4345" spans="8:10" ht="15.75" customHeight="1">
      <c r="H4345" s="563"/>
      <c r="I4345" s="538"/>
      <c r="J4345" s="564"/>
    </row>
    <row r="4346" spans="8:10" ht="15.75" customHeight="1">
      <c r="H4346" s="563"/>
      <c r="I4346" s="538"/>
      <c r="J4346" s="564"/>
    </row>
    <row r="4347" spans="8:10" ht="15.75" customHeight="1">
      <c r="H4347" s="563"/>
      <c r="I4347" s="538"/>
      <c r="J4347" s="564"/>
    </row>
    <row r="4348" spans="8:10" ht="15.75" customHeight="1">
      <c r="H4348" s="563"/>
      <c r="I4348" s="538"/>
      <c r="J4348" s="564"/>
    </row>
    <row r="4349" spans="8:10" ht="15.75" customHeight="1">
      <c r="H4349" s="563"/>
      <c r="I4349" s="538"/>
      <c r="J4349" s="564"/>
    </row>
    <row r="4350" spans="8:10" ht="15.75" customHeight="1">
      <c r="H4350" s="563"/>
      <c r="I4350" s="538"/>
      <c r="J4350" s="564"/>
    </row>
    <row r="4351" spans="8:10" ht="15.75" customHeight="1">
      <c r="H4351" s="563"/>
      <c r="I4351" s="538"/>
      <c r="J4351" s="564"/>
    </row>
    <row r="4352" spans="8:10" ht="15.75" customHeight="1">
      <c r="H4352" s="563"/>
      <c r="I4352" s="538"/>
      <c r="J4352" s="564"/>
    </row>
    <row r="4353" spans="8:10" ht="15.75" customHeight="1">
      <c r="H4353" s="563"/>
      <c r="I4353" s="538"/>
      <c r="J4353" s="564"/>
    </row>
    <row r="4354" spans="8:10" ht="15.75" customHeight="1">
      <c r="H4354" s="563"/>
      <c r="I4354" s="538"/>
      <c r="J4354" s="564"/>
    </row>
    <row r="4355" spans="8:10" ht="15.75" customHeight="1">
      <c r="H4355" s="563"/>
      <c r="I4355" s="538"/>
      <c r="J4355" s="564"/>
    </row>
    <row r="4356" spans="8:10" ht="15.75" customHeight="1">
      <c r="H4356" s="563"/>
      <c r="I4356" s="538"/>
      <c r="J4356" s="564"/>
    </row>
    <row r="4357" spans="8:10" ht="15.75" customHeight="1">
      <c r="H4357" s="563"/>
      <c r="I4357" s="538"/>
      <c r="J4357" s="564"/>
    </row>
    <row r="4358" spans="8:10" ht="15.75" customHeight="1">
      <c r="H4358" s="563"/>
      <c r="I4358" s="538"/>
      <c r="J4358" s="564"/>
    </row>
    <row r="4359" spans="8:10" ht="15.75" customHeight="1">
      <c r="H4359" s="563"/>
      <c r="I4359" s="538"/>
      <c r="J4359" s="564"/>
    </row>
    <row r="4360" spans="8:10" ht="15.75" customHeight="1">
      <c r="H4360" s="563"/>
      <c r="I4360" s="538"/>
      <c r="J4360" s="564"/>
    </row>
    <row r="4361" spans="8:10" ht="15.75" customHeight="1">
      <c r="H4361" s="563"/>
      <c r="I4361" s="538"/>
      <c r="J4361" s="564"/>
    </row>
    <row r="4362" spans="8:10" ht="15.75" customHeight="1">
      <c r="H4362" s="563"/>
      <c r="I4362" s="538"/>
      <c r="J4362" s="564"/>
    </row>
    <row r="4363" spans="8:10" ht="15.75" customHeight="1">
      <c r="H4363" s="563"/>
      <c r="I4363" s="538"/>
      <c r="J4363" s="564"/>
    </row>
    <row r="4364" spans="8:10" ht="15.75" customHeight="1">
      <c r="H4364" s="563"/>
      <c r="I4364" s="538"/>
      <c r="J4364" s="564"/>
    </row>
    <row r="4365" spans="8:10" ht="15.75" customHeight="1">
      <c r="H4365" s="563"/>
      <c r="I4365" s="538"/>
      <c r="J4365" s="564"/>
    </row>
    <row r="4366" spans="8:10" ht="15.75" customHeight="1">
      <c r="H4366" s="563"/>
      <c r="I4366" s="538"/>
      <c r="J4366" s="564"/>
    </row>
    <row r="4367" spans="8:10" ht="15.75" customHeight="1">
      <c r="H4367" s="563"/>
      <c r="I4367" s="538"/>
      <c r="J4367" s="564"/>
    </row>
    <row r="4368" spans="8:10" ht="15.75" customHeight="1">
      <c r="H4368" s="563"/>
      <c r="I4368" s="538"/>
      <c r="J4368" s="564"/>
    </row>
    <row r="4369" spans="8:10" ht="15.75" customHeight="1">
      <c r="H4369" s="563"/>
      <c r="I4369" s="538"/>
      <c r="J4369" s="564"/>
    </row>
    <row r="4370" spans="8:10" ht="15.75" customHeight="1">
      <c r="H4370" s="563"/>
      <c r="I4370" s="538"/>
      <c r="J4370" s="564"/>
    </row>
    <row r="4371" spans="8:10" ht="15.75" customHeight="1">
      <c r="H4371" s="563"/>
      <c r="I4371" s="538"/>
      <c r="J4371" s="564"/>
    </row>
    <row r="4372" spans="8:10" ht="15.75" customHeight="1">
      <c r="H4372" s="563"/>
      <c r="I4372" s="538"/>
      <c r="J4372" s="564"/>
    </row>
    <row r="4373" spans="8:10" ht="15.75" customHeight="1">
      <c r="H4373" s="563"/>
      <c r="I4373" s="538"/>
      <c r="J4373" s="564"/>
    </row>
    <row r="4374" spans="8:10" ht="15.75" customHeight="1">
      <c r="H4374" s="563"/>
      <c r="I4374" s="538"/>
      <c r="J4374" s="564"/>
    </row>
    <row r="4375" spans="8:10" ht="15.75" customHeight="1">
      <c r="H4375" s="563"/>
      <c r="I4375" s="538"/>
      <c r="J4375" s="564"/>
    </row>
    <row r="4376" spans="8:10" ht="15.75" customHeight="1">
      <c r="H4376" s="563"/>
      <c r="I4376" s="538"/>
      <c r="J4376" s="564"/>
    </row>
    <row r="4377" spans="8:10" ht="15.75" customHeight="1">
      <c r="H4377" s="563"/>
      <c r="I4377" s="538"/>
      <c r="J4377" s="564"/>
    </row>
    <row r="4378" spans="8:10" ht="15.75" customHeight="1">
      <c r="H4378" s="563"/>
      <c r="I4378" s="538"/>
      <c r="J4378" s="564"/>
    </row>
    <row r="4379" spans="8:10" ht="15.75" customHeight="1">
      <c r="H4379" s="563"/>
      <c r="I4379" s="538"/>
      <c r="J4379" s="564"/>
    </row>
    <row r="4380" spans="8:10" ht="15.75" customHeight="1">
      <c r="H4380" s="563"/>
      <c r="I4380" s="538"/>
      <c r="J4380" s="564"/>
    </row>
    <row r="4381" spans="8:10" ht="15.75" customHeight="1">
      <c r="H4381" s="563"/>
      <c r="I4381" s="538"/>
      <c r="J4381" s="564"/>
    </row>
    <row r="4382" spans="8:10" ht="15.75" customHeight="1">
      <c r="H4382" s="563"/>
      <c r="I4382" s="538"/>
      <c r="J4382" s="564"/>
    </row>
    <row r="4383" spans="8:10" ht="15.75" customHeight="1">
      <c r="H4383" s="563"/>
      <c r="I4383" s="538"/>
      <c r="J4383" s="564"/>
    </row>
    <row r="4384" spans="8:10" ht="15.75" customHeight="1">
      <c r="H4384" s="563"/>
      <c r="I4384" s="538"/>
      <c r="J4384" s="564"/>
    </row>
    <row r="4385" spans="8:10" ht="15.75" customHeight="1">
      <c r="H4385" s="563"/>
      <c r="I4385" s="538"/>
      <c r="J4385" s="564"/>
    </row>
    <row r="4386" spans="8:10" ht="15.75" customHeight="1">
      <c r="H4386" s="563"/>
      <c r="I4386" s="538"/>
      <c r="J4386" s="564"/>
    </row>
    <row r="4387" spans="8:10" ht="15.75" customHeight="1">
      <c r="H4387" s="563"/>
      <c r="I4387" s="538"/>
      <c r="J4387" s="564"/>
    </row>
    <row r="4388" spans="8:10" ht="15.75" customHeight="1">
      <c r="H4388" s="563"/>
      <c r="I4388" s="538"/>
      <c r="J4388" s="564"/>
    </row>
    <row r="4389" spans="8:10" ht="15.75" customHeight="1">
      <c r="H4389" s="563"/>
      <c r="I4389" s="538"/>
      <c r="J4389" s="564"/>
    </row>
    <row r="4390" spans="8:10" ht="15.75" customHeight="1">
      <c r="H4390" s="563"/>
      <c r="I4390" s="538"/>
      <c r="J4390" s="564"/>
    </row>
    <row r="4391" spans="8:10" ht="15.75" customHeight="1">
      <c r="H4391" s="563"/>
      <c r="I4391" s="538"/>
      <c r="J4391" s="564"/>
    </row>
    <row r="4392" spans="8:10" ht="15.75" customHeight="1">
      <c r="H4392" s="563"/>
      <c r="I4392" s="538"/>
      <c r="J4392" s="564"/>
    </row>
    <row r="4393" spans="8:10" ht="15.75" customHeight="1">
      <c r="H4393" s="563"/>
      <c r="I4393" s="538"/>
      <c r="J4393" s="564"/>
    </row>
    <row r="4394" spans="8:10" ht="15.75" customHeight="1">
      <c r="H4394" s="563"/>
      <c r="I4394" s="538"/>
      <c r="J4394" s="564"/>
    </row>
    <row r="4395" spans="8:10" ht="15.75" customHeight="1">
      <c r="H4395" s="563"/>
      <c r="I4395" s="538"/>
      <c r="J4395" s="564"/>
    </row>
    <row r="4396" spans="8:10" ht="15.75" customHeight="1">
      <c r="H4396" s="563"/>
      <c r="I4396" s="538"/>
      <c r="J4396" s="564"/>
    </row>
    <row r="4397" spans="8:10" ht="15.75" customHeight="1">
      <c r="H4397" s="563"/>
      <c r="I4397" s="538"/>
      <c r="J4397" s="564"/>
    </row>
    <row r="4398" spans="8:10" ht="15.75" customHeight="1">
      <c r="H4398" s="563"/>
      <c r="I4398" s="538"/>
      <c r="J4398" s="564"/>
    </row>
    <row r="4399" spans="8:10" ht="15.75" customHeight="1">
      <c r="H4399" s="563"/>
      <c r="I4399" s="538"/>
      <c r="J4399" s="564"/>
    </row>
    <row r="4400" spans="8:10" ht="15.75" customHeight="1">
      <c r="H4400" s="563"/>
      <c r="I4400" s="538"/>
      <c r="J4400" s="564"/>
    </row>
    <row r="4401" spans="8:10" ht="15.75" customHeight="1">
      <c r="H4401" s="563"/>
      <c r="I4401" s="538"/>
      <c r="J4401" s="564"/>
    </row>
    <row r="4402" spans="8:10" ht="15.75" customHeight="1">
      <c r="H4402" s="563"/>
      <c r="I4402" s="538"/>
      <c r="J4402" s="564"/>
    </row>
    <row r="4403" spans="8:10" ht="15.75" customHeight="1">
      <c r="H4403" s="563"/>
      <c r="I4403" s="538"/>
      <c r="J4403" s="564"/>
    </row>
    <row r="4404" spans="8:10" ht="15.75" customHeight="1">
      <c r="H4404" s="563"/>
      <c r="I4404" s="538"/>
      <c r="J4404" s="564"/>
    </row>
    <row r="4405" spans="8:10" ht="15.75" customHeight="1">
      <c r="H4405" s="563"/>
      <c r="I4405" s="538"/>
      <c r="J4405" s="564"/>
    </row>
    <row r="4406" spans="8:10" ht="15.75" customHeight="1">
      <c r="H4406" s="563"/>
      <c r="I4406" s="538"/>
      <c r="J4406" s="564"/>
    </row>
    <row r="4407" spans="8:10" ht="15.75" customHeight="1">
      <c r="H4407" s="563"/>
      <c r="I4407" s="538"/>
      <c r="J4407" s="564"/>
    </row>
    <row r="4408" spans="8:10" ht="15.75" customHeight="1">
      <c r="H4408" s="563"/>
      <c r="I4408" s="538"/>
      <c r="J4408" s="564"/>
    </row>
    <row r="4409" spans="8:10" ht="15.75" customHeight="1">
      <c r="H4409" s="563"/>
      <c r="I4409" s="538"/>
      <c r="J4409" s="564"/>
    </row>
    <row r="4410" spans="8:10" ht="15.75" customHeight="1">
      <c r="H4410" s="563"/>
      <c r="I4410" s="538"/>
      <c r="J4410" s="564"/>
    </row>
    <row r="4411" spans="8:10" ht="15.75" customHeight="1">
      <c r="H4411" s="563"/>
      <c r="I4411" s="538"/>
      <c r="J4411" s="564"/>
    </row>
    <row r="4412" spans="8:10" ht="15.75" customHeight="1">
      <c r="H4412" s="563"/>
      <c r="I4412" s="538"/>
      <c r="J4412" s="564"/>
    </row>
    <row r="4413" spans="8:10" ht="15.75" customHeight="1">
      <c r="H4413" s="563"/>
      <c r="I4413" s="538"/>
      <c r="J4413" s="564"/>
    </row>
    <row r="4414" spans="8:10" ht="15.75" customHeight="1">
      <c r="H4414" s="563"/>
      <c r="I4414" s="538"/>
      <c r="J4414" s="564"/>
    </row>
    <row r="4415" spans="8:10" ht="15.75" customHeight="1">
      <c r="H4415" s="563"/>
      <c r="I4415" s="538"/>
      <c r="J4415" s="564"/>
    </row>
    <row r="4416" spans="8:10" ht="15.75" customHeight="1">
      <c r="H4416" s="563"/>
      <c r="I4416" s="538"/>
      <c r="J4416" s="564"/>
    </row>
    <row r="4417" spans="8:10" ht="15.75" customHeight="1">
      <c r="H4417" s="563"/>
      <c r="I4417" s="538"/>
      <c r="J4417" s="564"/>
    </row>
    <row r="4418" spans="8:10" ht="15.75" customHeight="1">
      <c r="H4418" s="563"/>
      <c r="I4418" s="538"/>
      <c r="J4418" s="564"/>
    </row>
    <row r="4419" spans="8:10" ht="15.75" customHeight="1">
      <c r="H4419" s="563"/>
      <c r="I4419" s="538"/>
      <c r="J4419" s="564"/>
    </row>
    <row r="4420" spans="8:10" ht="15.75" customHeight="1">
      <c r="H4420" s="563"/>
      <c r="I4420" s="538"/>
      <c r="J4420" s="564"/>
    </row>
    <row r="4421" spans="8:10" ht="15.75" customHeight="1">
      <c r="H4421" s="563"/>
      <c r="I4421" s="538"/>
      <c r="J4421" s="564"/>
    </row>
    <row r="4422" spans="8:10" ht="15.75" customHeight="1">
      <c r="H4422" s="563"/>
      <c r="I4422" s="538"/>
      <c r="J4422" s="564"/>
    </row>
    <row r="4423" spans="8:10" ht="15.75" customHeight="1">
      <c r="H4423" s="563"/>
      <c r="I4423" s="538"/>
      <c r="J4423" s="564"/>
    </row>
    <row r="4424" spans="8:10" ht="15.75" customHeight="1">
      <c r="H4424" s="563"/>
      <c r="I4424" s="538"/>
      <c r="J4424" s="564"/>
    </row>
    <row r="4425" spans="8:10" ht="15.75" customHeight="1">
      <c r="H4425" s="563"/>
      <c r="I4425" s="538"/>
      <c r="J4425" s="564"/>
    </row>
    <row r="4426" spans="8:10" ht="15.75" customHeight="1">
      <c r="H4426" s="563"/>
      <c r="I4426" s="538"/>
      <c r="J4426" s="564"/>
    </row>
    <row r="4427" spans="8:10" ht="15.75" customHeight="1">
      <c r="H4427" s="563"/>
      <c r="I4427" s="538"/>
      <c r="J4427" s="564"/>
    </row>
    <row r="4428" spans="8:10" ht="15.75" customHeight="1">
      <c r="H4428" s="563"/>
      <c r="I4428" s="538"/>
      <c r="J4428" s="564"/>
    </row>
    <row r="4429" spans="8:10" ht="15.75" customHeight="1">
      <c r="H4429" s="563"/>
      <c r="I4429" s="538"/>
      <c r="J4429" s="564"/>
    </row>
    <row r="4430" spans="8:10" ht="15.75" customHeight="1">
      <c r="H4430" s="563"/>
      <c r="I4430" s="538"/>
      <c r="J4430" s="564"/>
    </row>
    <row r="4431" spans="8:10" ht="15.75" customHeight="1">
      <c r="H4431" s="563"/>
      <c r="I4431" s="538"/>
      <c r="J4431" s="564"/>
    </row>
    <row r="4432" spans="8:10" ht="15.75" customHeight="1">
      <c r="H4432" s="563"/>
      <c r="I4432" s="538"/>
      <c r="J4432" s="564"/>
    </row>
    <row r="4433" spans="8:10" ht="15.75" customHeight="1">
      <c r="H4433" s="563"/>
      <c r="I4433" s="538"/>
      <c r="J4433" s="564"/>
    </row>
    <row r="4434" spans="8:10" ht="15.75" customHeight="1">
      <c r="H4434" s="563"/>
      <c r="I4434" s="538"/>
      <c r="J4434" s="564"/>
    </row>
    <row r="4435" spans="8:10" ht="15.75" customHeight="1">
      <c r="H4435" s="563"/>
      <c r="I4435" s="538"/>
      <c r="J4435" s="564"/>
    </row>
    <row r="4436" spans="8:10" ht="15.75" customHeight="1">
      <c r="H4436" s="563"/>
      <c r="I4436" s="538"/>
      <c r="J4436" s="564"/>
    </row>
    <row r="4437" spans="8:10" ht="15.75" customHeight="1">
      <c r="H4437" s="563"/>
      <c r="I4437" s="538"/>
      <c r="J4437" s="564"/>
    </row>
    <row r="4438" spans="8:10" ht="15.75" customHeight="1">
      <c r="H4438" s="563"/>
      <c r="I4438" s="538"/>
      <c r="J4438" s="564"/>
    </row>
    <row r="4439" spans="8:10" ht="15.75" customHeight="1">
      <c r="H4439" s="563"/>
      <c r="I4439" s="538"/>
      <c r="J4439" s="564"/>
    </row>
    <row r="4440" spans="8:10" ht="15.75" customHeight="1">
      <c r="H4440" s="563"/>
      <c r="I4440" s="538"/>
      <c r="J4440" s="564"/>
    </row>
    <row r="4441" spans="8:10" ht="15.75" customHeight="1">
      <c r="H4441" s="563"/>
      <c r="I4441" s="538"/>
      <c r="J4441" s="564"/>
    </row>
    <row r="4442" spans="8:10" ht="15.75" customHeight="1">
      <c r="H4442" s="563"/>
      <c r="I4442" s="538"/>
      <c r="J4442" s="564"/>
    </row>
    <row r="4443" spans="8:10" ht="15.75" customHeight="1">
      <c r="H4443" s="563"/>
      <c r="I4443" s="538"/>
      <c r="J4443" s="564"/>
    </row>
    <row r="4444" spans="8:10" ht="15.75" customHeight="1">
      <c r="H4444" s="563"/>
      <c r="I4444" s="538"/>
      <c r="J4444" s="564"/>
    </row>
    <row r="4445" spans="8:10" ht="15.75" customHeight="1">
      <c r="H4445" s="563"/>
      <c r="I4445" s="538"/>
      <c r="J4445" s="564"/>
    </row>
    <row r="4446" spans="8:10" ht="15.75" customHeight="1">
      <c r="H4446" s="563"/>
      <c r="I4446" s="538"/>
      <c r="J4446" s="564"/>
    </row>
    <row r="4447" spans="8:10" ht="15.75" customHeight="1">
      <c r="H4447" s="563"/>
      <c r="I4447" s="538"/>
      <c r="J4447" s="564"/>
    </row>
    <row r="4448" spans="8:10" ht="15.75" customHeight="1">
      <c r="H4448" s="563"/>
      <c r="I4448" s="538"/>
      <c r="J4448" s="564"/>
    </row>
    <row r="4449" spans="8:10" ht="15.75" customHeight="1">
      <c r="H4449" s="563"/>
      <c r="I4449" s="538"/>
      <c r="J4449" s="564"/>
    </row>
    <row r="4450" spans="8:10" ht="15.75" customHeight="1">
      <c r="H4450" s="563"/>
      <c r="I4450" s="538"/>
      <c r="J4450" s="564"/>
    </row>
    <row r="4451" spans="8:10" ht="15.75" customHeight="1">
      <c r="H4451" s="563"/>
      <c r="I4451" s="538"/>
      <c r="J4451" s="564"/>
    </row>
    <row r="4452" spans="8:10" ht="15.75" customHeight="1">
      <c r="H4452" s="563"/>
      <c r="I4452" s="538"/>
      <c r="J4452" s="564"/>
    </row>
    <row r="4453" spans="8:10" ht="15.75" customHeight="1">
      <c r="H4453" s="563"/>
      <c r="I4453" s="538"/>
      <c r="J4453" s="564"/>
    </row>
    <row r="4454" spans="8:10" ht="15.75" customHeight="1">
      <c r="H4454" s="563"/>
      <c r="I4454" s="538"/>
      <c r="J4454" s="564"/>
    </row>
    <row r="4455" spans="8:10" ht="15.75" customHeight="1">
      <c r="H4455" s="563"/>
      <c r="I4455" s="538"/>
      <c r="J4455" s="564"/>
    </row>
    <row r="4456" spans="8:10" ht="15.75" customHeight="1">
      <c r="H4456" s="563"/>
      <c r="I4456" s="538"/>
      <c r="J4456" s="564"/>
    </row>
    <row r="4457" spans="8:10" ht="15.75" customHeight="1">
      <c r="H4457" s="563"/>
      <c r="I4457" s="538"/>
      <c r="J4457" s="564"/>
    </row>
    <row r="4458" spans="8:10" ht="15.75" customHeight="1">
      <c r="H4458" s="563"/>
      <c r="I4458" s="538"/>
      <c r="J4458" s="564"/>
    </row>
    <row r="4459" spans="8:10" ht="15.75" customHeight="1">
      <c r="H4459" s="563"/>
      <c r="I4459" s="538"/>
      <c r="J4459" s="564"/>
    </row>
    <row r="4460" spans="8:10" ht="15.75" customHeight="1">
      <c r="H4460" s="563"/>
      <c r="I4460" s="538"/>
      <c r="J4460" s="564"/>
    </row>
    <row r="4461" spans="8:10" ht="15.75" customHeight="1">
      <c r="H4461" s="563"/>
      <c r="I4461" s="538"/>
      <c r="J4461" s="564"/>
    </row>
    <row r="4462" spans="8:10" ht="15.75" customHeight="1">
      <c r="H4462" s="563"/>
      <c r="I4462" s="538"/>
      <c r="J4462" s="564"/>
    </row>
    <row r="4463" spans="8:10" ht="15.75" customHeight="1">
      <c r="H4463" s="563"/>
      <c r="I4463" s="538"/>
      <c r="J4463" s="564"/>
    </row>
    <row r="4464" spans="8:10" ht="15.75" customHeight="1">
      <c r="H4464" s="563"/>
      <c r="I4464" s="538"/>
      <c r="J4464" s="564"/>
    </row>
    <row r="4465" spans="8:10" ht="15.75" customHeight="1">
      <c r="H4465" s="563"/>
      <c r="I4465" s="538"/>
      <c r="J4465" s="564"/>
    </row>
    <row r="4466" spans="8:10" ht="15.75" customHeight="1">
      <c r="H4466" s="563"/>
      <c r="I4466" s="538"/>
      <c r="J4466" s="564"/>
    </row>
    <row r="4467" spans="8:10" ht="15.75" customHeight="1">
      <c r="H4467" s="563"/>
      <c r="I4467" s="538"/>
      <c r="J4467" s="564"/>
    </row>
    <row r="4468" spans="8:10" ht="15.75" customHeight="1">
      <c r="H4468" s="563"/>
      <c r="I4468" s="538"/>
      <c r="J4468" s="564"/>
    </row>
    <row r="4469" spans="8:10" ht="15.75" customHeight="1">
      <c r="H4469" s="563"/>
      <c r="I4469" s="538"/>
      <c r="J4469" s="564"/>
    </row>
    <row r="4470" spans="8:10" ht="15.75" customHeight="1">
      <c r="H4470" s="563"/>
      <c r="I4470" s="538"/>
      <c r="J4470" s="564"/>
    </row>
    <row r="4471" spans="8:10" ht="15.75" customHeight="1">
      <c r="H4471" s="563"/>
      <c r="I4471" s="538"/>
      <c r="J4471" s="564"/>
    </row>
    <row r="4472" spans="8:10" ht="15.75" customHeight="1">
      <c r="H4472" s="563"/>
      <c r="I4472" s="538"/>
      <c r="J4472" s="564"/>
    </row>
    <row r="4473" spans="8:10" ht="15.75" customHeight="1">
      <c r="H4473" s="563"/>
      <c r="I4473" s="538"/>
      <c r="J4473" s="564"/>
    </row>
    <row r="4474" spans="8:10" ht="15.75" customHeight="1">
      <c r="H4474" s="563"/>
      <c r="I4474" s="538"/>
      <c r="J4474" s="564"/>
    </row>
    <row r="4475" spans="8:10" ht="15.75" customHeight="1">
      <c r="H4475" s="563"/>
      <c r="I4475" s="538"/>
      <c r="J4475" s="564"/>
    </row>
    <row r="4476" spans="8:10" ht="15.75" customHeight="1">
      <c r="H4476" s="563"/>
      <c r="I4476" s="538"/>
      <c r="J4476" s="564"/>
    </row>
    <row r="4477" spans="8:10" ht="15.75" customHeight="1">
      <c r="H4477" s="563"/>
      <c r="I4477" s="538"/>
      <c r="J4477" s="564"/>
    </row>
    <row r="4478" spans="8:10" ht="15.75" customHeight="1">
      <c r="H4478" s="563"/>
      <c r="I4478" s="538"/>
      <c r="J4478" s="564"/>
    </row>
    <row r="4479" spans="8:10" ht="15.75" customHeight="1">
      <c r="H4479" s="563"/>
      <c r="I4479" s="538"/>
      <c r="J4479" s="564"/>
    </row>
    <row r="4480" spans="8:10" ht="15.75" customHeight="1">
      <c r="H4480" s="563"/>
      <c r="I4480" s="538"/>
      <c r="J4480" s="564"/>
    </row>
    <row r="4481" spans="8:10" ht="15.75" customHeight="1">
      <c r="H4481" s="563"/>
      <c r="I4481" s="538"/>
      <c r="J4481" s="564"/>
    </row>
    <row r="4482" spans="8:10" ht="15.75" customHeight="1">
      <c r="H4482" s="563"/>
      <c r="I4482" s="538"/>
      <c r="J4482" s="564"/>
    </row>
    <row r="4483" spans="8:10" ht="15.75" customHeight="1">
      <c r="H4483" s="563"/>
      <c r="I4483" s="538"/>
      <c r="J4483" s="564"/>
    </row>
    <row r="4484" spans="8:10" ht="15.75" customHeight="1">
      <c r="H4484" s="563"/>
      <c r="I4484" s="538"/>
      <c r="J4484" s="564"/>
    </row>
    <row r="4485" spans="8:10" ht="15.75" customHeight="1">
      <c r="H4485" s="563"/>
      <c r="I4485" s="538"/>
      <c r="J4485" s="564"/>
    </row>
    <row r="4486" spans="8:10" ht="15.75" customHeight="1">
      <c r="H4486" s="563"/>
      <c r="I4486" s="538"/>
      <c r="J4486" s="564"/>
    </row>
    <row r="4487" spans="8:10" ht="15.75" customHeight="1">
      <c r="H4487" s="563"/>
      <c r="I4487" s="538"/>
      <c r="J4487" s="564"/>
    </row>
    <row r="4488" spans="8:10" ht="15.75" customHeight="1">
      <c r="H4488" s="563"/>
      <c r="I4488" s="538"/>
      <c r="J4488" s="564"/>
    </row>
    <row r="4489" spans="8:10" ht="15.75" customHeight="1">
      <c r="H4489" s="563"/>
      <c r="I4489" s="538"/>
      <c r="J4489" s="564"/>
    </row>
    <row r="4490" spans="8:10" ht="15.75" customHeight="1">
      <c r="H4490" s="563"/>
      <c r="I4490" s="538"/>
      <c r="J4490" s="564"/>
    </row>
    <row r="4491" spans="8:10" ht="15.75" customHeight="1">
      <c r="H4491" s="563"/>
      <c r="I4491" s="538"/>
      <c r="J4491" s="564"/>
    </row>
    <row r="4492" spans="8:10" ht="15.75" customHeight="1">
      <c r="H4492" s="563"/>
      <c r="I4492" s="538"/>
      <c r="J4492" s="564"/>
    </row>
    <row r="4493" spans="8:10" ht="15.75" customHeight="1">
      <c r="H4493" s="563"/>
      <c r="I4493" s="538"/>
      <c r="J4493" s="564"/>
    </row>
    <row r="4494" spans="8:10" ht="15.75" customHeight="1">
      <c r="H4494" s="563"/>
      <c r="I4494" s="538"/>
      <c r="J4494" s="564"/>
    </row>
    <row r="4495" spans="8:10" ht="15.75" customHeight="1">
      <c r="H4495" s="563"/>
      <c r="I4495" s="538"/>
      <c r="J4495" s="564"/>
    </row>
    <row r="4496" spans="8:10" ht="15.75" customHeight="1">
      <c r="H4496" s="563"/>
      <c r="I4496" s="538"/>
      <c r="J4496" s="564"/>
    </row>
    <row r="4497" spans="8:10" ht="15.75" customHeight="1">
      <c r="H4497" s="563"/>
      <c r="I4497" s="538"/>
      <c r="J4497" s="564"/>
    </row>
    <row r="4498" spans="8:10" ht="15.75" customHeight="1">
      <c r="H4498" s="563"/>
      <c r="I4498" s="538"/>
      <c r="J4498" s="564"/>
    </row>
    <row r="4499" spans="8:10" ht="15.75" customHeight="1">
      <c r="H4499" s="563"/>
      <c r="I4499" s="538"/>
      <c r="J4499" s="564"/>
    </row>
    <row r="4500" spans="8:10" ht="15.75" customHeight="1">
      <c r="H4500" s="563"/>
      <c r="I4500" s="538"/>
      <c r="J4500" s="564"/>
    </row>
    <row r="4501" spans="8:10" ht="15.75" customHeight="1">
      <c r="H4501" s="563"/>
      <c r="I4501" s="538"/>
      <c r="J4501" s="564"/>
    </row>
    <row r="4502" spans="8:10" ht="15.75" customHeight="1">
      <c r="H4502" s="563"/>
      <c r="I4502" s="538"/>
      <c r="J4502" s="564"/>
    </row>
    <row r="4503" spans="8:10" ht="15.75" customHeight="1">
      <c r="H4503" s="563"/>
      <c r="I4503" s="538"/>
      <c r="J4503" s="564"/>
    </row>
    <row r="4504" spans="8:10" ht="15.75" customHeight="1">
      <c r="H4504" s="563"/>
      <c r="I4504" s="538"/>
      <c r="J4504" s="564"/>
    </row>
    <row r="4505" spans="8:10" ht="15.75" customHeight="1">
      <c r="H4505" s="563"/>
      <c r="I4505" s="538"/>
      <c r="J4505" s="564"/>
    </row>
    <row r="4506" spans="8:10" ht="15.75" customHeight="1">
      <c r="H4506" s="563"/>
      <c r="I4506" s="538"/>
      <c r="J4506" s="564"/>
    </row>
    <row r="4507" spans="8:10" ht="15.75" customHeight="1">
      <c r="H4507" s="563"/>
      <c r="I4507" s="538"/>
      <c r="J4507" s="564"/>
    </row>
    <row r="4508" spans="8:10" ht="15.75" customHeight="1">
      <c r="H4508" s="563"/>
      <c r="I4508" s="538"/>
      <c r="J4508" s="564"/>
    </row>
    <row r="4509" spans="8:10" ht="15.75" customHeight="1">
      <c r="H4509" s="563"/>
      <c r="I4509" s="538"/>
      <c r="J4509" s="564"/>
    </row>
    <row r="4510" spans="8:10" ht="15.75" customHeight="1">
      <c r="H4510" s="563"/>
      <c r="I4510" s="538"/>
      <c r="J4510" s="564"/>
    </row>
    <row r="4511" spans="8:10" ht="15.75" customHeight="1">
      <c r="H4511" s="563"/>
      <c r="I4511" s="538"/>
      <c r="J4511" s="564"/>
    </row>
    <row r="4512" spans="8:10" ht="15.75" customHeight="1">
      <c r="H4512" s="563"/>
      <c r="I4512" s="538"/>
      <c r="J4512" s="564"/>
    </row>
    <row r="4513" spans="8:10" ht="15.75" customHeight="1">
      <c r="H4513" s="563"/>
      <c r="I4513" s="538"/>
      <c r="J4513" s="564"/>
    </row>
    <row r="4514" spans="8:10" ht="15.75" customHeight="1">
      <c r="H4514" s="563"/>
      <c r="I4514" s="538"/>
      <c r="J4514" s="564"/>
    </row>
    <row r="4515" spans="8:10" ht="15.75" customHeight="1">
      <c r="H4515" s="563"/>
      <c r="I4515" s="538"/>
      <c r="J4515" s="564"/>
    </row>
    <row r="4516" spans="8:10" ht="15.75" customHeight="1">
      <c r="H4516" s="563"/>
      <c r="I4516" s="538"/>
      <c r="J4516" s="564"/>
    </row>
    <row r="4517" spans="8:10" ht="15.75" customHeight="1">
      <c r="H4517" s="563"/>
      <c r="I4517" s="538"/>
      <c r="J4517" s="564"/>
    </row>
    <row r="4518" spans="8:10" ht="15.75" customHeight="1">
      <c r="H4518" s="563"/>
      <c r="I4518" s="538"/>
      <c r="J4518" s="564"/>
    </row>
    <row r="4519" spans="8:10" ht="15.75" customHeight="1">
      <c r="H4519" s="563"/>
      <c r="I4519" s="538"/>
      <c r="J4519" s="564"/>
    </row>
    <row r="4520" spans="8:10" ht="15.75" customHeight="1">
      <c r="H4520" s="563"/>
      <c r="I4520" s="538"/>
      <c r="J4520" s="564"/>
    </row>
    <row r="4521" spans="8:10" ht="15.75" customHeight="1">
      <c r="H4521" s="563"/>
      <c r="I4521" s="538"/>
      <c r="J4521" s="564"/>
    </row>
    <row r="4522" spans="8:10" ht="15.75" customHeight="1">
      <c r="H4522" s="563"/>
      <c r="I4522" s="538"/>
      <c r="J4522" s="564"/>
    </row>
    <row r="4523" spans="8:10" ht="15.75" customHeight="1">
      <c r="H4523" s="563"/>
      <c r="I4523" s="538"/>
      <c r="J4523" s="564"/>
    </row>
    <row r="4524" spans="8:10" ht="15.75" customHeight="1">
      <c r="H4524" s="563"/>
      <c r="I4524" s="538"/>
      <c r="J4524" s="564"/>
    </row>
    <row r="4525" spans="8:10" ht="15.75" customHeight="1">
      <c r="H4525" s="563"/>
      <c r="I4525" s="538"/>
      <c r="J4525" s="564"/>
    </row>
    <row r="4526" spans="8:10" ht="15.75" customHeight="1">
      <c r="H4526" s="563"/>
      <c r="I4526" s="538"/>
      <c r="J4526" s="564"/>
    </row>
    <row r="4527" spans="8:10" ht="15.75" customHeight="1">
      <c r="H4527" s="563"/>
      <c r="I4527" s="538"/>
      <c r="J4527" s="564"/>
    </row>
    <row r="4528" spans="8:10" ht="15.75" customHeight="1">
      <c r="H4528" s="563"/>
      <c r="I4528" s="538"/>
      <c r="J4528" s="564"/>
    </row>
    <row r="4529" spans="8:10" ht="15.75" customHeight="1">
      <c r="H4529" s="563"/>
      <c r="I4529" s="538"/>
      <c r="J4529" s="564"/>
    </row>
    <row r="4530" spans="8:10" ht="15.75" customHeight="1">
      <c r="H4530" s="563"/>
      <c r="I4530" s="538"/>
      <c r="J4530" s="564"/>
    </row>
    <row r="4531" spans="8:10" ht="15.75" customHeight="1">
      <c r="H4531" s="563"/>
      <c r="I4531" s="538"/>
      <c r="J4531" s="564"/>
    </row>
    <row r="4532" spans="8:10" ht="15.75" customHeight="1">
      <c r="H4532" s="563"/>
      <c r="I4532" s="538"/>
      <c r="J4532" s="564"/>
    </row>
    <row r="4533" spans="8:10" ht="15.75" customHeight="1">
      <c r="H4533" s="563"/>
      <c r="I4533" s="538"/>
      <c r="J4533" s="564"/>
    </row>
    <row r="4534" spans="8:10" ht="15.75" customHeight="1">
      <c r="H4534" s="563"/>
      <c r="I4534" s="538"/>
      <c r="J4534" s="564"/>
    </row>
    <row r="4535" spans="8:10" ht="15.75" customHeight="1">
      <c r="H4535" s="563"/>
      <c r="I4535" s="538"/>
      <c r="J4535" s="564"/>
    </row>
    <row r="4536" spans="8:10" ht="15.75" customHeight="1">
      <c r="H4536" s="563"/>
      <c r="I4536" s="538"/>
      <c r="J4536" s="564"/>
    </row>
    <row r="4537" spans="8:10" ht="15.75" customHeight="1">
      <c r="H4537" s="563"/>
      <c r="I4537" s="538"/>
      <c r="J4537" s="564"/>
    </row>
    <row r="4538" spans="8:10" ht="15.75" customHeight="1">
      <c r="H4538" s="563"/>
      <c r="I4538" s="538"/>
      <c r="J4538" s="564"/>
    </row>
    <row r="4539" spans="8:10" ht="15.75" customHeight="1">
      <c r="H4539" s="563"/>
      <c r="I4539" s="538"/>
      <c r="J4539" s="564"/>
    </row>
    <row r="4540" spans="8:10" ht="15.75" customHeight="1">
      <c r="H4540" s="563"/>
      <c r="I4540" s="538"/>
      <c r="J4540" s="564"/>
    </row>
    <row r="4541" spans="8:10" ht="15.75" customHeight="1">
      <c r="H4541" s="563"/>
      <c r="I4541" s="538"/>
      <c r="J4541" s="564"/>
    </row>
    <row r="4542" spans="8:10" ht="15.75" customHeight="1">
      <c r="H4542" s="563"/>
      <c r="I4542" s="538"/>
      <c r="J4542" s="564"/>
    </row>
    <row r="4543" spans="8:10" ht="15.75" customHeight="1">
      <c r="H4543" s="563"/>
      <c r="I4543" s="538"/>
      <c r="J4543" s="564"/>
    </row>
    <row r="4544" spans="8:10" ht="15.75" customHeight="1">
      <c r="H4544" s="563"/>
      <c r="I4544" s="538"/>
      <c r="J4544" s="564"/>
    </row>
    <row r="4545" spans="8:10" ht="15.75" customHeight="1">
      <c r="H4545" s="563"/>
      <c r="I4545" s="538"/>
      <c r="J4545" s="564"/>
    </row>
    <row r="4546" spans="8:10" ht="15.75" customHeight="1">
      <c r="H4546" s="563"/>
      <c r="I4546" s="538"/>
      <c r="J4546" s="564"/>
    </row>
    <row r="4547" spans="8:10" ht="15.75" customHeight="1">
      <c r="H4547" s="563"/>
      <c r="I4547" s="538"/>
      <c r="J4547" s="564"/>
    </row>
    <row r="4548" spans="8:10" ht="15.75" customHeight="1">
      <c r="H4548" s="563"/>
      <c r="I4548" s="538"/>
      <c r="J4548" s="564"/>
    </row>
    <row r="4549" spans="8:10" ht="15.75" customHeight="1">
      <c r="H4549" s="563"/>
      <c r="I4549" s="538"/>
      <c r="J4549" s="564"/>
    </row>
    <row r="4550" spans="8:10" ht="15.75" customHeight="1">
      <c r="H4550" s="563"/>
      <c r="I4550" s="538"/>
      <c r="J4550" s="564"/>
    </row>
    <row r="4551" spans="8:10" ht="15.75" customHeight="1">
      <c r="H4551" s="563"/>
      <c r="I4551" s="538"/>
      <c r="J4551" s="564"/>
    </row>
    <row r="4552" spans="8:10" ht="15.75" customHeight="1">
      <c r="H4552" s="563"/>
      <c r="I4552" s="538"/>
      <c r="J4552" s="564"/>
    </row>
    <row r="4553" spans="8:10" ht="15.75" customHeight="1">
      <c r="H4553" s="563"/>
      <c r="I4553" s="538"/>
      <c r="J4553" s="564"/>
    </row>
    <row r="4554" spans="8:10" ht="15.75" customHeight="1">
      <c r="H4554" s="563"/>
      <c r="I4554" s="538"/>
      <c r="J4554" s="564"/>
    </row>
    <row r="4555" spans="8:10" ht="15.75" customHeight="1">
      <c r="H4555" s="563"/>
      <c r="I4555" s="538"/>
      <c r="J4555" s="564"/>
    </row>
    <row r="4556" spans="8:10" ht="15.75" customHeight="1">
      <c r="H4556" s="563"/>
      <c r="I4556" s="538"/>
      <c r="J4556" s="564"/>
    </row>
    <row r="4557" spans="8:10" ht="15.75" customHeight="1">
      <c r="H4557" s="563"/>
      <c r="I4557" s="538"/>
      <c r="J4557" s="564"/>
    </row>
    <row r="4558" spans="8:10" ht="15.75" customHeight="1">
      <c r="H4558" s="563"/>
      <c r="I4558" s="538"/>
      <c r="J4558" s="564"/>
    </row>
    <row r="4559" spans="8:10" ht="15.75" customHeight="1">
      <c r="H4559" s="563"/>
      <c r="I4559" s="538"/>
      <c r="J4559" s="564"/>
    </row>
    <row r="4560" spans="8:10" ht="15.75" customHeight="1">
      <c r="H4560" s="563"/>
      <c r="I4560" s="538"/>
      <c r="J4560" s="564"/>
    </row>
    <row r="4561" spans="8:10" ht="15.75" customHeight="1">
      <c r="H4561" s="563"/>
      <c r="I4561" s="538"/>
      <c r="J4561" s="564"/>
    </row>
    <row r="4562" spans="8:10" ht="15.75" customHeight="1">
      <c r="H4562" s="563"/>
      <c r="I4562" s="538"/>
      <c r="J4562" s="564"/>
    </row>
    <row r="4563" spans="8:10" ht="15.75" customHeight="1">
      <c r="H4563" s="563"/>
      <c r="I4563" s="538"/>
      <c r="J4563" s="564"/>
    </row>
    <row r="4564" spans="8:10" ht="15.75" customHeight="1">
      <c r="H4564" s="563"/>
      <c r="I4564" s="538"/>
      <c r="J4564" s="564"/>
    </row>
    <row r="4565" spans="8:10" ht="15.75" customHeight="1">
      <c r="H4565" s="563"/>
      <c r="I4565" s="538"/>
      <c r="J4565" s="564"/>
    </row>
    <row r="4566" spans="8:10" ht="15.75" customHeight="1">
      <c r="H4566" s="563"/>
      <c r="I4566" s="538"/>
      <c r="J4566" s="564"/>
    </row>
    <row r="4567" spans="8:10" ht="15.75" customHeight="1">
      <c r="H4567" s="563"/>
      <c r="I4567" s="538"/>
      <c r="J4567" s="564"/>
    </row>
    <row r="4568" spans="8:10" ht="15.75" customHeight="1">
      <c r="H4568" s="563"/>
      <c r="I4568" s="538"/>
      <c r="J4568" s="564"/>
    </row>
    <row r="4569" spans="8:10" ht="15.75" customHeight="1">
      <c r="H4569" s="563"/>
      <c r="I4569" s="538"/>
      <c r="J4569" s="564"/>
    </row>
    <row r="4570" spans="8:10" ht="15.75" customHeight="1">
      <c r="H4570" s="563"/>
      <c r="I4570" s="538"/>
      <c r="J4570" s="564"/>
    </row>
    <row r="4571" spans="8:10" ht="15.75" customHeight="1">
      <c r="H4571" s="563"/>
      <c r="I4571" s="538"/>
      <c r="J4571" s="564"/>
    </row>
    <row r="4572" spans="8:10" ht="15.75" customHeight="1">
      <c r="H4572" s="563"/>
      <c r="I4572" s="538"/>
      <c r="J4572" s="564"/>
    </row>
    <row r="4573" spans="8:10" ht="15.75" customHeight="1">
      <c r="H4573" s="563"/>
      <c r="I4573" s="538"/>
      <c r="J4573" s="564"/>
    </row>
    <row r="4574" spans="8:10" ht="15.75" customHeight="1">
      <c r="H4574" s="563"/>
      <c r="I4574" s="538"/>
      <c r="J4574" s="564"/>
    </row>
    <row r="4575" spans="8:10" ht="15.75" customHeight="1">
      <c r="H4575" s="563"/>
      <c r="I4575" s="538"/>
      <c r="J4575" s="564"/>
    </row>
    <row r="4576" spans="8:10" ht="15.75" customHeight="1">
      <c r="H4576" s="563"/>
      <c r="I4576" s="538"/>
      <c r="J4576" s="564"/>
    </row>
    <row r="4577" spans="8:10" ht="15.75" customHeight="1">
      <c r="H4577" s="563"/>
      <c r="I4577" s="538"/>
      <c r="J4577" s="564"/>
    </row>
    <row r="4578" spans="8:10" ht="15.75" customHeight="1">
      <c r="H4578" s="563"/>
      <c r="I4578" s="538"/>
      <c r="J4578" s="564"/>
    </row>
    <row r="4579" spans="8:10" ht="15.75" customHeight="1">
      <c r="H4579" s="563"/>
      <c r="I4579" s="538"/>
      <c r="J4579" s="564"/>
    </row>
    <row r="4580" spans="8:10" ht="15.75" customHeight="1">
      <c r="H4580" s="563"/>
      <c r="I4580" s="538"/>
      <c r="J4580" s="564"/>
    </row>
    <row r="4581" spans="8:10" ht="15.75" customHeight="1">
      <c r="H4581" s="563"/>
      <c r="I4581" s="538"/>
      <c r="J4581" s="564"/>
    </row>
    <row r="4582" spans="8:10" ht="15.75" customHeight="1">
      <c r="H4582" s="563"/>
      <c r="I4582" s="538"/>
      <c r="J4582" s="564"/>
    </row>
    <row r="4583" spans="8:10" ht="15.75" customHeight="1">
      <c r="H4583" s="563"/>
      <c r="I4583" s="538"/>
      <c r="J4583" s="564"/>
    </row>
    <row r="4584" spans="8:10" ht="15.75" customHeight="1">
      <c r="H4584" s="563"/>
      <c r="I4584" s="538"/>
      <c r="J4584" s="564"/>
    </row>
    <row r="4585" spans="8:10" ht="15.75" customHeight="1">
      <c r="H4585" s="563"/>
      <c r="I4585" s="538"/>
      <c r="J4585" s="564"/>
    </row>
    <row r="4586" spans="8:10" ht="15.75" customHeight="1">
      <c r="H4586" s="563"/>
      <c r="I4586" s="538"/>
      <c r="J4586" s="564"/>
    </row>
    <row r="4587" spans="8:10" ht="15.75" customHeight="1">
      <c r="H4587" s="563"/>
      <c r="I4587" s="538"/>
      <c r="J4587" s="564"/>
    </row>
    <row r="4588" spans="8:10" ht="15.75" customHeight="1">
      <c r="H4588" s="563"/>
      <c r="I4588" s="538"/>
      <c r="J4588" s="564"/>
    </row>
    <row r="4589" spans="8:10" ht="15.75" customHeight="1">
      <c r="H4589" s="563"/>
      <c r="I4589" s="538"/>
      <c r="J4589" s="564"/>
    </row>
    <row r="4590" spans="8:10" ht="15.75" customHeight="1">
      <c r="H4590" s="563"/>
      <c r="I4590" s="538"/>
      <c r="J4590" s="564"/>
    </row>
    <row r="4591" spans="8:10" ht="15.75" customHeight="1">
      <c r="H4591" s="563"/>
      <c r="I4591" s="538"/>
      <c r="J4591" s="564"/>
    </row>
    <row r="4592" spans="8:10" ht="15.75" customHeight="1">
      <c r="H4592" s="563"/>
      <c r="I4592" s="538"/>
      <c r="J4592" s="564"/>
    </row>
    <row r="4593" spans="8:10" ht="15.75" customHeight="1">
      <c r="H4593" s="563"/>
      <c r="I4593" s="538"/>
      <c r="J4593" s="564"/>
    </row>
    <row r="4594" spans="8:10" ht="15.75" customHeight="1">
      <c r="H4594" s="563"/>
      <c r="I4594" s="538"/>
      <c r="J4594" s="564"/>
    </row>
    <row r="4595" spans="8:10" ht="15.75" customHeight="1">
      <c r="H4595" s="563"/>
      <c r="I4595" s="538"/>
      <c r="J4595" s="564"/>
    </row>
    <row r="4596" spans="8:10" ht="15.75" customHeight="1">
      <c r="H4596" s="563"/>
      <c r="I4596" s="538"/>
      <c r="J4596" s="564"/>
    </row>
    <row r="4597" spans="8:10" ht="15.75" customHeight="1">
      <c r="H4597" s="563"/>
      <c r="I4597" s="538"/>
      <c r="J4597" s="564"/>
    </row>
  </sheetData>
  <autoFilter ref="A2:AP752" xr:uid="{00000000-0009-0000-0000-000001000000}">
    <filterColumn colId="7">
      <customFilters>
        <customFilter val="*P*"/>
      </customFilters>
    </filterColumn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</autoFilter>
  <mergeCells count="9">
    <mergeCell ref="A1:AY1"/>
    <mergeCell ref="AT2:AV2"/>
    <mergeCell ref="AN2:AP2"/>
    <mergeCell ref="N2:P2"/>
    <mergeCell ref="T2:V2"/>
    <mergeCell ref="W2:Y2"/>
    <mergeCell ref="Z2:AB2"/>
    <mergeCell ref="AC2:AE2"/>
    <mergeCell ref="AQ2:AS2"/>
  </mergeCells>
  <phoneticPr fontId="0" type="noConversion"/>
  <conditionalFormatting sqref="AQ16 AQ70 AQ18 AQ68 AQ72">
    <cfRule type="cellIs" dxfId="44" priority="11" stopIfTrue="1" operator="notBetween">
      <formula>-0.36</formula>
      <formula>0.36</formula>
    </cfRule>
  </conditionalFormatting>
  <printOptions horizontalCentered="1" gridLines="1"/>
  <pageMargins left="0.39370078740157483" right="0.39370078740157483" top="0.78740157480314965" bottom="0.78740157480314965" header="0.31496062992125984" footer="0.31496062992125984"/>
  <pageSetup paperSize="9" scale="44" fitToHeight="0" orientation="landscape" cellComments="asDisplayed" r:id="rId1"/>
  <headerFooter alignWithMargins="0">
    <oddHeader>&amp;L&amp;G&amp;C
LAYOUT AND EQUIPMENT
EP 15 TRACK 1
KP 30-48&amp;R&amp;G</oddHeader>
    <oddFooter>&amp;L
&amp;F&amp;C&amp;G
&amp;D&amp;R
Page &amp;P of &amp;N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 filterMode="1">
    <tabColor theme="8"/>
    <pageSetUpPr fitToPage="1"/>
  </sheetPr>
  <dimension ref="A1:BL4639"/>
  <sheetViews>
    <sheetView view="pageBreakPreview" zoomScale="60" zoomScaleNormal="80" workbookViewId="0">
      <pane xSplit="8" ySplit="2" topLeftCell="I335" activePane="bottomRight" state="frozen"/>
      <selection activeCell="G8" sqref="G8"/>
      <selection pane="topRight" activeCell="G8" sqref="G8"/>
      <selection pane="bottomLeft" activeCell="G8" sqref="G8"/>
      <selection pane="bottomRight" activeCell="H707" sqref="H707"/>
    </sheetView>
  </sheetViews>
  <sheetFormatPr baseColWidth="10" defaultColWidth="11.44140625" defaultRowHeight="15.75" customHeight="1"/>
  <cols>
    <col min="1" max="1" width="19" style="578" customWidth="1"/>
    <col min="2" max="2" width="9.6640625" style="532" customWidth="1"/>
    <col min="3" max="3" width="13.44140625" style="531" hidden="1" customWidth="1"/>
    <col min="4" max="4" width="13.88671875" style="532" hidden="1" customWidth="1"/>
    <col min="5" max="5" width="10.5546875" style="532" hidden="1" customWidth="1"/>
    <col min="6" max="6" width="9.33203125" style="579" hidden="1" customWidth="1"/>
    <col min="7" max="7" width="10" style="532" hidden="1" customWidth="1"/>
    <col min="8" max="8" width="17.44140625" style="532" customWidth="1"/>
    <col min="9" max="9" width="15.5546875" style="532" customWidth="1"/>
    <col min="10" max="10" width="13.5546875" style="578" customWidth="1"/>
    <col min="11" max="11" width="15.33203125" style="532" customWidth="1"/>
    <col min="12" max="12" width="16.33203125" style="532" customWidth="1"/>
    <col min="13" max="13" width="15.88671875" style="532" customWidth="1"/>
    <col min="14" max="15" width="9" style="532" customWidth="1"/>
    <col min="16" max="16" width="9" style="532" hidden="1" customWidth="1"/>
    <col min="17" max="19" width="11.6640625" style="532" customWidth="1"/>
    <col min="20" max="21" width="6.33203125" style="532" customWidth="1"/>
    <col min="22" max="22" width="6.33203125" style="532" hidden="1" customWidth="1"/>
    <col min="23" max="24" width="6.33203125" style="532" customWidth="1"/>
    <col min="25" max="25" width="6.33203125" style="532" hidden="1" customWidth="1"/>
    <col min="26" max="27" width="6.33203125" style="532" customWidth="1"/>
    <col min="28" max="28" width="6.33203125" style="532" hidden="1" customWidth="1"/>
    <col min="29" max="29" width="10" style="532" bestFit="1" customWidth="1"/>
    <col min="30" max="30" width="9.88671875" style="532" customWidth="1"/>
    <col min="31" max="31" width="6.33203125" style="532" hidden="1" customWidth="1"/>
    <col min="32" max="35" width="12.5546875" style="532" customWidth="1"/>
    <col min="36" max="36" width="12.6640625" style="532" customWidth="1"/>
    <col min="37" max="38" width="11" style="532" hidden="1" customWidth="1"/>
    <col min="39" max="39" width="13.44140625" style="532" customWidth="1"/>
    <col min="40" max="40" width="8.33203125" style="532" customWidth="1"/>
    <col min="41" max="42" width="7.33203125" style="532" hidden="1" customWidth="1"/>
    <col min="43" max="43" width="8.33203125" style="532" hidden="1" customWidth="1"/>
    <col min="44" max="45" width="7.33203125" style="532" hidden="1" customWidth="1"/>
    <col min="46" max="46" width="8.33203125" style="532" hidden="1" customWidth="1"/>
    <col min="47" max="48" width="7.33203125" style="532" hidden="1" customWidth="1"/>
    <col min="49" max="51" width="8.88671875" style="532" hidden="1" customWidth="1"/>
    <col min="52" max="52" width="9.6640625" style="517" customWidth="1"/>
    <col min="53" max="53" width="26.88671875" style="517" customWidth="1"/>
    <col min="54" max="54" width="63" style="517" bestFit="1" customWidth="1"/>
    <col min="55" max="55" width="15.88671875" style="517" customWidth="1"/>
    <col min="56" max="56" width="5" style="517" customWidth="1"/>
    <col min="57" max="57" width="50.5546875" style="517" bestFit="1" customWidth="1"/>
    <col min="58" max="58" width="22" style="517" customWidth="1"/>
    <col min="59" max="59" width="10.33203125" style="517" customWidth="1"/>
    <col min="60" max="60" width="29.88671875" style="517" customWidth="1"/>
    <col min="61" max="62" width="16.6640625" style="517" customWidth="1"/>
    <col min="63" max="66" width="11.44140625" style="517" customWidth="1"/>
    <col min="67" max="16384" width="11.44140625" style="517"/>
  </cols>
  <sheetData>
    <row r="1" spans="1:64" ht="36.75" customHeight="1" thickBot="1">
      <c r="A1" s="1358" t="s">
        <v>478</v>
      </c>
      <c r="B1" s="1359"/>
      <c r="C1" s="1359"/>
      <c r="D1" s="1359"/>
      <c r="E1" s="1359"/>
      <c r="F1" s="1359"/>
      <c r="G1" s="1359"/>
      <c r="H1" s="1359"/>
      <c r="I1" s="1359"/>
      <c r="J1" s="1359"/>
      <c r="K1" s="1359"/>
      <c r="L1" s="1359"/>
      <c r="M1" s="1359"/>
      <c r="N1" s="1359"/>
      <c r="O1" s="1359"/>
      <c r="P1" s="1359"/>
      <c r="Q1" s="1359"/>
      <c r="R1" s="1359"/>
      <c r="S1" s="1359"/>
      <c r="T1" s="1359"/>
      <c r="U1" s="1359"/>
      <c r="V1" s="1359"/>
      <c r="W1" s="1359"/>
      <c r="X1" s="1359"/>
      <c r="Y1" s="1359"/>
      <c r="Z1" s="1359"/>
      <c r="AA1" s="1359"/>
      <c r="AB1" s="1359"/>
      <c r="AC1" s="1359"/>
      <c r="AD1" s="1359"/>
      <c r="AE1" s="1359"/>
      <c r="AF1" s="1359"/>
      <c r="AG1" s="1359"/>
      <c r="AH1" s="1359"/>
      <c r="AI1" s="1359"/>
      <c r="AJ1" s="1359"/>
      <c r="AK1" s="1359"/>
      <c r="AL1" s="1359"/>
      <c r="AM1" s="1359"/>
      <c r="AN1" s="1359"/>
      <c r="AO1" s="1359"/>
      <c r="AP1" s="1359"/>
      <c r="AQ1" s="1359"/>
      <c r="AR1" s="1359"/>
      <c r="AS1" s="1359"/>
      <c r="AT1" s="1359"/>
      <c r="AU1" s="1359"/>
      <c r="AV1" s="1359"/>
      <c r="AW1" s="1359"/>
      <c r="AX1" s="1359"/>
      <c r="AY1" s="1359"/>
    </row>
    <row r="2" spans="1:64" ht="42.75" customHeight="1" thickBot="1">
      <c r="A2" s="571" t="s">
        <v>2457</v>
      </c>
      <c r="B2" s="571" t="s">
        <v>467</v>
      </c>
      <c r="C2" s="572" t="s">
        <v>468</v>
      </c>
      <c r="D2" s="573" t="s">
        <v>2458</v>
      </c>
      <c r="E2" s="574" t="s">
        <v>681</v>
      </c>
      <c r="F2" s="575" t="s">
        <v>470</v>
      </c>
      <c r="G2" s="574" t="s">
        <v>3086</v>
      </c>
      <c r="H2" s="574" t="s">
        <v>473</v>
      </c>
      <c r="I2" s="571" t="s">
        <v>472</v>
      </c>
      <c r="J2" s="576" t="s">
        <v>1017</v>
      </c>
      <c r="K2" s="571" t="s">
        <v>2463</v>
      </c>
      <c r="L2" s="571" t="s">
        <v>474</v>
      </c>
      <c r="M2" s="571" t="s">
        <v>471</v>
      </c>
      <c r="N2" s="1360" t="s">
        <v>475</v>
      </c>
      <c r="O2" s="1361"/>
      <c r="P2" s="1362"/>
      <c r="Q2" s="571" t="s">
        <v>680</v>
      </c>
      <c r="R2" s="571" t="s">
        <v>682</v>
      </c>
      <c r="S2" s="571" t="s">
        <v>683</v>
      </c>
      <c r="T2" s="1360" t="s">
        <v>481</v>
      </c>
      <c r="U2" s="1361"/>
      <c r="V2" s="1362"/>
      <c r="W2" s="1360" t="s">
        <v>484</v>
      </c>
      <c r="X2" s="1361"/>
      <c r="Y2" s="1362"/>
      <c r="Z2" s="1360" t="s">
        <v>2459</v>
      </c>
      <c r="AA2" s="1361"/>
      <c r="AB2" s="1362"/>
      <c r="AC2" s="1360" t="s">
        <v>685</v>
      </c>
      <c r="AD2" s="1361"/>
      <c r="AE2" s="1362"/>
      <c r="AF2" s="571" t="s">
        <v>686</v>
      </c>
      <c r="AG2" s="571" t="s">
        <v>687</v>
      </c>
      <c r="AH2" s="571" t="s">
        <v>688</v>
      </c>
      <c r="AI2" s="571" t="s">
        <v>689</v>
      </c>
      <c r="AJ2" s="577" t="s">
        <v>690</v>
      </c>
      <c r="AK2" s="571" t="s">
        <v>476</v>
      </c>
      <c r="AL2" s="571" t="s">
        <v>477</v>
      </c>
      <c r="AM2" s="809" t="s">
        <v>692</v>
      </c>
      <c r="AN2" s="1360" t="s">
        <v>482</v>
      </c>
      <c r="AO2" s="1361"/>
      <c r="AP2" s="1362"/>
      <c r="AQ2" s="1360" t="s">
        <v>483</v>
      </c>
      <c r="AR2" s="1361"/>
      <c r="AS2" s="1362"/>
      <c r="AT2" s="1360" t="s">
        <v>691</v>
      </c>
      <c r="AU2" s="1361"/>
      <c r="AV2" s="1362"/>
      <c r="AW2" s="571" t="s">
        <v>2460</v>
      </c>
      <c r="AX2" s="571" t="s">
        <v>2461</v>
      </c>
      <c r="AY2" s="571" t="s">
        <v>2462</v>
      </c>
      <c r="AZ2" s="514"/>
      <c r="BA2" s="514"/>
      <c r="BB2" s="1277" t="s">
        <v>1018</v>
      </c>
      <c r="BC2" s="1278"/>
      <c r="BD2" s="1279"/>
      <c r="BE2" s="1280" t="s">
        <v>1018</v>
      </c>
      <c r="BF2" s="1281"/>
      <c r="BG2" s="512"/>
      <c r="BH2" s="515" t="s">
        <v>974</v>
      </c>
      <c r="BI2" s="515" t="s">
        <v>962</v>
      </c>
      <c r="BJ2" s="515" t="s">
        <v>963</v>
      </c>
      <c r="BK2" s="515" t="s">
        <v>964</v>
      </c>
      <c r="BL2" s="516" t="s">
        <v>200</v>
      </c>
    </row>
    <row r="3" spans="1:64" ht="15.75" hidden="1" customHeight="1">
      <c r="N3" s="580" t="s">
        <v>123</v>
      </c>
      <c r="O3" s="580" t="s">
        <v>124</v>
      </c>
      <c r="P3" s="580" t="s">
        <v>125</v>
      </c>
      <c r="T3" s="580" t="s">
        <v>126</v>
      </c>
      <c r="U3" s="580" t="s">
        <v>127</v>
      </c>
      <c r="V3" s="580" t="s">
        <v>128</v>
      </c>
      <c r="W3" s="580" t="s">
        <v>129</v>
      </c>
      <c r="X3" s="580" t="s">
        <v>130</v>
      </c>
      <c r="Y3" s="580" t="s">
        <v>131</v>
      </c>
      <c r="Z3" s="580" t="s">
        <v>132</v>
      </c>
      <c r="AA3" s="580" t="s">
        <v>133</v>
      </c>
      <c r="AB3" s="580" t="s">
        <v>134</v>
      </c>
      <c r="AC3" s="580" t="s">
        <v>135</v>
      </c>
      <c r="AD3" s="580" t="s">
        <v>136</v>
      </c>
      <c r="AE3" s="580" t="s">
        <v>137</v>
      </c>
      <c r="AN3" s="580" t="s">
        <v>129</v>
      </c>
      <c r="AO3" s="580" t="s">
        <v>130</v>
      </c>
      <c r="AP3" s="580" t="s">
        <v>131</v>
      </c>
      <c r="AQ3" s="580" t="s">
        <v>662</v>
      </c>
      <c r="AR3" s="580" t="s">
        <v>663</v>
      </c>
      <c r="AS3" s="580" t="s">
        <v>664</v>
      </c>
      <c r="AT3" s="580" t="s">
        <v>665</v>
      </c>
      <c r="AU3" s="580" t="s">
        <v>666</v>
      </c>
      <c r="AV3" s="580" t="s">
        <v>667</v>
      </c>
      <c r="AW3" s="517"/>
      <c r="AX3" s="517"/>
      <c r="AY3" s="517"/>
      <c r="BB3" s="1282"/>
      <c r="BC3" s="1283"/>
      <c r="BD3" s="1279"/>
      <c r="BE3" s="1282"/>
      <c r="BF3" s="1283"/>
      <c r="BG3" s="512"/>
      <c r="BL3" s="519"/>
    </row>
    <row r="4" spans="1:64" ht="15.75" hidden="1" customHeight="1">
      <c r="A4" s="757"/>
      <c r="B4" s="696"/>
      <c r="C4" s="695"/>
      <c r="D4" s="696"/>
      <c r="E4" s="696"/>
      <c r="F4" s="758"/>
      <c r="G4" s="759"/>
      <c r="H4" s="696"/>
      <c r="I4" s="696"/>
      <c r="J4" s="757"/>
      <c r="K4" s="696"/>
      <c r="L4" s="696"/>
      <c r="M4" s="696"/>
      <c r="N4" s="696"/>
      <c r="O4" s="696"/>
      <c r="P4" s="696"/>
      <c r="Q4" s="696"/>
      <c r="R4" s="696"/>
      <c r="S4" s="696"/>
      <c r="T4" s="696"/>
      <c r="U4" s="696"/>
      <c r="V4" s="696"/>
      <c r="W4" s="696"/>
      <c r="X4" s="696"/>
      <c r="Y4" s="696"/>
      <c r="Z4" s="696"/>
      <c r="AA4" s="696"/>
      <c r="AB4" s="696"/>
      <c r="AC4" s="696"/>
      <c r="AD4" s="696"/>
      <c r="AE4" s="696"/>
      <c r="AF4" s="696"/>
      <c r="AG4" s="696"/>
      <c r="AH4" s="696"/>
      <c r="AI4" s="696"/>
      <c r="AJ4" s="696"/>
      <c r="AK4" s="696"/>
      <c r="AL4" s="696"/>
      <c r="AM4" s="696"/>
      <c r="AN4" s="696"/>
      <c r="AO4" s="696"/>
      <c r="AP4" s="696"/>
      <c r="AQ4" s="696"/>
      <c r="AR4" s="696"/>
      <c r="AS4" s="696"/>
      <c r="AT4" s="696"/>
      <c r="AU4" s="696"/>
      <c r="AV4" s="696"/>
      <c r="AW4" s="696"/>
      <c r="AX4" s="696"/>
      <c r="AY4" s="696"/>
      <c r="BB4" s="1284"/>
      <c r="BC4" s="1285"/>
      <c r="BD4" s="1279"/>
      <c r="BE4" s="1284"/>
      <c r="BF4" s="1285"/>
      <c r="BG4" s="542"/>
      <c r="BH4" s="518" t="s">
        <v>965</v>
      </c>
      <c r="BI4" s="531">
        <v>30800</v>
      </c>
      <c r="BJ4" s="531">
        <v>37000</v>
      </c>
      <c r="BK4" s="532">
        <v>2</v>
      </c>
      <c r="BL4" s="519">
        <f>+(BJ4-BI4)*BK4/1000</f>
        <v>12.4</v>
      </c>
    </row>
    <row r="5" spans="1:64" ht="15.75" hidden="1" customHeight="1">
      <c r="A5" s="743"/>
      <c r="B5" s="744" t="s">
        <v>1666</v>
      </c>
      <c r="C5" s="1329">
        <v>30682</v>
      </c>
      <c r="D5" s="746"/>
      <c r="E5" s="746"/>
      <c r="F5" s="747">
        <v>0</v>
      </c>
      <c r="G5" s="748"/>
      <c r="H5" s="749" t="s">
        <v>138</v>
      </c>
      <c r="I5" s="750"/>
      <c r="J5" s="745"/>
      <c r="K5" s="746"/>
      <c r="L5" s="746"/>
      <c r="M5" s="746"/>
      <c r="N5" s="746"/>
      <c r="O5" s="746"/>
      <c r="P5" s="746"/>
      <c r="Q5" s="746"/>
      <c r="R5" s="746"/>
      <c r="S5" s="746"/>
      <c r="T5" s="746"/>
      <c r="U5" s="746"/>
      <c r="V5" s="746"/>
      <c r="W5" s="746"/>
      <c r="X5" s="746"/>
      <c r="Y5" s="746"/>
      <c r="Z5" s="746"/>
      <c r="AA5" s="746"/>
      <c r="AB5" s="746"/>
      <c r="AC5" s="746"/>
      <c r="AD5" s="746"/>
      <c r="AE5" s="746"/>
      <c r="AF5" s="746"/>
      <c r="AG5" s="1329"/>
      <c r="AH5" s="746"/>
      <c r="AI5" s="746"/>
      <c r="AJ5" s="746"/>
      <c r="AK5" s="746"/>
      <c r="AL5" s="746"/>
      <c r="AM5" s="746"/>
      <c r="AN5" s="746"/>
      <c r="AO5" s="746"/>
      <c r="AP5" s="746"/>
      <c r="AQ5" s="752"/>
      <c r="AR5" s="752"/>
      <c r="AS5" s="752"/>
      <c r="AT5" s="752"/>
      <c r="AU5" s="752"/>
      <c r="AV5" s="752"/>
      <c r="AW5" s="746"/>
      <c r="AX5" s="746"/>
      <c r="AY5" s="746"/>
      <c r="AZ5" s="532"/>
      <c r="BA5" s="532"/>
      <c r="BB5" s="1286" t="s">
        <v>3027</v>
      </c>
      <c r="BC5" s="1287"/>
      <c r="BD5" s="1279"/>
      <c r="BE5" s="1286" t="s">
        <v>1044</v>
      </c>
      <c r="BF5" s="1287"/>
      <c r="BG5" s="542"/>
      <c r="BH5" s="518" t="s">
        <v>966</v>
      </c>
      <c r="BI5" s="531">
        <v>37000</v>
      </c>
      <c r="BJ5" s="531">
        <v>48500</v>
      </c>
      <c r="BK5" s="532">
        <v>1</v>
      </c>
      <c r="BL5" s="519">
        <f>+(BJ5-BI5)*BK5/1000</f>
        <v>11.5</v>
      </c>
    </row>
    <row r="6" spans="1:64" ht="15.75" hidden="1" customHeight="1">
      <c r="A6" s="743" t="s">
        <v>2577</v>
      </c>
      <c r="B6" s="744"/>
      <c r="C6" s="1329"/>
      <c r="D6" s="746"/>
      <c r="E6" s="746"/>
      <c r="F6" s="747"/>
      <c r="G6" s="748">
        <v>43</v>
      </c>
      <c r="H6" s="746"/>
      <c r="I6" s="750"/>
      <c r="J6" s="745"/>
      <c r="K6" s="746"/>
      <c r="L6" s="746"/>
      <c r="M6" s="746"/>
      <c r="N6" s="746"/>
      <c r="O6" s="746"/>
      <c r="P6" s="746"/>
      <c r="Q6" s="746"/>
      <c r="R6" s="746"/>
      <c r="S6" s="746"/>
      <c r="T6" s="746"/>
      <c r="U6" s="746"/>
      <c r="V6" s="746"/>
      <c r="W6" s="746"/>
      <c r="X6" s="746"/>
      <c r="Y6" s="746"/>
      <c r="Z6" s="746"/>
      <c r="AA6" s="746"/>
      <c r="AB6" s="746"/>
      <c r="AC6" s="746"/>
      <c r="AD6" s="746"/>
      <c r="AE6" s="746"/>
      <c r="AF6" s="746"/>
      <c r="AG6" s="1329"/>
      <c r="AH6" s="746"/>
      <c r="AI6" s="746"/>
      <c r="AJ6" s="746"/>
      <c r="AK6" s="746"/>
      <c r="AL6" s="746"/>
      <c r="AM6" s="746"/>
      <c r="AN6" s="746"/>
      <c r="AO6" s="746"/>
      <c r="AP6" s="746"/>
      <c r="AQ6" s="752"/>
      <c r="AR6" s="752"/>
      <c r="AS6" s="752"/>
      <c r="AT6" s="752"/>
      <c r="AU6" s="752"/>
      <c r="AV6" s="752"/>
      <c r="AW6" s="746"/>
      <c r="AX6" s="746"/>
      <c r="AY6" s="746"/>
      <c r="AZ6" s="532"/>
      <c r="BA6" s="532"/>
      <c r="BB6" s="1284" t="s">
        <v>1025</v>
      </c>
      <c r="BC6" s="1288"/>
      <c r="BD6" s="1279"/>
      <c r="BE6" s="1284" t="s">
        <v>3028</v>
      </c>
      <c r="BF6" s="1285" t="s">
        <v>3029</v>
      </c>
      <c r="BG6" s="542"/>
      <c r="BH6" s="518"/>
      <c r="BI6" s="531"/>
      <c r="BJ6" s="531"/>
      <c r="BK6" s="532"/>
      <c r="BL6" s="519"/>
    </row>
    <row r="7" spans="1:64" ht="15.75" hidden="1" customHeight="1">
      <c r="A7" s="743"/>
      <c r="B7" s="744" t="s">
        <v>1667</v>
      </c>
      <c r="C7" s="1329">
        <v>30725</v>
      </c>
      <c r="D7" s="746"/>
      <c r="E7" s="746"/>
      <c r="F7" s="747">
        <v>0</v>
      </c>
      <c r="G7" s="748"/>
      <c r="H7" s="749" t="s">
        <v>668</v>
      </c>
      <c r="I7" s="750"/>
      <c r="J7" s="745"/>
      <c r="K7" s="746"/>
      <c r="L7" s="746"/>
      <c r="M7" s="746"/>
      <c r="N7" s="746"/>
      <c r="O7" s="746"/>
      <c r="P7" s="746"/>
      <c r="Q7" s="746"/>
      <c r="R7" s="746"/>
      <c r="S7" s="746"/>
      <c r="T7" s="746"/>
      <c r="U7" s="746"/>
      <c r="V7" s="746"/>
      <c r="W7" s="746"/>
      <c r="X7" s="746"/>
      <c r="Y7" s="746"/>
      <c r="Z7" s="746"/>
      <c r="AA7" s="746"/>
      <c r="AB7" s="746"/>
      <c r="AC7" s="746"/>
      <c r="AD7" s="746"/>
      <c r="AE7" s="746"/>
      <c r="AF7" s="746"/>
      <c r="AG7" s="1329"/>
      <c r="AH7" s="746"/>
      <c r="AI7" s="746"/>
      <c r="AJ7" s="746"/>
      <c r="AK7" s="746"/>
      <c r="AL7" s="746"/>
      <c r="AM7" s="746"/>
      <c r="AN7" s="746"/>
      <c r="AO7" s="746"/>
      <c r="AP7" s="746"/>
      <c r="AQ7" s="752"/>
      <c r="AR7" s="752"/>
      <c r="AS7" s="752"/>
      <c r="AT7" s="752"/>
      <c r="AU7" s="752"/>
      <c r="AV7" s="752"/>
      <c r="AW7" s="746"/>
      <c r="AX7" s="746"/>
      <c r="AY7" s="746"/>
      <c r="AZ7" s="532"/>
      <c r="BA7" s="532"/>
      <c r="BB7" s="1284" t="s">
        <v>2987</v>
      </c>
      <c r="BC7" s="1289"/>
      <c r="BD7" s="1279"/>
      <c r="BE7" s="1284" t="s">
        <v>3030</v>
      </c>
      <c r="BF7" s="1285" t="s">
        <v>3031</v>
      </c>
      <c r="BG7" s="542"/>
      <c r="BH7" s="518"/>
      <c r="BI7" s="531"/>
      <c r="BJ7" s="531"/>
      <c r="BK7" s="532"/>
      <c r="BL7" s="519"/>
    </row>
    <row r="8" spans="1:64" ht="15.75" hidden="1" customHeight="1">
      <c r="A8" s="743"/>
      <c r="B8" s="744" t="s">
        <v>2998</v>
      </c>
      <c r="C8" s="1329">
        <v>30728</v>
      </c>
      <c r="D8" s="746"/>
      <c r="E8" s="746"/>
      <c r="F8" s="747"/>
      <c r="G8" s="748">
        <v>37</v>
      </c>
      <c r="H8" s="749"/>
      <c r="I8" s="750"/>
      <c r="J8" s="745"/>
      <c r="K8" s="746"/>
      <c r="L8" s="746"/>
      <c r="M8" s="746"/>
      <c r="N8" s="746"/>
      <c r="O8" s="746"/>
      <c r="P8" s="746"/>
      <c r="Q8" s="746"/>
      <c r="R8" s="746"/>
      <c r="S8" s="746"/>
      <c r="T8" s="746"/>
      <c r="U8" s="746"/>
      <c r="V8" s="746"/>
      <c r="W8" s="746"/>
      <c r="X8" s="746"/>
      <c r="Y8" s="746"/>
      <c r="Z8" s="746"/>
      <c r="AA8" s="746"/>
      <c r="AB8" s="746"/>
      <c r="AC8" s="746"/>
      <c r="AD8" s="746"/>
      <c r="AE8" s="746"/>
      <c r="AF8" s="746"/>
      <c r="AG8" s="1329"/>
      <c r="AH8" s="746"/>
      <c r="AI8" s="746"/>
      <c r="AJ8" s="746"/>
      <c r="AK8" s="746"/>
      <c r="AL8" s="746"/>
      <c r="AM8" s="746"/>
      <c r="AN8" s="746"/>
      <c r="AO8" s="746"/>
      <c r="AP8" s="746"/>
      <c r="AQ8" s="752"/>
      <c r="AR8" s="752"/>
      <c r="AS8" s="752"/>
      <c r="AT8" s="752"/>
      <c r="AU8" s="752"/>
      <c r="AV8" s="752"/>
      <c r="AW8" s="746"/>
      <c r="AX8" s="746"/>
      <c r="AY8" s="746"/>
      <c r="AZ8" s="532"/>
      <c r="BA8" s="532"/>
      <c r="BB8" s="1284" t="s">
        <v>2986</v>
      </c>
      <c r="BC8" s="541"/>
      <c r="BD8" s="1279"/>
      <c r="BE8" s="1284" t="s">
        <v>3032</v>
      </c>
      <c r="BF8" s="1285" t="s">
        <v>3033</v>
      </c>
      <c r="BG8" s="542"/>
      <c r="BH8" s="545" t="s">
        <v>1015</v>
      </c>
      <c r="BI8" s="546"/>
      <c r="BJ8" s="546"/>
      <c r="BK8" s="546"/>
      <c r="BL8" s="547">
        <f>SUM(BL4:BL7)</f>
        <v>23.9</v>
      </c>
    </row>
    <row r="9" spans="1:64" ht="15.75" hidden="1" customHeight="1">
      <c r="A9" s="743"/>
      <c r="B9" s="744" t="s">
        <v>1668</v>
      </c>
      <c r="C9" s="1329">
        <v>30762</v>
      </c>
      <c r="D9" s="746"/>
      <c r="E9" s="746"/>
      <c r="F9" s="747">
        <v>0</v>
      </c>
      <c r="G9" s="748"/>
      <c r="H9" s="749"/>
      <c r="I9" s="750"/>
      <c r="J9" s="745"/>
      <c r="K9" s="746"/>
      <c r="L9" s="746"/>
      <c r="M9" s="746"/>
      <c r="N9" s="746"/>
      <c r="O9" s="746"/>
      <c r="P9" s="746"/>
      <c r="Q9" s="746"/>
      <c r="R9" s="746"/>
      <c r="S9" s="746"/>
      <c r="T9" s="746"/>
      <c r="U9" s="746"/>
      <c r="V9" s="746"/>
      <c r="W9" s="746"/>
      <c r="X9" s="746"/>
      <c r="Y9" s="746"/>
      <c r="Z9" s="746"/>
      <c r="AA9" s="746"/>
      <c r="AB9" s="746"/>
      <c r="AC9" s="746"/>
      <c r="AD9" s="746"/>
      <c r="AE9" s="746"/>
      <c r="AF9" s="746"/>
      <c r="AG9" s="1329"/>
      <c r="AH9" s="746"/>
      <c r="AI9" s="746"/>
      <c r="AJ9" s="746"/>
      <c r="AK9" s="746"/>
      <c r="AL9" s="746"/>
      <c r="AM9" s="746"/>
      <c r="AN9" s="746"/>
      <c r="AO9" s="746"/>
      <c r="AP9" s="746"/>
      <c r="AQ9" s="752"/>
      <c r="AR9" s="752"/>
      <c r="AS9" s="752"/>
      <c r="AT9" s="752"/>
      <c r="AU9" s="752"/>
      <c r="AV9" s="752"/>
      <c r="AW9" s="746"/>
      <c r="AX9" s="746"/>
      <c r="AY9" s="746"/>
      <c r="AZ9" s="532"/>
      <c r="BA9" s="532"/>
      <c r="BB9" s="1284" t="s">
        <v>1023</v>
      </c>
      <c r="BC9" s="1290"/>
      <c r="BD9" s="1279"/>
      <c r="BE9" s="1284" t="s">
        <v>1074</v>
      </c>
      <c r="BF9" s="1285" t="s">
        <v>3034</v>
      </c>
      <c r="BG9" s="542"/>
    </row>
    <row r="10" spans="1:64" ht="15.75" hidden="1" customHeight="1">
      <c r="A10" s="743"/>
      <c r="B10" s="744"/>
      <c r="C10" s="1329" t="s">
        <v>3165</v>
      </c>
      <c r="D10" s="746"/>
      <c r="E10" s="746"/>
      <c r="F10" s="747"/>
      <c r="G10" s="748">
        <v>5</v>
      </c>
      <c r="H10" s="749"/>
      <c r="I10" s="750"/>
      <c r="J10" s="745"/>
      <c r="K10" s="746"/>
      <c r="L10" s="746"/>
      <c r="M10" s="746"/>
      <c r="N10" s="746"/>
      <c r="O10" s="746"/>
      <c r="P10" s="746"/>
      <c r="Q10" s="746"/>
      <c r="R10" s="746"/>
      <c r="S10" s="746"/>
      <c r="T10" s="746"/>
      <c r="U10" s="746"/>
      <c r="V10" s="746"/>
      <c r="W10" s="746"/>
      <c r="X10" s="746"/>
      <c r="Y10" s="746"/>
      <c r="Z10" s="746"/>
      <c r="AA10" s="746"/>
      <c r="AB10" s="746"/>
      <c r="AC10" s="746"/>
      <c r="AD10" s="746"/>
      <c r="AE10" s="746"/>
      <c r="AF10" s="746"/>
      <c r="AG10" s="1329"/>
      <c r="AH10" s="746"/>
      <c r="AI10" s="746"/>
      <c r="AJ10" s="746"/>
      <c r="AK10" s="746"/>
      <c r="AL10" s="746"/>
      <c r="AM10" s="746"/>
      <c r="AN10" s="746"/>
      <c r="AO10" s="746"/>
      <c r="AP10" s="746"/>
      <c r="AQ10" s="752"/>
      <c r="AR10" s="752"/>
      <c r="AS10" s="752"/>
      <c r="AT10" s="752"/>
      <c r="AU10" s="752"/>
      <c r="AV10" s="752"/>
      <c r="AW10" s="746"/>
      <c r="AX10" s="746"/>
      <c r="AY10" s="746"/>
      <c r="AZ10" s="532"/>
      <c r="BA10" s="532"/>
      <c r="BB10" s="1284" t="s">
        <v>1022</v>
      </c>
      <c r="BC10" s="1291"/>
      <c r="BD10" s="1279"/>
      <c r="BE10" s="1284" t="s">
        <v>3035</v>
      </c>
      <c r="BF10" s="1285" t="s">
        <v>3036</v>
      </c>
      <c r="BG10" s="542"/>
      <c r="BH10" s="545" t="s">
        <v>1016</v>
      </c>
      <c r="BI10" s="546"/>
      <c r="BJ10" s="546"/>
      <c r="BK10" s="546"/>
      <c r="BL10" s="547">
        <f>+(BJ5-BI4)/1000</f>
        <v>17.7</v>
      </c>
    </row>
    <row r="11" spans="1:64" ht="15.75" hidden="1" customHeight="1">
      <c r="A11" s="743"/>
      <c r="B11" s="744" t="s">
        <v>1669</v>
      </c>
      <c r="C11" s="1329">
        <v>30767</v>
      </c>
      <c r="D11" s="746"/>
      <c r="E11" s="746"/>
      <c r="F11" s="747">
        <v>0</v>
      </c>
      <c r="G11" s="748"/>
      <c r="H11" s="749"/>
      <c r="I11" s="750"/>
      <c r="J11" s="745"/>
      <c r="K11" s="746"/>
      <c r="L11" s="746"/>
      <c r="M11" s="746"/>
      <c r="N11" s="746"/>
      <c r="O11" s="746"/>
      <c r="P11" s="746"/>
      <c r="Q11" s="746"/>
      <c r="R11" s="746"/>
      <c r="S11" s="746"/>
      <c r="T11" s="746"/>
      <c r="U11" s="746"/>
      <c r="V11" s="746"/>
      <c r="W11" s="746"/>
      <c r="X11" s="746"/>
      <c r="Y11" s="746"/>
      <c r="Z11" s="746"/>
      <c r="AA11" s="746"/>
      <c r="AB11" s="746"/>
      <c r="AC11" s="746"/>
      <c r="AD11" s="746"/>
      <c r="AE11" s="746"/>
      <c r="AF11" s="746"/>
      <c r="AG11" s="1329"/>
      <c r="AH11" s="746"/>
      <c r="AI11" s="746"/>
      <c r="AJ11" s="746"/>
      <c r="AK11" s="746"/>
      <c r="AL11" s="746"/>
      <c r="AM11" s="746"/>
      <c r="AN11" s="746"/>
      <c r="AO11" s="746"/>
      <c r="AP11" s="746"/>
      <c r="AQ11" s="752"/>
      <c r="AR11" s="752"/>
      <c r="AS11" s="752"/>
      <c r="AT11" s="752"/>
      <c r="AU11" s="752"/>
      <c r="AV11" s="752"/>
      <c r="AW11" s="746"/>
      <c r="AX11" s="746"/>
      <c r="AY11" s="746"/>
      <c r="AZ11" s="532"/>
      <c r="BA11" s="532"/>
      <c r="BB11" s="1284" t="s">
        <v>1020</v>
      </c>
      <c r="BC11" s="1292"/>
      <c r="BD11" s="1279"/>
      <c r="BE11" s="1284" t="s">
        <v>3037</v>
      </c>
      <c r="BF11" s="1285" t="s">
        <v>3038</v>
      </c>
      <c r="BG11" s="542"/>
    </row>
    <row r="12" spans="1:64" ht="15.75" hidden="1" customHeight="1">
      <c r="A12" s="743"/>
      <c r="B12" s="744"/>
      <c r="C12" s="1329"/>
      <c r="D12" s="746"/>
      <c r="E12" s="746"/>
      <c r="F12" s="747"/>
      <c r="G12" s="748">
        <v>5</v>
      </c>
      <c r="H12" s="749"/>
      <c r="I12" s="750"/>
      <c r="J12" s="745"/>
      <c r="K12" s="746"/>
      <c r="L12" s="746"/>
      <c r="M12" s="746"/>
      <c r="N12" s="746"/>
      <c r="O12" s="746"/>
      <c r="P12" s="746"/>
      <c r="Q12" s="746"/>
      <c r="R12" s="746"/>
      <c r="S12" s="746"/>
      <c r="T12" s="746"/>
      <c r="U12" s="746"/>
      <c r="V12" s="746"/>
      <c r="W12" s="746"/>
      <c r="X12" s="746"/>
      <c r="Y12" s="746"/>
      <c r="Z12" s="746"/>
      <c r="AA12" s="746"/>
      <c r="AB12" s="746"/>
      <c r="AC12" s="746"/>
      <c r="AD12" s="746"/>
      <c r="AE12" s="746"/>
      <c r="AF12" s="746"/>
      <c r="AG12" s="1329"/>
      <c r="AH12" s="746"/>
      <c r="AI12" s="746"/>
      <c r="AJ12" s="746"/>
      <c r="AK12" s="746"/>
      <c r="AL12" s="746"/>
      <c r="AM12" s="746"/>
      <c r="AN12" s="746"/>
      <c r="AO12" s="746"/>
      <c r="AP12" s="746"/>
      <c r="AQ12" s="752"/>
      <c r="AR12" s="752"/>
      <c r="AS12" s="752"/>
      <c r="AT12" s="752"/>
      <c r="AU12" s="752"/>
      <c r="AV12" s="752"/>
      <c r="AW12" s="746"/>
      <c r="AX12" s="746"/>
      <c r="AY12" s="746"/>
      <c r="AZ12" s="532"/>
      <c r="BA12" s="532"/>
      <c r="BB12" s="1284" t="s">
        <v>1024</v>
      </c>
      <c r="BC12" s="1293"/>
      <c r="BD12" s="1279"/>
      <c r="BE12" s="1284" t="s">
        <v>3039</v>
      </c>
      <c r="BF12" s="1285" t="s">
        <v>3040</v>
      </c>
      <c r="BG12" s="550"/>
      <c r="BH12" s="515" t="s">
        <v>969</v>
      </c>
      <c r="BI12" s="515" t="s">
        <v>962</v>
      </c>
      <c r="BJ12" s="515" t="s">
        <v>963</v>
      </c>
      <c r="BK12" s="515" t="s">
        <v>964</v>
      </c>
      <c r="BL12" s="516" t="s">
        <v>200</v>
      </c>
    </row>
    <row r="13" spans="1:64" ht="15.75" hidden="1" customHeight="1" thickBot="1">
      <c r="A13" s="743"/>
      <c r="B13" s="744" t="s">
        <v>2580</v>
      </c>
      <c r="C13" s="1329">
        <v>30772</v>
      </c>
      <c r="D13" s="746"/>
      <c r="E13" s="746"/>
      <c r="F13" s="747">
        <v>0</v>
      </c>
      <c r="G13" s="748"/>
      <c r="H13" s="749" t="s">
        <v>668</v>
      </c>
      <c r="I13" s="749"/>
      <c r="J13" s="745"/>
      <c r="K13" s="746"/>
      <c r="L13" s="746"/>
      <c r="M13" s="746"/>
      <c r="N13" s="746"/>
      <c r="O13" s="746"/>
      <c r="P13" s="746"/>
      <c r="Q13" s="746"/>
      <c r="R13" s="746"/>
      <c r="S13" s="746"/>
      <c r="T13" s="746"/>
      <c r="U13" s="746"/>
      <c r="V13" s="746"/>
      <c r="W13" s="746"/>
      <c r="X13" s="746"/>
      <c r="Y13" s="746"/>
      <c r="Z13" s="746"/>
      <c r="AA13" s="746"/>
      <c r="AB13" s="746"/>
      <c r="AC13" s="746"/>
      <c r="AD13" s="746"/>
      <c r="AE13" s="746"/>
      <c r="AF13" s="746"/>
      <c r="AG13" s="1329"/>
      <c r="AH13" s="746"/>
      <c r="AI13" s="746"/>
      <c r="AJ13" s="746"/>
      <c r="AK13" s="746"/>
      <c r="AL13" s="746"/>
      <c r="AM13" s="746"/>
      <c r="AN13" s="746"/>
      <c r="AO13" s="746"/>
      <c r="AP13" s="746"/>
      <c r="AQ13" s="752"/>
      <c r="AR13" s="752"/>
      <c r="AS13" s="752"/>
      <c r="AT13" s="752"/>
      <c r="AU13" s="752"/>
      <c r="AV13" s="752"/>
      <c r="AW13" s="746"/>
      <c r="AX13" s="746"/>
      <c r="AY13" s="746"/>
      <c r="AZ13" s="532"/>
      <c r="BA13" s="532"/>
      <c r="BB13" s="1284" t="s">
        <v>2989</v>
      </c>
      <c r="BC13" s="1294"/>
      <c r="BD13" s="1279"/>
      <c r="BE13" s="1284"/>
      <c r="BF13" s="1285"/>
      <c r="BG13" s="550"/>
      <c r="BH13" s="545"/>
      <c r="BI13" s="546"/>
      <c r="BJ13" s="546"/>
      <c r="BK13" s="546"/>
      <c r="BL13" s="547">
        <f>SUM(BL14:BL19)+SUM(BL24:BL32)</f>
        <v>0</v>
      </c>
    </row>
    <row r="14" spans="1:64" ht="15.75" hidden="1" customHeight="1">
      <c r="A14" s="743" t="s">
        <v>2579</v>
      </c>
      <c r="B14" s="744"/>
      <c r="C14" s="1329"/>
      <c r="D14" s="746"/>
      <c r="E14" s="746"/>
      <c r="F14" s="747"/>
      <c r="G14" s="748">
        <v>47</v>
      </c>
      <c r="H14" s="746"/>
      <c r="I14" s="750"/>
      <c r="J14" s="761"/>
      <c r="K14" s="746"/>
      <c r="L14" s="746"/>
      <c r="M14" s="746"/>
      <c r="N14" s="746"/>
      <c r="O14" s="746"/>
      <c r="P14" s="746"/>
      <c r="Q14" s="746"/>
      <c r="R14" s="746"/>
      <c r="S14" s="746"/>
      <c r="T14" s="746"/>
      <c r="U14" s="746"/>
      <c r="V14" s="746"/>
      <c r="W14" s="746"/>
      <c r="X14" s="746"/>
      <c r="Y14" s="746"/>
      <c r="Z14" s="746"/>
      <c r="AA14" s="746"/>
      <c r="AB14" s="746"/>
      <c r="AC14" s="746"/>
      <c r="AD14" s="746"/>
      <c r="AE14" s="746"/>
      <c r="AF14" s="746"/>
      <c r="AG14" s="1329"/>
      <c r="AH14" s="746"/>
      <c r="AI14" s="746"/>
      <c r="AJ14" s="746"/>
      <c r="AK14" s="746"/>
      <c r="AL14" s="746"/>
      <c r="AM14" s="746"/>
      <c r="AN14" s="746"/>
      <c r="AO14" s="746"/>
      <c r="AP14" s="746"/>
      <c r="AQ14" s="752"/>
      <c r="AR14" s="752"/>
      <c r="AS14" s="752"/>
      <c r="AT14" s="752"/>
      <c r="AU14" s="752"/>
      <c r="AV14" s="752"/>
      <c r="AW14" s="746"/>
      <c r="AX14" s="746"/>
      <c r="AY14" s="746"/>
      <c r="AZ14" s="532"/>
      <c r="BA14" s="532"/>
      <c r="BB14" s="1284" t="s">
        <v>2984</v>
      </c>
      <c r="BC14" s="1295"/>
      <c r="BD14" s="1279"/>
      <c r="BE14" s="1286" t="s">
        <v>919</v>
      </c>
      <c r="BF14" s="1287"/>
      <c r="BG14" s="550"/>
      <c r="BH14" s="681" t="s">
        <v>970</v>
      </c>
      <c r="BI14" s="682">
        <v>30900</v>
      </c>
      <c r="BJ14" s="682">
        <v>32060</v>
      </c>
      <c r="BK14" s="683">
        <v>0</v>
      </c>
      <c r="BL14" s="684">
        <f t="shared" ref="BL14:BL19" si="0">+(BJ14-BI14)*BK14/1000</f>
        <v>0</v>
      </c>
    </row>
    <row r="15" spans="1:64" ht="15.75" hidden="1" customHeight="1">
      <c r="A15" s="743"/>
      <c r="B15" s="744" t="s">
        <v>1670</v>
      </c>
      <c r="C15" s="1329">
        <v>30819</v>
      </c>
      <c r="D15" s="746"/>
      <c r="E15" s="746"/>
      <c r="F15" s="747">
        <v>0</v>
      </c>
      <c r="G15" s="748"/>
      <c r="H15" s="746" t="s">
        <v>668</v>
      </c>
      <c r="I15" s="750"/>
      <c r="J15" s="761"/>
      <c r="K15" s="746"/>
      <c r="L15" s="746"/>
      <c r="M15" s="746"/>
      <c r="N15" s="746"/>
      <c r="O15" s="746"/>
      <c r="P15" s="746"/>
      <c r="Q15" s="746"/>
      <c r="R15" s="746"/>
      <c r="S15" s="746"/>
      <c r="T15" s="746"/>
      <c r="U15" s="746"/>
      <c r="V15" s="746"/>
      <c r="W15" s="746"/>
      <c r="X15" s="746"/>
      <c r="Y15" s="746"/>
      <c r="Z15" s="746"/>
      <c r="AA15" s="746"/>
      <c r="AB15" s="746"/>
      <c r="AC15" s="746"/>
      <c r="AD15" s="746"/>
      <c r="AE15" s="746"/>
      <c r="AF15" s="746"/>
      <c r="AG15" s="1329"/>
      <c r="AH15" s="746"/>
      <c r="AI15" s="746"/>
      <c r="AJ15" s="746"/>
      <c r="AK15" s="746"/>
      <c r="AL15" s="746"/>
      <c r="AM15" s="746"/>
      <c r="AN15" s="746"/>
      <c r="AO15" s="746"/>
      <c r="AP15" s="746"/>
      <c r="AQ15" s="752"/>
      <c r="AR15" s="752"/>
      <c r="AS15" s="752"/>
      <c r="AT15" s="752"/>
      <c r="AU15" s="752"/>
      <c r="AV15" s="752"/>
      <c r="AW15" s="746"/>
      <c r="AX15" s="746"/>
      <c r="AY15" s="746"/>
      <c r="AZ15" s="532"/>
      <c r="BA15" s="532"/>
      <c r="BB15" s="1284"/>
      <c r="BC15" s="1285"/>
      <c r="BD15" s="1279"/>
      <c r="BE15" s="1284" t="s">
        <v>3041</v>
      </c>
      <c r="BF15" s="1285" t="s">
        <v>3042</v>
      </c>
      <c r="BG15" s="550"/>
      <c r="BH15" s="685" t="s">
        <v>971</v>
      </c>
      <c r="BI15" s="531">
        <v>32310</v>
      </c>
      <c r="BJ15" s="531">
        <v>43945</v>
      </c>
      <c r="BK15" s="532">
        <v>0</v>
      </c>
      <c r="BL15" s="686">
        <f t="shared" si="0"/>
        <v>0</v>
      </c>
    </row>
    <row r="16" spans="1:64" ht="15.75" hidden="1" customHeight="1">
      <c r="A16" s="743" t="s">
        <v>693</v>
      </c>
      <c r="B16" s="744"/>
      <c r="C16" s="1329"/>
      <c r="D16" s="746"/>
      <c r="E16" s="746"/>
      <c r="F16" s="747"/>
      <c r="G16" s="748">
        <v>5</v>
      </c>
      <c r="H16" s="746"/>
      <c r="I16" s="750"/>
      <c r="J16" s="761"/>
      <c r="K16" s="746"/>
      <c r="L16" s="746"/>
      <c r="M16" s="746"/>
      <c r="N16" s="746"/>
      <c r="O16" s="746"/>
      <c r="P16" s="746"/>
      <c r="Q16" s="746"/>
      <c r="R16" s="746"/>
      <c r="S16" s="746"/>
      <c r="T16" s="746"/>
      <c r="U16" s="746"/>
      <c r="V16" s="746"/>
      <c r="W16" s="746"/>
      <c r="X16" s="746"/>
      <c r="Y16" s="746"/>
      <c r="Z16" s="746"/>
      <c r="AA16" s="746"/>
      <c r="AB16" s="746"/>
      <c r="AC16" s="746"/>
      <c r="AD16" s="746"/>
      <c r="AE16" s="746"/>
      <c r="AF16" s="746"/>
      <c r="AG16" s="1329"/>
      <c r="AH16" s="746"/>
      <c r="AI16" s="746"/>
      <c r="AJ16" s="746"/>
      <c r="AK16" s="746"/>
      <c r="AL16" s="746"/>
      <c r="AM16" s="746"/>
      <c r="AN16" s="746"/>
      <c r="AO16" s="746"/>
      <c r="AP16" s="746"/>
      <c r="AQ16" s="752"/>
      <c r="AR16" s="752"/>
      <c r="AS16" s="752"/>
      <c r="AT16" s="752"/>
      <c r="AU16" s="752"/>
      <c r="AV16" s="752"/>
      <c r="AW16" s="746"/>
      <c r="AX16" s="746"/>
      <c r="AY16" s="746"/>
      <c r="AZ16" s="532"/>
      <c r="BA16" s="532"/>
      <c r="BB16" s="1284" t="s">
        <v>2982</v>
      </c>
      <c r="BC16" s="1296"/>
      <c r="BD16" s="1279"/>
      <c r="BE16" s="1284" t="s">
        <v>2642</v>
      </c>
      <c r="BF16" s="1285" t="s">
        <v>924</v>
      </c>
      <c r="BG16" s="550"/>
      <c r="BH16" s="685" t="s">
        <v>1140</v>
      </c>
      <c r="BI16" s="531">
        <v>44205</v>
      </c>
      <c r="BJ16" s="531">
        <v>45025</v>
      </c>
      <c r="BK16" s="532">
        <v>0</v>
      </c>
      <c r="BL16" s="686">
        <f t="shared" si="0"/>
        <v>0</v>
      </c>
    </row>
    <row r="17" spans="1:64" ht="15.75" hidden="1" customHeight="1">
      <c r="A17" s="743"/>
      <c r="B17" s="744" t="s">
        <v>2581</v>
      </c>
      <c r="C17" s="1329">
        <v>30824</v>
      </c>
      <c r="D17" s="746"/>
      <c r="E17" s="746"/>
      <c r="F17" s="747">
        <v>0</v>
      </c>
      <c r="G17" s="748"/>
      <c r="H17" s="746"/>
      <c r="I17" s="750"/>
      <c r="J17" s="761"/>
      <c r="K17" s="746"/>
      <c r="L17" s="746"/>
      <c r="M17" s="746"/>
      <c r="N17" s="746"/>
      <c r="O17" s="746"/>
      <c r="P17" s="746"/>
      <c r="Q17" s="746"/>
      <c r="R17" s="746"/>
      <c r="S17" s="746"/>
      <c r="T17" s="746"/>
      <c r="U17" s="746"/>
      <c r="V17" s="746"/>
      <c r="W17" s="746"/>
      <c r="X17" s="746"/>
      <c r="Y17" s="746"/>
      <c r="Z17" s="746"/>
      <c r="AA17" s="746"/>
      <c r="AB17" s="746"/>
      <c r="AC17" s="746"/>
      <c r="AD17" s="746"/>
      <c r="AE17" s="746"/>
      <c r="AF17" s="746"/>
      <c r="AG17" s="1329"/>
      <c r="AH17" s="746"/>
      <c r="AI17" s="746"/>
      <c r="AJ17" s="746"/>
      <c r="AK17" s="746"/>
      <c r="AL17" s="746"/>
      <c r="AM17" s="746"/>
      <c r="AN17" s="746"/>
      <c r="AO17" s="746"/>
      <c r="AP17" s="746"/>
      <c r="AQ17" s="752"/>
      <c r="AR17" s="752"/>
      <c r="AS17" s="752"/>
      <c r="AT17" s="752"/>
      <c r="AU17" s="752"/>
      <c r="AV17" s="752"/>
      <c r="AW17" s="746"/>
      <c r="AX17" s="746"/>
      <c r="AY17" s="746"/>
      <c r="AZ17" s="532"/>
      <c r="BA17" s="532"/>
      <c r="BB17" s="1284" t="s">
        <v>2985</v>
      </c>
      <c r="BC17" s="1297"/>
      <c r="BD17" s="1279"/>
      <c r="BE17" s="1284" t="s">
        <v>2643</v>
      </c>
      <c r="BF17" s="1285" t="s">
        <v>923</v>
      </c>
      <c r="BG17" s="550"/>
      <c r="BH17" s="685" t="s">
        <v>972</v>
      </c>
      <c r="BI17" s="551">
        <v>46230</v>
      </c>
      <c r="BJ17" s="551">
        <v>47535</v>
      </c>
      <c r="BK17" s="552">
        <v>0</v>
      </c>
      <c r="BL17" s="686">
        <f t="shared" si="0"/>
        <v>0</v>
      </c>
    </row>
    <row r="18" spans="1:64" ht="15.75" hidden="1" customHeight="1">
      <c r="A18" s="743"/>
      <c r="B18" s="744"/>
      <c r="C18" s="1329"/>
      <c r="D18" s="746"/>
      <c r="E18" s="746"/>
      <c r="F18" s="747"/>
      <c r="G18" s="748">
        <v>5</v>
      </c>
      <c r="H18" s="746"/>
      <c r="I18" s="750"/>
      <c r="J18" s="761"/>
      <c r="K18" s="746"/>
      <c r="L18" s="746"/>
      <c r="M18" s="746"/>
      <c r="N18" s="746"/>
      <c r="O18" s="746"/>
      <c r="P18" s="746"/>
      <c r="Q18" s="746"/>
      <c r="R18" s="746"/>
      <c r="S18" s="746"/>
      <c r="T18" s="746"/>
      <c r="U18" s="746"/>
      <c r="V18" s="746"/>
      <c r="W18" s="746"/>
      <c r="X18" s="746"/>
      <c r="Y18" s="746"/>
      <c r="Z18" s="746"/>
      <c r="AA18" s="746"/>
      <c r="AB18" s="746"/>
      <c r="AC18" s="746"/>
      <c r="AD18" s="746"/>
      <c r="AE18" s="746"/>
      <c r="AF18" s="746"/>
      <c r="AG18" s="1329"/>
      <c r="AH18" s="746"/>
      <c r="AI18" s="746"/>
      <c r="AJ18" s="746"/>
      <c r="AK18" s="746"/>
      <c r="AL18" s="746"/>
      <c r="AM18" s="746"/>
      <c r="AN18" s="746"/>
      <c r="AO18" s="746"/>
      <c r="AP18" s="746"/>
      <c r="AQ18" s="752"/>
      <c r="AR18" s="752"/>
      <c r="AS18" s="752"/>
      <c r="AT18" s="752"/>
      <c r="AU18" s="752"/>
      <c r="AV18" s="752"/>
      <c r="AW18" s="746"/>
      <c r="AX18" s="746"/>
      <c r="AY18" s="746"/>
      <c r="AZ18" s="532"/>
      <c r="BA18" s="532"/>
      <c r="BB18" s="1284" t="s">
        <v>2988</v>
      </c>
      <c r="BC18" s="1298"/>
      <c r="BD18" s="1279"/>
      <c r="BE18" s="1284"/>
      <c r="BF18" s="1285"/>
      <c r="BG18" s="550"/>
      <c r="BH18" s="685"/>
      <c r="BI18" s="531"/>
      <c r="BJ18" s="531"/>
      <c r="BK18" s="532"/>
      <c r="BL18" s="686">
        <f t="shared" si="0"/>
        <v>0</v>
      </c>
    </row>
    <row r="19" spans="1:64" ht="15.75" hidden="1" customHeight="1">
      <c r="A19" s="743"/>
      <c r="B19" s="744" t="s">
        <v>1671</v>
      </c>
      <c r="C19" s="1329">
        <v>30829</v>
      </c>
      <c r="D19" s="746"/>
      <c r="E19" s="746"/>
      <c r="F19" s="747">
        <v>0</v>
      </c>
      <c r="G19" s="748"/>
      <c r="H19" s="746"/>
      <c r="I19" s="750"/>
      <c r="J19" s="761"/>
      <c r="K19" s="746"/>
      <c r="L19" s="746"/>
      <c r="M19" s="746"/>
      <c r="N19" s="746"/>
      <c r="O19" s="746"/>
      <c r="P19" s="746"/>
      <c r="Q19" s="746"/>
      <c r="R19" s="746"/>
      <c r="S19" s="746"/>
      <c r="T19" s="746"/>
      <c r="U19" s="746"/>
      <c r="V19" s="746"/>
      <c r="W19" s="746"/>
      <c r="X19" s="746"/>
      <c r="Y19" s="746"/>
      <c r="Z19" s="746"/>
      <c r="AA19" s="746"/>
      <c r="AB19" s="746"/>
      <c r="AC19" s="746"/>
      <c r="AD19" s="746"/>
      <c r="AE19" s="746"/>
      <c r="AF19" s="746"/>
      <c r="AG19" s="1329"/>
      <c r="AH19" s="746"/>
      <c r="AI19" s="746"/>
      <c r="AJ19" s="746"/>
      <c r="AK19" s="746"/>
      <c r="AL19" s="746"/>
      <c r="AM19" s="746"/>
      <c r="AN19" s="746"/>
      <c r="AO19" s="746"/>
      <c r="AP19" s="746"/>
      <c r="AQ19" s="752"/>
      <c r="AR19" s="752"/>
      <c r="AS19" s="752"/>
      <c r="AT19" s="752"/>
      <c r="AU19" s="752"/>
      <c r="AV19" s="752"/>
      <c r="AW19" s="746"/>
      <c r="AX19" s="746"/>
      <c r="AY19" s="746"/>
      <c r="AZ19" s="532"/>
      <c r="BA19" s="532"/>
      <c r="BB19" s="1284" t="s">
        <v>2983</v>
      </c>
      <c r="BC19" s="1299"/>
      <c r="BD19" s="1279"/>
      <c r="BE19" s="1286" t="s">
        <v>897</v>
      </c>
      <c r="BF19" s="1287"/>
      <c r="BG19" s="550"/>
      <c r="BH19" s="685"/>
      <c r="BI19" s="551"/>
      <c r="BJ19" s="551"/>
      <c r="BK19" s="552"/>
      <c r="BL19" s="691">
        <f t="shared" si="0"/>
        <v>0</v>
      </c>
    </row>
    <row r="20" spans="1:64" ht="15.75" hidden="1" customHeight="1">
      <c r="A20" s="743"/>
      <c r="B20" s="744"/>
      <c r="C20" s="1329"/>
      <c r="D20" s="746"/>
      <c r="E20" s="746"/>
      <c r="F20" s="747"/>
      <c r="G20" s="748">
        <v>37</v>
      </c>
      <c r="H20" s="746"/>
      <c r="I20" s="750"/>
      <c r="J20" s="761"/>
      <c r="K20" s="746"/>
      <c r="L20" s="746"/>
      <c r="M20" s="746"/>
      <c r="N20" s="746"/>
      <c r="O20" s="746"/>
      <c r="P20" s="746"/>
      <c r="Q20" s="746"/>
      <c r="R20" s="746"/>
      <c r="S20" s="746"/>
      <c r="T20" s="746"/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1329"/>
      <c r="AH20" s="746"/>
      <c r="AI20" s="746"/>
      <c r="AJ20" s="746"/>
      <c r="AK20" s="746"/>
      <c r="AL20" s="746"/>
      <c r="AM20" s="746"/>
      <c r="AN20" s="746"/>
      <c r="AO20" s="746"/>
      <c r="AP20" s="746"/>
      <c r="AQ20" s="752"/>
      <c r="AR20" s="752"/>
      <c r="AS20" s="752"/>
      <c r="AT20" s="752"/>
      <c r="AU20" s="752"/>
      <c r="AV20" s="752"/>
      <c r="AW20" s="746"/>
      <c r="AX20" s="746"/>
      <c r="AY20" s="746"/>
      <c r="AZ20" s="532"/>
      <c r="BA20" s="532"/>
      <c r="BB20" s="1284" t="s">
        <v>3043</v>
      </c>
      <c r="BC20" s="1300"/>
      <c r="BD20" s="1279"/>
      <c r="BE20" s="1284" t="s">
        <v>1065</v>
      </c>
      <c r="BF20" s="1285" t="s">
        <v>144</v>
      </c>
      <c r="BG20" s="550"/>
      <c r="BH20" s="688" t="s">
        <v>1139</v>
      </c>
      <c r="BL20" s="692">
        <f>SUM(BL14:BL19)</f>
        <v>0</v>
      </c>
    </row>
    <row r="21" spans="1:64" ht="15.75" hidden="1" customHeight="1">
      <c r="A21" s="743"/>
      <c r="B21" s="744" t="s">
        <v>1672</v>
      </c>
      <c r="C21" s="1329">
        <v>30866</v>
      </c>
      <c r="D21" s="746"/>
      <c r="E21" s="746"/>
      <c r="F21" s="747">
        <v>-6153.8461538461543</v>
      </c>
      <c r="G21" s="748"/>
      <c r="H21" s="746" t="s">
        <v>668</v>
      </c>
      <c r="I21" s="750"/>
      <c r="J21" s="761"/>
      <c r="K21" s="746"/>
      <c r="L21" s="746"/>
      <c r="M21" s="746"/>
      <c r="N21" s="746"/>
      <c r="O21" s="746"/>
      <c r="P21" s="746"/>
      <c r="Q21" s="746"/>
      <c r="R21" s="746"/>
      <c r="S21" s="746"/>
      <c r="T21" s="746"/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1329"/>
      <c r="AH21" s="746"/>
      <c r="AI21" s="746"/>
      <c r="AJ21" s="746"/>
      <c r="AK21" s="746"/>
      <c r="AL21" s="746"/>
      <c r="AM21" s="746"/>
      <c r="AN21" s="746"/>
      <c r="AO21" s="746"/>
      <c r="AP21" s="746"/>
      <c r="AQ21" s="752"/>
      <c r="AR21" s="752"/>
      <c r="AS21" s="752"/>
      <c r="AT21" s="752"/>
      <c r="AU21" s="752"/>
      <c r="AV21" s="752"/>
      <c r="AW21" s="746"/>
      <c r="AX21" s="746"/>
      <c r="AY21" s="746"/>
      <c r="AZ21" s="532"/>
      <c r="BA21" s="532"/>
      <c r="BB21" s="1284"/>
      <c r="BC21" s="1285"/>
      <c r="BD21" s="1279"/>
      <c r="BE21" s="1284" t="s">
        <v>1094</v>
      </c>
      <c r="BF21" s="1285" t="s">
        <v>145</v>
      </c>
      <c r="BG21" s="550"/>
      <c r="BH21" s="673"/>
      <c r="BL21" s="686"/>
    </row>
    <row r="22" spans="1:64" ht="15.75" hidden="1" customHeight="1" thickBot="1">
      <c r="A22" s="743"/>
      <c r="B22" s="744" t="s">
        <v>2974</v>
      </c>
      <c r="C22" s="1329">
        <v>30869</v>
      </c>
      <c r="D22" s="746"/>
      <c r="E22" s="746"/>
      <c r="F22" s="747"/>
      <c r="G22" s="748">
        <v>54</v>
      </c>
      <c r="H22" s="746"/>
      <c r="I22" s="750"/>
      <c r="J22" s="761"/>
      <c r="K22" s="746"/>
      <c r="L22" s="746"/>
      <c r="M22" s="746"/>
      <c r="N22" s="746"/>
      <c r="O22" s="746"/>
      <c r="P22" s="746"/>
      <c r="Q22" s="746"/>
      <c r="R22" s="746"/>
      <c r="S22" s="746"/>
      <c r="T22" s="746"/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1329"/>
      <c r="AH22" s="746"/>
      <c r="AI22" s="746"/>
      <c r="AJ22" s="746"/>
      <c r="AK22" s="746"/>
      <c r="AL22" s="746"/>
      <c r="AM22" s="746"/>
      <c r="AN22" s="746"/>
      <c r="AO22" s="746"/>
      <c r="AP22" s="746"/>
      <c r="AQ22" s="752"/>
      <c r="AR22" s="752"/>
      <c r="AS22" s="752"/>
      <c r="AT22" s="752"/>
      <c r="AU22" s="752"/>
      <c r="AV22" s="752"/>
      <c r="AW22" s="746"/>
      <c r="AX22" s="746"/>
      <c r="AY22" s="746"/>
      <c r="AZ22" s="532"/>
      <c r="BA22" s="532"/>
      <c r="BB22" s="1286" t="s">
        <v>1026</v>
      </c>
      <c r="BC22" s="1287"/>
      <c r="BD22" s="1279"/>
      <c r="BE22" s="1284" t="s">
        <v>1066</v>
      </c>
      <c r="BF22" s="1285" t="s">
        <v>140</v>
      </c>
      <c r="BG22" s="550"/>
      <c r="BH22" s="689" t="s">
        <v>1142</v>
      </c>
      <c r="BI22" s="690"/>
      <c r="BJ22" s="690"/>
      <c r="BK22" s="690"/>
      <c r="BL22" s="547">
        <f>(SUM(BJ14:BJ19)-SUM(BI14:BI19))/1000</f>
        <v>14.92</v>
      </c>
    </row>
    <row r="23" spans="1:64" ht="15.75" hidden="1" customHeight="1" thickBot="1">
      <c r="A23" s="743" t="s">
        <v>2975</v>
      </c>
      <c r="B23" s="744" t="s">
        <v>1673</v>
      </c>
      <c r="C23" s="1329">
        <v>30920</v>
      </c>
      <c r="D23" s="746"/>
      <c r="E23" s="746"/>
      <c r="F23" s="747">
        <v>-3862.0689655172414</v>
      </c>
      <c r="G23" s="748"/>
      <c r="H23" s="749" t="s">
        <v>138</v>
      </c>
      <c r="I23" s="750"/>
      <c r="J23" s="745"/>
      <c r="K23" s="746"/>
      <c r="L23" s="746" t="s">
        <v>241</v>
      </c>
      <c r="M23" s="746"/>
      <c r="N23" s="746" t="s">
        <v>695</v>
      </c>
      <c r="O23" s="746"/>
      <c r="P23" s="746"/>
      <c r="Q23" s="746">
        <v>-49</v>
      </c>
      <c r="R23" s="746">
        <v>-4000</v>
      </c>
      <c r="S23" s="746"/>
      <c r="T23" s="746">
        <v>-20</v>
      </c>
      <c r="U23" s="746"/>
      <c r="V23" s="746"/>
      <c r="W23" s="746">
        <v>1.1000000000000001</v>
      </c>
      <c r="X23" s="746"/>
      <c r="Y23" s="746"/>
      <c r="Z23" s="746"/>
      <c r="AA23" s="746"/>
      <c r="AB23" s="746"/>
      <c r="AC23" s="746" t="s">
        <v>2979</v>
      </c>
      <c r="AD23" s="746"/>
      <c r="AE23" s="746"/>
      <c r="AF23" s="746">
        <v>400</v>
      </c>
      <c r="AG23" s="1329">
        <v>30925.02</v>
      </c>
      <c r="AH23" s="746">
        <v>1516</v>
      </c>
      <c r="AI23" s="746">
        <v>-4872</v>
      </c>
      <c r="AJ23" s="746"/>
      <c r="AK23" s="746"/>
      <c r="AL23" s="746"/>
      <c r="AM23" s="746"/>
      <c r="AN23" s="746"/>
      <c r="AO23" s="746"/>
      <c r="AP23" s="746"/>
      <c r="AQ23" s="752"/>
      <c r="AR23" s="752"/>
      <c r="AS23" s="752"/>
      <c r="AT23" s="752"/>
      <c r="AU23" s="752"/>
      <c r="AV23" s="752"/>
      <c r="AW23" s="746"/>
      <c r="AX23" s="746"/>
      <c r="AY23" s="746"/>
      <c r="AZ23" s="532"/>
      <c r="BA23" s="532"/>
      <c r="BB23" s="1284" t="s">
        <v>1029</v>
      </c>
      <c r="BC23" s="1285" t="s">
        <v>138</v>
      </c>
      <c r="BD23" s="1279"/>
      <c r="BE23" s="1284" t="s">
        <v>1067</v>
      </c>
      <c r="BF23" s="1285" t="s">
        <v>695</v>
      </c>
      <c r="BG23" s="550"/>
      <c r="BL23" s="519"/>
    </row>
    <row r="24" spans="1:64" ht="15.75" hidden="1" customHeight="1">
      <c r="A24" s="743"/>
      <c r="B24" s="745"/>
      <c r="C24" s="1329"/>
      <c r="D24" s="746"/>
      <c r="E24" s="746"/>
      <c r="F24" s="747"/>
      <c r="G24" s="748">
        <v>53</v>
      </c>
      <c r="H24" s="749"/>
      <c r="I24" s="749"/>
      <c r="J24" s="1252"/>
      <c r="K24" s="746"/>
      <c r="L24" s="746"/>
      <c r="M24" s="746"/>
      <c r="N24" s="749"/>
      <c r="O24" s="749"/>
      <c r="P24" s="749"/>
      <c r="Q24" s="746"/>
      <c r="R24" s="746"/>
      <c r="S24" s="752">
        <f>AG25-AG23</f>
        <v>49.989999999997963</v>
      </c>
      <c r="T24" s="746"/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1329"/>
      <c r="AH24" s="746"/>
      <c r="AI24" s="746"/>
      <c r="AJ24" s="746"/>
      <c r="AK24" s="746"/>
      <c r="AL24" s="746"/>
      <c r="AM24" s="746"/>
      <c r="AN24" s="746"/>
      <c r="AO24" s="746"/>
      <c r="AP24" s="746"/>
      <c r="AQ24" s="752">
        <f>+FL_2($T$25,$T$23,$G$24,1200,9.28, 1*$F$25)</f>
        <v>-0.38375445345194364</v>
      </c>
      <c r="AR24" s="752"/>
      <c r="AS24" s="752"/>
      <c r="AT24" s="752"/>
      <c r="AU24" s="752"/>
      <c r="AV24" s="752"/>
      <c r="AW24" s="746"/>
      <c r="AX24" s="746"/>
      <c r="AY24" s="746"/>
      <c r="AZ24" s="532"/>
      <c r="BB24" s="1284" t="s">
        <v>1030</v>
      </c>
      <c r="BC24" s="1285" t="s">
        <v>1028</v>
      </c>
      <c r="BD24" s="1301"/>
      <c r="BE24" s="1284" t="s">
        <v>1068</v>
      </c>
      <c r="BF24" s="1285" t="s">
        <v>696</v>
      </c>
      <c r="BH24" s="681" t="s">
        <v>1143</v>
      </c>
      <c r="BI24" s="682">
        <v>32075</v>
      </c>
      <c r="BJ24" s="682">
        <v>32310</v>
      </c>
      <c r="BK24" s="683">
        <v>0</v>
      </c>
      <c r="BL24" s="684">
        <f t="shared" ref="BL24:BL26" si="1">+(BJ24-BI24)*BK24/1000</f>
        <v>0</v>
      </c>
    </row>
    <row r="25" spans="1:64" ht="15.75" hidden="1" customHeight="1">
      <c r="A25" s="716" t="s">
        <v>676</v>
      </c>
      <c r="B25" s="718" t="s">
        <v>2599</v>
      </c>
      <c r="C25" s="789">
        <v>30973</v>
      </c>
      <c r="D25" s="719"/>
      <c r="E25" s="719">
        <v>-50</v>
      </c>
      <c r="F25" s="720">
        <v>-4000</v>
      </c>
      <c r="G25" s="721"/>
      <c r="H25" s="726"/>
      <c r="I25" s="726"/>
      <c r="J25" s="762"/>
      <c r="K25" s="719"/>
      <c r="L25" s="719" t="s">
        <v>241</v>
      </c>
      <c r="M25" s="719"/>
      <c r="N25" s="726" t="s">
        <v>695</v>
      </c>
      <c r="O25" s="726"/>
      <c r="P25" s="726"/>
      <c r="Q25" s="719">
        <v>-50</v>
      </c>
      <c r="R25" s="719">
        <v>-4000</v>
      </c>
      <c r="S25" s="719"/>
      <c r="T25" s="719">
        <v>-20</v>
      </c>
      <c r="U25" s="719"/>
      <c r="V25" s="719"/>
      <c r="W25" s="719">
        <v>1.1000000000000001</v>
      </c>
      <c r="X25" s="719"/>
      <c r="Y25" s="719"/>
      <c r="Z25" s="719"/>
      <c r="AA25" s="719"/>
      <c r="AB25" s="719"/>
      <c r="AC25" s="719" t="s">
        <v>2612</v>
      </c>
      <c r="AD25" s="719"/>
      <c r="AE25" s="719"/>
      <c r="AF25" s="719">
        <v>300</v>
      </c>
      <c r="AG25" s="789">
        <v>30975.01</v>
      </c>
      <c r="AH25" s="719">
        <v>1503</v>
      </c>
      <c r="AI25" s="719">
        <v>-4909</v>
      </c>
      <c r="AJ25" s="719"/>
      <c r="AK25" s="719"/>
      <c r="AL25" s="719"/>
      <c r="AM25" s="719" t="s">
        <v>2608</v>
      </c>
      <c r="AN25" s="724">
        <v>5.3</v>
      </c>
      <c r="AO25" s="719"/>
      <c r="AP25" s="719"/>
      <c r="AQ25" s="724"/>
      <c r="AR25" s="724"/>
      <c r="AS25" s="724"/>
      <c r="AT25" s="724">
        <f>+ab($T$25,$T$23,$T$27,$G$24,$G$26, 1*$F$25,1200)</f>
        <v>-14.314911209577565</v>
      </c>
      <c r="AU25" s="724"/>
      <c r="AV25" s="724"/>
      <c r="AW25" s="719"/>
      <c r="AX25" s="719"/>
      <c r="AY25" s="719"/>
      <c r="AZ25" s="532"/>
      <c r="BB25" s="1284" t="s">
        <v>1032</v>
      </c>
      <c r="BC25" s="1285" t="s">
        <v>668</v>
      </c>
      <c r="BD25" s="1301"/>
      <c r="BE25" s="1284" t="s">
        <v>1069</v>
      </c>
      <c r="BF25" s="1285" t="s">
        <v>697</v>
      </c>
      <c r="BH25" s="685" t="s">
        <v>1144</v>
      </c>
      <c r="BI25" s="531">
        <v>43985</v>
      </c>
      <c r="BJ25" s="531">
        <v>44185</v>
      </c>
      <c r="BK25" s="532">
        <v>0</v>
      </c>
      <c r="BL25" s="686">
        <f t="shared" si="1"/>
        <v>0</v>
      </c>
    </row>
    <row r="26" spans="1:64" ht="15.75" hidden="1" customHeight="1">
      <c r="A26" s="716"/>
      <c r="B26" s="718"/>
      <c r="C26" s="789"/>
      <c r="D26" s="719"/>
      <c r="E26" s="719"/>
      <c r="F26" s="720"/>
      <c r="G26" s="721">
        <v>52</v>
      </c>
      <c r="H26" s="726"/>
      <c r="I26" s="726"/>
      <c r="J26" s="762"/>
      <c r="K26" s="719"/>
      <c r="L26" s="719"/>
      <c r="M26" s="719"/>
      <c r="N26" s="726"/>
      <c r="O26" s="726"/>
      <c r="P26" s="726"/>
      <c r="Q26" s="719"/>
      <c r="R26" s="719"/>
      <c r="S26" s="719">
        <f>AG27-AG25</f>
        <v>49.970000000001164</v>
      </c>
      <c r="T26" s="719"/>
      <c r="U26" s="719"/>
      <c r="V26" s="719"/>
      <c r="W26" s="719"/>
      <c r="X26" s="719"/>
      <c r="Y26" s="719"/>
      <c r="Z26" s="719"/>
      <c r="AA26" s="719"/>
      <c r="AB26" s="719"/>
      <c r="AC26" s="719"/>
      <c r="AD26" s="719"/>
      <c r="AE26" s="719"/>
      <c r="AF26" s="719"/>
      <c r="AG26" s="789"/>
      <c r="AH26" s="719"/>
      <c r="AI26" s="719"/>
      <c r="AJ26" s="719"/>
      <c r="AK26" s="719"/>
      <c r="AL26" s="719"/>
      <c r="AM26" s="719"/>
      <c r="AN26" s="719"/>
      <c r="AO26" s="719"/>
      <c r="AP26" s="719"/>
      <c r="AQ26" s="724">
        <f>+FL_2($T$27,$T$25,$G$26,1200,9.28, 1*$F$27)</f>
        <v>-0.37688577411637142</v>
      </c>
      <c r="AR26" s="724"/>
      <c r="AS26" s="724"/>
      <c r="AT26" s="724"/>
      <c r="AU26" s="724"/>
      <c r="AV26" s="724"/>
      <c r="AW26" s="719"/>
      <c r="AX26" s="719"/>
      <c r="AY26" s="719"/>
      <c r="AZ26" s="532"/>
      <c r="BB26" s="1284" t="s">
        <v>1031</v>
      </c>
      <c r="BC26" s="1285" t="s">
        <v>669</v>
      </c>
      <c r="BD26" s="1301"/>
      <c r="BE26" s="1284" t="s">
        <v>1070</v>
      </c>
      <c r="BF26" s="1285" t="s">
        <v>952</v>
      </c>
      <c r="BH26" s="685" t="s">
        <v>1145</v>
      </c>
      <c r="BI26" s="531">
        <v>45085</v>
      </c>
      <c r="BJ26" s="531">
        <v>46205</v>
      </c>
      <c r="BK26" s="532">
        <v>0</v>
      </c>
      <c r="BL26" s="686">
        <f t="shared" si="1"/>
        <v>0</v>
      </c>
    </row>
    <row r="27" spans="1:64" ht="15.75" hidden="1" customHeight="1">
      <c r="A27" s="716" t="s">
        <v>676</v>
      </c>
      <c r="B27" s="718" t="s">
        <v>1674</v>
      </c>
      <c r="C27" s="789">
        <f>+$C$25+$G$26</f>
        <v>31025</v>
      </c>
      <c r="D27" s="719"/>
      <c r="E27" s="719">
        <v>-50</v>
      </c>
      <c r="F27" s="720">
        <v>-4000</v>
      </c>
      <c r="G27" s="721"/>
      <c r="H27" s="726"/>
      <c r="I27" s="726"/>
      <c r="J27" s="762"/>
      <c r="K27" s="719"/>
      <c r="L27" s="719" t="s">
        <v>241</v>
      </c>
      <c r="M27" s="719"/>
      <c r="N27" s="726" t="s">
        <v>695</v>
      </c>
      <c r="O27" s="726"/>
      <c r="P27" s="726"/>
      <c r="Q27" s="719">
        <v>-48</v>
      </c>
      <c r="R27" s="719">
        <v>-4000</v>
      </c>
      <c r="S27" s="719"/>
      <c r="T27" s="719">
        <v>-20</v>
      </c>
      <c r="U27" s="719"/>
      <c r="V27" s="719"/>
      <c r="W27" s="719">
        <v>1.1000000000000001</v>
      </c>
      <c r="X27" s="719"/>
      <c r="Y27" s="719"/>
      <c r="Z27" s="719"/>
      <c r="AA27" s="719"/>
      <c r="AB27" s="719"/>
      <c r="AC27" s="719" t="s">
        <v>2612</v>
      </c>
      <c r="AD27" s="719"/>
      <c r="AE27" s="719"/>
      <c r="AF27" s="719">
        <v>300</v>
      </c>
      <c r="AG27" s="789">
        <v>31024.98</v>
      </c>
      <c r="AH27" s="719">
        <v>1510</v>
      </c>
      <c r="AI27" s="719">
        <v>-4993</v>
      </c>
      <c r="AJ27" s="719"/>
      <c r="AK27" s="719"/>
      <c r="AL27" s="719"/>
      <c r="AM27" s="719" t="s">
        <v>2608</v>
      </c>
      <c r="AN27" s="719">
        <v>5.25</v>
      </c>
      <c r="AO27" s="719"/>
      <c r="AP27" s="719"/>
      <c r="AQ27" s="724"/>
      <c r="AR27" s="724"/>
      <c r="AS27" s="724"/>
      <c r="AT27" s="724">
        <f>+ab($T$27,$T$25,$T$29,$G$26,$G$28, 1*$F$27,1200)</f>
        <v>-14.717903448740962</v>
      </c>
      <c r="AU27" s="724"/>
      <c r="AV27" s="724"/>
      <c r="AW27" s="719"/>
      <c r="AX27" s="719"/>
      <c r="AY27" s="719"/>
      <c r="AZ27" s="532"/>
      <c r="BB27" s="1284" t="s">
        <v>1034</v>
      </c>
      <c r="BC27" s="1285" t="s">
        <v>996</v>
      </c>
      <c r="BD27" s="1301"/>
      <c r="BE27" s="1284" t="s">
        <v>1071</v>
      </c>
      <c r="BF27" s="1285" t="s">
        <v>953</v>
      </c>
      <c r="BH27" s="685"/>
      <c r="BI27" s="531"/>
      <c r="BJ27" s="531"/>
      <c r="BK27" s="532"/>
      <c r="BL27" s="686"/>
    </row>
    <row r="28" spans="1:64" ht="15.75" hidden="1" customHeight="1">
      <c r="A28" s="716"/>
      <c r="B28" s="718"/>
      <c r="C28" s="789"/>
      <c r="D28" s="719"/>
      <c r="E28" s="719"/>
      <c r="F28" s="720"/>
      <c r="G28" s="721">
        <v>50</v>
      </c>
      <c r="H28" s="726"/>
      <c r="I28" s="729"/>
      <c r="J28" s="762"/>
      <c r="K28" s="719"/>
      <c r="L28" s="719"/>
      <c r="M28" s="719"/>
      <c r="N28" s="726"/>
      <c r="O28" s="726"/>
      <c r="P28" s="726"/>
      <c r="Q28" s="719"/>
      <c r="R28" s="719"/>
      <c r="S28" s="719">
        <f t="shared" ref="S28" si="2">AG29-AG27</f>
        <v>49.990000000001601</v>
      </c>
      <c r="T28" s="719"/>
      <c r="U28" s="719"/>
      <c r="V28" s="719"/>
      <c r="W28" s="719"/>
      <c r="X28" s="719"/>
      <c r="Y28" s="719"/>
      <c r="Z28" s="719"/>
      <c r="AA28" s="719"/>
      <c r="AB28" s="719"/>
      <c r="AC28" s="719"/>
      <c r="AD28" s="719"/>
      <c r="AE28" s="719"/>
      <c r="AF28" s="719"/>
      <c r="AG28" s="789"/>
      <c r="AH28" s="719"/>
      <c r="AI28" s="719"/>
      <c r="AJ28" s="719"/>
      <c r="AK28" s="719"/>
      <c r="AL28" s="719"/>
      <c r="AM28" s="719"/>
      <c r="AN28" s="719"/>
      <c r="AO28" s="719"/>
      <c r="AP28" s="719"/>
      <c r="AQ28" s="724">
        <f>+FL_2($T$29,$T$27,$G$28,1200,9.28, 1*$F$29)</f>
        <v>-0.36354090371247971</v>
      </c>
      <c r="AR28" s="724"/>
      <c r="AS28" s="724"/>
      <c r="AT28" s="724"/>
      <c r="AU28" s="724"/>
      <c r="AV28" s="724"/>
      <c r="AW28" s="719"/>
      <c r="AX28" s="719"/>
      <c r="AY28" s="719"/>
      <c r="AZ28" s="532"/>
      <c r="BB28" s="1284" t="s">
        <v>1033</v>
      </c>
      <c r="BC28" s="1285" t="s">
        <v>997</v>
      </c>
      <c r="BD28" s="1301"/>
      <c r="BE28" s="1284" t="s">
        <v>1072</v>
      </c>
      <c r="BF28" s="1285" t="s">
        <v>954</v>
      </c>
      <c r="BH28" s="685"/>
      <c r="BI28" s="531"/>
      <c r="BJ28" s="531"/>
      <c r="BK28" s="532"/>
      <c r="BL28" s="686"/>
    </row>
    <row r="29" spans="1:64" ht="15.75" hidden="1" customHeight="1">
      <c r="A29" s="716" t="s">
        <v>676</v>
      </c>
      <c r="B29" s="718" t="s">
        <v>1675</v>
      </c>
      <c r="C29" s="789">
        <f>+$C$27+$G$28</f>
        <v>31075</v>
      </c>
      <c r="D29" s="719"/>
      <c r="E29" s="719">
        <v>-50</v>
      </c>
      <c r="F29" s="720">
        <v>-4000</v>
      </c>
      <c r="G29" s="721"/>
      <c r="H29" s="726"/>
      <c r="I29" s="726"/>
      <c r="J29" s="762"/>
      <c r="K29" s="719"/>
      <c r="L29" s="719" t="s">
        <v>241</v>
      </c>
      <c r="M29" s="719"/>
      <c r="N29" s="726" t="s">
        <v>695</v>
      </c>
      <c r="O29" s="726"/>
      <c r="P29" s="726"/>
      <c r="Q29" s="719">
        <v>-53</v>
      </c>
      <c r="R29" s="719">
        <v>-4000</v>
      </c>
      <c r="S29" s="719"/>
      <c r="T29" s="719">
        <v>-20</v>
      </c>
      <c r="U29" s="719"/>
      <c r="V29" s="719"/>
      <c r="W29" s="719">
        <v>1.1000000000000001</v>
      </c>
      <c r="X29" s="719"/>
      <c r="Y29" s="719"/>
      <c r="Z29" s="719"/>
      <c r="AA29" s="719"/>
      <c r="AB29" s="719"/>
      <c r="AC29" s="719" t="s">
        <v>2612</v>
      </c>
      <c r="AD29" s="719"/>
      <c r="AE29" s="719"/>
      <c r="AF29" s="719">
        <v>300</v>
      </c>
      <c r="AG29" s="789">
        <v>31074.97</v>
      </c>
      <c r="AH29" s="719">
        <v>1515</v>
      </c>
      <c r="AI29" s="719">
        <v>-4916</v>
      </c>
      <c r="AJ29" s="719"/>
      <c r="AK29" s="719"/>
      <c r="AL29" s="719"/>
      <c r="AM29" s="719" t="s">
        <v>2608</v>
      </c>
      <c r="AN29" s="719">
        <v>5.25</v>
      </c>
      <c r="AO29" s="719"/>
      <c r="AP29" s="719"/>
      <c r="AQ29" s="724"/>
      <c r="AR29" s="724"/>
      <c r="AS29" s="724"/>
      <c r="AT29" s="724">
        <f>+ab($T$29,$T$27,$T$31,$G$28,$G$30, 1*$F$29,1200)</f>
        <v>-14.999117131444221</v>
      </c>
      <c r="AU29" s="724"/>
      <c r="AV29" s="724"/>
      <c r="AW29" s="719"/>
      <c r="AX29" s="719"/>
      <c r="AY29" s="719"/>
      <c r="AZ29" s="532"/>
      <c r="BB29" s="1284" t="s">
        <v>1035</v>
      </c>
      <c r="BC29" s="1285" t="s">
        <v>995</v>
      </c>
      <c r="BD29" s="1301"/>
      <c r="BE29" s="1284"/>
      <c r="BF29" s="1285"/>
      <c r="BH29" s="685"/>
      <c r="BI29" s="531"/>
      <c r="BJ29" s="531"/>
      <c r="BK29" s="532"/>
      <c r="BL29" s="686"/>
    </row>
    <row r="30" spans="1:64" ht="15.75" hidden="1" customHeight="1">
      <c r="A30" s="716"/>
      <c r="B30" s="718"/>
      <c r="C30" s="789"/>
      <c r="D30" s="719"/>
      <c r="E30" s="719"/>
      <c r="F30" s="720"/>
      <c r="G30" s="721">
        <v>50</v>
      </c>
      <c r="H30" s="726"/>
      <c r="I30" s="726"/>
      <c r="J30" s="762"/>
      <c r="K30" s="719"/>
      <c r="L30" s="719"/>
      <c r="M30" s="719"/>
      <c r="N30" s="726"/>
      <c r="O30" s="726"/>
      <c r="P30" s="726"/>
      <c r="Q30" s="719"/>
      <c r="R30" s="719"/>
      <c r="S30" s="719">
        <f t="shared" ref="S30" si="3">AG31-AG29</f>
        <v>49.979999999999563</v>
      </c>
      <c r="T30" s="719"/>
      <c r="U30" s="719"/>
      <c r="V30" s="719"/>
      <c r="W30" s="719"/>
      <c r="X30" s="719"/>
      <c r="Y30" s="719"/>
      <c r="Z30" s="719"/>
      <c r="AA30" s="719"/>
      <c r="AB30" s="719"/>
      <c r="AC30" s="719"/>
      <c r="AD30" s="719"/>
      <c r="AE30" s="719"/>
      <c r="AF30" s="719"/>
      <c r="AG30" s="789"/>
      <c r="AH30" s="719"/>
      <c r="AI30" s="719"/>
      <c r="AJ30" s="719"/>
      <c r="AK30" s="719"/>
      <c r="AL30" s="719"/>
      <c r="AM30" s="719"/>
      <c r="AN30" s="719"/>
      <c r="AO30" s="719"/>
      <c r="AP30" s="719"/>
      <c r="AQ30" s="724">
        <f>+FL_2($T$31,$T$29,$G$30,1200,9.28, 1*$F$31)</f>
        <v>-0.36354090371247971</v>
      </c>
      <c r="AR30" s="724"/>
      <c r="AS30" s="724"/>
      <c r="AT30" s="724"/>
      <c r="AU30" s="724"/>
      <c r="AV30" s="724"/>
      <c r="AW30" s="719"/>
      <c r="AX30" s="719"/>
      <c r="AY30" s="719"/>
      <c r="AZ30" s="532"/>
      <c r="BB30" s="1284" t="s">
        <v>2468</v>
      </c>
      <c r="BC30" s="1285" t="s">
        <v>1101</v>
      </c>
      <c r="BD30" s="1301"/>
      <c r="BE30" s="1286" t="s">
        <v>1045</v>
      </c>
      <c r="BF30" s="1287"/>
      <c r="BH30" s="685"/>
      <c r="BI30" s="531"/>
      <c r="BJ30" s="531"/>
      <c r="BK30" s="532"/>
      <c r="BL30" s="686"/>
    </row>
    <row r="31" spans="1:64" ht="15.75" customHeight="1">
      <c r="A31" s="716" t="s">
        <v>676</v>
      </c>
      <c r="B31" s="718" t="s">
        <v>1676</v>
      </c>
      <c r="C31" s="789">
        <f>+$C$29+$G$30</f>
        <v>31125</v>
      </c>
      <c r="D31" s="719"/>
      <c r="E31" s="719">
        <v>-50</v>
      </c>
      <c r="F31" s="720">
        <v>-4000</v>
      </c>
      <c r="G31" s="721"/>
      <c r="H31" s="726" t="s">
        <v>1101</v>
      </c>
      <c r="I31" s="726"/>
      <c r="J31" s="762"/>
      <c r="K31" s="719"/>
      <c r="L31" s="719" t="s">
        <v>241</v>
      </c>
      <c r="M31" s="719"/>
      <c r="N31" s="726" t="s">
        <v>695</v>
      </c>
      <c r="O31" s="726"/>
      <c r="P31" s="726"/>
      <c r="Q31" s="719">
        <v>-49</v>
      </c>
      <c r="R31" s="719">
        <v>-4000</v>
      </c>
      <c r="S31" s="719"/>
      <c r="T31" s="719">
        <v>-20</v>
      </c>
      <c r="U31" s="719"/>
      <c r="V31" s="719"/>
      <c r="W31" s="719">
        <v>1.1000000000000001</v>
      </c>
      <c r="X31" s="719"/>
      <c r="Y31" s="719"/>
      <c r="Z31" s="719"/>
      <c r="AA31" s="719"/>
      <c r="AB31" s="719"/>
      <c r="AC31" s="719" t="s">
        <v>2612</v>
      </c>
      <c r="AD31" s="719"/>
      <c r="AE31" s="719"/>
      <c r="AF31" s="719">
        <v>300</v>
      </c>
      <c r="AG31" s="789">
        <v>31124.95</v>
      </c>
      <c r="AH31" s="719">
        <v>1489</v>
      </c>
      <c r="AI31" s="719">
        <v>-4965</v>
      </c>
      <c r="AJ31" s="719"/>
      <c r="AK31" s="719"/>
      <c r="AL31" s="719"/>
      <c r="AM31" s="719" t="s">
        <v>2608</v>
      </c>
      <c r="AN31" s="719">
        <v>5.25</v>
      </c>
      <c r="AO31" s="719"/>
      <c r="AP31" s="719"/>
      <c r="AQ31" s="724"/>
      <c r="AR31" s="724"/>
      <c r="AS31" s="724"/>
      <c r="AT31" s="724">
        <f>+ab($T$31,$T$29,$T$33,$G$30,$G$32, 1*$F$31,1200)</f>
        <v>-15.29102532038381</v>
      </c>
      <c r="AU31" s="724"/>
      <c r="AV31" s="724"/>
      <c r="AW31" s="719"/>
      <c r="AX31" s="719"/>
      <c r="AY31" s="719"/>
      <c r="AZ31" s="532"/>
      <c r="BB31" s="1284" t="s">
        <v>1081</v>
      </c>
      <c r="BC31" s="1285" t="s">
        <v>143</v>
      </c>
      <c r="BD31" s="1301"/>
      <c r="BE31" s="1284" t="s">
        <v>1062</v>
      </c>
      <c r="BF31" s="1285" t="s">
        <v>1001</v>
      </c>
      <c r="BH31" s="685"/>
      <c r="BI31" s="531"/>
      <c r="BJ31" s="531"/>
      <c r="BK31" s="532"/>
      <c r="BL31" s="686"/>
    </row>
    <row r="32" spans="1:64" ht="15.75" hidden="1" customHeight="1">
      <c r="A32" s="716"/>
      <c r="B32" s="718"/>
      <c r="C32" s="789"/>
      <c r="D32" s="719"/>
      <c r="E32" s="719"/>
      <c r="F32" s="720"/>
      <c r="G32" s="721">
        <v>48</v>
      </c>
      <c r="H32" s="726"/>
      <c r="I32" s="722">
        <f>SUM(G6:G32)</f>
        <v>491</v>
      </c>
      <c r="J32" s="762">
        <f>C31+1</f>
        <v>31126</v>
      </c>
      <c r="K32" s="719" t="s">
        <v>1102</v>
      </c>
      <c r="L32" s="719"/>
      <c r="M32" s="719"/>
      <c r="N32" s="726"/>
      <c r="O32" s="726"/>
      <c r="P32" s="726"/>
      <c r="Q32" s="719"/>
      <c r="R32" s="719"/>
      <c r="S32" s="719">
        <f t="shared" ref="S32" si="4">AG33-AG31</f>
        <v>48.079999999998108</v>
      </c>
      <c r="T32" s="719"/>
      <c r="U32" s="719"/>
      <c r="V32" s="719"/>
      <c r="W32" s="719"/>
      <c r="X32" s="719"/>
      <c r="Y32" s="719"/>
      <c r="Z32" s="719"/>
      <c r="AA32" s="719"/>
      <c r="AB32" s="719"/>
      <c r="AC32" s="719"/>
      <c r="AD32" s="719"/>
      <c r="AE32" s="719"/>
      <c r="AF32" s="719"/>
      <c r="AG32" s="789"/>
      <c r="AH32" s="719"/>
      <c r="AI32" s="719"/>
      <c r="AJ32" s="719"/>
      <c r="AK32" s="719"/>
      <c r="AL32" s="719"/>
      <c r="AM32" s="719"/>
      <c r="AN32" s="719"/>
      <c r="AO32" s="719"/>
      <c r="AP32" s="719"/>
      <c r="AQ32" s="724">
        <f>+FL_2($T$33,$T$31,$G$32,1200,9.28, 1*$F$33)</f>
        <v>-0.35071935198854653</v>
      </c>
      <c r="AR32" s="724"/>
      <c r="AS32" s="724"/>
      <c r="AT32" s="724"/>
      <c r="AU32" s="724"/>
      <c r="AV32" s="724"/>
      <c r="AW32" s="719"/>
      <c r="AX32" s="719"/>
      <c r="AY32" s="719"/>
      <c r="AZ32" s="532"/>
      <c r="BB32" s="1284" t="s">
        <v>1082</v>
      </c>
      <c r="BC32" s="1285" t="s">
        <v>142</v>
      </c>
      <c r="BD32" s="1301"/>
      <c r="BE32" s="1284" t="s">
        <v>1063</v>
      </c>
      <c r="BF32" s="1285" t="s">
        <v>1000</v>
      </c>
      <c r="BH32" s="687"/>
      <c r="BL32" s="555"/>
    </row>
    <row r="33" spans="1:64" ht="15.75" customHeight="1">
      <c r="A33" s="716" t="s">
        <v>676</v>
      </c>
      <c r="B33" s="718" t="s">
        <v>1677</v>
      </c>
      <c r="C33" s="789">
        <f>+$C$31+$G$32</f>
        <v>31173</v>
      </c>
      <c r="D33" s="719"/>
      <c r="E33" s="719">
        <v>-50</v>
      </c>
      <c r="F33" s="720">
        <v>-4000</v>
      </c>
      <c r="G33" s="721"/>
      <c r="H33" s="719" t="s">
        <v>997</v>
      </c>
      <c r="I33" s="722"/>
      <c r="J33" s="763"/>
      <c r="K33" s="719"/>
      <c r="L33" s="719" t="s">
        <v>241</v>
      </c>
      <c r="M33" s="719"/>
      <c r="N33" s="719" t="s">
        <v>695</v>
      </c>
      <c r="O33" s="719"/>
      <c r="P33" s="719"/>
      <c r="Q33" s="719">
        <v>-49</v>
      </c>
      <c r="R33" s="719">
        <v>-4000</v>
      </c>
      <c r="S33" s="719"/>
      <c r="T33" s="719">
        <v>-20</v>
      </c>
      <c r="U33" s="719"/>
      <c r="V33" s="719"/>
      <c r="W33" s="719">
        <v>1.1000000000000001</v>
      </c>
      <c r="X33" s="719"/>
      <c r="Y33" s="719"/>
      <c r="Z33" s="719"/>
      <c r="AA33" s="719"/>
      <c r="AB33" s="719"/>
      <c r="AC33" s="719" t="s">
        <v>2612</v>
      </c>
      <c r="AD33" s="719"/>
      <c r="AE33" s="719"/>
      <c r="AF33" s="719">
        <v>300</v>
      </c>
      <c r="AG33" s="789">
        <v>31173.03</v>
      </c>
      <c r="AH33" s="719">
        <v>1494</v>
      </c>
      <c r="AI33" s="719">
        <v>-4977</v>
      </c>
      <c r="AJ33" s="719"/>
      <c r="AK33" s="719"/>
      <c r="AL33" s="719"/>
      <c r="AM33" s="719" t="s">
        <v>2608</v>
      </c>
      <c r="AN33" s="719">
        <v>5.25</v>
      </c>
      <c r="AO33" s="719"/>
      <c r="AP33" s="719"/>
      <c r="AQ33" s="724"/>
      <c r="AR33" s="724"/>
      <c r="AS33" s="724"/>
      <c r="AT33" s="724">
        <f>+ab($T$33,$T$31,$T$35,$G$32,$G$34, 1*$F$33,1200)</f>
        <v>-16.071672516742851</v>
      </c>
      <c r="AU33" s="724"/>
      <c r="AV33" s="724"/>
      <c r="AW33" s="719"/>
      <c r="AX33" s="719"/>
      <c r="AY33" s="719"/>
      <c r="AZ33" s="532"/>
      <c r="BA33" s="532"/>
      <c r="BB33" s="1284"/>
      <c r="BC33" s="1285"/>
      <c r="BD33" s="1279"/>
      <c r="BE33" s="1284" t="s">
        <v>3044</v>
      </c>
      <c r="BF33" s="1285" t="s">
        <v>1004</v>
      </c>
      <c r="BG33" s="550"/>
      <c r="BH33" s="688" t="s">
        <v>2624</v>
      </c>
      <c r="BL33" s="555">
        <f>SUM(BL24:BL32)</f>
        <v>0</v>
      </c>
    </row>
    <row r="34" spans="1:64" ht="15.75" hidden="1" customHeight="1">
      <c r="A34" s="716"/>
      <c r="B34" s="718"/>
      <c r="C34" s="789"/>
      <c r="D34" s="719"/>
      <c r="E34" s="719"/>
      <c r="F34" s="720"/>
      <c r="G34" s="721">
        <v>45</v>
      </c>
      <c r="H34" s="719"/>
      <c r="I34" s="722">
        <f>SUM(G34:G52)</f>
        <v>502</v>
      </c>
      <c r="J34" s="763">
        <f>C35-1</f>
        <v>31217</v>
      </c>
      <c r="K34" s="719" t="s">
        <v>1102</v>
      </c>
      <c r="L34" s="719"/>
      <c r="M34" s="719"/>
      <c r="N34" s="719"/>
      <c r="O34" s="719"/>
      <c r="P34" s="719"/>
      <c r="Q34" s="719"/>
      <c r="R34" s="719"/>
      <c r="S34" s="719">
        <f t="shared" ref="S34" si="5">AG35-AG33</f>
        <v>44.960000000002765</v>
      </c>
      <c r="T34" s="719"/>
      <c r="U34" s="719"/>
      <c r="V34" s="719"/>
      <c r="W34" s="719"/>
      <c r="X34" s="719"/>
      <c r="Y34" s="719"/>
      <c r="Z34" s="719"/>
      <c r="AA34" s="719"/>
      <c r="AB34" s="719"/>
      <c r="AC34" s="719"/>
      <c r="AD34" s="719"/>
      <c r="AE34" s="719"/>
      <c r="AF34" s="719"/>
      <c r="AG34" s="789"/>
      <c r="AH34" s="719"/>
      <c r="AI34" s="719"/>
      <c r="AJ34" s="719"/>
      <c r="AK34" s="719"/>
      <c r="AL34" s="719"/>
      <c r="AM34" s="719"/>
      <c r="AN34" s="719"/>
      <c r="AO34" s="719"/>
      <c r="AP34" s="719"/>
      <c r="AQ34" s="724">
        <f>+FL_2($T$35,$T$33,$G$34,1200,9.28, 1*$F$35)</f>
        <v>-0.33246824942748571</v>
      </c>
      <c r="AR34" s="724"/>
      <c r="AS34" s="724"/>
      <c r="AT34" s="724"/>
      <c r="AU34" s="724"/>
      <c r="AV34" s="724"/>
      <c r="AW34" s="719"/>
      <c r="AX34" s="719"/>
      <c r="AY34" s="719"/>
      <c r="AZ34" s="532"/>
      <c r="BA34" s="532"/>
      <c r="BB34" s="1284"/>
      <c r="BC34" s="1285"/>
      <c r="BD34" s="1279"/>
      <c r="BE34" s="1284" t="s">
        <v>3045</v>
      </c>
      <c r="BF34" s="1285" t="s">
        <v>3046</v>
      </c>
      <c r="BG34" s="550"/>
      <c r="BH34" s="687"/>
      <c r="BL34" s="555"/>
    </row>
    <row r="35" spans="1:64" ht="15.75" customHeight="1">
      <c r="A35" s="716" t="s">
        <v>676</v>
      </c>
      <c r="B35" s="718" t="s">
        <v>1678</v>
      </c>
      <c r="C35" s="789">
        <f>+$C$33+$G$34</f>
        <v>31218</v>
      </c>
      <c r="D35" s="719"/>
      <c r="E35" s="719">
        <v>-50</v>
      </c>
      <c r="F35" s="720">
        <v>-4000</v>
      </c>
      <c r="G35" s="721"/>
      <c r="H35" s="719" t="s">
        <v>1101</v>
      </c>
      <c r="I35" s="722"/>
      <c r="J35" s="763"/>
      <c r="K35" s="719"/>
      <c r="L35" s="719" t="s">
        <v>241</v>
      </c>
      <c r="M35" s="719"/>
      <c r="N35" s="719" t="s">
        <v>695</v>
      </c>
      <c r="O35" s="719"/>
      <c r="P35" s="719"/>
      <c r="Q35" s="719">
        <v>-48</v>
      </c>
      <c r="R35" s="719">
        <v>-4000</v>
      </c>
      <c r="S35" s="719"/>
      <c r="T35" s="719">
        <v>-20</v>
      </c>
      <c r="U35" s="719"/>
      <c r="V35" s="719"/>
      <c r="W35" s="719">
        <v>1.1000000000000001</v>
      </c>
      <c r="X35" s="719"/>
      <c r="Y35" s="719"/>
      <c r="Z35" s="719"/>
      <c r="AA35" s="719"/>
      <c r="AB35" s="719"/>
      <c r="AC35" s="719" t="s">
        <v>2612</v>
      </c>
      <c r="AD35" s="719"/>
      <c r="AE35" s="719"/>
      <c r="AF35" s="719">
        <v>300</v>
      </c>
      <c r="AG35" s="789">
        <v>31217.99</v>
      </c>
      <c r="AH35" s="719">
        <v>1519</v>
      </c>
      <c r="AI35" s="719">
        <v>-4943</v>
      </c>
      <c r="AJ35" s="719"/>
      <c r="AK35" s="719"/>
      <c r="AL35" s="719"/>
      <c r="AM35" s="719" t="s">
        <v>2608</v>
      </c>
      <c r="AN35" s="719">
        <v>5.25</v>
      </c>
      <c r="AO35" s="719"/>
      <c r="AP35" s="719"/>
      <c r="AQ35" s="724"/>
      <c r="AR35" s="724"/>
      <c r="AS35" s="724"/>
      <c r="AT35" s="724">
        <f>+ab($T$35,$T$33,$T$37,$G$34,$G$36, 1*$F$35,1200)</f>
        <v>-15.143697563592175</v>
      </c>
      <c r="AU35" s="724"/>
      <c r="AV35" s="724"/>
      <c r="AW35" s="719"/>
      <c r="AX35" s="719"/>
      <c r="AY35" s="719"/>
      <c r="AZ35" s="532"/>
      <c r="BA35" s="532"/>
      <c r="BB35" s="1286" t="s">
        <v>3047</v>
      </c>
      <c r="BC35" s="1287"/>
      <c r="BD35" s="1279"/>
      <c r="BE35" s="1284" t="s">
        <v>2454</v>
      </c>
      <c r="BF35" s="1285" t="s">
        <v>2455</v>
      </c>
      <c r="BG35" s="550"/>
      <c r="BH35" s="687"/>
      <c r="BL35" s="555"/>
    </row>
    <row r="36" spans="1:64" ht="15.75" hidden="1" customHeight="1" thickBot="1">
      <c r="A36" s="716"/>
      <c r="B36" s="717"/>
      <c r="C36" s="789"/>
      <c r="D36" s="719"/>
      <c r="E36" s="719"/>
      <c r="F36" s="720"/>
      <c r="G36" s="721">
        <v>54</v>
      </c>
      <c r="H36" s="719"/>
      <c r="I36" s="726"/>
      <c r="J36" s="718"/>
      <c r="K36" s="719"/>
      <c r="L36" s="719"/>
      <c r="M36" s="719"/>
      <c r="N36" s="726"/>
      <c r="O36" s="726"/>
      <c r="P36" s="726"/>
      <c r="Q36" s="719"/>
      <c r="R36" s="719"/>
      <c r="S36" s="719">
        <f t="shared" ref="S36" si="6">AG37-AG35</f>
        <v>57.469999999997526</v>
      </c>
      <c r="T36" s="719"/>
      <c r="U36" s="719"/>
      <c r="V36" s="719"/>
      <c r="W36" s="719"/>
      <c r="X36" s="719"/>
      <c r="Y36" s="719"/>
      <c r="Z36" s="719"/>
      <c r="AA36" s="719"/>
      <c r="AB36" s="719"/>
      <c r="AC36" s="719"/>
      <c r="AD36" s="719"/>
      <c r="AE36" s="719"/>
      <c r="AF36" s="719"/>
      <c r="AG36" s="789"/>
      <c r="AH36" s="719"/>
      <c r="AI36" s="719"/>
      <c r="AJ36" s="719"/>
      <c r="AK36" s="719"/>
      <c r="AL36" s="719"/>
      <c r="AM36" s="719"/>
      <c r="AN36" s="719"/>
      <c r="AO36" s="719"/>
      <c r="AP36" s="719"/>
      <c r="AQ36" s="724">
        <f>+FL_2($T$37,$T$35,$G$36,1200,9.28, 1*$F$37)</f>
        <v>-0.39075396200560031</v>
      </c>
      <c r="AR36" s="724"/>
      <c r="AS36" s="724"/>
      <c r="AT36" s="724"/>
      <c r="AU36" s="724"/>
      <c r="AV36" s="724"/>
      <c r="AW36" s="719"/>
      <c r="AX36" s="719"/>
      <c r="AY36" s="719"/>
      <c r="AZ36" s="532"/>
      <c r="BB36" s="1284" t="s">
        <v>1037</v>
      </c>
      <c r="BC36" s="1285" t="s">
        <v>673</v>
      </c>
      <c r="BD36" s="1301"/>
      <c r="BE36" s="1284" t="s">
        <v>3048</v>
      </c>
      <c r="BF36" s="1285" t="s">
        <v>3049</v>
      </c>
      <c r="BH36" s="689" t="s">
        <v>1141</v>
      </c>
      <c r="BI36" s="690"/>
      <c r="BJ36" s="690"/>
      <c r="BK36" s="690"/>
      <c r="BL36" s="802">
        <f>(SUM(BJ24:BJ31)-SUM(BI24:BI31))/1000</f>
        <v>1.5549999999999999</v>
      </c>
    </row>
    <row r="37" spans="1:64" ht="15.75" hidden="1" customHeight="1">
      <c r="A37" s="716" t="s">
        <v>676</v>
      </c>
      <c r="B37" s="717" t="s">
        <v>1679</v>
      </c>
      <c r="C37" s="789">
        <f>+$C$35+$G$36</f>
        <v>31272</v>
      </c>
      <c r="D37" s="719"/>
      <c r="E37" s="719">
        <v>-50</v>
      </c>
      <c r="F37" s="720">
        <v>-4000</v>
      </c>
      <c r="G37" s="721"/>
      <c r="H37" s="719"/>
      <c r="I37" s="726"/>
      <c r="J37" s="718"/>
      <c r="K37" s="719"/>
      <c r="L37" s="719" t="s">
        <v>241</v>
      </c>
      <c r="M37" s="719"/>
      <c r="N37" s="726" t="s">
        <v>695</v>
      </c>
      <c r="O37" s="726"/>
      <c r="P37" s="726"/>
      <c r="Q37" s="719">
        <v>-51</v>
      </c>
      <c r="R37" s="719">
        <v>-4000</v>
      </c>
      <c r="S37" s="719"/>
      <c r="T37" s="719">
        <v>-20</v>
      </c>
      <c r="U37" s="719"/>
      <c r="V37" s="719"/>
      <c r="W37" s="719">
        <v>1.1000000000000001</v>
      </c>
      <c r="X37" s="719"/>
      <c r="Y37" s="719"/>
      <c r="Z37" s="719"/>
      <c r="AA37" s="719"/>
      <c r="AB37" s="719"/>
      <c r="AC37" s="719" t="s">
        <v>2612</v>
      </c>
      <c r="AD37" s="719"/>
      <c r="AE37" s="719"/>
      <c r="AF37" s="719">
        <v>300</v>
      </c>
      <c r="AG37" s="789">
        <v>31275.46</v>
      </c>
      <c r="AH37" s="719">
        <v>1503</v>
      </c>
      <c r="AI37" s="719">
        <v>-4984</v>
      </c>
      <c r="AJ37" s="719"/>
      <c r="AK37" s="719"/>
      <c r="AL37" s="719"/>
      <c r="AM37" s="719" t="s">
        <v>2608</v>
      </c>
      <c r="AN37" s="719">
        <v>5.25</v>
      </c>
      <c r="AO37" s="719"/>
      <c r="AP37" s="719"/>
      <c r="AQ37" s="724"/>
      <c r="AR37" s="724"/>
      <c r="AS37" s="724"/>
      <c r="AT37" s="724">
        <f>+ab($T$37,$T$35,$T$39,$G$36,$G$38, 1*$F$37,1200)</f>
        <v>-14.058047475246848</v>
      </c>
      <c r="AU37" s="724"/>
      <c r="AV37" s="724"/>
      <c r="AW37" s="719"/>
      <c r="AX37" s="719"/>
      <c r="AY37" s="719"/>
      <c r="AZ37" s="532"/>
      <c r="BB37" s="1284" t="s">
        <v>1038</v>
      </c>
      <c r="BC37" s="1285" t="s">
        <v>674</v>
      </c>
      <c r="BD37" s="1301"/>
      <c r="BE37" s="1284" t="s">
        <v>1047</v>
      </c>
      <c r="BF37" s="1285" t="s">
        <v>1002</v>
      </c>
      <c r="BH37" s="519"/>
    </row>
    <row r="38" spans="1:64" ht="15.75" hidden="1" customHeight="1">
      <c r="A38" s="716"/>
      <c r="B38" s="717"/>
      <c r="C38" s="789"/>
      <c r="D38" s="719"/>
      <c r="E38" s="719"/>
      <c r="F38" s="720"/>
      <c r="G38" s="721">
        <v>53</v>
      </c>
      <c r="H38" s="719"/>
      <c r="I38" s="726"/>
      <c r="J38" s="718"/>
      <c r="K38" s="719"/>
      <c r="L38" s="719"/>
      <c r="M38" s="719"/>
      <c r="N38" s="726"/>
      <c r="O38" s="726"/>
      <c r="P38" s="726"/>
      <c r="Q38" s="719"/>
      <c r="R38" s="719"/>
      <c r="S38" s="719">
        <f t="shared" ref="S38" si="7">AG39-AG37</f>
        <v>49.569999999999709</v>
      </c>
      <c r="T38" s="719"/>
      <c r="U38" s="719"/>
      <c r="V38" s="719"/>
      <c r="W38" s="719"/>
      <c r="X38" s="719"/>
      <c r="Y38" s="719"/>
      <c r="Z38" s="719"/>
      <c r="AA38" s="719"/>
      <c r="AB38" s="719"/>
      <c r="AC38" s="719"/>
      <c r="AD38" s="719"/>
      <c r="AE38" s="719"/>
      <c r="AF38" s="719"/>
      <c r="AG38" s="789"/>
      <c r="AH38" s="719"/>
      <c r="AI38" s="719"/>
      <c r="AJ38" s="719"/>
      <c r="AK38" s="719"/>
      <c r="AL38" s="719"/>
      <c r="AM38" s="719"/>
      <c r="AN38" s="719"/>
      <c r="AO38" s="719"/>
      <c r="AP38" s="719"/>
      <c r="AQ38" s="724">
        <f>+FL_2($T$39,$T$37,$G$38,1200,9.28, 1*$F$39)</f>
        <v>-0.38375445345194364</v>
      </c>
      <c r="AR38" s="724"/>
      <c r="AS38" s="724"/>
      <c r="AT38" s="724"/>
      <c r="AU38" s="724"/>
      <c r="AV38" s="724"/>
      <c r="AW38" s="719"/>
      <c r="AX38" s="719"/>
      <c r="AY38" s="719"/>
      <c r="AZ38" s="532"/>
      <c r="BB38" s="1284" t="s">
        <v>1039</v>
      </c>
      <c r="BC38" s="1285" t="s">
        <v>948</v>
      </c>
      <c r="BD38" s="1301"/>
      <c r="BE38" s="1284" t="s">
        <v>2465</v>
      </c>
      <c r="BF38" s="1285" t="s">
        <v>2466</v>
      </c>
      <c r="BH38" s="519"/>
    </row>
    <row r="39" spans="1:64" ht="15.75" hidden="1" customHeight="1">
      <c r="A39" s="716" t="s">
        <v>676</v>
      </c>
      <c r="B39" s="717" t="s">
        <v>1680</v>
      </c>
      <c r="C39" s="789">
        <f>+$C$37+$G$38</f>
        <v>31325</v>
      </c>
      <c r="D39" s="719"/>
      <c r="E39" s="719">
        <v>-50</v>
      </c>
      <c r="F39" s="720">
        <v>-4000</v>
      </c>
      <c r="G39" s="721"/>
      <c r="H39" s="719"/>
      <c r="I39" s="726"/>
      <c r="J39" s="718"/>
      <c r="K39" s="719"/>
      <c r="L39" s="719" t="s">
        <v>241</v>
      </c>
      <c r="M39" s="719"/>
      <c r="N39" s="726" t="s">
        <v>695</v>
      </c>
      <c r="O39" s="726"/>
      <c r="P39" s="726"/>
      <c r="Q39" s="719">
        <v>-45</v>
      </c>
      <c r="R39" s="719">
        <v>-4000</v>
      </c>
      <c r="S39" s="719"/>
      <c r="T39" s="719">
        <v>-20</v>
      </c>
      <c r="U39" s="719"/>
      <c r="V39" s="719"/>
      <c r="W39" s="719">
        <v>1.1000000000000001</v>
      </c>
      <c r="X39" s="719"/>
      <c r="Y39" s="719"/>
      <c r="Z39" s="719"/>
      <c r="AA39" s="719"/>
      <c r="AB39" s="719"/>
      <c r="AC39" s="719" t="s">
        <v>2612</v>
      </c>
      <c r="AD39" s="719"/>
      <c r="AE39" s="719"/>
      <c r="AF39" s="719">
        <v>300</v>
      </c>
      <c r="AG39" s="789">
        <v>31325.03</v>
      </c>
      <c r="AH39" s="719">
        <v>1479</v>
      </c>
      <c r="AI39" s="719">
        <v>-4978</v>
      </c>
      <c r="AJ39" s="719"/>
      <c r="AK39" s="719"/>
      <c r="AL39" s="719"/>
      <c r="AM39" s="719" t="s">
        <v>2608</v>
      </c>
      <c r="AN39" s="719">
        <v>5.25</v>
      </c>
      <c r="AO39" s="719"/>
      <c r="AP39" s="719"/>
      <c r="AQ39" s="724"/>
      <c r="AR39" s="724"/>
      <c r="AS39" s="724"/>
      <c r="AT39" s="724">
        <f>+ab($T$39,$T$37,$T$41,$G$38,$G$40, 1*$F$39,1200)</f>
        <v>-14.857209677718599</v>
      </c>
      <c r="AU39" s="724"/>
      <c r="AV39" s="724"/>
      <c r="AW39" s="719"/>
      <c r="AX39" s="719"/>
      <c r="AY39" s="719"/>
      <c r="AZ39" s="532"/>
      <c r="BB39" s="1284" t="s">
        <v>1040</v>
      </c>
      <c r="BC39" s="1285" t="s">
        <v>947</v>
      </c>
      <c r="BD39" s="1301"/>
      <c r="BE39" s="1284" t="s">
        <v>2216</v>
      </c>
      <c r="BF39" s="1285" t="s">
        <v>2453</v>
      </c>
      <c r="BH39" s="519"/>
    </row>
    <row r="40" spans="1:64" ht="15.75" hidden="1" customHeight="1">
      <c r="A40" s="716"/>
      <c r="B40" s="717"/>
      <c r="C40" s="789"/>
      <c r="D40" s="719"/>
      <c r="E40" s="719"/>
      <c r="F40" s="720"/>
      <c r="G40" s="721">
        <v>48</v>
      </c>
      <c r="H40" s="719"/>
      <c r="I40" s="726"/>
      <c r="J40" s="718"/>
      <c r="K40" s="719"/>
      <c r="L40" s="719"/>
      <c r="M40" s="719"/>
      <c r="N40" s="726"/>
      <c r="O40" s="726"/>
      <c r="P40" s="726"/>
      <c r="Q40" s="719"/>
      <c r="R40" s="719"/>
      <c r="S40" s="719">
        <f t="shared" ref="S40" si="8">AG41-AG39</f>
        <v>49.940000000002328</v>
      </c>
      <c r="T40" s="719"/>
      <c r="U40" s="719"/>
      <c r="V40" s="719"/>
      <c r="W40" s="719"/>
      <c r="X40" s="719"/>
      <c r="Y40" s="719"/>
      <c r="Z40" s="719"/>
      <c r="AA40" s="719"/>
      <c r="AB40" s="719"/>
      <c r="AC40" s="719"/>
      <c r="AD40" s="719"/>
      <c r="AE40" s="719"/>
      <c r="AF40" s="719"/>
      <c r="AG40" s="789"/>
      <c r="AH40" s="719"/>
      <c r="AI40" s="719"/>
      <c r="AJ40" s="719"/>
      <c r="AK40" s="719"/>
      <c r="AL40" s="719"/>
      <c r="AM40" s="719"/>
      <c r="AN40" s="719"/>
      <c r="AO40" s="719"/>
      <c r="AP40" s="719"/>
      <c r="AQ40" s="724">
        <f>+FL_2($T$41,$T$39,$G$40,1200,9.28, 1*$F$41)</f>
        <v>-0.35071935198854653</v>
      </c>
      <c r="AR40" s="724"/>
      <c r="AS40" s="724"/>
      <c r="AT40" s="724"/>
      <c r="AU40" s="724"/>
      <c r="AV40" s="724"/>
      <c r="AW40" s="719"/>
      <c r="AX40" s="719"/>
      <c r="AY40" s="719"/>
      <c r="AZ40" s="532"/>
      <c r="BB40" s="1284" t="s">
        <v>3050</v>
      </c>
      <c r="BC40" s="1285" t="s">
        <v>2831</v>
      </c>
      <c r="BD40" s="1301"/>
      <c r="BE40" s="1284" t="s">
        <v>2217</v>
      </c>
      <c r="BF40" s="1285" t="s">
        <v>2456</v>
      </c>
      <c r="BH40" s="519"/>
    </row>
    <row r="41" spans="1:64" ht="15.75" hidden="1" customHeight="1">
      <c r="A41" s="716" t="s">
        <v>676</v>
      </c>
      <c r="B41" s="717" t="s">
        <v>1681</v>
      </c>
      <c r="C41" s="789">
        <f>+$C$39+$G$40</f>
        <v>31373</v>
      </c>
      <c r="D41" s="719"/>
      <c r="E41" s="719">
        <v>-50</v>
      </c>
      <c r="F41" s="720">
        <v>-4000</v>
      </c>
      <c r="G41" s="721"/>
      <c r="H41" s="719"/>
      <c r="I41" s="726"/>
      <c r="J41" s="718"/>
      <c r="K41" s="719"/>
      <c r="L41" s="719" t="s">
        <v>241</v>
      </c>
      <c r="M41" s="719"/>
      <c r="N41" s="726" t="s">
        <v>695</v>
      </c>
      <c r="O41" s="726"/>
      <c r="P41" s="726"/>
      <c r="Q41" s="719">
        <v>-51</v>
      </c>
      <c r="R41" s="719">
        <v>-4000</v>
      </c>
      <c r="S41" s="719"/>
      <c r="T41" s="719">
        <v>-20</v>
      </c>
      <c r="U41" s="719"/>
      <c r="V41" s="719"/>
      <c r="W41" s="719">
        <v>1.1000000000000001</v>
      </c>
      <c r="X41" s="719"/>
      <c r="Y41" s="719"/>
      <c r="Z41" s="719"/>
      <c r="AA41" s="719"/>
      <c r="AB41" s="719"/>
      <c r="AC41" s="719" t="s">
        <v>2612</v>
      </c>
      <c r="AD41" s="719"/>
      <c r="AE41" s="719"/>
      <c r="AF41" s="719">
        <v>300</v>
      </c>
      <c r="AG41" s="789">
        <v>31374.97</v>
      </c>
      <c r="AH41" s="719">
        <v>1511</v>
      </c>
      <c r="AI41" s="719">
        <v>-4938</v>
      </c>
      <c r="AJ41" s="719"/>
      <c r="AK41" s="719"/>
      <c r="AL41" s="719"/>
      <c r="AM41" s="719" t="s">
        <v>2608</v>
      </c>
      <c r="AN41" s="719">
        <v>5.25</v>
      </c>
      <c r="AO41" s="719"/>
      <c r="AP41" s="719"/>
      <c r="AQ41" s="724"/>
      <c r="AR41" s="724"/>
      <c r="AS41" s="724"/>
      <c r="AT41" s="724">
        <f>+ab($T$41,$T$39,$T$43,$G$40,$G$42, 1*$F$41,1200)</f>
        <v>-14.999117131444221</v>
      </c>
      <c r="AU41" s="724"/>
      <c r="AV41" s="724"/>
      <c r="AW41" s="719"/>
      <c r="AX41" s="719"/>
      <c r="AY41" s="719"/>
      <c r="AZ41" s="532"/>
      <c r="BB41" s="1284" t="s">
        <v>3051</v>
      </c>
      <c r="BC41" s="1285" t="s">
        <v>2827</v>
      </c>
      <c r="BD41" s="1301"/>
      <c r="BE41" s="1284" t="s">
        <v>2213</v>
      </c>
      <c r="BF41" s="1285" t="s">
        <v>985</v>
      </c>
    </row>
    <row r="42" spans="1:64" ht="15.75" hidden="1" customHeight="1">
      <c r="A42" s="716"/>
      <c r="B42" s="717"/>
      <c r="C42" s="789"/>
      <c r="D42" s="719"/>
      <c r="E42" s="719"/>
      <c r="F42" s="720"/>
      <c r="G42" s="721">
        <v>52</v>
      </c>
      <c r="H42" s="719"/>
      <c r="I42" s="726"/>
      <c r="J42" s="718"/>
      <c r="K42" s="719"/>
      <c r="L42" s="719"/>
      <c r="M42" s="719"/>
      <c r="N42" s="726"/>
      <c r="O42" s="726"/>
      <c r="P42" s="726"/>
      <c r="Q42" s="719"/>
      <c r="R42" s="719"/>
      <c r="S42" s="719">
        <f t="shared" ref="S42" si="9">AG43-AG41</f>
        <v>50.009999999998399</v>
      </c>
      <c r="T42" s="719"/>
      <c r="U42" s="719"/>
      <c r="V42" s="719"/>
      <c r="W42" s="719"/>
      <c r="X42" s="719"/>
      <c r="Y42" s="719"/>
      <c r="Z42" s="719"/>
      <c r="AA42" s="719"/>
      <c r="AB42" s="719"/>
      <c r="AC42" s="719"/>
      <c r="AD42" s="719"/>
      <c r="AE42" s="719"/>
      <c r="AF42" s="719"/>
      <c r="AG42" s="789"/>
      <c r="AH42" s="719"/>
      <c r="AI42" s="719"/>
      <c r="AJ42" s="719"/>
      <c r="AK42" s="719"/>
      <c r="AL42" s="719"/>
      <c r="AM42" s="719"/>
      <c r="AN42" s="719"/>
      <c r="AO42" s="719"/>
      <c r="AP42" s="719"/>
      <c r="AQ42" s="724">
        <f>+FL_2($T$43,$T$41,$G$42,1200,9.28, 1*$F$43)</f>
        <v>-0.37688577411637142</v>
      </c>
      <c r="AR42" s="724"/>
      <c r="AS42" s="724"/>
      <c r="AT42" s="724"/>
      <c r="AU42" s="724"/>
      <c r="AV42" s="724"/>
      <c r="AW42" s="719"/>
      <c r="AX42" s="719"/>
      <c r="AY42" s="719"/>
      <c r="AZ42" s="532"/>
      <c r="BB42" s="1284" t="s">
        <v>3052</v>
      </c>
      <c r="BC42" s="1285" t="s">
        <v>2828</v>
      </c>
      <c r="BD42" s="1301"/>
      <c r="BE42" s="1284" t="s">
        <v>3053</v>
      </c>
      <c r="BF42" s="1285" t="s">
        <v>3054</v>
      </c>
    </row>
    <row r="43" spans="1:64" ht="15.75" hidden="1" customHeight="1">
      <c r="A43" s="716" t="s">
        <v>676</v>
      </c>
      <c r="B43" s="717" t="s">
        <v>1682</v>
      </c>
      <c r="C43" s="789">
        <f>+$C$41+$G$42</f>
        <v>31425</v>
      </c>
      <c r="D43" s="719"/>
      <c r="E43" s="719">
        <v>-50</v>
      </c>
      <c r="F43" s="720">
        <v>-4000</v>
      </c>
      <c r="G43" s="721"/>
      <c r="H43" s="719"/>
      <c r="I43" s="726"/>
      <c r="J43" s="718"/>
      <c r="K43" s="719"/>
      <c r="L43" s="719" t="s">
        <v>241</v>
      </c>
      <c r="M43" s="719"/>
      <c r="N43" s="726" t="s">
        <v>695</v>
      </c>
      <c r="O43" s="726"/>
      <c r="P43" s="726"/>
      <c r="Q43" s="719">
        <v>-44</v>
      </c>
      <c r="R43" s="719">
        <v>-4482.79</v>
      </c>
      <c r="S43" s="719"/>
      <c r="T43" s="719">
        <v>-20</v>
      </c>
      <c r="U43" s="719"/>
      <c r="V43" s="719"/>
      <c r="W43" s="719">
        <v>1.1000000000000001</v>
      </c>
      <c r="X43" s="719"/>
      <c r="Y43" s="719"/>
      <c r="Z43" s="719"/>
      <c r="AA43" s="719"/>
      <c r="AB43" s="719"/>
      <c r="AC43" s="719" t="s">
        <v>2614</v>
      </c>
      <c r="AD43" s="719"/>
      <c r="AE43" s="719"/>
      <c r="AF43" s="719">
        <v>300</v>
      </c>
      <c r="AG43" s="789">
        <v>31424.98</v>
      </c>
      <c r="AH43" s="719">
        <v>1510</v>
      </c>
      <c r="AI43" s="719">
        <v>-4937</v>
      </c>
      <c r="AJ43" s="719"/>
      <c r="AK43" s="719"/>
      <c r="AL43" s="719"/>
      <c r="AM43" s="719" t="s">
        <v>2608</v>
      </c>
      <c r="AN43" s="719">
        <v>5.25</v>
      </c>
      <c r="AO43" s="719"/>
      <c r="AP43" s="719"/>
      <c r="AQ43" s="724"/>
      <c r="AR43" s="724"/>
      <c r="AS43" s="724"/>
      <c r="AT43" s="724">
        <f>+ab($T$43,$T$41,$T$45,$G$42,$G$44, 1*$F$43,1200)</f>
        <v>-8.374687828832263</v>
      </c>
      <c r="AU43" s="724"/>
      <c r="AV43" s="724"/>
      <c r="AW43" s="719"/>
      <c r="AX43" s="719"/>
      <c r="AY43" s="719"/>
      <c r="AZ43" s="532"/>
      <c r="BB43" s="1284" t="s">
        <v>1083</v>
      </c>
      <c r="BC43" s="1285" t="s">
        <v>2051</v>
      </c>
      <c r="BD43" s="1301"/>
      <c r="BE43" s="1284"/>
      <c r="BF43" s="1285"/>
    </row>
    <row r="44" spans="1:64" ht="15.75" hidden="1" customHeight="1">
      <c r="A44" s="716"/>
      <c r="B44" s="717"/>
      <c r="C44" s="789"/>
      <c r="D44" s="719"/>
      <c r="E44" s="719"/>
      <c r="F44" s="720"/>
      <c r="G44" s="721">
        <v>50</v>
      </c>
      <c r="H44" s="719"/>
      <c r="I44" s="726"/>
      <c r="J44" s="718"/>
      <c r="K44" s="719"/>
      <c r="L44" s="719"/>
      <c r="M44" s="719"/>
      <c r="N44" s="726"/>
      <c r="O44" s="726"/>
      <c r="P44" s="726"/>
      <c r="Q44" s="719"/>
      <c r="R44" s="719"/>
      <c r="S44" s="719">
        <f t="shared" ref="S44" si="10">AG45-AG43</f>
        <v>50.069999999999709</v>
      </c>
      <c r="T44" s="719"/>
      <c r="U44" s="719"/>
      <c r="V44" s="719"/>
      <c r="W44" s="719"/>
      <c r="X44" s="719"/>
      <c r="Y44" s="719"/>
      <c r="Z44" s="719"/>
      <c r="AA44" s="719"/>
      <c r="AB44" s="719"/>
      <c r="AC44" s="719"/>
      <c r="AD44" s="719"/>
      <c r="AE44" s="719"/>
      <c r="AF44" s="719"/>
      <c r="AG44" s="789"/>
      <c r="AH44" s="719"/>
      <c r="AI44" s="719"/>
      <c r="AJ44" s="719"/>
      <c r="AK44" s="719"/>
      <c r="AL44" s="719"/>
      <c r="AM44" s="719"/>
      <c r="AN44" s="719"/>
      <c r="AO44" s="719"/>
      <c r="AP44" s="719"/>
      <c r="AQ44" s="724">
        <f>+FL_1($T$45,$T$43,$G$44,1200,9.28, 1*$F$45)</f>
        <v>0.38326698643198109</v>
      </c>
      <c r="AR44" s="724"/>
      <c r="AS44" s="724"/>
      <c r="AT44" s="724"/>
      <c r="AU44" s="724"/>
      <c r="AV44" s="724"/>
      <c r="AW44" s="719"/>
      <c r="AX44" s="719"/>
      <c r="AY44" s="719"/>
      <c r="AZ44" s="532"/>
      <c r="BB44" s="1284" t="s">
        <v>1086</v>
      </c>
      <c r="BC44" s="1285" t="s">
        <v>2050</v>
      </c>
      <c r="BD44" s="1301"/>
      <c r="BE44" s="1284" t="s">
        <v>1050</v>
      </c>
      <c r="BF44" s="1285" t="s">
        <v>1009</v>
      </c>
    </row>
    <row r="45" spans="1:64" ht="15.75" hidden="1" customHeight="1">
      <c r="A45" s="716" t="s">
        <v>676</v>
      </c>
      <c r="B45" s="717" t="s">
        <v>1683</v>
      </c>
      <c r="C45" s="789">
        <f>+$C$43+$G$44</f>
        <v>31475</v>
      </c>
      <c r="D45" s="719"/>
      <c r="E45" s="719"/>
      <c r="F45" s="720">
        <f>-560000/(31538-C45)</f>
        <v>-8888.8888888888887</v>
      </c>
      <c r="G45" s="721"/>
      <c r="H45" s="719"/>
      <c r="I45" s="726"/>
      <c r="J45" s="718"/>
      <c r="K45" s="719"/>
      <c r="L45" s="719" t="s">
        <v>241</v>
      </c>
      <c r="M45" s="719"/>
      <c r="N45" s="726" t="s">
        <v>696</v>
      </c>
      <c r="O45" s="726"/>
      <c r="P45" s="726"/>
      <c r="Q45" s="719">
        <v>-31</v>
      </c>
      <c r="R45" s="719">
        <f>-7481-42</f>
        <v>-7523</v>
      </c>
      <c r="S45" s="719"/>
      <c r="T45" s="719">
        <v>30</v>
      </c>
      <c r="U45" s="719"/>
      <c r="V45" s="719"/>
      <c r="W45" s="719">
        <v>1.1000000000000001</v>
      </c>
      <c r="X45" s="719"/>
      <c r="Y45" s="719"/>
      <c r="Z45" s="719"/>
      <c r="AA45" s="719"/>
      <c r="AB45" s="719"/>
      <c r="AC45" s="719" t="s">
        <v>2612</v>
      </c>
      <c r="AD45" s="719"/>
      <c r="AE45" s="719"/>
      <c r="AF45" s="719">
        <v>300</v>
      </c>
      <c r="AG45" s="789">
        <v>31475.05</v>
      </c>
      <c r="AH45" s="719">
        <v>1496</v>
      </c>
      <c r="AI45" s="719">
        <v>-4940</v>
      </c>
      <c r="AJ45" s="719"/>
      <c r="AK45" s="719"/>
      <c r="AL45" s="719"/>
      <c r="AM45" s="719" t="s">
        <v>2608</v>
      </c>
      <c r="AN45" s="719">
        <v>5.25</v>
      </c>
      <c r="AO45" s="719"/>
      <c r="AP45" s="719"/>
      <c r="AQ45" s="724"/>
      <c r="AR45" s="724"/>
      <c r="AS45" s="724"/>
      <c r="AT45" s="724">
        <f>+ab($T$45,$T$43,$T$47,$G$44,$G$46, 1*$F$45,1200)</f>
        <v>11.559213258933491</v>
      </c>
      <c r="AU45" s="724"/>
      <c r="AV45" s="724"/>
      <c r="AW45" s="719"/>
      <c r="AX45" s="719"/>
      <c r="AY45" s="719"/>
      <c r="AZ45" s="532"/>
      <c r="BB45" s="1284" t="s">
        <v>1084</v>
      </c>
      <c r="BC45" s="1285" t="s">
        <v>2052</v>
      </c>
      <c r="BD45" s="1301"/>
      <c r="BE45" s="1284" t="s">
        <v>1051</v>
      </c>
      <c r="BF45" s="1285" t="s">
        <v>1048</v>
      </c>
    </row>
    <row r="46" spans="1:64" ht="15.75" hidden="1" customHeight="1">
      <c r="A46" s="716"/>
      <c r="B46" s="717"/>
      <c r="C46" s="789"/>
      <c r="D46" s="719"/>
      <c r="E46" s="719"/>
      <c r="F46" s="720"/>
      <c r="G46" s="721">
        <v>50</v>
      </c>
      <c r="H46" s="719"/>
      <c r="I46" s="726"/>
      <c r="J46" s="718"/>
      <c r="K46" s="719"/>
      <c r="L46" s="719"/>
      <c r="M46" s="719"/>
      <c r="N46" s="726"/>
      <c r="O46" s="726"/>
      <c r="P46" s="726"/>
      <c r="Q46" s="719"/>
      <c r="R46" s="719"/>
      <c r="S46" s="719">
        <f t="shared" ref="S46" si="11">AG47-AG45</f>
        <v>49.930000000000291</v>
      </c>
      <c r="T46" s="719"/>
      <c r="U46" s="719"/>
      <c r="V46" s="719"/>
      <c r="W46" s="719"/>
      <c r="X46" s="719"/>
      <c r="Y46" s="719"/>
      <c r="Z46" s="719"/>
      <c r="AA46" s="719"/>
      <c r="AB46" s="719"/>
      <c r="AC46" s="719"/>
      <c r="AD46" s="719"/>
      <c r="AE46" s="719"/>
      <c r="AF46" s="719"/>
      <c r="AG46" s="789"/>
      <c r="AH46" s="719"/>
      <c r="AI46" s="719"/>
      <c r="AJ46" s="719"/>
      <c r="AK46" s="719"/>
      <c r="AL46" s="719"/>
      <c r="AM46" s="719"/>
      <c r="AN46" s="719"/>
      <c r="AO46" s="719"/>
      <c r="AP46" s="719"/>
      <c r="AQ46" s="724">
        <f>+FL_1($T$47,$T$45,$G$46,1200,9.28, 1*$F$47)</f>
        <v>0.33477011200000012</v>
      </c>
      <c r="AR46" s="724"/>
      <c r="AS46" s="724"/>
      <c r="AT46" s="724"/>
      <c r="AU46" s="724"/>
      <c r="AV46" s="724"/>
      <c r="AW46" s="719"/>
      <c r="AX46" s="719"/>
      <c r="AY46" s="719"/>
      <c r="AZ46" s="532"/>
      <c r="BB46" s="1284" t="s">
        <v>1085</v>
      </c>
      <c r="BC46" s="1285" t="s">
        <v>2053</v>
      </c>
      <c r="BD46" s="1301"/>
      <c r="BE46" s="1284" t="s">
        <v>1052</v>
      </c>
      <c r="BF46" s="1285" t="s">
        <v>1003</v>
      </c>
    </row>
    <row r="47" spans="1:64" ht="15.75" hidden="1" customHeight="1">
      <c r="A47" s="716" t="s">
        <v>676</v>
      </c>
      <c r="B47" s="717" t="s">
        <v>1684</v>
      </c>
      <c r="C47" s="789">
        <f>+$C$45+$G$46</f>
        <v>31525</v>
      </c>
      <c r="D47" s="719"/>
      <c r="E47" s="719"/>
      <c r="F47" s="720">
        <v>0</v>
      </c>
      <c r="G47" s="721"/>
      <c r="H47" s="719" t="s">
        <v>138</v>
      </c>
      <c r="I47" s="726" t="s">
        <v>948</v>
      </c>
      <c r="J47" s="718"/>
      <c r="K47" s="719"/>
      <c r="L47" s="719" t="s">
        <v>241</v>
      </c>
      <c r="M47" s="719"/>
      <c r="N47" s="726" t="s">
        <v>695</v>
      </c>
      <c r="O47" s="726"/>
      <c r="P47" s="726"/>
      <c r="Q47" s="719">
        <v>-8</v>
      </c>
      <c r="R47" s="719">
        <v>-22470.080000000002</v>
      </c>
      <c r="S47" s="719"/>
      <c r="T47" s="719">
        <v>-30</v>
      </c>
      <c r="U47" s="719"/>
      <c r="V47" s="719"/>
      <c r="W47" s="719">
        <v>1.1000000000000001</v>
      </c>
      <c r="X47" s="719"/>
      <c r="Y47" s="719"/>
      <c r="Z47" s="719"/>
      <c r="AA47" s="719"/>
      <c r="AB47" s="719"/>
      <c r="AC47" s="719" t="s">
        <v>2612</v>
      </c>
      <c r="AD47" s="719"/>
      <c r="AE47" s="719"/>
      <c r="AF47" s="719">
        <v>300</v>
      </c>
      <c r="AG47" s="789">
        <v>31524.98</v>
      </c>
      <c r="AH47" s="719">
        <v>1513</v>
      </c>
      <c r="AI47" s="719">
        <v>-4940</v>
      </c>
      <c r="AJ47" s="719"/>
      <c r="AK47" s="719"/>
      <c r="AL47" s="719"/>
      <c r="AM47" s="719" t="s">
        <v>2608</v>
      </c>
      <c r="AN47" s="719">
        <v>5.25</v>
      </c>
      <c r="AO47" s="719"/>
      <c r="AP47" s="719"/>
      <c r="AQ47" s="724"/>
      <c r="AR47" s="724"/>
      <c r="AS47" s="724"/>
      <c r="AT47" s="724">
        <f>+ab($T$47,$T$45,$T$49,$G$46,$G$48, 1*$F$47,1200)</f>
        <v>-8.2849467556123688</v>
      </c>
      <c r="AU47" s="724"/>
      <c r="AV47" s="724"/>
      <c r="AW47" s="719"/>
      <c r="AX47" s="719"/>
      <c r="AY47" s="719"/>
      <c r="AZ47" s="532"/>
      <c r="BB47" s="1284" t="s">
        <v>1087</v>
      </c>
      <c r="BC47" s="1285" t="s">
        <v>1046</v>
      </c>
      <c r="BD47" s="1301"/>
      <c r="BE47" s="1284" t="s">
        <v>1053</v>
      </c>
      <c r="BF47" s="1285" t="s">
        <v>1013</v>
      </c>
    </row>
    <row r="48" spans="1:64" ht="15.75" hidden="1" customHeight="1">
      <c r="A48" s="716"/>
      <c r="B48" s="717"/>
      <c r="C48" s="789"/>
      <c r="D48" s="719"/>
      <c r="E48" s="719"/>
      <c r="F48" s="720"/>
      <c r="G48" s="721">
        <v>50</v>
      </c>
      <c r="H48" s="719"/>
      <c r="I48" s="726"/>
      <c r="J48" s="718">
        <f>C47+10</f>
        <v>31535</v>
      </c>
      <c r="K48" s="719" t="s">
        <v>1097</v>
      </c>
      <c r="L48" s="719"/>
      <c r="M48" s="719"/>
      <c r="N48" s="726"/>
      <c r="O48" s="726"/>
      <c r="P48" s="726"/>
      <c r="Q48" s="719"/>
      <c r="R48" s="719"/>
      <c r="S48" s="719">
        <f t="shared" ref="S48" si="12">AG49-AG47</f>
        <v>49.990000000001601</v>
      </c>
      <c r="T48" s="719"/>
      <c r="U48" s="719"/>
      <c r="V48" s="719"/>
      <c r="W48" s="719"/>
      <c r="X48" s="719"/>
      <c r="Y48" s="719"/>
      <c r="Z48" s="719"/>
      <c r="AA48" s="719"/>
      <c r="AB48" s="719"/>
      <c r="AC48" s="719"/>
      <c r="AD48" s="719"/>
      <c r="AE48" s="719"/>
      <c r="AF48" s="719"/>
      <c r="AG48" s="789"/>
      <c r="AH48" s="719"/>
      <c r="AI48" s="719"/>
      <c r="AJ48" s="719"/>
      <c r="AK48" s="719"/>
      <c r="AL48" s="719"/>
      <c r="AM48" s="719"/>
      <c r="AN48" s="719"/>
      <c r="AO48" s="719"/>
      <c r="AP48" s="719"/>
      <c r="AQ48" s="724">
        <f>+FL_2($U$49,$T$47,$G$48,1200,9.28, 1*$F$49)</f>
        <v>-0.39834769999999992</v>
      </c>
      <c r="AR48" s="724"/>
      <c r="AS48" s="724"/>
      <c r="AT48" s="724"/>
      <c r="AU48" s="724"/>
      <c r="AV48" s="724"/>
      <c r="AW48" s="719"/>
      <c r="AX48" s="719"/>
      <c r="AY48" s="719"/>
      <c r="AZ48" s="532"/>
      <c r="BB48" s="1284" t="s">
        <v>2644</v>
      </c>
      <c r="BC48" s="1285" t="s">
        <v>2645</v>
      </c>
      <c r="BD48" s="1301"/>
      <c r="BE48" s="1284" t="s">
        <v>1054</v>
      </c>
      <c r="BF48" s="1285" t="s">
        <v>1007</v>
      </c>
    </row>
    <row r="49" spans="1:58" ht="15.75" hidden="1" customHeight="1">
      <c r="A49" s="716" t="s">
        <v>676</v>
      </c>
      <c r="B49" s="717" t="s">
        <v>1685</v>
      </c>
      <c r="C49" s="789">
        <f>+$C$47+$G$48</f>
        <v>31575</v>
      </c>
      <c r="D49" s="719"/>
      <c r="E49" s="719"/>
      <c r="F49" s="720">
        <v>0</v>
      </c>
      <c r="G49" s="721"/>
      <c r="H49" s="719" t="s">
        <v>668</v>
      </c>
      <c r="I49" s="726"/>
      <c r="J49" s="718"/>
      <c r="K49" s="719"/>
      <c r="L49" s="719" t="s">
        <v>465</v>
      </c>
      <c r="M49" s="719"/>
      <c r="N49" s="726" t="s">
        <v>697</v>
      </c>
      <c r="O49" s="726" t="s">
        <v>696</v>
      </c>
      <c r="P49" s="726"/>
      <c r="Q49" s="719">
        <v>-5</v>
      </c>
      <c r="R49" s="719">
        <v>0</v>
      </c>
      <c r="S49" s="719"/>
      <c r="T49" s="719">
        <v>25</v>
      </c>
      <c r="U49" s="719">
        <v>5</v>
      </c>
      <c r="V49" s="719"/>
      <c r="W49" s="719">
        <v>1.1000000000000001</v>
      </c>
      <c r="X49" s="719">
        <v>1.2</v>
      </c>
      <c r="Y49" s="719"/>
      <c r="Z49" s="719">
        <v>0.45</v>
      </c>
      <c r="AA49" s="719"/>
      <c r="AB49" s="719"/>
      <c r="AC49" s="719"/>
      <c r="AD49" s="719" t="s">
        <v>2614</v>
      </c>
      <c r="AE49" s="719"/>
      <c r="AF49" s="719">
        <v>300</v>
      </c>
      <c r="AG49" s="789">
        <v>31574.97</v>
      </c>
      <c r="AH49" s="719">
        <v>1479</v>
      </c>
      <c r="AI49" s="719">
        <v>-4992</v>
      </c>
      <c r="AJ49" s="719"/>
      <c r="AK49" s="719"/>
      <c r="AL49" s="719"/>
      <c r="AM49" s="719" t="s">
        <v>2608</v>
      </c>
      <c r="AN49" s="719">
        <v>5.25</v>
      </c>
      <c r="AO49" s="719"/>
      <c r="AP49" s="719"/>
      <c r="AQ49" s="724"/>
      <c r="AR49" s="724"/>
      <c r="AS49" s="724"/>
      <c r="AT49" s="724">
        <f>+ab($U$49,$T$47,$U$51,$G$48,$G$50, 1*$F$49,1200)</f>
        <v>14.446766725215634</v>
      </c>
      <c r="AU49" s="724"/>
      <c r="AV49" s="724"/>
      <c r="AW49" s="719"/>
      <c r="AX49" s="719"/>
      <c r="AY49" s="719"/>
      <c r="AZ49" s="532"/>
      <c r="BB49" s="1284"/>
      <c r="BC49" s="1285"/>
      <c r="BD49" s="1301"/>
      <c r="BE49" s="1284" t="s">
        <v>1055</v>
      </c>
      <c r="BF49" s="1285" t="s">
        <v>1049</v>
      </c>
    </row>
    <row r="50" spans="1:58" ht="15.75" hidden="1" customHeight="1">
      <c r="A50" s="716"/>
      <c r="B50" s="717"/>
      <c r="C50" s="789"/>
      <c r="D50" s="719"/>
      <c r="E50" s="719"/>
      <c r="F50" s="720"/>
      <c r="G50" s="721">
        <v>50</v>
      </c>
      <c r="H50" s="719"/>
      <c r="I50" s="726"/>
      <c r="J50" s="718"/>
      <c r="K50" s="719"/>
      <c r="L50" s="719"/>
      <c r="M50" s="719"/>
      <c r="N50" s="726"/>
      <c r="O50" s="726"/>
      <c r="P50" s="726"/>
      <c r="Q50" s="719"/>
      <c r="R50" s="719"/>
      <c r="S50" s="719">
        <f t="shared" ref="S50" si="13">AG51-AG49</f>
        <v>50.059999999997672</v>
      </c>
      <c r="T50" s="719"/>
      <c r="U50" s="719"/>
      <c r="V50" s="719"/>
      <c r="W50" s="719"/>
      <c r="X50" s="719"/>
      <c r="Y50" s="719"/>
      <c r="Z50" s="719"/>
      <c r="AA50" s="719"/>
      <c r="AB50" s="719"/>
      <c r="AC50" s="719"/>
      <c r="AD50" s="719"/>
      <c r="AE50" s="719"/>
      <c r="AF50" s="719"/>
      <c r="AG50" s="789"/>
      <c r="AH50" s="719"/>
      <c r="AI50" s="719"/>
      <c r="AJ50" s="719"/>
      <c r="AK50" s="719"/>
      <c r="AL50" s="719"/>
      <c r="AM50" s="719"/>
      <c r="AN50" s="719"/>
      <c r="AO50" s="719"/>
      <c r="AP50" s="719"/>
      <c r="AQ50" s="724">
        <f>+FL_2($T$51,$U$49,$G$50,1200,9.28, 1*$F$51)</f>
        <v>-0.24425286799999996</v>
      </c>
      <c r="AR50" s="724"/>
      <c r="AS50" s="724"/>
      <c r="AT50" s="724"/>
      <c r="AU50" s="724"/>
      <c r="AV50" s="724"/>
      <c r="AW50" s="719"/>
      <c r="AX50" s="719"/>
      <c r="AY50" s="719"/>
      <c r="AZ50" s="532"/>
      <c r="BB50" s="1286" t="s">
        <v>1041</v>
      </c>
      <c r="BC50" s="1287"/>
      <c r="BD50" s="1301"/>
      <c r="BE50" s="1284" t="s">
        <v>1056</v>
      </c>
      <c r="BF50" s="1285" t="s">
        <v>1012</v>
      </c>
    </row>
    <row r="51" spans="1:58" ht="15.75" hidden="1" customHeight="1">
      <c r="A51" s="716" t="s">
        <v>676</v>
      </c>
      <c r="B51" s="717" t="s">
        <v>1686</v>
      </c>
      <c r="C51" s="789">
        <f>+$C$49+$G$50</f>
        <v>31625</v>
      </c>
      <c r="D51" s="719"/>
      <c r="E51" s="719"/>
      <c r="F51" s="720">
        <v>0</v>
      </c>
      <c r="G51" s="721"/>
      <c r="H51" s="719" t="s">
        <v>668</v>
      </c>
      <c r="I51" s="726"/>
      <c r="J51" s="718"/>
      <c r="K51" s="719"/>
      <c r="L51" s="719" t="s">
        <v>465</v>
      </c>
      <c r="M51" s="719"/>
      <c r="N51" s="726" t="s">
        <v>695</v>
      </c>
      <c r="O51" s="726" t="s">
        <v>697</v>
      </c>
      <c r="P51" s="726"/>
      <c r="Q51" s="719">
        <v>-3</v>
      </c>
      <c r="R51" s="719">
        <v>0</v>
      </c>
      <c r="S51" s="719"/>
      <c r="T51" s="719">
        <v>-5</v>
      </c>
      <c r="U51" s="719">
        <v>-25</v>
      </c>
      <c r="V51" s="719"/>
      <c r="W51" s="719">
        <v>1.1000000000000001</v>
      </c>
      <c r="X51" s="719">
        <v>1.2</v>
      </c>
      <c r="Y51" s="719"/>
      <c r="Z51" s="719"/>
      <c r="AA51" s="719">
        <v>0.45</v>
      </c>
      <c r="AB51" s="719"/>
      <c r="AC51" s="719" t="s">
        <v>2612</v>
      </c>
      <c r="AD51" s="719"/>
      <c r="AE51" s="719"/>
      <c r="AF51" s="719">
        <v>300</v>
      </c>
      <c r="AG51" s="789">
        <v>31625.03</v>
      </c>
      <c r="AH51" s="719">
        <v>1493</v>
      </c>
      <c r="AI51" s="719">
        <v>-4979</v>
      </c>
      <c r="AJ51" s="719"/>
      <c r="AK51" s="719"/>
      <c r="AL51" s="719"/>
      <c r="AM51" s="719" t="s">
        <v>2608</v>
      </c>
      <c r="AN51" s="719">
        <v>5.25</v>
      </c>
      <c r="AO51" s="719"/>
      <c r="AP51" s="719"/>
      <c r="AQ51" s="724"/>
      <c r="AR51" s="724"/>
      <c r="AS51" s="724"/>
      <c r="AT51" s="724">
        <f>+ab($T$51,$T$49,$T$53,$G$50,$G$52, 1*$F$51,1200)</f>
        <v>-14.446873203935258</v>
      </c>
      <c r="AU51" s="724"/>
      <c r="AV51" s="724"/>
      <c r="AW51" s="719"/>
      <c r="AX51" s="719"/>
      <c r="AY51" s="719"/>
      <c r="AZ51" s="532"/>
      <c r="BB51" s="1284" t="s">
        <v>1088</v>
      </c>
      <c r="BC51" s="1285"/>
      <c r="BD51" s="1301"/>
      <c r="BE51" s="1284"/>
      <c r="BF51" s="1285"/>
    </row>
    <row r="52" spans="1:58" ht="15.75" hidden="1" customHeight="1">
      <c r="A52" s="716"/>
      <c r="B52" s="717"/>
      <c r="C52" s="789"/>
      <c r="D52" s="719"/>
      <c r="E52" s="719"/>
      <c r="F52" s="720"/>
      <c r="G52" s="721">
        <v>50</v>
      </c>
      <c r="H52" s="719"/>
      <c r="I52" s="726"/>
      <c r="J52" s="718">
        <f>C53-10</f>
        <v>31665</v>
      </c>
      <c r="K52" s="719" t="s">
        <v>1097</v>
      </c>
      <c r="L52" s="719"/>
      <c r="M52" s="719"/>
      <c r="N52" s="726"/>
      <c r="O52" s="726"/>
      <c r="P52" s="726"/>
      <c r="Q52" s="719"/>
      <c r="R52" s="719"/>
      <c r="S52" s="719">
        <f t="shared" ref="S52" si="14">AG53-AG51</f>
        <v>49.979999999999563</v>
      </c>
      <c r="T52" s="719"/>
      <c r="U52" s="719"/>
      <c r="V52" s="719"/>
      <c r="W52" s="719"/>
      <c r="X52" s="719"/>
      <c r="Y52" s="719"/>
      <c r="Z52" s="719"/>
      <c r="AA52" s="719"/>
      <c r="AB52" s="719"/>
      <c r="AC52" s="719"/>
      <c r="AD52" s="719"/>
      <c r="AE52" s="719"/>
      <c r="AF52" s="719"/>
      <c r="AG52" s="789"/>
      <c r="AH52" s="719"/>
      <c r="AI52" s="719"/>
      <c r="AJ52" s="719"/>
      <c r="AK52" s="719"/>
      <c r="AL52" s="719"/>
      <c r="AM52" s="719"/>
      <c r="AN52" s="719"/>
      <c r="AO52" s="719"/>
      <c r="AP52" s="719"/>
      <c r="AQ52" s="724">
        <f>+FL_1($T$53,$T$51,$G$52,1200,9.28, 1*$F$53)</f>
        <v>0.39834769999999997</v>
      </c>
      <c r="AR52" s="724"/>
      <c r="AS52" s="724"/>
      <c r="AT52" s="724"/>
      <c r="AU52" s="724"/>
      <c r="AV52" s="724"/>
      <c r="AW52" s="719"/>
      <c r="AX52" s="719"/>
      <c r="AY52" s="719"/>
      <c r="AZ52" s="532"/>
      <c r="BB52" s="1284" t="s">
        <v>3030</v>
      </c>
      <c r="BC52" s="1285" t="s">
        <v>3055</v>
      </c>
      <c r="BD52" s="1301"/>
      <c r="BE52" s="1286" t="s">
        <v>1057</v>
      </c>
      <c r="BF52" s="1287"/>
    </row>
    <row r="53" spans="1:58" ht="15.75" hidden="1" customHeight="1">
      <c r="A53" s="716" t="s">
        <v>676</v>
      </c>
      <c r="B53" s="717" t="s">
        <v>1687</v>
      </c>
      <c r="C53" s="789">
        <f>+$C$51+$G$52</f>
        <v>31675</v>
      </c>
      <c r="D53" s="719"/>
      <c r="E53" s="719"/>
      <c r="F53" s="720">
        <v>0</v>
      </c>
      <c r="G53" s="721"/>
      <c r="H53" s="719" t="s">
        <v>138</v>
      </c>
      <c r="I53" s="726" t="s">
        <v>948</v>
      </c>
      <c r="J53" s="718"/>
      <c r="K53" s="719"/>
      <c r="L53" s="719" t="s">
        <v>241</v>
      </c>
      <c r="M53" s="719"/>
      <c r="N53" s="726" t="s">
        <v>696</v>
      </c>
      <c r="O53" s="726"/>
      <c r="P53" s="726"/>
      <c r="Q53" s="719">
        <v>0</v>
      </c>
      <c r="R53" s="719">
        <v>0</v>
      </c>
      <c r="S53" s="719"/>
      <c r="T53" s="719">
        <v>30</v>
      </c>
      <c r="U53" s="719"/>
      <c r="V53" s="719"/>
      <c r="W53" s="719">
        <v>1.1000000000000001</v>
      </c>
      <c r="X53" s="719"/>
      <c r="Y53" s="719"/>
      <c r="Z53" s="719"/>
      <c r="AA53" s="719"/>
      <c r="AB53" s="719"/>
      <c r="AC53" s="719" t="s">
        <v>2612</v>
      </c>
      <c r="AD53" s="719"/>
      <c r="AE53" s="719"/>
      <c r="AF53" s="719">
        <v>200</v>
      </c>
      <c r="AG53" s="789">
        <v>31675.01</v>
      </c>
      <c r="AH53" s="719">
        <v>1499</v>
      </c>
      <c r="AI53" s="719">
        <v>-4976</v>
      </c>
      <c r="AJ53" s="719"/>
      <c r="AK53" s="719"/>
      <c r="AL53" s="719"/>
      <c r="AM53" s="719" t="s">
        <v>2608</v>
      </c>
      <c r="AN53" s="719">
        <v>5.25</v>
      </c>
      <c r="AO53" s="719"/>
      <c r="AP53" s="719"/>
      <c r="AQ53" s="724"/>
      <c r="AR53" s="724"/>
      <c r="AS53" s="724"/>
      <c r="AT53" s="724">
        <f>+ab($T$53,$T$51,$T$55,$G$52,$G$54, 1*$F$53,1200)</f>
        <v>9.9968917440918084</v>
      </c>
      <c r="AU53" s="724"/>
      <c r="AV53" s="724"/>
      <c r="AW53" s="719"/>
      <c r="AX53" s="719"/>
      <c r="AY53" s="719"/>
      <c r="AZ53" s="532"/>
      <c r="BB53" s="1284" t="s">
        <v>1089</v>
      </c>
      <c r="BC53" s="1285"/>
      <c r="BD53" s="1301"/>
      <c r="BE53" s="1284" t="s">
        <v>1058</v>
      </c>
      <c r="BF53" s="1285" t="s">
        <v>1043</v>
      </c>
    </row>
    <row r="54" spans="1:58" ht="15.75" hidden="1" customHeight="1">
      <c r="A54" s="716"/>
      <c r="B54" s="717"/>
      <c r="C54" s="789"/>
      <c r="D54" s="719"/>
      <c r="E54" s="719"/>
      <c r="F54" s="720"/>
      <c r="G54" s="721">
        <v>50</v>
      </c>
      <c r="H54" s="719"/>
      <c r="I54" s="726"/>
      <c r="J54" s="718"/>
      <c r="K54" s="719"/>
      <c r="L54" s="719"/>
      <c r="M54" s="719"/>
      <c r="N54" s="726"/>
      <c r="O54" s="726"/>
      <c r="P54" s="726"/>
      <c r="Q54" s="719"/>
      <c r="R54" s="719"/>
      <c r="S54" s="719">
        <f t="shared" ref="S54" si="15">AG55-AG53</f>
        <v>49.950000000000728</v>
      </c>
      <c r="T54" s="719"/>
      <c r="U54" s="719"/>
      <c r="V54" s="719"/>
      <c r="W54" s="719"/>
      <c r="X54" s="719"/>
      <c r="Y54" s="719"/>
      <c r="Z54" s="719"/>
      <c r="AA54" s="719"/>
      <c r="AB54" s="719"/>
      <c r="AC54" s="719"/>
      <c r="AD54" s="719"/>
      <c r="AE54" s="719"/>
      <c r="AF54" s="719"/>
      <c r="AG54" s="789"/>
      <c r="AH54" s="719"/>
      <c r="AI54" s="719"/>
      <c r="AJ54" s="719"/>
      <c r="AK54" s="719"/>
      <c r="AL54" s="719"/>
      <c r="AM54" s="719"/>
      <c r="AN54" s="719"/>
      <c r="AO54" s="719"/>
      <c r="AP54" s="719"/>
      <c r="AQ54" s="724">
        <f>+FL_2($T$55,$T$53,$G$54,1200,9.28, 1*$F$55)</f>
        <v>-0.33477011200000001</v>
      </c>
      <c r="AR54" s="724"/>
      <c r="AS54" s="724"/>
      <c r="AT54" s="724"/>
      <c r="AU54" s="724"/>
      <c r="AV54" s="724"/>
      <c r="AW54" s="719"/>
      <c r="AX54" s="719"/>
      <c r="AY54" s="719"/>
      <c r="AZ54" s="532"/>
      <c r="BB54" s="1284" t="s">
        <v>3030</v>
      </c>
      <c r="BC54" s="1285" t="s">
        <v>3056</v>
      </c>
      <c r="BD54" s="1301"/>
      <c r="BE54" s="1284" t="s">
        <v>1059</v>
      </c>
      <c r="BF54" s="1285" t="s">
        <v>3057</v>
      </c>
    </row>
    <row r="55" spans="1:58" ht="15.75" hidden="1" customHeight="1">
      <c r="A55" s="716" t="s">
        <v>676</v>
      </c>
      <c r="B55" s="717" t="s">
        <v>1688</v>
      </c>
      <c r="C55" s="789">
        <f>+$C$53+$G$54</f>
        <v>31725</v>
      </c>
      <c r="D55" s="719"/>
      <c r="E55" s="719"/>
      <c r="F55" s="720">
        <v>0</v>
      </c>
      <c r="G55" s="721"/>
      <c r="H55" s="719"/>
      <c r="I55" s="726"/>
      <c r="J55" s="718"/>
      <c r="K55" s="719"/>
      <c r="L55" s="719" t="s">
        <v>241</v>
      </c>
      <c r="M55" s="719"/>
      <c r="N55" s="726" t="s">
        <v>695</v>
      </c>
      <c r="O55" s="726"/>
      <c r="P55" s="726"/>
      <c r="Q55" s="719">
        <v>0</v>
      </c>
      <c r="R55" s="719">
        <v>0</v>
      </c>
      <c r="S55" s="719"/>
      <c r="T55" s="719">
        <v>-30</v>
      </c>
      <c r="U55" s="719"/>
      <c r="V55" s="719"/>
      <c r="W55" s="719">
        <v>1.1000000000000001</v>
      </c>
      <c r="X55" s="719"/>
      <c r="Y55" s="719"/>
      <c r="Z55" s="719"/>
      <c r="AA55" s="719"/>
      <c r="AB55" s="719"/>
      <c r="AC55" s="719" t="s">
        <v>2977</v>
      </c>
      <c r="AD55" s="719"/>
      <c r="AE55" s="719"/>
      <c r="AF55" s="719">
        <v>200</v>
      </c>
      <c r="AG55" s="789">
        <v>31724.959999999999</v>
      </c>
      <c r="AH55" s="719">
        <v>1496</v>
      </c>
      <c r="AI55" s="719">
        <v>-4957</v>
      </c>
      <c r="AJ55" s="719"/>
      <c r="AK55" s="719"/>
      <c r="AL55" s="719"/>
      <c r="AM55" s="719" t="s">
        <v>2608</v>
      </c>
      <c r="AN55" s="719">
        <v>5.25</v>
      </c>
      <c r="AO55" s="719"/>
      <c r="AP55" s="719"/>
      <c r="AQ55" s="724"/>
      <c r="AR55" s="724"/>
      <c r="AS55" s="724"/>
      <c r="AT55" s="724">
        <f>+ab($T$55,$T$53,$T$57,$G$54,$G$56, 1*$F$55,1200)</f>
        <v>-7.9442410717051439</v>
      </c>
      <c r="AU55" s="724"/>
      <c r="AV55" s="724"/>
      <c r="AW55" s="719"/>
      <c r="AX55" s="719"/>
      <c r="AY55" s="719"/>
      <c r="AZ55" s="532"/>
      <c r="BB55" s="1284" t="s">
        <v>1091</v>
      </c>
      <c r="BC55" s="1285" t="s">
        <v>671</v>
      </c>
      <c r="BD55" s="1279"/>
      <c r="BE55" s="1284" t="s">
        <v>1060</v>
      </c>
      <c r="BF55" s="1285" t="s">
        <v>3058</v>
      </c>
    </row>
    <row r="56" spans="1:58" ht="15.75" hidden="1" customHeight="1">
      <c r="A56" s="716"/>
      <c r="B56" s="717"/>
      <c r="C56" s="789"/>
      <c r="D56" s="719"/>
      <c r="E56" s="719"/>
      <c r="F56" s="720"/>
      <c r="G56" s="721">
        <v>50</v>
      </c>
      <c r="H56" s="719"/>
      <c r="I56" s="726"/>
      <c r="J56" s="718"/>
      <c r="K56" s="719"/>
      <c r="L56" s="719"/>
      <c r="M56" s="719"/>
      <c r="N56" s="726"/>
      <c r="O56" s="726"/>
      <c r="P56" s="726"/>
      <c r="Q56" s="719"/>
      <c r="R56" s="719"/>
      <c r="S56" s="724">
        <f>AG57-AG55</f>
        <v>50.040000000000873</v>
      </c>
      <c r="T56" s="719"/>
      <c r="U56" s="719"/>
      <c r="V56" s="719"/>
      <c r="W56" s="719"/>
      <c r="X56" s="719"/>
      <c r="Y56" s="719"/>
      <c r="Z56" s="719"/>
      <c r="AA56" s="719"/>
      <c r="AB56" s="719"/>
      <c r="AC56" s="719"/>
      <c r="AD56" s="719"/>
      <c r="AE56" s="719"/>
      <c r="AF56" s="719"/>
      <c r="AG56" s="789"/>
      <c r="AH56" s="719"/>
      <c r="AI56" s="719"/>
      <c r="AJ56" s="719"/>
      <c r="AK56" s="719"/>
      <c r="AL56" s="719"/>
      <c r="AM56" s="719"/>
      <c r="AN56" s="719"/>
      <c r="AO56" s="719"/>
      <c r="AP56" s="719"/>
      <c r="AQ56" s="724">
        <f>+FL_1($T$57,$T$55,$G$56,1200,9.28, 1*$F$57)</f>
        <v>0.33477011200000001</v>
      </c>
      <c r="AR56" s="724"/>
      <c r="AS56" s="724"/>
      <c r="AT56" s="724"/>
      <c r="AU56" s="724"/>
      <c r="AV56" s="724"/>
      <c r="AW56" s="719"/>
      <c r="AX56" s="719"/>
      <c r="AY56" s="719"/>
      <c r="AZ56" s="532"/>
      <c r="BB56" s="1284" t="s">
        <v>1090</v>
      </c>
      <c r="BC56" s="1285" t="s">
        <v>678</v>
      </c>
      <c r="BD56" s="1279"/>
      <c r="BE56" s="1284" t="s">
        <v>1061</v>
      </c>
      <c r="BF56" s="1285" t="s">
        <v>141</v>
      </c>
    </row>
    <row r="57" spans="1:58" ht="15.75" hidden="1" customHeight="1">
      <c r="A57" s="716" t="s">
        <v>676</v>
      </c>
      <c r="B57" s="717" t="s">
        <v>1689</v>
      </c>
      <c r="C57" s="789">
        <f>+$C$55+$G$56</f>
        <v>31775</v>
      </c>
      <c r="D57" s="719"/>
      <c r="E57" s="719"/>
      <c r="F57" s="720">
        <v>0</v>
      </c>
      <c r="G57" s="721"/>
      <c r="H57" s="719"/>
      <c r="I57" s="722"/>
      <c r="J57" s="718"/>
      <c r="K57" s="719"/>
      <c r="L57" s="719" t="s">
        <v>241</v>
      </c>
      <c r="M57" s="719"/>
      <c r="N57" s="719" t="s">
        <v>696</v>
      </c>
      <c r="O57" s="719"/>
      <c r="P57" s="719"/>
      <c r="Q57" s="719">
        <v>0</v>
      </c>
      <c r="R57" s="719">
        <v>0</v>
      </c>
      <c r="S57" s="719"/>
      <c r="T57" s="719">
        <v>30</v>
      </c>
      <c r="U57" s="719"/>
      <c r="V57" s="719"/>
      <c r="W57" s="719">
        <v>1.1000000000000001</v>
      </c>
      <c r="X57" s="719"/>
      <c r="Y57" s="719"/>
      <c r="Z57" s="719"/>
      <c r="AA57" s="719"/>
      <c r="AB57" s="719"/>
      <c r="AC57" s="719" t="s">
        <v>2977</v>
      </c>
      <c r="AD57" s="719"/>
      <c r="AE57" s="719"/>
      <c r="AF57" s="719">
        <v>200</v>
      </c>
      <c r="AG57" s="789">
        <v>31775</v>
      </c>
      <c r="AH57" s="719">
        <v>1506</v>
      </c>
      <c r="AI57" s="719">
        <v>-4940</v>
      </c>
      <c r="AJ57" s="719"/>
      <c r="AK57" s="719"/>
      <c r="AL57" s="719"/>
      <c r="AM57" s="719" t="s">
        <v>2608</v>
      </c>
      <c r="AN57" s="719">
        <v>5.25</v>
      </c>
      <c r="AO57" s="719"/>
      <c r="AP57" s="719"/>
      <c r="AQ57" s="724"/>
      <c r="AR57" s="724"/>
      <c r="AS57" s="724"/>
      <c r="AT57" s="724">
        <f>+ab($T$57,$T$55,$T$59,$G$56,$G$58, 1*$F$57,1200)</f>
        <v>7.9442083933778509</v>
      </c>
      <c r="AU57" s="724"/>
      <c r="AV57" s="724"/>
      <c r="AW57" s="719"/>
      <c r="AX57" s="719"/>
      <c r="AY57" s="719"/>
      <c r="AZ57" s="532"/>
      <c r="BB57" s="1284" t="s">
        <v>3059</v>
      </c>
      <c r="BC57" s="1285" t="s">
        <v>3060</v>
      </c>
      <c r="BD57" s="1279"/>
      <c r="BE57" s="1302"/>
      <c r="BF57" s="1303"/>
    </row>
    <row r="58" spans="1:58" ht="15.75" hidden="1" customHeight="1">
      <c r="A58" s="716"/>
      <c r="B58" s="717"/>
      <c r="C58" s="789"/>
      <c r="D58" s="719"/>
      <c r="E58" s="719"/>
      <c r="F58" s="720"/>
      <c r="G58" s="721">
        <v>50</v>
      </c>
      <c r="H58" s="719"/>
      <c r="I58" s="722"/>
      <c r="J58" s="718"/>
      <c r="K58" s="719"/>
      <c r="L58" s="719"/>
      <c r="M58" s="719"/>
      <c r="N58" s="719"/>
      <c r="O58" s="719"/>
      <c r="P58" s="719"/>
      <c r="Q58" s="719"/>
      <c r="R58" s="719"/>
      <c r="S58" s="719">
        <f t="shared" ref="S58" si="16">AG59-AG57</f>
        <v>50.680000000000291</v>
      </c>
      <c r="T58" s="719"/>
      <c r="U58" s="719"/>
      <c r="V58" s="719"/>
      <c r="W58" s="719"/>
      <c r="X58" s="719"/>
      <c r="Y58" s="719"/>
      <c r="Z58" s="719"/>
      <c r="AA58" s="719"/>
      <c r="AB58" s="719"/>
      <c r="AC58" s="719"/>
      <c r="AD58" s="719"/>
      <c r="AE58" s="719"/>
      <c r="AF58" s="719"/>
      <c r="AG58" s="789"/>
      <c r="AH58" s="719"/>
      <c r="AI58" s="719"/>
      <c r="AJ58" s="719"/>
      <c r="AK58" s="719"/>
      <c r="AL58" s="719"/>
      <c r="AM58" s="719"/>
      <c r="AN58" s="719"/>
      <c r="AO58" s="719"/>
      <c r="AP58" s="719"/>
      <c r="AQ58" s="724">
        <f>+FL_2($T$59,$T$57,$G$58,1200,9.28, 1*$F$59)</f>
        <v>-0.33477011200000001</v>
      </c>
      <c r="AR58" s="724"/>
      <c r="AS58" s="724"/>
      <c r="AT58" s="724"/>
      <c r="AU58" s="724"/>
      <c r="AV58" s="724"/>
      <c r="AW58" s="719"/>
      <c r="AX58" s="719"/>
      <c r="AY58" s="719"/>
      <c r="AZ58" s="532"/>
      <c r="BB58" s="1284" t="s">
        <v>3061</v>
      </c>
      <c r="BC58" s="1285" t="s">
        <v>3062</v>
      </c>
      <c r="BD58" s="1279"/>
      <c r="BE58" s="1286" t="s">
        <v>692</v>
      </c>
      <c r="BF58" s="1287"/>
    </row>
    <row r="59" spans="1:58" ht="15.75" hidden="1" customHeight="1">
      <c r="A59" s="716" t="s">
        <v>676</v>
      </c>
      <c r="B59" s="717" t="s">
        <v>1690</v>
      </c>
      <c r="C59" s="789">
        <f>+$C$57+$G$58</f>
        <v>31825</v>
      </c>
      <c r="D59" s="719"/>
      <c r="E59" s="719"/>
      <c r="F59" s="720">
        <v>0</v>
      </c>
      <c r="G59" s="721"/>
      <c r="H59" s="726"/>
      <c r="I59" s="722"/>
      <c r="J59" s="718"/>
      <c r="K59" s="719"/>
      <c r="L59" s="719" t="s">
        <v>241</v>
      </c>
      <c r="M59" s="719"/>
      <c r="N59" s="719" t="s">
        <v>695</v>
      </c>
      <c r="O59" s="726"/>
      <c r="P59" s="719"/>
      <c r="Q59" s="719">
        <v>0</v>
      </c>
      <c r="R59" s="719">
        <v>0</v>
      </c>
      <c r="S59" s="719"/>
      <c r="T59" s="719">
        <v>-30</v>
      </c>
      <c r="U59" s="719"/>
      <c r="V59" s="719"/>
      <c r="W59" s="719">
        <v>1.1000000000000001</v>
      </c>
      <c r="X59" s="719"/>
      <c r="Y59" s="719"/>
      <c r="Z59" s="719"/>
      <c r="AA59" s="719"/>
      <c r="AB59" s="719"/>
      <c r="AC59" s="719" t="s">
        <v>2977</v>
      </c>
      <c r="AD59" s="719"/>
      <c r="AE59" s="719"/>
      <c r="AF59" s="719">
        <v>200</v>
      </c>
      <c r="AG59" s="789">
        <v>31825.68</v>
      </c>
      <c r="AH59" s="719">
        <v>1500</v>
      </c>
      <c r="AI59" s="719">
        <v>-4932</v>
      </c>
      <c r="AJ59" s="719"/>
      <c r="AK59" s="719"/>
      <c r="AL59" s="719"/>
      <c r="AM59" s="719" t="s">
        <v>2608</v>
      </c>
      <c r="AN59" s="719">
        <v>5.25</v>
      </c>
      <c r="AO59" s="719"/>
      <c r="AP59" s="719"/>
      <c r="AQ59" s="724"/>
      <c r="AR59" s="724"/>
      <c r="AS59" s="724"/>
      <c r="AT59" s="724">
        <f>+ab($T$59,$T$57,$T$61,$G$58,$G$60, 1*$F$59,1200)</f>
        <v>-7.9442410717051439</v>
      </c>
      <c r="AU59" s="724"/>
      <c r="AV59" s="724"/>
      <c r="AW59" s="719"/>
      <c r="AX59" s="719"/>
      <c r="AY59" s="719"/>
      <c r="AZ59" s="532"/>
      <c r="BB59" s="1284" t="s">
        <v>2471</v>
      </c>
      <c r="BC59" s="1285" t="s">
        <v>1097</v>
      </c>
      <c r="BD59" s="1279"/>
      <c r="BE59" s="1284" t="s">
        <v>2563</v>
      </c>
      <c r="BF59" s="1285" t="s">
        <v>2054</v>
      </c>
    </row>
    <row r="60" spans="1:58" ht="15.75" hidden="1" customHeight="1">
      <c r="A60" s="716"/>
      <c r="B60" s="717"/>
      <c r="C60" s="789"/>
      <c r="D60" s="719"/>
      <c r="E60" s="719"/>
      <c r="F60" s="720"/>
      <c r="G60" s="721">
        <v>50</v>
      </c>
      <c r="H60" s="726"/>
      <c r="I60" s="722"/>
      <c r="J60" s="718"/>
      <c r="K60" s="719"/>
      <c r="L60" s="719"/>
      <c r="M60" s="719"/>
      <c r="N60" s="719"/>
      <c r="O60" s="726"/>
      <c r="P60" s="719"/>
      <c r="Q60" s="719"/>
      <c r="R60" s="719"/>
      <c r="S60" s="719">
        <f t="shared" ref="S60" si="17">AG61-AG59</f>
        <v>49.279999999998836</v>
      </c>
      <c r="T60" s="719"/>
      <c r="U60" s="719"/>
      <c r="V60" s="719"/>
      <c r="W60" s="719"/>
      <c r="X60" s="719"/>
      <c r="Y60" s="719"/>
      <c r="Z60" s="719"/>
      <c r="AA60" s="719"/>
      <c r="AB60" s="719"/>
      <c r="AC60" s="719"/>
      <c r="AD60" s="719"/>
      <c r="AE60" s="719"/>
      <c r="AF60" s="719"/>
      <c r="AG60" s="789"/>
      <c r="AH60" s="719"/>
      <c r="AI60" s="719"/>
      <c r="AJ60" s="719"/>
      <c r="AK60" s="719"/>
      <c r="AL60" s="719"/>
      <c r="AM60" s="719"/>
      <c r="AN60" s="719"/>
      <c r="AO60" s="719"/>
      <c r="AP60" s="719"/>
      <c r="AQ60" s="724">
        <f>+FL_1($T$61,$T$59,$G$60,1200,9.28, 1*$F$61)</f>
        <v>0.33477011200000001</v>
      </c>
      <c r="AR60" s="724"/>
      <c r="AS60" s="724"/>
      <c r="AT60" s="724"/>
      <c r="AU60" s="724"/>
      <c r="AV60" s="724"/>
      <c r="AW60" s="719"/>
      <c r="AX60" s="719"/>
      <c r="AY60" s="719"/>
      <c r="AZ60" s="532"/>
      <c r="BB60" s="1284" t="s">
        <v>2470</v>
      </c>
      <c r="BC60" s="1285" t="s">
        <v>1102</v>
      </c>
      <c r="BD60" s="1279"/>
      <c r="BE60" s="1284" t="s">
        <v>2564</v>
      </c>
      <c r="BF60" s="1285" t="s">
        <v>2055</v>
      </c>
    </row>
    <row r="61" spans="1:58" ht="15.75" hidden="1" customHeight="1">
      <c r="A61" s="716" t="s">
        <v>676</v>
      </c>
      <c r="B61" s="717" t="s">
        <v>1691</v>
      </c>
      <c r="C61" s="789">
        <f>+$C$59+$G$60</f>
        <v>31875</v>
      </c>
      <c r="D61" s="719"/>
      <c r="E61" s="719"/>
      <c r="F61" s="720">
        <v>0</v>
      </c>
      <c r="G61" s="721"/>
      <c r="H61" s="726"/>
      <c r="I61" s="722"/>
      <c r="J61" s="718"/>
      <c r="K61" s="719"/>
      <c r="L61" s="719" t="s">
        <v>241</v>
      </c>
      <c r="M61" s="719"/>
      <c r="N61" s="719" t="s">
        <v>696</v>
      </c>
      <c r="O61" s="726"/>
      <c r="P61" s="719"/>
      <c r="Q61" s="719">
        <v>0</v>
      </c>
      <c r="R61" s="719">
        <v>0</v>
      </c>
      <c r="S61" s="719"/>
      <c r="T61" s="719">
        <v>30</v>
      </c>
      <c r="U61" s="719"/>
      <c r="V61" s="719"/>
      <c r="W61" s="719">
        <v>1.1000000000000001</v>
      </c>
      <c r="X61" s="719"/>
      <c r="Y61" s="719"/>
      <c r="Z61" s="719"/>
      <c r="AA61" s="719"/>
      <c r="AB61" s="719"/>
      <c r="AC61" s="719" t="s">
        <v>2977</v>
      </c>
      <c r="AD61" s="719"/>
      <c r="AE61" s="719"/>
      <c r="AF61" s="719">
        <v>200</v>
      </c>
      <c r="AG61" s="789">
        <v>31874.959999999999</v>
      </c>
      <c r="AH61" s="719">
        <v>1538</v>
      </c>
      <c r="AI61" s="719">
        <v>-4930</v>
      </c>
      <c r="AJ61" s="719"/>
      <c r="AK61" s="719"/>
      <c r="AL61" s="719"/>
      <c r="AM61" s="719" t="s">
        <v>2608</v>
      </c>
      <c r="AN61" s="719">
        <v>5.25</v>
      </c>
      <c r="AO61" s="719"/>
      <c r="AP61" s="719"/>
      <c r="AQ61" s="724"/>
      <c r="AR61" s="724"/>
      <c r="AS61" s="724"/>
      <c r="AT61" s="724">
        <f>+ab($T$61,$T$59,$T$63,$G$60,$G$62, 1*$F$61,1200)</f>
        <v>7.9442083933778509</v>
      </c>
      <c r="AU61" s="724"/>
      <c r="AV61" s="724"/>
      <c r="AW61" s="719"/>
      <c r="AX61" s="719"/>
      <c r="AY61" s="719"/>
      <c r="AZ61" s="532"/>
      <c r="BB61" s="1284" t="s">
        <v>3063</v>
      </c>
      <c r="BC61" s="1285" t="s">
        <v>3064</v>
      </c>
      <c r="BD61" s="1279"/>
      <c r="BE61" s="1284" t="s">
        <v>2565</v>
      </c>
      <c r="BF61" s="1285" t="s">
        <v>2567</v>
      </c>
    </row>
    <row r="62" spans="1:58" ht="15.75" hidden="1" customHeight="1">
      <c r="A62" s="716"/>
      <c r="B62" s="717"/>
      <c r="C62" s="789"/>
      <c r="D62" s="719"/>
      <c r="E62" s="719"/>
      <c r="F62" s="720"/>
      <c r="G62" s="721">
        <v>50</v>
      </c>
      <c r="H62" s="726"/>
      <c r="I62" s="722"/>
      <c r="J62" s="718"/>
      <c r="K62" s="719"/>
      <c r="L62" s="719"/>
      <c r="M62" s="719"/>
      <c r="N62" s="719"/>
      <c r="O62" s="726"/>
      <c r="P62" s="719"/>
      <c r="Q62" s="719"/>
      <c r="R62" s="719"/>
      <c r="S62" s="719">
        <f t="shared" ref="S62" si="18">AG63-AG61</f>
        <v>50.720000000001164</v>
      </c>
      <c r="T62" s="719"/>
      <c r="U62" s="719"/>
      <c r="V62" s="719"/>
      <c r="W62" s="719"/>
      <c r="X62" s="719"/>
      <c r="Y62" s="719"/>
      <c r="Z62" s="719"/>
      <c r="AA62" s="719"/>
      <c r="AB62" s="719"/>
      <c r="AC62" s="719"/>
      <c r="AD62" s="719"/>
      <c r="AE62" s="719"/>
      <c r="AF62" s="719"/>
      <c r="AG62" s="789"/>
      <c r="AH62" s="719"/>
      <c r="AI62" s="719"/>
      <c r="AJ62" s="719"/>
      <c r="AK62" s="719"/>
      <c r="AL62" s="719"/>
      <c r="AM62" s="719"/>
      <c r="AN62" s="719"/>
      <c r="AO62" s="719"/>
      <c r="AP62" s="719"/>
      <c r="AQ62" s="724">
        <f>+FL_2($T$63,$T$61,$G$62,1200,9.28, 1*$F$63)</f>
        <v>-0.33477011200000001</v>
      </c>
      <c r="AR62" s="724"/>
      <c r="AS62" s="724"/>
      <c r="AT62" s="724"/>
      <c r="AU62" s="724"/>
      <c r="AV62" s="724"/>
      <c r="AW62" s="719"/>
      <c r="AX62" s="719"/>
      <c r="AY62" s="719"/>
      <c r="AZ62" s="532"/>
      <c r="BB62" s="1284" t="s">
        <v>3065</v>
      </c>
      <c r="BC62" s="1285" t="s">
        <v>3066</v>
      </c>
      <c r="BD62" s="1279"/>
      <c r="BE62" s="1284" t="s">
        <v>2566</v>
      </c>
      <c r="BF62" s="1285" t="s">
        <v>2568</v>
      </c>
    </row>
    <row r="63" spans="1:58" ht="15.75" hidden="1" customHeight="1" thickBot="1">
      <c r="A63" s="716" t="s">
        <v>676</v>
      </c>
      <c r="B63" s="717" t="s">
        <v>1692</v>
      </c>
      <c r="C63" s="789">
        <f>+$C$61+$G$62</f>
        <v>31925</v>
      </c>
      <c r="D63" s="719"/>
      <c r="E63" s="719"/>
      <c r="F63" s="720">
        <v>0</v>
      </c>
      <c r="G63" s="721"/>
      <c r="H63" s="726"/>
      <c r="I63" s="722"/>
      <c r="J63" s="718"/>
      <c r="K63" s="719"/>
      <c r="L63" s="719" t="s">
        <v>241</v>
      </c>
      <c r="M63" s="719"/>
      <c r="N63" s="719" t="s">
        <v>695</v>
      </c>
      <c r="O63" s="726"/>
      <c r="P63" s="719"/>
      <c r="Q63" s="719">
        <v>0</v>
      </c>
      <c r="R63" s="719">
        <v>0</v>
      </c>
      <c r="S63" s="719"/>
      <c r="T63" s="719">
        <v>-30</v>
      </c>
      <c r="U63" s="719"/>
      <c r="V63" s="719"/>
      <c r="W63" s="719">
        <v>1.1000000000000001</v>
      </c>
      <c r="X63" s="719"/>
      <c r="Y63" s="719"/>
      <c r="Z63" s="719"/>
      <c r="AA63" s="719"/>
      <c r="AB63" s="719"/>
      <c r="AC63" s="719" t="s">
        <v>2977</v>
      </c>
      <c r="AD63" s="719"/>
      <c r="AE63" s="719"/>
      <c r="AF63" s="719">
        <v>200</v>
      </c>
      <c r="AG63" s="789">
        <v>31925.68</v>
      </c>
      <c r="AH63" s="719">
        <v>1506</v>
      </c>
      <c r="AI63" s="719">
        <v>-4960</v>
      </c>
      <c r="AJ63" s="719"/>
      <c r="AK63" s="719"/>
      <c r="AL63" s="719"/>
      <c r="AM63" s="719" t="s">
        <v>2608</v>
      </c>
      <c r="AN63" s="719">
        <v>5.25</v>
      </c>
      <c r="AO63" s="719"/>
      <c r="AP63" s="719"/>
      <c r="AQ63" s="724"/>
      <c r="AR63" s="724"/>
      <c r="AS63" s="724"/>
      <c r="AT63" s="724">
        <f>+ab($T$63,$T$61,$T$65,$G$62,$G$64, 1*$F$63,1200)</f>
        <v>-7.9442410717051439</v>
      </c>
      <c r="AU63" s="724"/>
      <c r="AV63" s="724"/>
      <c r="AW63" s="719"/>
      <c r="AX63" s="719"/>
      <c r="AY63" s="719"/>
      <c r="AZ63" s="532"/>
      <c r="BB63" s="1284" t="s">
        <v>2472</v>
      </c>
      <c r="BC63" s="1285" t="s">
        <v>2469</v>
      </c>
      <c r="BD63" s="1279"/>
      <c r="BE63" s="1304"/>
      <c r="BF63" s="1305"/>
    </row>
    <row r="64" spans="1:58" ht="15.75" hidden="1" customHeight="1">
      <c r="A64" s="716"/>
      <c r="B64" s="717"/>
      <c r="C64" s="789"/>
      <c r="D64" s="719"/>
      <c r="E64" s="719"/>
      <c r="F64" s="720"/>
      <c r="G64" s="721">
        <v>50</v>
      </c>
      <c r="H64" s="726"/>
      <c r="I64" s="722"/>
      <c r="J64" s="718"/>
      <c r="K64" s="719"/>
      <c r="L64" s="719"/>
      <c r="M64" s="719"/>
      <c r="N64" s="726"/>
      <c r="O64" s="726"/>
      <c r="P64" s="719"/>
      <c r="Q64" s="719"/>
      <c r="R64" s="719"/>
      <c r="S64" s="719">
        <f t="shared" ref="S64" si="19">AG65-AG63</f>
        <v>49.319999999999709</v>
      </c>
      <c r="T64" s="719"/>
      <c r="U64" s="719"/>
      <c r="V64" s="719"/>
      <c r="W64" s="719"/>
      <c r="X64" s="719"/>
      <c r="Y64" s="719"/>
      <c r="Z64" s="719"/>
      <c r="AA64" s="719"/>
      <c r="AB64" s="719"/>
      <c r="AC64" s="719"/>
      <c r="AD64" s="719"/>
      <c r="AE64" s="719"/>
      <c r="AF64" s="719"/>
      <c r="AG64" s="789"/>
      <c r="AH64" s="719"/>
      <c r="AI64" s="719"/>
      <c r="AJ64" s="719"/>
      <c r="AK64" s="719"/>
      <c r="AL64" s="719"/>
      <c r="AM64" s="719"/>
      <c r="AN64" s="719"/>
      <c r="AO64" s="719"/>
      <c r="AP64" s="719"/>
      <c r="AQ64" s="724">
        <f>+FL_1($T$65,$T$63,$G$64,1200,9.28, 1*$F$65)</f>
        <v>0.33477011200000001</v>
      </c>
      <c r="AR64" s="724"/>
      <c r="AS64" s="724"/>
      <c r="AT64" s="724"/>
      <c r="AU64" s="724"/>
      <c r="AV64" s="724"/>
      <c r="AW64" s="719"/>
      <c r="AX64" s="719"/>
      <c r="AY64" s="719"/>
      <c r="AZ64" s="532"/>
      <c r="BB64" s="1284"/>
      <c r="BC64" s="1303"/>
      <c r="BD64" s="1279"/>
      <c r="BE64" s="1301"/>
      <c r="BF64" s="1301"/>
    </row>
    <row r="65" spans="1:58" ht="15.75" customHeight="1">
      <c r="A65" s="716" t="s">
        <v>676</v>
      </c>
      <c r="B65" s="717" t="s">
        <v>1693</v>
      </c>
      <c r="C65" s="789">
        <f>+$C$63+$G$64</f>
        <v>31975</v>
      </c>
      <c r="D65" s="719"/>
      <c r="E65" s="719"/>
      <c r="F65" s="720">
        <v>0</v>
      </c>
      <c r="G65" s="721"/>
      <c r="H65" s="726" t="s">
        <v>1101</v>
      </c>
      <c r="I65" s="726"/>
      <c r="J65" s="718"/>
      <c r="K65" s="719"/>
      <c r="L65" s="719" t="s">
        <v>241</v>
      </c>
      <c r="M65" s="719"/>
      <c r="N65" s="726" t="s">
        <v>696</v>
      </c>
      <c r="O65" s="726"/>
      <c r="P65" s="719"/>
      <c r="Q65" s="719">
        <v>0</v>
      </c>
      <c r="R65" s="719">
        <v>0</v>
      </c>
      <c r="S65" s="719"/>
      <c r="T65" s="719">
        <v>30</v>
      </c>
      <c r="U65" s="719"/>
      <c r="V65" s="719"/>
      <c r="W65" s="719">
        <v>1.1000000000000001</v>
      </c>
      <c r="X65" s="719"/>
      <c r="Y65" s="719"/>
      <c r="Z65" s="719"/>
      <c r="AA65" s="719"/>
      <c r="AB65" s="719"/>
      <c r="AC65" s="719" t="s">
        <v>2977</v>
      </c>
      <c r="AD65" s="719"/>
      <c r="AE65" s="719"/>
      <c r="AF65" s="719">
        <v>200</v>
      </c>
      <c r="AG65" s="789">
        <v>31975</v>
      </c>
      <c r="AH65" s="719">
        <v>1524</v>
      </c>
      <c r="AI65" s="719">
        <v>-4948</v>
      </c>
      <c r="AJ65" s="719"/>
      <c r="AK65" s="719"/>
      <c r="AL65" s="719"/>
      <c r="AM65" s="719" t="s">
        <v>2608</v>
      </c>
      <c r="AN65" s="719">
        <v>5.25</v>
      </c>
      <c r="AO65" s="719"/>
      <c r="AP65" s="719"/>
      <c r="AQ65" s="724"/>
      <c r="AR65" s="724"/>
      <c r="AS65" s="724"/>
      <c r="AT65" s="724">
        <f>+ab($T$65,$T$63,$T$67,$G$64,$G$66, 1*$F$65,1200)</f>
        <v>7.9442083933778509</v>
      </c>
      <c r="AU65" s="724"/>
      <c r="AV65" s="724"/>
      <c r="AW65" s="719"/>
      <c r="AX65" s="719"/>
      <c r="AY65" s="719"/>
      <c r="AZ65" s="532"/>
      <c r="BB65" s="1286" t="s">
        <v>1042</v>
      </c>
      <c r="BC65" s="1287"/>
      <c r="BD65" s="1279"/>
      <c r="BE65" s="1301"/>
      <c r="BF65" s="1301"/>
    </row>
    <row r="66" spans="1:58" ht="15.75" hidden="1" customHeight="1">
      <c r="A66" s="716"/>
      <c r="B66" s="717"/>
      <c r="C66" s="789"/>
      <c r="D66" s="719"/>
      <c r="E66" s="719"/>
      <c r="F66" s="720"/>
      <c r="G66" s="721">
        <v>50</v>
      </c>
      <c r="H66" s="726"/>
      <c r="I66" s="722">
        <f>SUM(G48:G66)</f>
        <v>500</v>
      </c>
      <c r="J66" s="718">
        <f>C65+1</f>
        <v>31976</v>
      </c>
      <c r="K66" s="719" t="s">
        <v>1102</v>
      </c>
      <c r="L66" s="719"/>
      <c r="M66" s="719"/>
      <c r="N66" s="726"/>
      <c r="O66" s="726"/>
      <c r="P66" s="719"/>
      <c r="Q66" s="719"/>
      <c r="R66" s="719"/>
      <c r="S66" s="719">
        <f t="shared" ref="S66" si="20">AG67-AG65</f>
        <v>49.959999999999127</v>
      </c>
      <c r="T66" s="719"/>
      <c r="U66" s="719"/>
      <c r="V66" s="719"/>
      <c r="W66" s="719"/>
      <c r="X66" s="719"/>
      <c r="Y66" s="719"/>
      <c r="Z66" s="719"/>
      <c r="AA66" s="719"/>
      <c r="AB66" s="719"/>
      <c r="AC66" s="719"/>
      <c r="AD66" s="719"/>
      <c r="AE66" s="719"/>
      <c r="AF66" s="719"/>
      <c r="AG66" s="789"/>
      <c r="AH66" s="719"/>
      <c r="AI66" s="719"/>
      <c r="AJ66" s="719"/>
      <c r="AK66" s="719"/>
      <c r="AL66" s="719"/>
      <c r="AM66" s="719"/>
      <c r="AN66" s="719"/>
      <c r="AO66" s="719"/>
      <c r="AP66" s="719"/>
      <c r="AQ66" s="724">
        <f>+FL_2($T$67,$T$65,$G$66,1200,9.28, 1*$F$67)</f>
        <v>-0.33477011200000001</v>
      </c>
      <c r="AR66" s="724"/>
      <c r="AS66" s="724"/>
      <c r="AT66" s="724"/>
      <c r="AU66" s="724"/>
      <c r="AV66" s="724"/>
      <c r="AW66" s="719"/>
      <c r="AX66" s="719"/>
      <c r="AY66" s="719"/>
      <c r="AZ66" s="532"/>
      <c r="BB66" s="1284" t="s">
        <v>3067</v>
      </c>
      <c r="BC66" s="1285" t="s">
        <v>3068</v>
      </c>
      <c r="BD66" s="1279"/>
      <c r="BE66" s="1301"/>
      <c r="BF66" s="1301"/>
    </row>
    <row r="67" spans="1:58" ht="15.75" customHeight="1">
      <c r="A67" s="716" t="s">
        <v>676</v>
      </c>
      <c r="B67" s="717" t="s">
        <v>1694</v>
      </c>
      <c r="C67" s="789">
        <f>+$C$65+$G$66</f>
        <v>32025</v>
      </c>
      <c r="D67" s="719"/>
      <c r="E67" s="719"/>
      <c r="F67" s="720">
        <v>0</v>
      </c>
      <c r="G67" s="721"/>
      <c r="H67" s="726" t="s">
        <v>997</v>
      </c>
      <c r="I67" s="722"/>
      <c r="J67" s="718"/>
      <c r="K67" s="719"/>
      <c r="L67" s="719" t="s">
        <v>241</v>
      </c>
      <c r="M67" s="719"/>
      <c r="N67" s="726" t="s">
        <v>695</v>
      </c>
      <c r="O67" s="726"/>
      <c r="P67" s="719"/>
      <c r="Q67" s="719">
        <v>0</v>
      </c>
      <c r="R67" s="719">
        <v>0</v>
      </c>
      <c r="S67" s="719"/>
      <c r="T67" s="719">
        <v>-30</v>
      </c>
      <c r="U67" s="719"/>
      <c r="V67" s="719"/>
      <c r="W67" s="719">
        <v>1.1000000000000001</v>
      </c>
      <c r="X67" s="719"/>
      <c r="Y67" s="719"/>
      <c r="Z67" s="719"/>
      <c r="AA67" s="719"/>
      <c r="AB67" s="719"/>
      <c r="AC67" s="719" t="s">
        <v>2977</v>
      </c>
      <c r="AD67" s="719"/>
      <c r="AE67" s="719"/>
      <c r="AF67" s="719">
        <v>200</v>
      </c>
      <c r="AG67" s="789">
        <v>32024.959999999999</v>
      </c>
      <c r="AH67" s="719">
        <v>1521</v>
      </c>
      <c r="AI67" s="719">
        <v>-4919</v>
      </c>
      <c r="AJ67" s="719"/>
      <c r="AK67" s="719"/>
      <c r="AL67" s="719"/>
      <c r="AM67" s="719" t="s">
        <v>2608</v>
      </c>
      <c r="AN67" s="724">
        <v>5.25</v>
      </c>
      <c r="AO67" s="719"/>
      <c r="AP67" s="719"/>
      <c r="AQ67" s="724"/>
      <c r="AR67" s="724"/>
      <c r="AS67" s="724"/>
      <c r="AT67" s="724">
        <f>+ab($T$67,$T$65,$T$69,$G$66,$G$68, 1*$F$67,1200)</f>
        <v>-7.5310515741812321</v>
      </c>
      <c r="AU67" s="724"/>
      <c r="AV67" s="724"/>
      <c r="AW67" s="719"/>
      <c r="AX67" s="719"/>
      <c r="AY67" s="719"/>
      <c r="AZ67" s="532"/>
      <c r="BB67" s="1284" t="s">
        <v>1076</v>
      </c>
      <c r="BC67" s="1285" t="s">
        <v>139</v>
      </c>
      <c r="BD67" s="1279"/>
      <c r="BE67" s="1301"/>
      <c r="BF67" s="1301"/>
    </row>
    <row r="68" spans="1:58" ht="15.75" hidden="1" customHeight="1">
      <c r="A68" s="716"/>
      <c r="B68" s="717"/>
      <c r="C68" s="789"/>
      <c r="D68" s="719"/>
      <c r="E68" s="719"/>
      <c r="F68" s="720"/>
      <c r="G68" s="721">
        <v>45</v>
      </c>
      <c r="H68" s="726"/>
      <c r="I68" s="722">
        <f>SUM(G68:G88)</f>
        <v>493</v>
      </c>
      <c r="J68" s="718">
        <f>C69-1</f>
        <v>32069</v>
      </c>
      <c r="K68" s="719" t="s">
        <v>1102</v>
      </c>
      <c r="L68" s="719"/>
      <c r="M68" s="719"/>
      <c r="N68" s="726"/>
      <c r="O68" s="726"/>
      <c r="P68" s="719"/>
      <c r="Q68" s="719"/>
      <c r="R68" s="719"/>
      <c r="S68" s="719">
        <f t="shared" ref="S68" si="21">AG69-AG67</f>
        <v>45.020000000000437</v>
      </c>
      <c r="T68" s="719"/>
      <c r="U68" s="719"/>
      <c r="V68" s="719"/>
      <c r="W68" s="719"/>
      <c r="X68" s="719"/>
      <c r="Y68" s="719"/>
      <c r="Z68" s="719"/>
      <c r="AA68" s="719"/>
      <c r="AB68" s="719"/>
      <c r="AC68" s="719"/>
      <c r="AD68" s="719"/>
      <c r="AE68" s="719"/>
      <c r="AF68" s="719"/>
      <c r="AG68" s="789"/>
      <c r="AH68" s="719"/>
      <c r="AI68" s="719"/>
      <c r="AJ68" s="719"/>
      <c r="AK68" s="719"/>
      <c r="AL68" s="719"/>
      <c r="AM68" s="719"/>
      <c r="AN68" s="724"/>
      <c r="AO68" s="719"/>
      <c r="AP68" s="719"/>
      <c r="AQ68" s="724">
        <f>+FL_1($T$69,$T$67,$G$68,1200,9.28, 1*$F$69)</f>
        <v>0.31069252800000002</v>
      </c>
      <c r="AR68" s="724"/>
      <c r="AS68" s="724"/>
      <c r="AT68" s="724"/>
      <c r="AU68" s="724"/>
      <c r="AV68" s="724"/>
      <c r="AW68" s="719"/>
      <c r="AX68" s="719"/>
      <c r="AY68" s="719"/>
      <c r="AZ68" s="532"/>
      <c r="BB68" s="1284" t="s">
        <v>1077</v>
      </c>
      <c r="BC68" s="1285" t="s">
        <v>231</v>
      </c>
      <c r="BD68" s="1279"/>
      <c r="BE68" s="1301"/>
      <c r="BF68" s="1301"/>
    </row>
    <row r="69" spans="1:58" ht="15.75" customHeight="1">
      <c r="A69" s="716" t="s">
        <v>2591</v>
      </c>
      <c r="B69" s="717" t="s">
        <v>1695</v>
      </c>
      <c r="C69" s="789">
        <f>+$C$67+$G$68</f>
        <v>32070</v>
      </c>
      <c r="D69" s="719"/>
      <c r="E69" s="719"/>
      <c r="F69" s="720">
        <v>0</v>
      </c>
      <c r="G69" s="721"/>
      <c r="H69" s="719" t="s">
        <v>1101</v>
      </c>
      <c r="I69" s="720" t="s">
        <v>2053</v>
      </c>
      <c r="J69" s="718"/>
      <c r="K69" s="719" t="s">
        <v>1102</v>
      </c>
      <c r="L69" s="719" t="s">
        <v>241</v>
      </c>
      <c r="M69" s="719"/>
      <c r="N69" s="726" t="s">
        <v>696</v>
      </c>
      <c r="O69" s="719"/>
      <c r="P69" s="719"/>
      <c r="Q69" s="719">
        <v>0</v>
      </c>
      <c r="R69" s="719">
        <v>0</v>
      </c>
      <c r="S69" s="719"/>
      <c r="T69" s="719">
        <v>30</v>
      </c>
      <c r="U69" s="719"/>
      <c r="V69" s="719"/>
      <c r="W69" s="719">
        <v>1.1000000000000001</v>
      </c>
      <c r="X69" s="719"/>
      <c r="Y69" s="719"/>
      <c r="Z69" s="719"/>
      <c r="AA69" s="719"/>
      <c r="AB69" s="719"/>
      <c r="AC69" s="719" t="s">
        <v>2977</v>
      </c>
      <c r="AD69" s="719"/>
      <c r="AE69" s="719"/>
      <c r="AF69" s="719">
        <v>200</v>
      </c>
      <c r="AG69" s="789">
        <v>32069.98</v>
      </c>
      <c r="AH69" s="719">
        <v>1501</v>
      </c>
      <c r="AI69" s="719">
        <v>-4930</v>
      </c>
      <c r="AJ69" s="719"/>
      <c r="AK69" s="719"/>
      <c r="AL69" s="719"/>
      <c r="AM69" s="719" t="s">
        <v>2608</v>
      </c>
      <c r="AN69" s="724">
        <v>5.25</v>
      </c>
      <c r="AO69" s="719"/>
      <c r="AP69" s="719"/>
      <c r="AQ69" s="724"/>
      <c r="AR69" s="724"/>
      <c r="AS69" s="724"/>
      <c r="AT69" s="724">
        <f>+ab($T$69,$T$67,$T$71,$G$68,$G$70, 1*$F$69,1200)</f>
        <v>6.5801880951881575</v>
      </c>
      <c r="AU69" s="724"/>
      <c r="AV69" s="724"/>
      <c r="AW69" s="719"/>
      <c r="AX69" s="719"/>
      <c r="AY69" s="719"/>
      <c r="AZ69" s="532"/>
      <c r="BB69" s="1284" t="s">
        <v>1078</v>
      </c>
      <c r="BC69" s="1285" t="s">
        <v>241</v>
      </c>
      <c r="BD69" s="1279"/>
      <c r="BE69" s="1279"/>
      <c r="BF69" s="1279"/>
    </row>
    <row r="70" spans="1:58" ht="15.75" hidden="1" customHeight="1">
      <c r="A70" s="766" t="s">
        <v>2592</v>
      </c>
      <c r="B70" s="777"/>
      <c r="C70" s="1330"/>
      <c r="D70" s="769"/>
      <c r="E70" s="769"/>
      <c r="F70" s="770"/>
      <c r="G70" s="771">
        <v>41.4</v>
      </c>
      <c r="H70" s="769"/>
      <c r="I70" s="720" t="s">
        <v>2053</v>
      </c>
      <c r="J70" s="768"/>
      <c r="K70" s="719" t="s">
        <v>1102</v>
      </c>
      <c r="L70" s="769"/>
      <c r="M70" s="769"/>
      <c r="N70" s="772"/>
      <c r="O70" s="769"/>
      <c r="P70" s="769"/>
      <c r="Q70" s="769"/>
      <c r="R70" s="769"/>
      <c r="S70" s="769">
        <f t="shared" ref="S70:S72" si="22">AG71-AG69</f>
        <v>41.020000000000437</v>
      </c>
      <c r="T70" s="769"/>
      <c r="U70" s="769"/>
      <c r="V70" s="769"/>
      <c r="W70" s="769"/>
      <c r="X70" s="769"/>
      <c r="Y70" s="769"/>
      <c r="Z70" s="769"/>
      <c r="AA70" s="769"/>
      <c r="AB70" s="769"/>
      <c r="AC70" s="769"/>
      <c r="AD70" s="769"/>
      <c r="AE70" s="769"/>
      <c r="AF70" s="769"/>
      <c r="AG70" s="1330"/>
      <c r="AH70" s="769"/>
      <c r="AI70" s="769"/>
      <c r="AJ70" s="769"/>
      <c r="AK70" s="769"/>
      <c r="AL70" s="769"/>
      <c r="AM70" s="769"/>
      <c r="AN70" s="774"/>
      <c r="AO70" s="769"/>
      <c r="AP70" s="769"/>
      <c r="AQ70" s="780">
        <f>+FL_2($T$71,$T$69,$G$70,1200,9.28, 1*$F$71)</f>
        <v>-0.35006114009661832</v>
      </c>
      <c r="AR70" s="774"/>
      <c r="AS70" s="774"/>
      <c r="AT70" s="774"/>
      <c r="AU70" s="774"/>
      <c r="AV70" s="774"/>
      <c r="AW70" s="769"/>
      <c r="AX70" s="769"/>
      <c r="AY70" s="769"/>
      <c r="AZ70" s="532"/>
      <c r="BB70" s="1284" t="s">
        <v>3069</v>
      </c>
      <c r="BC70" s="1285" t="s">
        <v>465</v>
      </c>
      <c r="BD70" s="1279"/>
      <c r="BE70" s="1279"/>
      <c r="BF70" s="1279"/>
    </row>
    <row r="71" spans="1:58" ht="15.75" hidden="1" customHeight="1">
      <c r="A71" s="766"/>
      <c r="B71" s="777" t="s">
        <v>1696</v>
      </c>
      <c r="C71" s="1330">
        <f>+$C$69+$G$70</f>
        <v>32111.4</v>
      </c>
      <c r="D71" s="769"/>
      <c r="E71" s="769"/>
      <c r="F71" s="770">
        <v>0</v>
      </c>
      <c r="G71" s="771"/>
      <c r="H71" s="769"/>
      <c r="I71" s="772"/>
      <c r="J71" s="768"/>
      <c r="K71" s="769"/>
      <c r="L71" s="769" t="s">
        <v>1118</v>
      </c>
      <c r="M71" s="769" t="s">
        <v>2667</v>
      </c>
      <c r="N71" s="772" t="s">
        <v>144</v>
      </c>
      <c r="O71" s="769"/>
      <c r="P71" s="769"/>
      <c r="Q71" s="769">
        <v>0</v>
      </c>
      <c r="R71" s="769">
        <v>0</v>
      </c>
      <c r="S71" s="769"/>
      <c r="T71" s="769">
        <v>-35</v>
      </c>
      <c r="U71" s="769"/>
      <c r="V71" s="769"/>
      <c r="W71" s="769">
        <v>1.4</v>
      </c>
      <c r="X71" s="769"/>
      <c r="Y71" s="769"/>
      <c r="Z71" s="769"/>
      <c r="AA71" s="769"/>
      <c r="AB71" s="769"/>
      <c r="AC71" s="769" t="s">
        <v>2978</v>
      </c>
      <c r="AD71" s="769"/>
      <c r="AE71" s="769"/>
      <c r="AF71" s="769">
        <v>5400</v>
      </c>
      <c r="AG71" s="1330">
        <v>32111</v>
      </c>
      <c r="AH71" s="769">
        <v>2828</v>
      </c>
      <c r="AI71" s="769">
        <v>-40</v>
      </c>
      <c r="AJ71" s="769"/>
      <c r="AK71" s="769"/>
      <c r="AL71" s="769"/>
      <c r="AM71" s="769" t="s">
        <v>2055</v>
      </c>
      <c r="AN71" s="774">
        <v>5.31</v>
      </c>
      <c r="AO71" s="769"/>
      <c r="AP71" s="769"/>
      <c r="AQ71" s="774"/>
      <c r="AR71" s="774"/>
      <c r="AS71" s="774"/>
      <c r="AT71" s="780">
        <f>+ab($T$71,$T$69,$T$73,$G$70,$G$72, 1*$F$71,1200)</f>
        <v>-6.0822963120082951</v>
      </c>
      <c r="AU71" s="774"/>
      <c r="AV71" s="774"/>
      <c r="AW71" s="769"/>
      <c r="AX71" s="769"/>
      <c r="AY71" s="769"/>
      <c r="AZ71" s="532"/>
      <c r="BB71" s="1284" t="s">
        <v>3070</v>
      </c>
      <c r="BC71" s="1285" t="s">
        <v>3071</v>
      </c>
      <c r="BD71" s="1279"/>
      <c r="BE71" s="1279"/>
      <c r="BF71" s="1279"/>
    </row>
    <row r="72" spans="1:58" ht="15.75" hidden="1" customHeight="1">
      <c r="A72" s="766"/>
      <c r="B72" s="777"/>
      <c r="C72" s="1330"/>
      <c r="D72" s="769"/>
      <c r="E72" s="769"/>
      <c r="F72" s="770"/>
      <c r="G72" s="771">
        <v>44.5</v>
      </c>
      <c r="H72" s="772"/>
      <c r="I72" s="772"/>
      <c r="J72" s="768"/>
      <c r="K72" s="769"/>
      <c r="L72" s="769"/>
      <c r="M72" s="769"/>
      <c r="N72" s="772"/>
      <c r="O72" s="769"/>
      <c r="P72" s="769"/>
      <c r="Q72" s="769"/>
      <c r="R72" s="769"/>
      <c r="S72" s="769">
        <f t="shared" si="22"/>
        <v>44.540000000000873</v>
      </c>
      <c r="T72" s="769"/>
      <c r="U72" s="769"/>
      <c r="V72" s="769"/>
      <c r="W72" s="769"/>
      <c r="X72" s="769"/>
      <c r="Y72" s="769"/>
      <c r="Z72" s="769"/>
      <c r="AA72" s="769"/>
      <c r="AB72" s="769"/>
      <c r="AC72" s="769"/>
      <c r="AD72" s="769"/>
      <c r="AE72" s="769"/>
      <c r="AF72" s="769"/>
      <c r="AG72" s="1330"/>
      <c r="AH72" s="769"/>
      <c r="AI72" s="769"/>
      <c r="AJ72" s="769"/>
      <c r="AK72" s="769"/>
      <c r="AL72" s="769"/>
      <c r="AM72" s="769"/>
      <c r="AN72" s="774"/>
      <c r="AO72" s="769"/>
      <c r="AP72" s="769"/>
      <c r="AQ72" s="780">
        <f>+FL_1($T$73,$T$71,$G$72,1200,9.28, 1*$F$73)</f>
        <v>0.35140919084644195</v>
      </c>
      <c r="AR72" s="774"/>
      <c r="AS72" s="774"/>
      <c r="AT72" s="774"/>
      <c r="AU72" s="774"/>
      <c r="AV72" s="774"/>
      <c r="AW72" s="769"/>
      <c r="AX72" s="769"/>
      <c r="AY72" s="769"/>
      <c r="AZ72" s="532"/>
      <c r="BB72" s="1284" t="s">
        <v>3072</v>
      </c>
      <c r="BC72" s="1285" t="s">
        <v>3073</v>
      </c>
      <c r="BD72" s="1279"/>
      <c r="BE72" s="1279"/>
      <c r="BF72" s="1279"/>
    </row>
    <row r="73" spans="1:58" ht="15.75" hidden="1" customHeight="1">
      <c r="A73" s="766"/>
      <c r="B73" s="777" t="s">
        <v>1697</v>
      </c>
      <c r="C73" s="1330">
        <f>+$C$71+$G$72</f>
        <v>32155.9</v>
      </c>
      <c r="D73" s="769"/>
      <c r="E73" s="769"/>
      <c r="F73" s="770">
        <v>0</v>
      </c>
      <c r="G73" s="771"/>
      <c r="H73" s="772"/>
      <c r="I73" s="775"/>
      <c r="J73" s="768"/>
      <c r="K73" s="769"/>
      <c r="L73" s="769" t="s">
        <v>1118</v>
      </c>
      <c r="M73" s="769" t="s">
        <v>2667</v>
      </c>
      <c r="N73" s="772" t="s">
        <v>145</v>
      </c>
      <c r="O73" s="772"/>
      <c r="P73" s="781"/>
      <c r="Q73" s="769">
        <v>0</v>
      </c>
      <c r="R73" s="769">
        <v>0</v>
      </c>
      <c r="S73" s="769"/>
      <c r="T73" s="769">
        <v>35</v>
      </c>
      <c r="U73" s="769"/>
      <c r="V73" s="769"/>
      <c r="W73" s="769">
        <v>1.4</v>
      </c>
      <c r="X73" s="769"/>
      <c r="Y73" s="769"/>
      <c r="Z73" s="769"/>
      <c r="AA73" s="769"/>
      <c r="AB73" s="769"/>
      <c r="AC73" s="769" t="s">
        <v>2978</v>
      </c>
      <c r="AD73" s="769"/>
      <c r="AE73" s="769"/>
      <c r="AF73" s="769">
        <v>5400</v>
      </c>
      <c r="AG73" s="1330">
        <v>32155.54</v>
      </c>
      <c r="AH73" s="769">
        <v>2797</v>
      </c>
      <c r="AI73" s="769">
        <v>-34</v>
      </c>
      <c r="AJ73" s="769"/>
      <c r="AK73" s="769"/>
      <c r="AL73" s="769"/>
      <c r="AM73" s="769" t="s">
        <v>2055</v>
      </c>
      <c r="AN73" s="774">
        <v>5.44</v>
      </c>
      <c r="AO73" s="769"/>
      <c r="AP73" s="769"/>
      <c r="AQ73" s="774"/>
      <c r="AR73" s="774"/>
      <c r="AS73" s="774"/>
      <c r="AT73" s="780">
        <f>+ab($T$73,$T$71,$T$75,$G$72,$G$74, 1*$F$73,1200)</f>
        <v>6.0424750664386613</v>
      </c>
      <c r="AU73" s="774"/>
      <c r="AV73" s="774"/>
      <c r="AW73" s="769"/>
      <c r="AX73" s="769"/>
      <c r="AY73" s="769"/>
      <c r="AZ73" s="532"/>
      <c r="BB73" s="1284" t="s">
        <v>3074</v>
      </c>
      <c r="BC73" s="1285" t="s">
        <v>3075</v>
      </c>
      <c r="BD73" s="1279"/>
      <c r="BE73" s="1279"/>
      <c r="BF73" s="1279"/>
    </row>
    <row r="74" spans="1:58" ht="15.75" hidden="1" customHeight="1">
      <c r="A74" s="766"/>
      <c r="B74" s="777"/>
      <c r="C74" s="1330"/>
      <c r="D74" s="769"/>
      <c r="E74" s="769"/>
      <c r="F74" s="770"/>
      <c r="G74" s="771">
        <v>44</v>
      </c>
      <c r="H74" s="772"/>
      <c r="I74" s="772"/>
      <c r="J74" s="768"/>
      <c r="K74" s="769"/>
      <c r="L74" s="769"/>
      <c r="M74" s="769"/>
      <c r="N74" s="772"/>
      <c r="O74" s="772"/>
      <c r="P74" s="781"/>
      <c r="Q74" s="769"/>
      <c r="R74" s="769"/>
      <c r="S74" s="769">
        <f t="shared" ref="S74" si="23">AG75-AG73</f>
        <v>44.069999999999709</v>
      </c>
      <c r="T74" s="769"/>
      <c r="U74" s="769"/>
      <c r="V74" s="769"/>
      <c r="W74" s="769"/>
      <c r="X74" s="769"/>
      <c r="Y74" s="769"/>
      <c r="Z74" s="769"/>
      <c r="AA74" s="769"/>
      <c r="AB74" s="769"/>
      <c r="AC74" s="769"/>
      <c r="AD74" s="769"/>
      <c r="AE74" s="769"/>
      <c r="AF74" s="769"/>
      <c r="AG74" s="1330"/>
      <c r="AH74" s="769"/>
      <c r="AI74" s="769"/>
      <c r="AJ74" s="769"/>
      <c r="AK74" s="769"/>
      <c r="AL74" s="769"/>
      <c r="AM74" s="769"/>
      <c r="AN74" s="774"/>
      <c r="AO74" s="769"/>
      <c r="AP74" s="769"/>
      <c r="AQ74" s="774">
        <f>+FL_2($T$75,$T$73,$G$74,1200,9.28, 1*$F$75)</f>
        <v>-0.35078837199999996</v>
      </c>
      <c r="AR74" s="774"/>
      <c r="AS74" s="774"/>
      <c r="AT74" s="774"/>
      <c r="AU74" s="774"/>
      <c r="AV74" s="774"/>
      <c r="AW74" s="769"/>
      <c r="AX74" s="769"/>
      <c r="AY74" s="769"/>
      <c r="AZ74" s="532"/>
      <c r="BB74" s="1284" t="s">
        <v>3076</v>
      </c>
      <c r="BC74" s="1285" t="s">
        <v>3077</v>
      </c>
      <c r="BD74" s="1279"/>
      <c r="BE74" s="1301"/>
      <c r="BF74" s="1301"/>
    </row>
    <row r="75" spans="1:58" ht="15.75" hidden="1" customHeight="1">
      <c r="A75" s="766"/>
      <c r="B75" s="777" t="s">
        <v>1698</v>
      </c>
      <c r="C75" s="1330">
        <f>+$C$73+$G$74</f>
        <v>32199.9</v>
      </c>
      <c r="D75" s="769"/>
      <c r="E75" s="769"/>
      <c r="F75" s="770">
        <v>0</v>
      </c>
      <c r="G75" s="771"/>
      <c r="H75" s="772"/>
      <c r="I75" s="775"/>
      <c r="J75" s="768"/>
      <c r="K75" s="769"/>
      <c r="L75" s="769" t="s">
        <v>1118</v>
      </c>
      <c r="M75" s="769" t="s">
        <v>2667</v>
      </c>
      <c r="N75" s="772" t="s">
        <v>144</v>
      </c>
      <c r="O75" s="772"/>
      <c r="P75" s="781"/>
      <c r="Q75" s="769">
        <v>0</v>
      </c>
      <c r="R75" s="769">
        <v>0</v>
      </c>
      <c r="S75" s="769"/>
      <c r="T75" s="769">
        <v>-35</v>
      </c>
      <c r="U75" s="769"/>
      <c r="V75" s="769"/>
      <c r="W75" s="769">
        <v>1.4</v>
      </c>
      <c r="X75" s="769"/>
      <c r="Y75" s="769"/>
      <c r="Z75" s="769"/>
      <c r="AA75" s="769"/>
      <c r="AB75" s="769"/>
      <c r="AC75" s="769" t="s">
        <v>2978</v>
      </c>
      <c r="AD75" s="769"/>
      <c r="AE75" s="769"/>
      <c r="AF75" s="769">
        <v>5400</v>
      </c>
      <c r="AG75" s="1330">
        <v>32199.61</v>
      </c>
      <c r="AH75" s="769">
        <v>2832</v>
      </c>
      <c r="AI75" s="769">
        <v>-23</v>
      </c>
      <c r="AJ75" s="769"/>
      <c r="AK75" s="769"/>
      <c r="AL75" s="769"/>
      <c r="AM75" s="769" t="s">
        <v>2055</v>
      </c>
      <c r="AN75" s="774">
        <v>5.5</v>
      </c>
      <c r="AO75" s="769"/>
      <c r="AP75" s="769"/>
      <c r="AQ75" s="774"/>
      <c r="AR75" s="774"/>
      <c r="AS75" s="774"/>
      <c r="AT75" s="774">
        <f>+ab($T$75,$T$73,$T$77,$G$74,$G$76, 1*$F$75,1200)</f>
        <v>-6.0357831474232944</v>
      </c>
      <c r="AU75" s="774"/>
      <c r="AV75" s="774"/>
      <c r="AW75" s="769"/>
      <c r="AX75" s="769"/>
      <c r="AY75" s="769"/>
      <c r="AZ75" s="532"/>
      <c r="BB75" s="1284" t="s">
        <v>3074</v>
      </c>
      <c r="BC75" s="1285" t="s">
        <v>2999</v>
      </c>
      <c r="BD75" s="1279"/>
      <c r="BE75" s="1279"/>
      <c r="BF75" s="1279"/>
    </row>
    <row r="76" spans="1:58" ht="15.75" hidden="1" customHeight="1">
      <c r="A76" s="766"/>
      <c r="B76" s="777"/>
      <c r="C76" s="1330"/>
      <c r="D76" s="769"/>
      <c r="E76" s="769"/>
      <c r="F76" s="770"/>
      <c r="G76" s="771">
        <v>44.4</v>
      </c>
      <c r="H76" s="769"/>
      <c r="I76" s="770"/>
      <c r="J76" s="768"/>
      <c r="K76" s="769"/>
      <c r="L76" s="769"/>
      <c r="M76" s="769"/>
      <c r="N76" s="772"/>
      <c r="O76" s="772"/>
      <c r="P76" s="781"/>
      <c r="Q76" s="769"/>
      <c r="R76" s="769"/>
      <c r="S76" s="769">
        <f t="shared" ref="S76" si="24">AG77-AG75</f>
        <v>44.409999999999854</v>
      </c>
      <c r="T76" s="769"/>
      <c r="U76" s="769"/>
      <c r="V76" s="769"/>
      <c r="W76" s="769"/>
      <c r="X76" s="769"/>
      <c r="Y76" s="769"/>
      <c r="Z76" s="769"/>
      <c r="AA76" s="769"/>
      <c r="AB76" s="769"/>
      <c r="AC76" s="769"/>
      <c r="AD76" s="769"/>
      <c r="AE76" s="769"/>
      <c r="AF76" s="769"/>
      <c r="AG76" s="1330"/>
      <c r="AH76" s="769"/>
      <c r="AI76" s="769"/>
      <c r="AJ76" s="769"/>
      <c r="AK76" s="769"/>
      <c r="AL76" s="769"/>
      <c r="AM76" s="769"/>
      <c r="AN76" s="774"/>
      <c r="AO76" s="769"/>
      <c r="AP76" s="769"/>
      <c r="AQ76" s="774">
        <f>+FL_1($T$77,$T$75,$G$76,1200,9.28, 1*$F$77)</f>
        <v>0.35127128529729729</v>
      </c>
      <c r="AR76" s="774"/>
      <c r="AS76" s="774"/>
      <c r="AT76" s="774"/>
      <c r="AU76" s="774"/>
      <c r="AV76" s="774"/>
      <c r="AW76" s="769"/>
      <c r="AX76" s="769"/>
      <c r="AY76" s="769"/>
      <c r="AZ76" s="532"/>
      <c r="BB76" s="1284" t="s">
        <v>3076</v>
      </c>
      <c r="BC76" s="1285" t="s">
        <v>3000</v>
      </c>
      <c r="BD76" s="1279"/>
      <c r="BE76" s="1279"/>
      <c r="BF76" s="1279"/>
    </row>
    <row r="77" spans="1:58" ht="15.75" hidden="1" customHeight="1">
      <c r="A77" s="766"/>
      <c r="B77" s="777" t="s">
        <v>1699</v>
      </c>
      <c r="C77" s="1330">
        <f>+$C$75+$G$76</f>
        <v>32244.300000000003</v>
      </c>
      <c r="D77" s="769"/>
      <c r="E77" s="769"/>
      <c r="F77" s="770">
        <v>0</v>
      </c>
      <c r="G77" s="771"/>
      <c r="H77" s="772"/>
      <c r="I77" s="772"/>
      <c r="J77" s="768"/>
      <c r="K77" s="769"/>
      <c r="L77" s="769" t="s">
        <v>1118</v>
      </c>
      <c r="M77" s="769" t="s">
        <v>2667</v>
      </c>
      <c r="N77" s="772" t="s">
        <v>145</v>
      </c>
      <c r="O77" s="772"/>
      <c r="P77" s="781"/>
      <c r="Q77" s="769">
        <v>0</v>
      </c>
      <c r="R77" s="769">
        <v>0</v>
      </c>
      <c r="S77" s="769"/>
      <c r="T77" s="769">
        <v>35</v>
      </c>
      <c r="U77" s="769"/>
      <c r="V77" s="769"/>
      <c r="W77" s="769">
        <v>1.4</v>
      </c>
      <c r="X77" s="769"/>
      <c r="Y77" s="769"/>
      <c r="Z77" s="769"/>
      <c r="AA77" s="769"/>
      <c r="AB77" s="769"/>
      <c r="AC77" s="769" t="s">
        <v>2978</v>
      </c>
      <c r="AD77" s="769"/>
      <c r="AE77" s="769"/>
      <c r="AF77" s="769">
        <v>5400</v>
      </c>
      <c r="AG77" s="1330">
        <v>32244.02</v>
      </c>
      <c r="AH77" s="769">
        <v>2827</v>
      </c>
      <c r="AI77" s="769">
        <v>-51</v>
      </c>
      <c r="AJ77" s="769"/>
      <c r="AK77" s="769"/>
      <c r="AL77" s="769"/>
      <c r="AM77" s="769" t="s">
        <v>2055</v>
      </c>
      <c r="AN77" s="774">
        <v>5.5</v>
      </c>
      <c r="AO77" s="769"/>
      <c r="AP77" s="769"/>
      <c r="AQ77" s="774"/>
      <c r="AR77" s="774"/>
      <c r="AS77" s="774"/>
      <c r="AT77" s="774">
        <f>+ab($T$77,$T$75,$T$79,$G$76,$G$78, 1*$F$77,1200)</f>
        <v>6.035766426785953</v>
      </c>
      <c r="AU77" s="774"/>
      <c r="AV77" s="774"/>
      <c r="AW77" s="769"/>
      <c r="AX77" s="769"/>
      <c r="AY77" s="769"/>
      <c r="AZ77" s="532"/>
      <c r="BB77" s="1284" t="s">
        <v>1080</v>
      </c>
      <c r="BC77" s="1285" t="s">
        <v>941</v>
      </c>
      <c r="BD77" s="1279"/>
      <c r="BE77" s="1279"/>
      <c r="BF77" s="1279"/>
    </row>
    <row r="78" spans="1:58" ht="15.75" hidden="1" customHeight="1">
      <c r="A78" s="766"/>
      <c r="B78" s="777"/>
      <c r="C78" s="1330"/>
      <c r="D78" s="769"/>
      <c r="E78" s="769"/>
      <c r="F78" s="770"/>
      <c r="G78" s="771">
        <v>44</v>
      </c>
      <c r="H78" s="772"/>
      <c r="I78" s="772"/>
      <c r="J78" s="768"/>
      <c r="K78" s="769"/>
      <c r="L78" s="769"/>
      <c r="M78" s="769"/>
      <c r="N78" s="772"/>
      <c r="O78" s="772"/>
      <c r="P78" s="781"/>
      <c r="Q78" s="769"/>
      <c r="R78" s="769"/>
      <c r="S78" s="769">
        <f t="shared" ref="S78:S82" si="25">AG79-AG77</f>
        <v>44.119999999998981</v>
      </c>
      <c r="T78" s="769"/>
      <c r="U78" s="769"/>
      <c r="V78" s="769"/>
      <c r="W78" s="769"/>
      <c r="X78" s="769"/>
      <c r="Y78" s="769"/>
      <c r="Z78" s="769"/>
      <c r="AA78" s="769"/>
      <c r="AB78" s="769"/>
      <c r="AC78" s="769"/>
      <c r="AD78" s="769"/>
      <c r="AE78" s="769"/>
      <c r="AF78" s="769"/>
      <c r="AG78" s="1330"/>
      <c r="AH78" s="769"/>
      <c r="AI78" s="769"/>
      <c r="AJ78" s="769"/>
      <c r="AK78" s="769"/>
      <c r="AL78" s="769"/>
      <c r="AM78" s="769"/>
      <c r="AN78" s="774"/>
      <c r="AO78" s="769"/>
      <c r="AP78" s="769"/>
      <c r="AQ78" s="774">
        <f>+FL_2($T$79,$T$77,$G$78,1200,9.28, 1*$F$79)</f>
        <v>-0.35078837199999996</v>
      </c>
      <c r="AR78" s="774"/>
      <c r="AS78" s="774"/>
      <c r="AT78" s="774"/>
      <c r="AU78" s="774"/>
      <c r="AV78" s="774"/>
      <c r="AW78" s="769"/>
      <c r="AX78" s="769"/>
      <c r="AY78" s="769"/>
      <c r="AZ78" s="532"/>
      <c r="BB78" s="1284" t="s">
        <v>3078</v>
      </c>
      <c r="BC78" s="1285" t="s">
        <v>3079</v>
      </c>
      <c r="BD78" s="1279"/>
      <c r="BE78" s="1279"/>
      <c r="BF78" s="1279"/>
    </row>
    <row r="79" spans="1:58" ht="15.75" hidden="1" customHeight="1" thickBot="1">
      <c r="A79" s="785"/>
      <c r="B79" s="777" t="s">
        <v>1700</v>
      </c>
      <c r="C79" s="1330">
        <f>+$C$77+$G$78</f>
        <v>32288.300000000003</v>
      </c>
      <c r="D79" s="769"/>
      <c r="E79" s="769"/>
      <c r="F79" s="770">
        <v>0</v>
      </c>
      <c r="G79" s="771"/>
      <c r="H79" s="772"/>
      <c r="I79" s="775"/>
      <c r="J79" s="768"/>
      <c r="K79" s="769"/>
      <c r="L79" s="769" t="s">
        <v>1118</v>
      </c>
      <c r="M79" s="769" t="s">
        <v>2667</v>
      </c>
      <c r="N79" s="772" t="s">
        <v>144</v>
      </c>
      <c r="O79" s="772"/>
      <c r="P79" s="781"/>
      <c r="Q79" s="769">
        <v>0</v>
      </c>
      <c r="R79" s="769">
        <v>0</v>
      </c>
      <c r="S79" s="769"/>
      <c r="T79" s="769">
        <v>-35</v>
      </c>
      <c r="U79" s="769"/>
      <c r="V79" s="769"/>
      <c r="W79" s="769">
        <v>1.4</v>
      </c>
      <c r="X79" s="769"/>
      <c r="Y79" s="769"/>
      <c r="Z79" s="769"/>
      <c r="AA79" s="769"/>
      <c r="AB79" s="769"/>
      <c r="AC79" s="769" t="s">
        <v>2978</v>
      </c>
      <c r="AD79" s="769"/>
      <c r="AE79" s="769"/>
      <c r="AF79" s="769">
        <v>5400</v>
      </c>
      <c r="AG79" s="1330">
        <v>32288.14</v>
      </c>
      <c r="AH79" s="769">
        <v>2857</v>
      </c>
      <c r="AI79" s="769">
        <v>-71</v>
      </c>
      <c r="AJ79" s="769"/>
      <c r="AK79" s="769"/>
      <c r="AL79" s="769"/>
      <c r="AM79" s="769" t="s">
        <v>2055</v>
      </c>
      <c r="AN79" s="774">
        <v>5.45</v>
      </c>
      <c r="AO79" s="769"/>
      <c r="AP79" s="769"/>
      <c r="AQ79" s="774"/>
      <c r="AR79" s="774"/>
      <c r="AS79" s="774"/>
      <c r="AT79" s="774">
        <f>+ab($T$79,$T$77,$T$81,$G$78,$G$80, 1*$F$79,1200)</f>
        <v>-6.4693012238232122</v>
      </c>
      <c r="AU79" s="774"/>
      <c r="AV79" s="774"/>
      <c r="AW79" s="769"/>
      <c r="AX79" s="769"/>
      <c r="AY79" s="769"/>
      <c r="AZ79" s="532"/>
      <c r="BB79" s="1304"/>
      <c r="BC79" s="1306"/>
      <c r="BD79" s="1279"/>
      <c r="BE79" s="1301"/>
      <c r="BF79" s="1301"/>
    </row>
    <row r="80" spans="1:58" ht="15.75" hidden="1" customHeight="1">
      <c r="A80" s="766" t="s">
        <v>2593</v>
      </c>
      <c r="B80" s="777"/>
      <c r="C80" s="1330"/>
      <c r="D80" s="769"/>
      <c r="E80" s="769"/>
      <c r="F80" s="770"/>
      <c r="G80" s="771">
        <v>47.7</v>
      </c>
      <c r="H80" s="772"/>
      <c r="I80" s="772"/>
      <c r="J80" s="768"/>
      <c r="K80" s="769"/>
      <c r="L80" s="769"/>
      <c r="M80" s="769"/>
      <c r="N80" s="772"/>
      <c r="O80" s="772"/>
      <c r="P80" s="781"/>
      <c r="Q80" s="769"/>
      <c r="R80" s="769"/>
      <c r="S80" s="769">
        <f t="shared" si="25"/>
        <v>52.200000000000728</v>
      </c>
      <c r="T80" s="769"/>
      <c r="U80" s="769"/>
      <c r="V80" s="769"/>
      <c r="W80" s="769"/>
      <c r="X80" s="769"/>
      <c r="Y80" s="769"/>
      <c r="Z80" s="769"/>
      <c r="AA80" s="769"/>
      <c r="AB80" s="769"/>
      <c r="AC80" s="769"/>
      <c r="AD80" s="769"/>
      <c r="AE80" s="769"/>
      <c r="AF80" s="769"/>
      <c r="AG80" s="1330"/>
      <c r="AH80" s="769"/>
      <c r="AI80" s="769"/>
      <c r="AJ80" s="769"/>
      <c r="AK80" s="769"/>
      <c r="AL80" s="769"/>
      <c r="AM80" s="769"/>
      <c r="AN80" s="774"/>
      <c r="AO80" s="769"/>
      <c r="AP80" s="769"/>
      <c r="AQ80" s="774">
        <f>+FL_2($T$81,$T$79,$G$80,1200,9.28, 1*$F$81)</f>
        <v>-0.36500328713626845</v>
      </c>
      <c r="AR80" s="774"/>
      <c r="AS80" s="774"/>
      <c r="AT80" s="774"/>
      <c r="AU80" s="774"/>
      <c r="AV80" s="774"/>
      <c r="AW80" s="769"/>
      <c r="AX80" s="769"/>
      <c r="AY80" s="769"/>
      <c r="AZ80" s="532"/>
    </row>
    <row r="81" spans="1:52" ht="15.75" hidden="1" customHeight="1">
      <c r="A81" s="701" t="s">
        <v>2945</v>
      </c>
      <c r="B81" s="712" t="s">
        <v>1701</v>
      </c>
      <c r="C81" s="1331">
        <f>+$C$79+$G$80</f>
        <v>32336.000000000004</v>
      </c>
      <c r="D81" s="704"/>
      <c r="E81" s="704"/>
      <c r="F81" s="705">
        <v>0</v>
      </c>
      <c r="G81" s="706"/>
      <c r="H81" s="707"/>
      <c r="I81" s="726" t="s">
        <v>2053</v>
      </c>
      <c r="J81" s="703"/>
      <c r="K81" s="719" t="s">
        <v>1102</v>
      </c>
      <c r="L81" s="704" t="s">
        <v>232</v>
      </c>
      <c r="M81" s="704" t="s">
        <v>3153</v>
      </c>
      <c r="N81" s="707" t="s">
        <v>145</v>
      </c>
      <c r="O81" s="707"/>
      <c r="P81" s="710"/>
      <c r="Q81" s="704">
        <v>0</v>
      </c>
      <c r="R81" s="704">
        <v>0</v>
      </c>
      <c r="S81" s="704"/>
      <c r="T81" s="704">
        <v>30</v>
      </c>
      <c r="U81" s="704"/>
      <c r="V81" s="704"/>
      <c r="W81" s="704">
        <v>1.4</v>
      </c>
      <c r="X81" s="704"/>
      <c r="Y81" s="704"/>
      <c r="Z81" s="704"/>
      <c r="AA81" s="704"/>
      <c r="AB81" s="704"/>
      <c r="AC81" s="704" t="s">
        <v>2978</v>
      </c>
      <c r="AD81" s="704"/>
      <c r="AE81" s="704"/>
      <c r="AF81" s="704">
        <v>4400</v>
      </c>
      <c r="AG81" s="1331">
        <v>32340.34</v>
      </c>
      <c r="AH81" s="704">
        <v>2415</v>
      </c>
      <c r="AI81" s="704">
        <v>-1026</v>
      </c>
      <c r="AJ81" s="704" t="s">
        <v>2466</v>
      </c>
      <c r="AK81" s="704"/>
      <c r="AL81" s="704"/>
      <c r="AM81" s="704" t="s">
        <v>2055</v>
      </c>
      <c r="AN81" s="711">
        <v>5.4</v>
      </c>
      <c r="AO81" s="704"/>
      <c r="AP81" s="704"/>
      <c r="AQ81" s="711"/>
      <c r="AR81" s="711"/>
      <c r="AS81" s="711"/>
      <c r="AT81" s="711">
        <f>+ab($T$81,$T$79,$T$83,$G$80,$G$82, 1*$F$81,1200)</f>
        <v>6.8420601879962293</v>
      </c>
      <c r="AU81" s="711"/>
      <c r="AV81" s="711"/>
      <c r="AW81" s="704"/>
      <c r="AX81" s="704"/>
      <c r="AY81" s="704"/>
      <c r="AZ81" s="532"/>
    </row>
    <row r="82" spans="1:52" ht="15.75" hidden="1" customHeight="1">
      <c r="A82" s="701"/>
      <c r="B82" s="712"/>
      <c r="C82" s="1331"/>
      <c r="D82" s="704"/>
      <c r="E82" s="704"/>
      <c r="F82" s="705"/>
      <c r="G82" s="706">
        <v>42</v>
      </c>
      <c r="H82" s="707"/>
      <c r="I82" s="726" t="s">
        <v>2053</v>
      </c>
      <c r="J82" s="703"/>
      <c r="K82" s="719" t="s">
        <v>1102</v>
      </c>
      <c r="L82" s="704"/>
      <c r="M82" s="704"/>
      <c r="N82" s="707"/>
      <c r="O82" s="707"/>
      <c r="P82" s="710"/>
      <c r="Q82" s="704"/>
      <c r="R82" s="704"/>
      <c r="S82" s="704">
        <f t="shared" si="25"/>
        <v>37.31000000000131</v>
      </c>
      <c r="T82" s="704"/>
      <c r="U82" s="704"/>
      <c r="V82" s="704"/>
      <c r="W82" s="704"/>
      <c r="X82" s="704"/>
      <c r="Y82" s="704"/>
      <c r="Z82" s="704"/>
      <c r="AA82" s="704"/>
      <c r="AB82" s="704"/>
      <c r="AC82" s="704"/>
      <c r="AD82" s="704"/>
      <c r="AE82" s="704"/>
      <c r="AF82" s="704"/>
      <c r="AG82" s="1331"/>
      <c r="AH82" s="704"/>
      <c r="AI82" s="704"/>
      <c r="AJ82" s="704" t="s">
        <v>2976</v>
      </c>
      <c r="AK82" s="704"/>
      <c r="AL82" s="704"/>
      <c r="AM82" s="704"/>
      <c r="AN82" s="711"/>
      <c r="AO82" s="704"/>
      <c r="AP82" s="704"/>
      <c r="AQ82" s="711">
        <f>+FL_1($T$83,$T$81,$G$82,1200,9.28, 1*$F$83)</f>
        <v>0.30246932819047623</v>
      </c>
      <c r="AR82" s="711"/>
      <c r="AS82" s="711"/>
      <c r="AT82" s="711"/>
      <c r="AU82" s="711"/>
      <c r="AV82" s="711"/>
      <c r="AW82" s="704"/>
      <c r="AX82" s="704"/>
      <c r="AY82" s="704"/>
      <c r="AZ82" s="532"/>
    </row>
    <row r="83" spans="1:52" ht="15.75" hidden="1" customHeight="1">
      <c r="A83" s="716" t="s">
        <v>2594</v>
      </c>
      <c r="B83" s="717" t="s">
        <v>1702</v>
      </c>
      <c r="C83" s="789">
        <f>+$C$81+$G$82</f>
        <v>32378.000000000004</v>
      </c>
      <c r="D83" s="719"/>
      <c r="E83" s="719"/>
      <c r="F83" s="720">
        <v>0</v>
      </c>
      <c r="G83" s="721"/>
      <c r="H83" s="726" t="s">
        <v>138</v>
      </c>
      <c r="I83" s="726" t="s">
        <v>948</v>
      </c>
      <c r="J83" s="718"/>
      <c r="K83" s="719"/>
      <c r="L83" s="719" t="s">
        <v>241</v>
      </c>
      <c r="M83" s="719"/>
      <c r="N83" s="726" t="s">
        <v>695</v>
      </c>
      <c r="O83" s="726"/>
      <c r="P83" s="731"/>
      <c r="Q83" s="719">
        <v>0</v>
      </c>
      <c r="R83" s="719">
        <v>0</v>
      </c>
      <c r="S83" s="719"/>
      <c r="T83" s="719">
        <v>-30</v>
      </c>
      <c r="U83" s="719"/>
      <c r="V83" s="719"/>
      <c r="W83" s="719">
        <v>1.1000000000000001</v>
      </c>
      <c r="X83" s="719"/>
      <c r="Y83" s="719"/>
      <c r="Z83" s="719"/>
      <c r="AA83" s="719"/>
      <c r="AB83" s="719"/>
      <c r="AC83" s="719" t="s">
        <v>2977</v>
      </c>
      <c r="AD83" s="719"/>
      <c r="AE83" s="719"/>
      <c r="AF83" s="719">
        <v>300</v>
      </c>
      <c r="AG83" s="789">
        <v>32377.65</v>
      </c>
      <c r="AH83" s="719">
        <v>1432</v>
      </c>
      <c r="AI83" s="719">
        <v>-5010</v>
      </c>
      <c r="AJ83" s="719"/>
      <c r="AK83" s="719"/>
      <c r="AL83" s="719"/>
      <c r="AM83" s="719" t="s">
        <v>2608</v>
      </c>
      <c r="AN83" s="724">
        <v>5.33</v>
      </c>
      <c r="AO83" s="719"/>
      <c r="AP83" s="719"/>
      <c r="AQ83" s="724"/>
      <c r="AR83" s="724"/>
      <c r="AS83" s="724"/>
      <c r="AT83" s="724">
        <f>+ab($T$83,$T$81,$T$85,$G$82,$G$84, 1*$F$83,1200)</f>
        <v>-6.8123056702640987</v>
      </c>
      <c r="AU83" s="724"/>
      <c r="AV83" s="724"/>
      <c r="AW83" s="719"/>
      <c r="AX83" s="719"/>
      <c r="AY83" s="719"/>
      <c r="AZ83" s="532"/>
    </row>
    <row r="84" spans="1:52" ht="15.75" hidden="1" customHeight="1">
      <c r="A84" s="716"/>
      <c r="B84" s="717"/>
      <c r="C84" s="789"/>
      <c r="D84" s="719"/>
      <c r="E84" s="719"/>
      <c r="F84" s="720"/>
      <c r="G84" s="721">
        <v>40</v>
      </c>
      <c r="H84" s="719"/>
      <c r="I84" s="722"/>
      <c r="J84" s="718">
        <f>C83+10</f>
        <v>32388.000000000004</v>
      </c>
      <c r="K84" s="719" t="s">
        <v>1097</v>
      </c>
      <c r="L84" s="719"/>
      <c r="M84" s="719"/>
      <c r="N84" s="726"/>
      <c r="O84" s="726"/>
      <c r="P84" s="731"/>
      <c r="Q84" s="719"/>
      <c r="R84" s="719"/>
      <c r="S84" s="724">
        <f>AG85-AG83</f>
        <v>34.680000000000291</v>
      </c>
      <c r="T84" s="719"/>
      <c r="U84" s="719"/>
      <c r="V84" s="719"/>
      <c r="W84" s="719"/>
      <c r="X84" s="719"/>
      <c r="Y84" s="719"/>
      <c r="Z84" s="719"/>
      <c r="AA84" s="719"/>
      <c r="AB84" s="719"/>
      <c r="AC84" s="719"/>
      <c r="AD84" s="719"/>
      <c r="AE84" s="719"/>
      <c r="AF84" s="719"/>
      <c r="AG84" s="789"/>
      <c r="AH84" s="719"/>
      <c r="AI84" s="719"/>
      <c r="AJ84" s="719"/>
      <c r="AK84" s="719"/>
      <c r="AL84" s="719"/>
      <c r="AM84" s="719"/>
      <c r="AN84" s="724"/>
      <c r="AO84" s="719"/>
      <c r="AP84" s="719"/>
      <c r="AQ84" s="724">
        <f>+FL_2($U$85,$T$83,$G$84,1200,9.28, 1*$F$85)</f>
        <v>-0.32916827466666665</v>
      </c>
      <c r="AR84" s="724"/>
      <c r="AS84" s="724"/>
      <c r="AT84" s="724"/>
      <c r="AU84" s="724"/>
      <c r="AV84" s="724"/>
      <c r="AW84" s="719"/>
      <c r="AX84" s="719"/>
      <c r="AY84" s="719"/>
      <c r="AZ84" s="532"/>
    </row>
    <row r="85" spans="1:52" ht="15.75" hidden="1" customHeight="1">
      <c r="A85" s="716" t="s">
        <v>677</v>
      </c>
      <c r="B85" s="717" t="s">
        <v>1703</v>
      </c>
      <c r="C85" s="789">
        <f>+$C$83+$G$84</f>
        <v>32418.000000000004</v>
      </c>
      <c r="D85" s="719"/>
      <c r="E85" s="719"/>
      <c r="F85" s="720">
        <v>0</v>
      </c>
      <c r="G85" s="721"/>
      <c r="H85" s="726" t="s">
        <v>668</v>
      </c>
      <c r="I85" s="722"/>
      <c r="J85" s="718"/>
      <c r="K85" s="719"/>
      <c r="L85" s="719" t="s">
        <v>465</v>
      </c>
      <c r="M85" s="719"/>
      <c r="N85" s="726" t="s">
        <v>697</v>
      </c>
      <c r="O85" s="726" t="s">
        <v>696</v>
      </c>
      <c r="P85" s="731"/>
      <c r="Q85" s="719">
        <v>0</v>
      </c>
      <c r="R85" s="719">
        <v>0</v>
      </c>
      <c r="S85" s="724">
        <f>AG86-AG85</f>
        <v>3.2099999999991269</v>
      </c>
      <c r="T85" s="719">
        <v>25</v>
      </c>
      <c r="U85" s="719">
        <v>5</v>
      </c>
      <c r="V85" s="719"/>
      <c r="W85" s="719">
        <v>1.1000000000000001</v>
      </c>
      <c r="X85" s="719">
        <v>1.2</v>
      </c>
      <c r="Y85" s="719"/>
      <c r="Z85" s="719">
        <v>0.45</v>
      </c>
      <c r="AA85" s="719"/>
      <c r="AB85" s="719"/>
      <c r="AC85" s="719"/>
      <c r="AD85" s="719" t="s">
        <v>2614</v>
      </c>
      <c r="AE85" s="719"/>
      <c r="AF85" s="719">
        <v>200</v>
      </c>
      <c r="AG85" s="789">
        <v>32412.33</v>
      </c>
      <c r="AH85" s="719">
        <v>1426</v>
      </c>
      <c r="AI85" s="719">
        <v>-5165</v>
      </c>
      <c r="AJ85" s="719"/>
      <c r="AK85" s="719"/>
      <c r="AL85" s="719"/>
      <c r="AM85" s="719" t="s">
        <v>2608</v>
      </c>
      <c r="AN85" s="724">
        <v>5.27</v>
      </c>
      <c r="AO85" s="719"/>
      <c r="AP85" s="719"/>
      <c r="AQ85" s="724"/>
      <c r="AR85" s="724"/>
      <c r="AS85" s="724"/>
      <c r="AT85" s="724">
        <f>+ab($U$85,$T$83,$U$87,$G$84,$G$86, 1*$F$85,1200)</f>
        <v>12.792725118347292</v>
      </c>
      <c r="AU85" s="724"/>
      <c r="AV85" s="724"/>
      <c r="AW85" s="719"/>
      <c r="AX85" s="719"/>
      <c r="AY85" s="719"/>
      <c r="AZ85" s="532"/>
    </row>
    <row r="86" spans="1:52" ht="15.75" hidden="1" customHeight="1">
      <c r="A86" s="716"/>
      <c r="B86" s="717"/>
      <c r="C86" s="789"/>
      <c r="D86" s="719"/>
      <c r="E86" s="719"/>
      <c r="F86" s="720"/>
      <c r="G86" s="721">
        <v>50</v>
      </c>
      <c r="H86" s="726"/>
      <c r="I86" s="722"/>
      <c r="J86" s="718"/>
      <c r="K86" s="719"/>
      <c r="L86" s="719"/>
      <c r="M86" s="719"/>
      <c r="N86" s="726"/>
      <c r="O86" s="726"/>
      <c r="P86" s="731"/>
      <c r="Q86" s="719"/>
      <c r="R86" s="719"/>
      <c r="S86" s="724">
        <f t="shared" ref="S86:S88" si="26">AG87-AG86</f>
        <v>49.659999999999854</v>
      </c>
      <c r="T86" s="719"/>
      <c r="U86" s="719"/>
      <c r="V86" s="719"/>
      <c r="W86" s="719"/>
      <c r="X86" s="719"/>
      <c r="Y86" s="719"/>
      <c r="Z86" s="719"/>
      <c r="AA86" s="719"/>
      <c r="AB86" s="719"/>
      <c r="AC86" s="719"/>
      <c r="AD86" s="719"/>
      <c r="AE86" s="719"/>
      <c r="AF86" s="719"/>
      <c r="AG86" s="789">
        <v>32415.54</v>
      </c>
      <c r="AH86" s="719">
        <v>1430</v>
      </c>
      <c r="AI86" s="719">
        <v>-5155</v>
      </c>
      <c r="AJ86" s="719"/>
      <c r="AK86" s="719"/>
      <c r="AL86" s="719"/>
      <c r="AM86" s="719"/>
      <c r="AN86" s="719"/>
      <c r="AO86" s="719"/>
      <c r="AP86" s="719"/>
      <c r="AQ86" s="724">
        <f>+FL_2($T$87,$U$85,$G$86,1200,9.28, 1*$F$87)</f>
        <v>-0.24425286799999996</v>
      </c>
      <c r="AR86" s="724"/>
      <c r="AS86" s="724"/>
      <c r="AT86" s="724"/>
      <c r="AU86" s="724"/>
      <c r="AV86" s="724"/>
      <c r="AW86" s="719"/>
      <c r="AX86" s="719"/>
      <c r="AY86" s="719"/>
      <c r="AZ86" s="532"/>
    </row>
    <row r="87" spans="1:52" ht="15.75" hidden="1" customHeight="1">
      <c r="A87" s="716" t="s">
        <v>677</v>
      </c>
      <c r="B87" s="717" t="s">
        <v>1704</v>
      </c>
      <c r="C87" s="789">
        <f>+$C$85+$G$86</f>
        <v>32468.000000000004</v>
      </c>
      <c r="D87" s="719"/>
      <c r="E87" s="719"/>
      <c r="F87" s="720">
        <v>0</v>
      </c>
      <c r="G87" s="721"/>
      <c r="H87" s="726" t="s">
        <v>668</v>
      </c>
      <c r="I87" s="722"/>
      <c r="J87" s="718"/>
      <c r="K87" s="719"/>
      <c r="L87" s="719" t="s">
        <v>465</v>
      </c>
      <c r="M87" s="719"/>
      <c r="N87" s="726" t="s">
        <v>695</v>
      </c>
      <c r="O87" s="726" t="s">
        <v>697</v>
      </c>
      <c r="P87" s="731"/>
      <c r="Q87" s="719">
        <v>0</v>
      </c>
      <c r="R87" s="719">
        <v>0</v>
      </c>
      <c r="S87" s="724">
        <f t="shared" si="26"/>
        <v>3.1499999999978172</v>
      </c>
      <c r="T87" s="719">
        <v>-5</v>
      </c>
      <c r="U87" s="719">
        <v>-25</v>
      </c>
      <c r="V87" s="719"/>
      <c r="W87" s="719">
        <v>1.1000000000000001</v>
      </c>
      <c r="X87" s="719">
        <v>1.2</v>
      </c>
      <c r="Y87" s="719"/>
      <c r="Z87" s="719"/>
      <c r="AA87" s="719">
        <v>0.45</v>
      </c>
      <c r="AB87" s="719"/>
      <c r="AC87" s="719" t="s">
        <v>2613</v>
      </c>
      <c r="AD87" s="719"/>
      <c r="AE87" s="719"/>
      <c r="AF87" s="719">
        <v>200</v>
      </c>
      <c r="AG87" s="789">
        <v>32465.200000000001</v>
      </c>
      <c r="AH87" s="719">
        <v>1448</v>
      </c>
      <c r="AI87" s="719">
        <v>-5199</v>
      </c>
      <c r="AJ87" s="719"/>
      <c r="AK87" s="719"/>
      <c r="AL87" s="719"/>
      <c r="AM87" s="719" t="s">
        <v>2608</v>
      </c>
      <c r="AN87" s="719">
        <v>5.25</v>
      </c>
      <c r="AO87" s="719"/>
      <c r="AP87" s="719"/>
      <c r="AQ87" s="724"/>
      <c r="AR87" s="724"/>
      <c r="AS87" s="724"/>
      <c r="AT87" s="724">
        <f>+ab($T$87,$T$85,$T$89,$G$86,$G$88, 1*$F$87,1200)</f>
        <v>-14.446873203935258</v>
      </c>
      <c r="AU87" s="724"/>
      <c r="AV87" s="724"/>
      <c r="AW87" s="719"/>
      <c r="AX87" s="719"/>
      <c r="AY87" s="719"/>
      <c r="AZ87" s="532"/>
    </row>
    <row r="88" spans="1:52" ht="15.75" hidden="1" customHeight="1">
      <c r="A88" s="716"/>
      <c r="B88" s="717"/>
      <c r="C88" s="789"/>
      <c r="D88" s="719"/>
      <c r="E88" s="719"/>
      <c r="F88" s="720"/>
      <c r="G88" s="721">
        <v>50</v>
      </c>
      <c r="H88" s="726"/>
      <c r="I88" s="722"/>
      <c r="J88" s="718">
        <f>C89-10</f>
        <v>32508.000000000004</v>
      </c>
      <c r="K88" s="719" t="s">
        <v>1097</v>
      </c>
      <c r="L88" s="719"/>
      <c r="M88" s="719"/>
      <c r="N88" s="726"/>
      <c r="O88" s="726"/>
      <c r="P88" s="731"/>
      <c r="Q88" s="719"/>
      <c r="R88" s="719"/>
      <c r="S88" s="724">
        <f t="shared" si="26"/>
        <v>48.140000000003056</v>
      </c>
      <c r="T88" s="719"/>
      <c r="U88" s="719"/>
      <c r="V88" s="719"/>
      <c r="W88" s="719"/>
      <c r="X88" s="719"/>
      <c r="Y88" s="719"/>
      <c r="Z88" s="719"/>
      <c r="AA88" s="719"/>
      <c r="AB88" s="719"/>
      <c r="AC88" s="719"/>
      <c r="AD88" s="719"/>
      <c r="AE88" s="719"/>
      <c r="AF88" s="719"/>
      <c r="AG88" s="789">
        <v>32468.35</v>
      </c>
      <c r="AH88" s="719">
        <v>1466</v>
      </c>
      <c r="AI88" s="719">
        <v>-5189</v>
      </c>
      <c r="AJ88" s="719"/>
      <c r="AK88" s="719"/>
      <c r="AL88" s="719"/>
      <c r="AM88" s="719"/>
      <c r="AN88" s="719"/>
      <c r="AO88" s="719"/>
      <c r="AP88" s="719"/>
      <c r="AQ88" s="724">
        <f>+FL_1($T$89,$T$87,$G$88,1200,9.28, 1*$F$89)</f>
        <v>0.39834769999999997</v>
      </c>
      <c r="AR88" s="724"/>
      <c r="AS88" s="724"/>
      <c r="AT88" s="724"/>
      <c r="AU88" s="724"/>
      <c r="AV88" s="724"/>
      <c r="AW88" s="719"/>
      <c r="AX88" s="719"/>
      <c r="AY88" s="719"/>
      <c r="AZ88" s="532"/>
    </row>
    <row r="89" spans="1:52" ht="15.75" hidden="1" customHeight="1">
      <c r="A89" s="716" t="s">
        <v>677</v>
      </c>
      <c r="B89" s="717" t="s">
        <v>1705</v>
      </c>
      <c r="C89" s="789">
        <f>+$C$87+$G$88</f>
        <v>32518.000000000004</v>
      </c>
      <c r="D89" s="719"/>
      <c r="E89" s="719"/>
      <c r="F89" s="720">
        <v>0</v>
      </c>
      <c r="G89" s="721"/>
      <c r="H89" s="726" t="s">
        <v>138</v>
      </c>
      <c r="I89" s="722" t="s">
        <v>948</v>
      </c>
      <c r="J89" s="718"/>
      <c r="K89" s="719"/>
      <c r="L89" s="719" t="s">
        <v>241</v>
      </c>
      <c r="M89" s="719"/>
      <c r="N89" s="726" t="s">
        <v>696</v>
      </c>
      <c r="O89" s="726"/>
      <c r="P89" s="731"/>
      <c r="Q89" s="719">
        <v>0</v>
      </c>
      <c r="R89" s="719">
        <v>0</v>
      </c>
      <c r="S89" s="719"/>
      <c r="T89" s="719">
        <v>30</v>
      </c>
      <c r="U89" s="719"/>
      <c r="V89" s="719"/>
      <c r="W89" s="719">
        <v>1.1000000000000001</v>
      </c>
      <c r="X89" s="719"/>
      <c r="Y89" s="719"/>
      <c r="Z89" s="719"/>
      <c r="AA89" s="719"/>
      <c r="AB89" s="719"/>
      <c r="AC89" s="719" t="s">
        <v>2612</v>
      </c>
      <c r="AD89" s="719"/>
      <c r="AE89" s="719"/>
      <c r="AF89" s="719">
        <v>200</v>
      </c>
      <c r="AG89" s="789">
        <v>32516.49</v>
      </c>
      <c r="AH89" s="719">
        <v>1425</v>
      </c>
      <c r="AI89" s="719">
        <v>-5127</v>
      </c>
      <c r="AJ89" s="719"/>
      <c r="AK89" s="719"/>
      <c r="AL89" s="719"/>
      <c r="AM89" s="719" t="s">
        <v>2608</v>
      </c>
      <c r="AN89" s="719">
        <v>5.25</v>
      </c>
      <c r="AO89" s="719"/>
      <c r="AP89" s="719"/>
      <c r="AQ89" s="724"/>
      <c r="AR89" s="724"/>
      <c r="AS89" s="724"/>
      <c r="AT89" s="724">
        <f>+ab($T$89,$T$87,$T$91,$G$88,$G$90, 1*$F$89,1200)</f>
        <v>9.9968917440918084</v>
      </c>
      <c r="AU89" s="724"/>
      <c r="AV89" s="724"/>
      <c r="AW89" s="719"/>
      <c r="AX89" s="719"/>
      <c r="AY89" s="719"/>
      <c r="AZ89" s="532"/>
    </row>
    <row r="90" spans="1:52" ht="15.75" hidden="1" customHeight="1">
      <c r="A90" s="716"/>
      <c r="B90" s="717"/>
      <c r="C90" s="789"/>
      <c r="D90" s="719"/>
      <c r="E90" s="719"/>
      <c r="F90" s="720"/>
      <c r="G90" s="721">
        <v>50</v>
      </c>
      <c r="H90" s="726"/>
      <c r="I90" s="722"/>
      <c r="J90" s="718"/>
      <c r="K90" s="719"/>
      <c r="L90" s="719"/>
      <c r="M90" s="719"/>
      <c r="N90" s="726"/>
      <c r="O90" s="726"/>
      <c r="P90" s="731"/>
      <c r="Q90" s="719"/>
      <c r="R90" s="719"/>
      <c r="S90" s="724">
        <f t="shared" ref="S90" si="27">AG91-AG89</f>
        <v>51.19999999999709</v>
      </c>
      <c r="T90" s="719"/>
      <c r="U90" s="719"/>
      <c r="V90" s="719"/>
      <c r="W90" s="719"/>
      <c r="X90" s="719"/>
      <c r="Y90" s="719"/>
      <c r="Z90" s="719"/>
      <c r="AA90" s="719"/>
      <c r="AB90" s="719"/>
      <c r="AC90" s="719"/>
      <c r="AD90" s="719"/>
      <c r="AE90" s="719"/>
      <c r="AF90" s="719"/>
      <c r="AG90" s="789"/>
      <c r="AH90" s="719"/>
      <c r="AI90" s="719"/>
      <c r="AJ90" s="719"/>
      <c r="AK90" s="719"/>
      <c r="AL90" s="719"/>
      <c r="AM90" s="719"/>
      <c r="AN90" s="719"/>
      <c r="AO90" s="719"/>
      <c r="AP90" s="719"/>
      <c r="AQ90" s="724">
        <f>+FL_2($T$91,$T$89,$G$90,1200,9.28, 1*$F$91)</f>
        <v>-0.33477011200000001</v>
      </c>
      <c r="AR90" s="724"/>
      <c r="AS90" s="724"/>
      <c r="AT90" s="724"/>
      <c r="AU90" s="724"/>
      <c r="AV90" s="724"/>
      <c r="AW90" s="719"/>
      <c r="AX90" s="719"/>
      <c r="AY90" s="719"/>
      <c r="AZ90" s="532"/>
    </row>
    <row r="91" spans="1:52" ht="15.75" hidden="1" customHeight="1">
      <c r="A91" s="716" t="s">
        <v>677</v>
      </c>
      <c r="B91" s="717" t="s">
        <v>1706</v>
      </c>
      <c r="C91" s="789">
        <f>+$C$89+$G$90</f>
        <v>32568.000000000004</v>
      </c>
      <c r="D91" s="719"/>
      <c r="E91" s="719"/>
      <c r="F91" s="720">
        <v>0</v>
      </c>
      <c r="G91" s="721"/>
      <c r="H91" s="726"/>
      <c r="I91" s="726"/>
      <c r="J91" s="718"/>
      <c r="K91" s="719"/>
      <c r="L91" s="719" t="s">
        <v>241</v>
      </c>
      <c r="M91" s="719"/>
      <c r="N91" s="726" t="s">
        <v>695</v>
      </c>
      <c r="O91" s="726"/>
      <c r="P91" s="731"/>
      <c r="Q91" s="719">
        <v>0</v>
      </c>
      <c r="R91" s="719">
        <v>0</v>
      </c>
      <c r="S91" s="719"/>
      <c r="T91" s="719">
        <v>-30</v>
      </c>
      <c r="U91" s="719"/>
      <c r="V91" s="719"/>
      <c r="W91" s="719">
        <v>1.1000000000000001</v>
      </c>
      <c r="X91" s="719"/>
      <c r="Y91" s="719"/>
      <c r="Z91" s="719"/>
      <c r="AA91" s="719"/>
      <c r="AB91" s="719"/>
      <c r="AC91" s="719" t="s">
        <v>2979</v>
      </c>
      <c r="AD91" s="719"/>
      <c r="AE91" s="719"/>
      <c r="AF91" s="719">
        <v>200</v>
      </c>
      <c r="AG91" s="789">
        <v>32567.69</v>
      </c>
      <c r="AH91" s="719">
        <v>1411</v>
      </c>
      <c r="AI91" s="719">
        <v>-5156</v>
      </c>
      <c r="AJ91" s="719"/>
      <c r="AK91" s="719"/>
      <c r="AL91" s="719"/>
      <c r="AM91" s="719" t="s">
        <v>2608</v>
      </c>
      <c r="AN91" s="719">
        <v>5.25</v>
      </c>
      <c r="AO91" s="719"/>
      <c r="AP91" s="719"/>
      <c r="AQ91" s="724"/>
      <c r="AR91" s="724"/>
      <c r="AS91" s="724"/>
      <c r="AT91" s="724">
        <f>+ab($T$91,$T$89,$T$93,$G$90,$G$92, 1*$F$91,1200)</f>
        <v>-7.9442410717051439</v>
      </c>
      <c r="AU91" s="724"/>
      <c r="AV91" s="724"/>
      <c r="AW91" s="719"/>
      <c r="AX91" s="719"/>
      <c r="AY91" s="719"/>
      <c r="AZ91" s="532"/>
    </row>
    <row r="92" spans="1:52" ht="15.75" hidden="1" customHeight="1">
      <c r="A92" s="716"/>
      <c r="B92" s="717"/>
      <c r="C92" s="789"/>
      <c r="D92" s="719"/>
      <c r="E92" s="719"/>
      <c r="F92" s="720"/>
      <c r="G92" s="721">
        <v>50</v>
      </c>
      <c r="H92" s="726"/>
      <c r="I92" s="726"/>
      <c r="J92" s="718"/>
      <c r="K92" s="719"/>
      <c r="L92" s="719"/>
      <c r="M92" s="719"/>
      <c r="N92" s="726"/>
      <c r="O92" s="726"/>
      <c r="P92" s="731"/>
      <c r="Q92" s="719"/>
      <c r="R92" s="719"/>
      <c r="S92" s="724">
        <f t="shared" ref="S92" si="28">AG93-AG91</f>
        <v>51.260000000002037</v>
      </c>
      <c r="T92" s="719"/>
      <c r="U92" s="719"/>
      <c r="V92" s="719"/>
      <c r="W92" s="719"/>
      <c r="X92" s="719"/>
      <c r="Y92" s="719"/>
      <c r="Z92" s="719"/>
      <c r="AA92" s="719"/>
      <c r="AB92" s="719"/>
      <c r="AC92" s="719"/>
      <c r="AD92" s="719"/>
      <c r="AE92" s="719"/>
      <c r="AF92" s="719"/>
      <c r="AG92" s="789"/>
      <c r="AH92" s="719"/>
      <c r="AI92" s="719"/>
      <c r="AJ92" s="719"/>
      <c r="AK92" s="719"/>
      <c r="AL92" s="719"/>
      <c r="AM92" s="719"/>
      <c r="AN92" s="719"/>
      <c r="AO92" s="719"/>
      <c r="AP92" s="719"/>
      <c r="AQ92" s="724">
        <f>+FL_1($T$93,$T$91,$G$92,1200,9.28, 1*$F$93)</f>
        <v>0.33477011200000001</v>
      </c>
      <c r="AR92" s="724"/>
      <c r="AS92" s="724"/>
      <c r="AT92" s="724"/>
      <c r="AU92" s="724"/>
      <c r="AV92" s="724"/>
      <c r="AW92" s="719"/>
      <c r="AX92" s="719"/>
      <c r="AY92" s="719"/>
      <c r="AZ92" s="532"/>
    </row>
    <row r="93" spans="1:52" ht="15.75" hidden="1" customHeight="1">
      <c r="A93" s="716" t="s">
        <v>677</v>
      </c>
      <c r="B93" s="717" t="s">
        <v>1707</v>
      </c>
      <c r="C93" s="789">
        <f>+$C$91+$G$92</f>
        <v>32618.000000000004</v>
      </c>
      <c r="D93" s="719"/>
      <c r="E93" s="719"/>
      <c r="F93" s="720">
        <v>0</v>
      </c>
      <c r="G93" s="721"/>
      <c r="H93" s="726"/>
      <c r="I93" s="726"/>
      <c r="J93" s="718"/>
      <c r="K93" s="719"/>
      <c r="L93" s="719" t="s">
        <v>241</v>
      </c>
      <c r="M93" s="719"/>
      <c r="N93" s="726" t="s">
        <v>696</v>
      </c>
      <c r="O93" s="726"/>
      <c r="P93" s="731"/>
      <c r="Q93" s="719">
        <v>0</v>
      </c>
      <c r="R93" s="719">
        <v>0</v>
      </c>
      <c r="S93" s="719"/>
      <c r="T93" s="719">
        <v>30</v>
      </c>
      <c r="U93" s="719"/>
      <c r="V93" s="719"/>
      <c r="W93" s="719">
        <v>1.1000000000000001</v>
      </c>
      <c r="X93" s="719"/>
      <c r="Y93" s="719"/>
      <c r="Z93" s="719"/>
      <c r="AA93" s="719"/>
      <c r="AB93" s="719"/>
      <c r="AC93" s="719" t="s">
        <v>2977</v>
      </c>
      <c r="AD93" s="719"/>
      <c r="AE93" s="719"/>
      <c r="AF93" s="719">
        <v>200</v>
      </c>
      <c r="AG93" s="789">
        <v>32618.95</v>
      </c>
      <c r="AH93" s="719">
        <v>1406</v>
      </c>
      <c r="AI93" s="719">
        <v>-5181</v>
      </c>
      <c r="AJ93" s="719"/>
      <c r="AK93" s="719"/>
      <c r="AL93" s="719"/>
      <c r="AM93" s="719" t="s">
        <v>2608</v>
      </c>
      <c r="AN93" s="719">
        <v>5.25</v>
      </c>
      <c r="AO93" s="719"/>
      <c r="AP93" s="719"/>
      <c r="AQ93" s="724"/>
      <c r="AR93" s="724"/>
      <c r="AS93" s="724"/>
      <c r="AT93" s="724">
        <f>+ab($T$93,$T$91,$T$95,$G$92,$G$94, 1*$F$93,1200)</f>
        <v>7.9442083933778509</v>
      </c>
      <c r="AU93" s="724"/>
      <c r="AV93" s="724"/>
      <c r="AW93" s="719"/>
      <c r="AX93" s="719"/>
      <c r="AY93" s="719"/>
      <c r="AZ93" s="532"/>
    </row>
    <row r="94" spans="1:52" ht="15.75" hidden="1" customHeight="1">
      <c r="A94" s="716"/>
      <c r="B94" s="717"/>
      <c r="C94" s="789"/>
      <c r="D94" s="719"/>
      <c r="E94" s="719"/>
      <c r="F94" s="720"/>
      <c r="G94" s="721">
        <v>50</v>
      </c>
      <c r="H94" s="726"/>
      <c r="I94" s="726"/>
      <c r="J94" s="718"/>
      <c r="K94" s="719"/>
      <c r="L94" s="719"/>
      <c r="M94" s="719"/>
      <c r="N94" s="726"/>
      <c r="O94" s="726"/>
      <c r="P94" s="731"/>
      <c r="Q94" s="719"/>
      <c r="R94" s="719"/>
      <c r="S94" s="724">
        <f t="shared" ref="S94" si="29">AG95-AG93</f>
        <v>48.009999999998399</v>
      </c>
      <c r="T94" s="719"/>
      <c r="U94" s="719"/>
      <c r="V94" s="719"/>
      <c r="W94" s="719"/>
      <c r="X94" s="719"/>
      <c r="Y94" s="719"/>
      <c r="Z94" s="719"/>
      <c r="AA94" s="719"/>
      <c r="AB94" s="719"/>
      <c r="AC94" s="719"/>
      <c r="AD94" s="719"/>
      <c r="AE94" s="719"/>
      <c r="AF94" s="719"/>
      <c r="AG94" s="789"/>
      <c r="AH94" s="719"/>
      <c r="AI94" s="719"/>
      <c r="AJ94" s="719"/>
      <c r="AK94" s="719"/>
      <c r="AL94" s="719"/>
      <c r="AM94" s="719"/>
      <c r="AN94" s="719"/>
      <c r="AO94" s="719"/>
      <c r="AP94" s="719"/>
      <c r="AQ94" s="724">
        <f>+FL_2($T$95,$T$93,$G$94,1200,9.28, 1*$F$95)</f>
        <v>-0.33477011200000001</v>
      </c>
      <c r="AR94" s="724"/>
      <c r="AS94" s="724"/>
      <c r="AT94" s="724"/>
      <c r="AU94" s="724"/>
      <c r="AV94" s="724"/>
      <c r="AW94" s="719"/>
      <c r="AX94" s="719"/>
      <c r="AY94" s="719"/>
      <c r="AZ94" s="532"/>
    </row>
    <row r="95" spans="1:52" ht="15.75" hidden="1" customHeight="1">
      <c r="A95" s="716" t="s">
        <v>677</v>
      </c>
      <c r="B95" s="717" t="s">
        <v>1708</v>
      </c>
      <c r="C95" s="789">
        <f>+$C$93+$G$94</f>
        <v>32668.000000000004</v>
      </c>
      <c r="D95" s="719"/>
      <c r="E95" s="719"/>
      <c r="F95" s="720">
        <v>0</v>
      </c>
      <c r="G95" s="721"/>
      <c r="H95" s="726"/>
      <c r="I95" s="726"/>
      <c r="J95" s="718"/>
      <c r="K95" s="719"/>
      <c r="L95" s="719" t="s">
        <v>241</v>
      </c>
      <c r="M95" s="719"/>
      <c r="N95" s="726" t="s">
        <v>695</v>
      </c>
      <c r="O95" s="726"/>
      <c r="P95" s="731"/>
      <c r="Q95" s="719">
        <v>0</v>
      </c>
      <c r="R95" s="719">
        <v>0</v>
      </c>
      <c r="S95" s="719"/>
      <c r="T95" s="719">
        <v>-30</v>
      </c>
      <c r="U95" s="719"/>
      <c r="V95" s="719"/>
      <c r="W95" s="719">
        <v>1.1000000000000001</v>
      </c>
      <c r="X95" s="719"/>
      <c r="Y95" s="719"/>
      <c r="Z95" s="719"/>
      <c r="AA95" s="719"/>
      <c r="AB95" s="719"/>
      <c r="AC95" s="719" t="s">
        <v>2979</v>
      </c>
      <c r="AD95" s="719"/>
      <c r="AE95" s="719"/>
      <c r="AF95" s="719">
        <v>200</v>
      </c>
      <c r="AG95" s="789">
        <v>32666.959999999999</v>
      </c>
      <c r="AH95" s="719">
        <v>1407</v>
      </c>
      <c r="AI95" s="719">
        <v>-5128</v>
      </c>
      <c r="AJ95" s="719"/>
      <c r="AK95" s="719"/>
      <c r="AL95" s="719"/>
      <c r="AM95" s="719" t="s">
        <v>2608</v>
      </c>
      <c r="AN95" s="719">
        <v>5.25</v>
      </c>
      <c r="AO95" s="719"/>
      <c r="AP95" s="719"/>
      <c r="AQ95" s="724"/>
      <c r="AR95" s="724"/>
      <c r="AS95" s="724"/>
      <c r="AT95" s="724">
        <f>+ab($T$95,$T$93,$T$97,$G$94,$G$96, 1*$F$95,1200)</f>
        <v>-7.9442410717051439</v>
      </c>
      <c r="AU95" s="724"/>
      <c r="AV95" s="724"/>
      <c r="AW95" s="719"/>
      <c r="AX95" s="719"/>
      <c r="AY95" s="719"/>
      <c r="AZ95" s="532"/>
    </row>
    <row r="96" spans="1:52" ht="15.75" hidden="1" customHeight="1">
      <c r="A96" s="716"/>
      <c r="B96" s="717"/>
      <c r="C96" s="789"/>
      <c r="D96" s="719"/>
      <c r="E96" s="719"/>
      <c r="F96" s="720"/>
      <c r="G96" s="721">
        <v>50</v>
      </c>
      <c r="H96" s="726"/>
      <c r="I96" s="726"/>
      <c r="J96" s="718"/>
      <c r="K96" s="719"/>
      <c r="L96" s="719"/>
      <c r="M96" s="719"/>
      <c r="N96" s="726"/>
      <c r="O96" s="726"/>
      <c r="P96" s="731"/>
      <c r="Q96" s="719"/>
      <c r="R96" s="719"/>
      <c r="S96" s="724">
        <f t="shared" ref="S96" si="30">AG97-AG95</f>
        <v>51.170000000001892</v>
      </c>
      <c r="T96" s="719"/>
      <c r="U96" s="719"/>
      <c r="V96" s="719"/>
      <c r="W96" s="719"/>
      <c r="X96" s="719"/>
      <c r="Y96" s="719"/>
      <c r="Z96" s="719"/>
      <c r="AA96" s="719"/>
      <c r="AB96" s="719"/>
      <c r="AC96" s="719"/>
      <c r="AD96" s="719"/>
      <c r="AE96" s="719"/>
      <c r="AF96" s="719"/>
      <c r="AG96" s="789"/>
      <c r="AH96" s="719"/>
      <c r="AI96" s="719"/>
      <c r="AJ96" s="719"/>
      <c r="AK96" s="719"/>
      <c r="AL96" s="719"/>
      <c r="AM96" s="719"/>
      <c r="AN96" s="719"/>
      <c r="AO96" s="719"/>
      <c r="AP96" s="719"/>
      <c r="AQ96" s="724">
        <f>+FL_1($T$97,$T$95,$G$96,1200,9.28, 1*$F$97)</f>
        <v>0.33477011200000001</v>
      </c>
      <c r="AR96" s="724"/>
      <c r="AS96" s="724"/>
      <c r="AT96" s="724"/>
      <c r="AU96" s="724"/>
      <c r="AV96" s="724"/>
      <c r="AW96" s="719"/>
      <c r="AX96" s="719"/>
      <c r="AY96" s="719"/>
      <c r="AZ96" s="532"/>
    </row>
    <row r="97" spans="1:52" ht="15.75" hidden="1" customHeight="1">
      <c r="A97" s="716" t="s">
        <v>677</v>
      </c>
      <c r="B97" s="717" t="s">
        <v>1709</v>
      </c>
      <c r="C97" s="789">
        <f>+$C$95+$G$96</f>
        <v>32718.000000000004</v>
      </c>
      <c r="D97" s="719"/>
      <c r="E97" s="719"/>
      <c r="F97" s="720">
        <v>0</v>
      </c>
      <c r="G97" s="721"/>
      <c r="H97" s="726"/>
      <c r="I97" s="722"/>
      <c r="J97" s="718"/>
      <c r="K97" s="719"/>
      <c r="L97" s="719" t="s">
        <v>241</v>
      </c>
      <c r="M97" s="719"/>
      <c r="N97" s="726" t="s">
        <v>696</v>
      </c>
      <c r="O97" s="726"/>
      <c r="P97" s="731"/>
      <c r="Q97" s="719">
        <v>0</v>
      </c>
      <c r="R97" s="719">
        <v>0</v>
      </c>
      <c r="S97" s="719"/>
      <c r="T97" s="719">
        <v>30</v>
      </c>
      <c r="U97" s="719"/>
      <c r="V97" s="719"/>
      <c r="W97" s="719">
        <v>1.1000000000000001</v>
      </c>
      <c r="X97" s="719"/>
      <c r="Y97" s="719"/>
      <c r="Z97" s="719"/>
      <c r="AA97" s="719"/>
      <c r="AB97" s="719"/>
      <c r="AC97" s="719" t="s">
        <v>2977</v>
      </c>
      <c r="AD97" s="719"/>
      <c r="AE97" s="719"/>
      <c r="AF97" s="719">
        <v>200</v>
      </c>
      <c r="AG97" s="789">
        <v>32718.13</v>
      </c>
      <c r="AH97" s="719">
        <v>1409</v>
      </c>
      <c r="AI97" s="719">
        <v>-5169</v>
      </c>
      <c r="AJ97" s="719"/>
      <c r="AK97" s="719"/>
      <c r="AL97" s="719"/>
      <c r="AM97" s="719" t="s">
        <v>2608</v>
      </c>
      <c r="AN97" s="719">
        <v>5.25</v>
      </c>
      <c r="AO97" s="719"/>
      <c r="AP97" s="719"/>
      <c r="AQ97" s="724"/>
      <c r="AR97" s="724"/>
      <c r="AS97" s="724"/>
      <c r="AT97" s="724">
        <f>+ab($T$97,$T$95,$T$99,$G$96,$G$98, 1*$F$97,1200)</f>
        <v>7.9442083933778509</v>
      </c>
      <c r="AU97" s="724"/>
      <c r="AV97" s="724"/>
      <c r="AW97" s="719"/>
      <c r="AX97" s="719"/>
      <c r="AY97" s="719"/>
      <c r="AZ97" s="532"/>
    </row>
    <row r="98" spans="1:52" ht="15.75" hidden="1" customHeight="1">
      <c r="A98" s="716"/>
      <c r="B98" s="717"/>
      <c r="C98" s="789"/>
      <c r="D98" s="719"/>
      <c r="E98" s="719"/>
      <c r="F98" s="720"/>
      <c r="G98" s="721">
        <v>50</v>
      </c>
      <c r="H98" s="726"/>
      <c r="I98" s="726"/>
      <c r="J98" s="718"/>
      <c r="K98" s="719"/>
      <c r="L98" s="719"/>
      <c r="M98" s="719"/>
      <c r="N98" s="726"/>
      <c r="O98" s="726"/>
      <c r="P98" s="731"/>
      <c r="Q98" s="719"/>
      <c r="R98" s="719"/>
      <c r="S98" s="724">
        <f t="shared" ref="S98" si="31">AG99-AG97</f>
        <v>49.659999999999854</v>
      </c>
      <c r="T98" s="719"/>
      <c r="U98" s="719"/>
      <c r="V98" s="719"/>
      <c r="W98" s="719"/>
      <c r="X98" s="719"/>
      <c r="Y98" s="719"/>
      <c r="Z98" s="719"/>
      <c r="AA98" s="719"/>
      <c r="AB98" s="719"/>
      <c r="AC98" s="719"/>
      <c r="AD98" s="719"/>
      <c r="AE98" s="719"/>
      <c r="AF98" s="719"/>
      <c r="AG98" s="789"/>
      <c r="AH98" s="719"/>
      <c r="AI98" s="719"/>
      <c r="AJ98" s="719"/>
      <c r="AK98" s="719"/>
      <c r="AL98" s="719"/>
      <c r="AM98" s="719"/>
      <c r="AN98" s="719"/>
      <c r="AO98" s="719"/>
      <c r="AP98" s="719"/>
      <c r="AQ98" s="724">
        <f>+FL_2($T$99,$T$97,$G$98,1200,9.28, 1*$F$99)</f>
        <v>-0.33477011200000001</v>
      </c>
      <c r="AR98" s="724"/>
      <c r="AS98" s="724"/>
      <c r="AT98" s="724"/>
      <c r="AU98" s="724"/>
      <c r="AV98" s="724"/>
      <c r="AW98" s="719"/>
      <c r="AX98" s="719"/>
      <c r="AY98" s="719"/>
      <c r="AZ98" s="532"/>
    </row>
    <row r="99" spans="1:52" ht="15.75" hidden="1" customHeight="1">
      <c r="A99" s="716" t="s">
        <v>677</v>
      </c>
      <c r="B99" s="717" t="s">
        <v>1710</v>
      </c>
      <c r="C99" s="789">
        <f>+$C$97+$G$98</f>
        <v>32768</v>
      </c>
      <c r="D99" s="719"/>
      <c r="E99" s="719"/>
      <c r="F99" s="720">
        <v>0</v>
      </c>
      <c r="G99" s="721"/>
      <c r="H99" s="726"/>
      <c r="I99" s="722"/>
      <c r="J99" s="718"/>
      <c r="K99" s="719"/>
      <c r="L99" s="719" t="s">
        <v>241</v>
      </c>
      <c r="M99" s="719"/>
      <c r="N99" s="726" t="s">
        <v>695</v>
      </c>
      <c r="O99" s="726"/>
      <c r="P99" s="731"/>
      <c r="Q99" s="719">
        <v>0</v>
      </c>
      <c r="R99" s="719">
        <v>0</v>
      </c>
      <c r="S99" s="719"/>
      <c r="T99" s="719">
        <v>-30</v>
      </c>
      <c r="U99" s="719"/>
      <c r="V99" s="719"/>
      <c r="W99" s="719">
        <v>1.1000000000000001</v>
      </c>
      <c r="X99" s="719"/>
      <c r="Y99" s="719"/>
      <c r="Z99" s="719"/>
      <c r="AA99" s="719"/>
      <c r="AB99" s="719"/>
      <c r="AC99" s="719" t="s">
        <v>2979</v>
      </c>
      <c r="AD99" s="719"/>
      <c r="AE99" s="719"/>
      <c r="AF99" s="719">
        <v>200</v>
      </c>
      <c r="AG99" s="789">
        <v>32767.79</v>
      </c>
      <c r="AH99" s="719">
        <v>1445</v>
      </c>
      <c r="AI99" s="719">
        <v>-5126</v>
      </c>
      <c r="AJ99" s="719"/>
      <c r="AK99" s="719"/>
      <c r="AL99" s="719"/>
      <c r="AM99" s="719" t="s">
        <v>2608</v>
      </c>
      <c r="AN99" s="719">
        <v>5.25</v>
      </c>
      <c r="AO99" s="719"/>
      <c r="AP99" s="719"/>
      <c r="AQ99" s="724"/>
      <c r="AR99" s="724"/>
      <c r="AS99" s="724"/>
      <c r="AT99" s="724">
        <f>+ab($T$99,$T$97,$T$101,$G$98,$G$100, 1*$F$99,1200)</f>
        <v>-7.9442410717051439</v>
      </c>
      <c r="AU99" s="724"/>
      <c r="AV99" s="724"/>
      <c r="AW99" s="719"/>
      <c r="AX99" s="719"/>
      <c r="AY99" s="719"/>
      <c r="AZ99" s="532"/>
    </row>
    <row r="100" spans="1:52" ht="15.75" hidden="1" customHeight="1">
      <c r="A100" s="716"/>
      <c r="B100" s="717"/>
      <c r="C100" s="789"/>
      <c r="D100" s="719"/>
      <c r="E100" s="719"/>
      <c r="F100" s="720"/>
      <c r="G100" s="721">
        <v>50</v>
      </c>
      <c r="H100" s="719"/>
      <c r="I100" s="726"/>
      <c r="J100" s="718"/>
      <c r="K100" s="719"/>
      <c r="L100" s="719"/>
      <c r="M100" s="719"/>
      <c r="N100" s="726"/>
      <c r="O100" s="726"/>
      <c r="P100" s="731"/>
      <c r="Q100" s="719"/>
      <c r="R100" s="719"/>
      <c r="S100" s="724">
        <f t="shared" ref="S100" si="32">AG101-AG99</f>
        <v>51.169999999998254</v>
      </c>
      <c r="T100" s="719"/>
      <c r="U100" s="719"/>
      <c r="V100" s="719"/>
      <c r="W100" s="719"/>
      <c r="X100" s="719"/>
      <c r="Y100" s="719"/>
      <c r="Z100" s="719"/>
      <c r="AA100" s="719"/>
      <c r="AB100" s="719"/>
      <c r="AC100" s="719"/>
      <c r="AD100" s="719"/>
      <c r="AE100" s="719"/>
      <c r="AF100" s="719"/>
      <c r="AG100" s="789"/>
      <c r="AH100" s="719"/>
      <c r="AI100" s="719"/>
      <c r="AJ100" s="719"/>
      <c r="AK100" s="719"/>
      <c r="AL100" s="719"/>
      <c r="AM100" s="719"/>
      <c r="AN100" s="719"/>
      <c r="AO100" s="719"/>
      <c r="AP100" s="719"/>
      <c r="AQ100" s="724">
        <f>+FL_1($T$101,$T$99,$G$100,1200,9.28, 1*$F$101)</f>
        <v>0.33477011200000001</v>
      </c>
      <c r="AR100" s="724"/>
      <c r="AS100" s="724"/>
      <c r="AT100" s="724"/>
      <c r="AU100" s="724"/>
      <c r="AV100" s="724"/>
      <c r="AW100" s="719"/>
      <c r="AX100" s="719"/>
      <c r="AY100" s="719"/>
      <c r="AZ100" s="532"/>
    </row>
    <row r="101" spans="1:52" ht="15.75" customHeight="1">
      <c r="A101" s="716" t="s">
        <v>677</v>
      </c>
      <c r="B101" s="717" t="s">
        <v>1711</v>
      </c>
      <c r="C101" s="789">
        <f>+$C$99+$G$100</f>
        <v>32818</v>
      </c>
      <c r="D101" s="719"/>
      <c r="E101" s="719"/>
      <c r="F101" s="720">
        <v>0</v>
      </c>
      <c r="G101" s="721"/>
      <c r="H101" s="726" t="s">
        <v>1101</v>
      </c>
      <c r="I101" s="722"/>
      <c r="J101" s="718"/>
      <c r="K101" s="719"/>
      <c r="L101" s="719" t="s">
        <v>241</v>
      </c>
      <c r="M101" s="719"/>
      <c r="N101" s="726" t="s">
        <v>696</v>
      </c>
      <c r="O101" s="726"/>
      <c r="P101" s="731"/>
      <c r="Q101" s="719">
        <v>0</v>
      </c>
      <c r="R101" s="719">
        <v>0</v>
      </c>
      <c r="S101" s="719"/>
      <c r="T101" s="719">
        <v>30</v>
      </c>
      <c r="U101" s="719"/>
      <c r="V101" s="719"/>
      <c r="W101" s="719">
        <v>1.1000000000000001</v>
      </c>
      <c r="X101" s="719"/>
      <c r="Y101" s="719"/>
      <c r="Z101" s="719"/>
      <c r="AA101" s="719"/>
      <c r="AB101" s="719"/>
      <c r="AC101" s="719" t="s">
        <v>2977</v>
      </c>
      <c r="AD101" s="719"/>
      <c r="AE101" s="719"/>
      <c r="AF101" s="719">
        <v>200</v>
      </c>
      <c r="AG101" s="789">
        <v>32818.959999999999</v>
      </c>
      <c r="AH101" s="719">
        <v>1417</v>
      </c>
      <c r="AI101" s="719">
        <v>-5192</v>
      </c>
      <c r="AJ101" s="719"/>
      <c r="AK101" s="719"/>
      <c r="AL101" s="719"/>
      <c r="AM101" s="719" t="s">
        <v>2608</v>
      </c>
      <c r="AN101" s="719">
        <v>5.25</v>
      </c>
      <c r="AO101" s="719"/>
      <c r="AP101" s="719"/>
      <c r="AQ101" s="724"/>
      <c r="AR101" s="724"/>
      <c r="AS101" s="724"/>
      <c r="AT101" s="724">
        <f>+ab($T$101,$T$99,$T$103,$G$100,$G$102, 1*$F$101,1200)</f>
        <v>7.9442083933778509</v>
      </c>
      <c r="AU101" s="724"/>
      <c r="AV101" s="724"/>
      <c r="AW101" s="719"/>
      <c r="AX101" s="719"/>
      <c r="AY101" s="719"/>
      <c r="AZ101" s="532"/>
    </row>
    <row r="102" spans="1:52" ht="15.75" hidden="1" customHeight="1">
      <c r="A102" s="716"/>
      <c r="B102" s="717"/>
      <c r="C102" s="789"/>
      <c r="D102" s="719"/>
      <c r="E102" s="719"/>
      <c r="F102" s="720"/>
      <c r="G102" s="721">
        <v>50</v>
      </c>
      <c r="H102" s="726"/>
      <c r="I102" s="722">
        <f>+SUM(G84:G102)</f>
        <v>490</v>
      </c>
      <c r="J102" s="718">
        <f>C101+1</f>
        <v>32819</v>
      </c>
      <c r="K102" s="719" t="s">
        <v>1102</v>
      </c>
      <c r="L102" s="719"/>
      <c r="M102" s="719"/>
      <c r="N102" s="726"/>
      <c r="O102" s="726"/>
      <c r="P102" s="731"/>
      <c r="Q102" s="719"/>
      <c r="R102" s="719"/>
      <c r="S102" s="724">
        <f t="shared" ref="S102" si="33">AG103-AG101</f>
        <v>49.650000000001455</v>
      </c>
      <c r="T102" s="719"/>
      <c r="U102" s="719"/>
      <c r="V102" s="719"/>
      <c r="W102" s="719"/>
      <c r="X102" s="719"/>
      <c r="Y102" s="719"/>
      <c r="Z102" s="719"/>
      <c r="AA102" s="719"/>
      <c r="AB102" s="719"/>
      <c r="AC102" s="719"/>
      <c r="AD102" s="719"/>
      <c r="AE102" s="719"/>
      <c r="AF102" s="719"/>
      <c r="AG102" s="789"/>
      <c r="AH102" s="719"/>
      <c r="AI102" s="719"/>
      <c r="AJ102" s="719"/>
      <c r="AK102" s="719"/>
      <c r="AL102" s="719"/>
      <c r="AM102" s="719"/>
      <c r="AN102" s="719"/>
      <c r="AO102" s="719"/>
      <c r="AP102" s="719"/>
      <c r="AQ102" s="724">
        <f>+FL_2($T$103,$T$101,$G$102,1200,9.28, 1*$F$103)</f>
        <v>-0.33477011200000001</v>
      </c>
      <c r="AR102" s="724"/>
      <c r="AS102" s="724"/>
      <c r="AT102" s="724"/>
      <c r="AU102" s="724"/>
      <c r="AV102" s="724"/>
      <c r="AW102" s="719"/>
      <c r="AX102" s="719"/>
      <c r="AY102" s="719"/>
      <c r="AZ102" s="532"/>
    </row>
    <row r="103" spans="1:52" ht="15.75" customHeight="1">
      <c r="A103" s="716" t="s">
        <v>677</v>
      </c>
      <c r="B103" s="717" t="s">
        <v>1712</v>
      </c>
      <c r="C103" s="789">
        <f>+$C$101+$G$102</f>
        <v>32868</v>
      </c>
      <c r="D103" s="719"/>
      <c r="E103" s="719"/>
      <c r="F103" s="720">
        <v>0</v>
      </c>
      <c r="G103" s="721"/>
      <c r="H103" s="726" t="s">
        <v>997</v>
      </c>
      <c r="I103" s="722"/>
      <c r="J103" s="718"/>
      <c r="K103" s="719"/>
      <c r="L103" s="719" t="s">
        <v>241</v>
      </c>
      <c r="M103" s="719"/>
      <c r="N103" s="726" t="s">
        <v>695</v>
      </c>
      <c r="O103" s="726"/>
      <c r="P103" s="731"/>
      <c r="Q103" s="719">
        <v>0</v>
      </c>
      <c r="R103" s="719">
        <v>0</v>
      </c>
      <c r="S103" s="719"/>
      <c r="T103" s="719">
        <v>-30</v>
      </c>
      <c r="U103" s="719"/>
      <c r="V103" s="719"/>
      <c r="W103" s="719">
        <v>1.1000000000000001</v>
      </c>
      <c r="X103" s="719"/>
      <c r="Y103" s="719"/>
      <c r="Z103" s="719"/>
      <c r="AA103" s="719"/>
      <c r="AB103" s="719"/>
      <c r="AC103" s="719" t="s">
        <v>2979</v>
      </c>
      <c r="AD103" s="719"/>
      <c r="AE103" s="719"/>
      <c r="AF103" s="719">
        <v>200</v>
      </c>
      <c r="AG103" s="789">
        <v>32868.61</v>
      </c>
      <c r="AH103" s="719">
        <v>1397</v>
      </c>
      <c r="AI103" s="719">
        <v>-5196</v>
      </c>
      <c r="AJ103" s="719"/>
      <c r="AK103" s="719"/>
      <c r="AL103" s="719"/>
      <c r="AM103" s="719" t="s">
        <v>2608</v>
      </c>
      <c r="AN103" s="719">
        <v>5.25</v>
      </c>
      <c r="AO103" s="719"/>
      <c r="AP103" s="719"/>
      <c r="AQ103" s="724"/>
      <c r="AR103" s="724"/>
      <c r="AS103" s="724"/>
      <c r="AT103" s="724">
        <f>+ab($T$103,$T$101,$T$105,$G$102,$G$104, 1*$F$103,1200)</f>
        <v>-7.9442410717051439</v>
      </c>
      <c r="AU103" s="724"/>
      <c r="AV103" s="724"/>
      <c r="AW103" s="719"/>
      <c r="AX103" s="719"/>
      <c r="AY103" s="719"/>
      <c r="AZ103" s="532"/>
    </row>
    <row r="104" spans="1:52" ht="15.75" hidden="1" customHeight="1">
      <c r="A104" s="716"/>
      <c r="B104" s="717"/>
      <c r="C104" s="789"/>
      <c r="D104" s="719"/>
      <c r="E104" s="719"/>
      <c r="F104" s="720"/>
      <c r="G104" s="721">
        <v>50</v>
      </c>
      <c r="H104" s="719"/>
      <c r="I104" s="720">
        <f>SUM(G104:G122)</f>
        <v>496</v>
      </c>
      <c r="J104" s="718">
        <f>C105-1</f>
        <v>32917</v>
      </c>
      <c r="K104" s="719" t="s">
        <v>1102</v>
      </c>
      <c r="L104" s="719"/>
      <c r="M104" s="719"/>
      <c r="N104" s="726"/>
      <c r="O104" s="726"/>
      <c r="P104" s="731"/>
      <c r="Q104" s="719"/>
      <c r="R104" s="719"/>
      <c r="S104" s="724">
        <f t="shared" ref="S104" si="34">AG105-AG103</f>
        <v>49.620000000002619</v>
      </c>
      <c r="T104" s="719"/>
      <c r="U104" s="719"/>
      <c r="V104" s="719"/>
      <c r="W104" s="719"/>
      <c r="X104" s="719"/>
      <c r="Y104" s="719"/>
      <c r="Z104" s="719"/>
      <c r="AA104" s="719"/>
      <c r="AB104" s="719"/>
      <c r="AC104" s="719"/>
      <c r="AD104" s="719"/>
      <c r="AE104" s="719"/>
      <c r="AF104" s="719"/>
      <c r="AG104" s="789"/>
      <c r="AH104" s="719"/>
      <c r="AI104" s="719"/>
      <c r="AJ104" s="719"/>
      <c r="AK104" s="719"/>
      <c r="AL104" s="719"/>
      <c r="AM104" s="719"/>
      <c r="AN104" s="719"/>
      <c r="AO104" s="719"/>
      <c r="AP104" s="719"/>
      <c r="AQ104" s="724">
        <f>+FL_1($T$105,$T$103,$G$104,1200,9.28, 1*$F$105)</f>
        <v>0.33477011200000001</v>
      </c>
      <c r="AR104" s="724"/>
      <c r="AS104" s="724"/>
      <c r="AT104" s="724"/>
      <c r="AU104" s="724"/>
      <c r="AV104" s="724"/>
      <c r="AW104" s="719"/>
      <c r="AX104" s="719"/>
      <c r="AY104" s="719"/>
      <c r="AZ104" s="532"/>
    </row>
    <row r="105" spans="1:52" ht="15.75" customHeight="1">
      <c r="A105" s="716" t="s">
        <v>677</v>
      </c>
      <c r="B105" s="717" t="s">
        <v>1713</v>
      </c>
      <c r="C105" s="789">
        <f>+$C$103+$G$104</f>
        <v>32918</v>
      </c>
      <c r="D105" s="719"/>
      <c r="E105" s="719"/>
      <c r="F105" s="720">
        <v>0</v>
      </c>
      <c r="G105" s="721"/>
      <c r="H105" s="726" t="s">
        <v>1101</v>
      </c>
      <c r="I105" s="726"/>
      <c r="J105" s="718"/>
      <c r="K105" s="719"/>
      <c r="L105" s="719" t="s">
        <v>241</v>
      </c>
      <c r="M105" s="719"/>
      <c r="N105" s="726" t="s">
        <v>696</v>
      </c>
      <c r="O105" s="726"/>
      <c r="P105" s="731"/>
      <c r="Q105" s="719">
        <v>0</v>
      </c>
      <c r="R105" s="719">
        <v>0</v>
      </c>
      <c r="S105" s="719"/>
      <c r="T105" s="719">
        <v>30</v>
      </c>
      <c r="U105" s="719"/>
      <c r="V105" s="719"/>
      <c r="W105" s="719">
        <v>1.1000000000000001</v>
      </c>
      <c r="X105" s="719"/>
      <c r="Y105" s="719"/>
      <c r="Z105" s="719"/>
      <c r="AA105" s="719"/>
      <c r="AB105" s="719"/>
      <c r="AC105" s="719" t="s">
        <v>2977</v>
      </c>
      <c r="AD105" s="719"/>
      <c r="AE105" s="719"/>
      <c r="AF105" s="719">
        <v>200</v>
      </c>
      <c r="AG105" s="789">
        <v>32918.230000000003</v>
      </c>
      <c r="AH105" s="719">
        <v>1423</v>
      </c>
      <c r="AI105" s="719">
        <v>-5214</v>
      </c>
      <c r="AJ105" s="719"/>
      <c r="AK105" s="719"/>
      <c r="AL105" s="719"/>
      <c r="AM105" s="719" t="s">
        <v>2608</v>
      </c>
      <c r="AN105" s="719">
        <v>5.25</v>
      </c>
      <c r="AO105" s="719"/>
      <c r="AP105" s="719"/>
      <c r="AQ105" s="724"/>
      <c r="AR105" s="724"/>
      <c r="AS105" s="724"/>
      <c r="AT105" s="724">
        <f>+ab($T$105,$T$103,$T$107,$G$104,$G$106, 1*$F$105,1200)</f>
        <v>7.9442083933778509</v>
      </c>
      <c r="AU105" s="724"/>
      <c r="AV105" s="724"/>
      <c r="AW105" s="719"/>
      <c r="AX105" s="719"/>
      <c r="AY105" s="719"/>
      <c r="AZ105" s="532"/>
    </row>
    <row r="106" spans="1:52" ht="15.75" hidden="1" customHeight="1">
      <c r="A106" s="716"/>
      <c r="B106" s="717"/>
      <c r="C106" s="789"/>
      <c r="D106" s="719"/>
      <c r="E106" s="719"/>
      <c r="F106" s="720"/>
      <c r="G106" s="721">
        <v>50</v>
      </c>
      <c r="H106" s="719"/>
      <c r="I106" s="722"/>
      <c r="J106" s="718"/>
      <c r="K106" s="719"/>
      <c r="L106" s="719"/>
      <c r="M106" s="719"/>
      <c r="N106" s="726"/>
      <c r="O106" s="726"/>
      <c r="P106" s="731"/>
      <c r="Q106" s="719"/>
      <c r="R106" s="719"/>
      <c r="S106" s="724">
        <f t="shared" ref="S106" si="35">AG107-AG105</f>
        <v>48.019999999996799</v>
      </c>
      <c r="T106" s="719"/>
      <c r="U106" s="719"/>
      <c r="V106" s="719"/>
      <c r="W106" s="719"/>
      <c r="X106" s="719"/>
      <c r="Y106" s="719"/>
      <c r="Z106" s="719"/>
      <c r="AA106" s="719"/>
      <c r="AB106" s="719"/>
      <c r="AC106" s="719"/>
      <c r="AD106" s="719"/>
      <c r="AE106" s="719"/>
      <c r="AF106" s="719"/>
      <c r="AG106" s="789"/>
      <c r="AH106" s="719"/>
      <c r="AI106" s="719"/>
      <c r="AJ106" s="719"/>
      <c r="AK106" s="719"/>
      <c r="AL106" s="719"/>
      <c r="AM106" s="719"/>
      <c r="AN106" s="719"/>
      <c r="AO106" s="719"/>
      <c r="AP106" s="719"/>
      <c r="AQ106" s="724">
        <f>+FL_2($T$107,$T$105,$G$106,1200,9.28, 1*$F$107)</f>
        <v>-0.33477011200000001</v>
      </c>
      <c r="AR106" s="724"/>
      <c r="AS106" s="724"/>
      <c r="AT106" s="724"/>
      <c r="AU106" s="724"/>
      <c r="AV106" s="724"/>
      <c r="AW106" s="719"/>
      <c r="AX106" s="719"/>
      <c r="AY106" s="719"/>
      <c r="AZ106" s="532"/>
    </row>
    <row r="107" spans="1:52" ht="15.75" hidden="1" customHeight="1">
      <c r="A107" s="716" t="s">
        <v>677</v>
      </c>
      <c r="B107" s="717" t="s">
        <v>1714</v>
      </c>
      <c r="C107" s="789">
        <f>+$C$105+$G$106</f>
        <v>32968</v>
      </c>
      <c r="D107" s="719"/>
      <c r="E107" s="719"/>
      <c r="F107" s="720">
        <v>0</v>
      </c>
      <c r="G107" s="721"/>
      <c r="H107" s="726"/>
      <c r="I107" s="722"/>
      <c r="J107" s="718"/>
      <c r="K107" s="719"/>
      <c r="L107" s="719" t="s">
        <v>241</v>
      </c>
      <c r="M107" s="719"/>
      <c r="N107" s="726" t="s">
        <v>695</v>
      </c>
      <c r="O107" s="726"/>
      <c r="P107" s="731"/>
      <c r="Q107" s="719">
        <v>0</v>
      </c>
      <c r="R107" s="719">
        <v>0</v>
      </c>
      <c r="S107" s="719"/>
      <c r="T107" s="719">
        <v>-30</v>
      </c>
      <c r="U107" s="719"/>
      <c r="V107" s="719"/>
      <c r="W107" s="719">
        <v>1.1000000000000001</v>
      </c>
      <c r="X107" s="719"/>
      <c r="Y107" s="719"/>
      <c r="Z107" s="719"/>
      <c r="AA107" s="719"/>
      <c r="AB107" s="719"/>
      <c r="AC107" s="719" t="s">
        <v>2979</v>
      </c>
      <c r="AD107" s="719"/>
      <c r="AE107" s="719"/>
      <c r="AF107" s="719">
        <v>200</v>
      </c>
      <c r="AG107" s="789">
        <v>32966.25</v>
      </c>
      <c r="AH107" s="719">
        <v>1416</v>
      </c>
      <c r="AI107" s="719">
        <v>-5219</v>
      </c>
      <c r="AJ107" s="719"/>
      <c r="AK107" s="719"/>
      <c r="AL107" s="719"/>
      <c r="AM107" s="719" t="s">
        <v>2608</v>
      </c>
      <c r="AN107" s="719">
        <v>5.25</v>
      </c>
      <c r="AO107" s="719"/>
      <c r="AP107" s="719"/>
      <c r="AQ107" s="724"/>
      <c r="AR107" s="724"/>
      <c r="AS107" s="724"/>
      <c r="AT107" s="724">
        <f>+ab($T$107,$T$105,$T$109,$G$106,$G$108, 1*$F$107,1200)</f>
        <v>-7.9442410717051439</v>
      </c>
      <c r="AU107" s="724"/>
      <c r="AV107" s="724"/>
      <c r="AW107" s="719"/>
      <c r="AX107" s="719"/>
      <c r="AY107" s="719"/>
      <c r="AZ107" s="532"/>
    </row>
    <row r="108" spans="1:52" ht="15.75" hidden="1" customHeight="1">
      <c r="A108" s="716"/>
      <c r="B108" s="717"/>
      <c r="C108" s="789"/>
      <c r="D108" s="719"/>
      <c r="E108" s="719"/>
      <c r="F108" s="720"/>
      <c r="G108" s="721">
        <v>50</v>
      </c>
      <c r="H108" s="726"/>
      <c r="I108" s="722"/>
      <c r="J108" s="718"/>
      <c r="K108" s="719"/>
      <c r="L108" s="719"/>
      <c r="M108" s="719"/>
      <c r="N108" s="726"/>
      <c r="O108" s="726"/>
      <c r="P108" s="731"/>
      <c r="Q108" s="719"/>
      <c r="R108" s="719"/>
      <c r="S108" s="724">
        <f t="shared" ref="S108" si="36">AG109-AG107</f>
        <v>51.309999999997672</v>
      </c>
      <c r="T108" s="719"/>
      <c r="U108" s="719"/>
      <c r="V108" s="719"/>
      <c r="W108" s="719"/>
      <c r="X108" s="719"/>
      <c r="Y108" s="719"/>
      <c r="Z108" s="719"/>
      <c r="AA108" s="719"/>
      <c r="AB108" s="719"/>
      <c r="AC108" s="719"/>
      <c r="AD108" s="719"/>
      <c r="AE108" s="719"/>
      <c r="AF108" s="719"/>
      <c r="AG108" s="789"/>
      <c r="AH108" s="719"/>
      <c r="AI108" s="719"/>
      <c r="AJ108" s="719"/>
      <c r="AK108" s="719"/>
      <c r="AL108" s="719"/>
      <c r="AM108" s="719"/>
      <c r="AN108" s="719"/>
      <c r="AO108" s="719"/>
      <c r="AP108" s="719"/>
      <c r="AQ108" s="724">
        <f>+FL_1($T$109,$T$107,$G$108,1200,9.28, 1*$F$109)</f>
        <v>0.33477011200000001</v>
      </c>
      <c r="AR108" s="724"/>
      <c r="AS108" s="724"/>
      <c r="AT108" s="724"/>
      <c r="AU108" s="724"/>
      <c r="AV108" s="724"/>
      <c r="AW108" s="719"/>
      <c r="AX108" s="719"/>
      <c r="AY108" s="719"/>
      <c r="AZ108" s="532"/>
    </row>
    <row r="109" spans="1:52" ht="15.75" hidden="1" customHeight="1">
      <c r="A109" s="716" t="s">
        <v>677</v>
      </c>
      <c r="B109" s="717" t="s">
        <v>1715</v>
      </c>
      <c r="C109" s="789">
        <f>+$C$107+$G$108</f>
        <v>33018</v>
      </c>
      <c r="D109" s="719"/>
      <c r="E109" s="719"/>
      <c r="F109" s="720">
        <v>0</v>
      </c>
      <c r="G109" s="721"/>
      <c r="H109" s="726"/>
      <c r="I109" s="722"/>
      <c r="J109" s="718"/>
      <c r="K109" s="719"/>
      <c r="L109" s="719" t="s">
        <v>241</v>
      </c>
      <c r="M109" s="719"/>
      <c r="N109" s="726" t="s">
        <v>696</v>
      </c>
      <c r="O109" s="726"/>
      <c r="P109" s="731"/>
      <c r="Q109" s="719">
        <v>0</v>
      </c>
      <c r="R109" s="719">
        <v>0</v>
      </c>
      <c r="S109" s="719"/>
      <c r="T109" s="719">
        <v>30</v>
      </c>
      <c r="U109" s="719"/>
      <c r="V109" s="719"/>
      <c r="W109" s="719">
        <v>1.1000000000000001</v>
      </c>
      <c r="X109" s="719"/>
      <c r="Y109" s="719"/>
      <c r="Z109" s="719"/>
      <c r="AA109" s="719"/>
      <c r="AB109" s="719"/>
      <c r="AC109" s="719" t="s">
        <v>2977</v>
      </c>
      <c r="AD109" s="719"/>
      <c r="AE109" s="719"/>
      <c r="AF109" s="719">
        <v>200</v>
      </c>
      <c r="AG109" s="789">
        <v>33017.56</v>
      </c>
      <c r="AH109" s="719">
        <v>1413</v>
      </c>
      <c r="AI109" s="719">
        <v>-5200</v>
      </c>
      <c r="AJ109" s="719"/>
      <c r="AK109" s="719"/>
      <c r="AL109" s="719"/>
      <c r="AM109" s="719" t="s">
        <v>2608</v>
      </c>
      <c r="AN109" s="719">
        <v>5.25</v>
      </c>
      <c r="AO109" s="719"/>
      <c r="AP109" s="719"/>
      <c r="AQ109" s="724"/>
      <c r="AR109" s="724"/>
      <c r="AS109" s="724"/>
      <c r="AT109" s="724">
        <f>+ab($T$109,$T$107,$T$111,$G$108,$G$110, 1*$F$109,1200)</f>
        <v>7.9442083933778509</v>
      </c>
      <c r="AU109" s="724"/>
      <c r="AV109" s="724"/>
      <c r="AW109" s="719"/>
      <c r="AX109" s="719"/>
      <c r="AY109" s="719"/>
      <c r="AZ109" s="532"/>
    </row>
    <row r="110" spans="1:52" ht="15.75" hidden="1" customHeight="1">
      <c r="A110" s="716"/>
      <c r="B110" s="717"/>
      <c r="C110" s="789"/>
      <c r="D110" s="719"/>
      <c r="E110" s="719"/>
      <c r="F110" s="720"/>
      <c r="G110" s="721">
        <v>50</v>
      </c>
      <c r="H110" s="726"/>
      <c r="I110" s="726"/>
      <c r="J110" s="718"/>
      <c r="K110" s="719"/>
      <c r="L110" s="719"/>
      <c r="M110" s="719"/>
      <c r="N110" s="726"/>
      <c r="O110" s="726"/>
      <c r="P110" s="731"/>
      <c r="Q110" s="719"/>
      <c r="R110" s="719"/>
      <c r="S110" s="724">
        <f t="shared" ref="S110" si="37">AG111-AG109</f>
        <v>51.190000000002328</v>
      </c>
      <c r="T110" s="719"/>
      <c r="U110" s="719"/>
      <c r="V110" s="719"/>
      <c r="W110" s="719"/>
      <c r="X110" s="719"/>
      <c r="Y110" s="719"/>
      <c r="Z110" s="719"/>
      <c r="AA110" s="719"/>
      <c r="AB110" s="719"/>
      <c r="AC110" s="719"/>
      <c r="AD110" s="719"/>
      <c r="AE110" s="719"/>
      <c r="AF110" s="719"/>
      <c r="AG110" s="789"/>
      <c r="AH110" s="719"/>
      <c r="AI110" s="719"/>
      <c r="AJ110" s="719"/>
      <c r="AK110" s="719"/>
      <c r="AL110" s="719"/>
      <c r="AM110" s="719"/>
      <c r="AN110" s="719"/>
      <c r="AO110" s="719"/>
      <c r="AP110" s="719"/>
      <c r="AQ110" s="724">
        <f>+FL_2($T$111,$T$109,$G$110,1200,9.28, 1*$F$111)</f>
        <v>-0.33477011200000001</v>
      </c>
      <c r="AR110" s="724"/>
      <c r="AS110" s="724"/>
      <c r="AT110" s="724"/>
      <c r="AU110" s="724"/>
      <c r="AV110" s="724"/>
      <c r="AW110" s="719"/>
      <c r="AX110" s="719"/>
      <c r="AY110" s="719"/>
      <c r="AZ110" s="532"/>
    </row>
    <row r="111" spans="1:52" ht="15.75" hidden="1" customHeight="1">
      <c r="A111" s="716" t="s">
        <v>677</v>
      </c>
      <c r="B111" s="717" t="s">
        <v>1716</v>
      </c>
      <c r="C111" s="789">
        <f>+$C$109+$G$110</f>
        <v>33068</v>
      </c>
      <c r="D111" s="719"/>
      <c r="E111" s="719"/>
      <c r="F111" s="720">
        <v>0</v>
      </c>
      <c r="G111" s="721"/>
      <c r="H111" s="726"/>
      <c r="I111" s="726"/>
      <c r="J111" s="718"/>
      <c r="K111" s="719"/>
      <c r="L111" s="719" t="s">
        <v>241</v>
      </c>
      <c r="M111" s="719"/>
      <c r="N111" s="726" t="s">
        <v>695</v>
      </c>
      <c r="O111" s="726"/>
      <c r="P111" s="731"/>
      <c r="Q111" s="719">
        <v>0</v>
      </c>
      <c r="R111" s="719">
        <v>0</v>
      </c>
      <c r="S111" s="719"/>
      <c r="T111" s="719">
        <v>-30</v>
      </c>
      <c r="U111" s="719"/>
      <c r="V111" s="719"/>
      <c r="W111" s="719">
        <v>1.1000000000000001</v>
      </c>
      <c r="X111" s="719"/>
      <c r="Y111" s="719"/>
      <c r="Z111" s="719"/>
      <c r="AA111" s="719"/>
      <c r="AB111" s="719"/>
      <c r="AC111" s="719" t="s">
        <v>2979</v>
      </c>
      <c r="AD111" s="719"/>
      <c r="AE111" s="719"/>
      <c r="AF111" s="719">
        <v>200</v>
      </c>
      <c r="AG111" s="789">
        <v>33068.75</v>
      </c>
      <c r="AH111" s="719">
        <v>1393</v>
      </c>
      <c r="AI111" s="719">
        <v>-5209</v>
      </c>
      <c r="AJ111" s="719"/>
      <c r="AK111" s="719"/>
      <c r="AL111" s="719"/>
      <c r="AM111" s="719" t="s">
        <v>2608</v>
      </c>
      <c r="AN111" s="719">
        <v>5.25</v>
      </c>
      <c r="AO111" s="719"/>
      <c r="AP111" s="719"/>
      <c r="AQ111" s="724"/>
      <c r="AR111" s="724"/>
      <c r="AS111" s="724"/>
      <c r="AT111" s="724">
        <f>+ab($T$111,$T$109,$T$113,$G$110,$G$112, 1*$F$111,1200)</f>
        <v>-7.9442410717051439</v>
      </c>
      <c r="AU111" s="724"/>
      <c r="AV111" s="724"/>
      <c r="AW111" s="719"/>
      <c r="AX111" s="719"/>
      <c r="AY111" s="719"/>
      <c r="AZ111" s="532"/>
    </row>
    <row r="112" spans="1:52" ht="15.75" hidden="1" customHeight="1">
      <c r="A112" s="716"/>
      <c r="B112" s="717"/>
      <c r="C112" s="789"/>
      <c r="D112" s="719"/>
      <c r="E112" s="719"/>
      <c r="F112" s="720"/>
      <c r="G112" s="721">
        <v>50</v>
      </c>
      <c r="H112" s="726"/>
      <c r="I112" s="726"/>
      <c r="J112" s="718"/>
      <c r="K112" s="719"/>
      <c r="L112" s="719"/>
      <c r="M112" s="719"/>
      <c r="N112" s="726"/>
      <c r="O112" s="726"/>
      <c r="P112" s="731"/>
      <c r="Q112" s="719"/>
      <c r="R112" s="719"/>
      <c r="S112" s="724">
        <f t="shared" ref="S112" si="38">AG113-AG111</f>
        <v>48.019999999996799</v>
      </c>
      <c r="T112" s="719"/>
      <c r="U112" s="719"/>
      <c r="V112" s="719"/>
      <c r="W112" s="719"/>
      <c r="X112" s="719"/>
      <c r="Y112" s="719"/>
      <c r="Z112" s="719"/>
      <c r="AA112" s="719"/>
      <c r="AB112" s="719"/>
      <c r="AC112" s="719"/>
      <c r="AD112" s="719"/>
      <c r="AE112" s="719"/>
      <c r="AF112" s="719"/>
      <c r="AG112" s="789"/>
      <c r="AH112" s="719"/>
      <c r="AI112" s="719"/>
      <c r="AJ112" s="719"/>
      <c r="AK112" s="719"/>
      <c r="AL112" s="719"/>
      <c r="AM112" s="719"/>
      <c r="AN112" s="719"/>
      <c r="AO112" s="719"/>
      <c r="AP112" s="719"/>
      <c r="AQ112" s="724">
        <f>+FL_1($T$113,$T$111,$G$112,1200,9.28, 1*$F$113)</f>
        <v>0.33477011200000001</v>
      </c>
      <c r="AR112" s="724"/>
      <c r="AS112" s="724"/>
      <c r="AT112" s="724"/>
      <c r="AU112" s="724"/>
      <c r="AV112" s="724"/>
      <c r="AW112" s="719"/>
      <c r="AX112" s="719"/>
      <c r="AY112" s="719"/>
      <c r="AZ112" s="532"/>
    </row>
    <row r="113" spans="1:52" ht="15.75" hidden="1" customHeight="1">
      <c r="A113" s="716" t="s">
        <v>677</v>
      </c>
      <c r="B113" s="717" t="s">
        <v>1717</v>
      </c>
      <c r="C113" s="789">
        <f>+$C$111+$G$112</f>
        <v>33118</v>
      </c>
      <c r="D113" s="719"/>
      <c r="E113" s="719"/>
      <c r="F113" s="720">
        <v>0</v>
      </c>
      <c r="G113" s="721"/>
      <c r="H113" s="726"/>
      <c r="I113" s="726"/>
      <c r="J113" s="718"/>
      <c r="K113" s="719"/>
      <c r="L113" s="719" t="s">
        <v>241</v>
      </c>
      <c r="M113" s="719"/>
      <c r="N113" s="726" t="s">
        <v>696</v>
      </c>
      <c r="O113" s="726"/>
      <c r="P113" s="731"/>
      <c r="Q113" s="719">
        <v>0</v>
      </c>
      <c r="R113" s="719">
        <v>0</v>
      </c>
      <c r="S113" s="719"/>
      <c r="T113" s="719">
        <v>30</v>
      </c>
      <c r="U113" s="719"/>
      <c r="V113" s="719"/>
      <c r="W113" s="719">
        <v>1.1000000000000001</v>
      </c>
      <c r="X113" s="719"/>
      <c r="Y113" s="719"/>
      <c r="Z113" s="719"/>
      <c r="AA113" s="719"/>
      <c r="AB113" s="719"/>
      <c r="AC113" s="719" t="s">
        <v>2977</v>
      </c>
      <c r="AD113" s="719"/>
      <c r="AE113" s="719"/>
      <c r="AF113" s="719">
        <v>200</v>
      </c>
      <c r="AG113" s="789">
        <v>33116.769999999997</v>
      </c>
      <c r="AH113" s="719">
        <v>1400</v>
      </c>
      <c r="AI113" s="719">
        <v>-5193</v>
      </c>
      <c r="AJ113" s="719"/>
      <c r="AK113" s="719"/>
      <c r="AL113" s="719"/>
      <c r="AM113" s="719" t="s">
        <v>2608</v>
      </c>
      <c r="AN113" s="719">
        <v>5.25</v>
      </c>
      <c r="AO113" s="719"/>
      <c r="AP113" s="719"/>
      <c r="AQ113" s="724"/>
      <c r="AR113" s="724"/>
      <c r="AS113" s="724"/>
      <c r="AT113" s="724">
        <f>+ab($T$113,$T$111,$T$115,$G$112,$G$114, 1*$F$113,1200)</f>
        <v>7.9442083933778509</v>
      </c>
      <c r="AU113" s="724"/>
      <c r="AV113" s="724"/>
      <c r="AW113" s="719"/>
      <c r="AX113" s="719"/>
      <c r="AY113" s="719"/>
      <c r="AZ113" s="532"/>
    </row>
    <row r="114" spans="1:52" ht="15.75" hidden="1" customHeight="1">
      <c r="A114" s="716"/>
      <c r="B114" s="717"/>
      <c r="C114" s="789"/>
      <c r="D114" s="719"/>
      <c r="E114" s="719"/>
      <c r="F114" s="720"/>
      <c r="G114" s="721">
        <v>50</v>
      </c>
      <c r="H114" s="726"/>
      <c r="I114" s="726"/>
      <c r="J114" s="718"/>
      <c r="K114" s="719"/>
      <c r="L114" s="719"/>
      <c r="M114" s="719"/>
      <c r="N114" s="726"/>
      <c r="O114" s="726"/>
      <c r="P114" s="731"/>
      <c r="Q114" s="719"/>
      <c r="R114" s="719"/>
      <c r="S114" s="724">
        <f t="shared" ref="S114" si="39">AG115-AG113</f>
        <v>51.290000000000873</v>
      </c>
      <c r="T114" s="719"/>
      <c r="U114" s="719"/>
      <c r="V114" s="719"/>
      <c r="W114" s="719"/>
      <c r="X114" s="719"/>
      <c r="Y114" s="719"/>
      <c r="Z114" s="719"/>
      <c r="AA114" s="719"/>
      <c r="AB114" s="719"/>
      <c r="AC114" s="719"/>
      <c r="AD114" s="719"/>
      <c r="AE114" s="719"/>
      <c r="AF114" s="719"/>
      <c r="AG114" s="789"/>
      <c r="AH114" s="719"/>
      <c r="AI114" s="719"/>
      <c r="AJ114" s="719"/>
      <c r="AK114" s="719"/>
      <c r="AL114" s="719"/>
      <c r="AM114" s="719"/>
      <c r="AN114" s="719"/>
      <c r="AO114" s="719"/>
      <c r="AP114" s="719"/>
      <c r="AQ114" s="724">
        <f>+FL_2($T$115,$T$113,$G$114,1200,9.28, 1*$F$115)</f>
        <v>-0.33477011200000001</v>
      </c>
      <c r="AR114" s="724"/>
      <c r="AS114" s="724"/>
      <c r="AT114" s="724"/>
      <c r="AU114" s="724"/>
      <c r="AV114" s="724"/>
      <c r="AW114" s="719"/>
      <c r="AX114" s="719"/>
      <c r="AY114" s="719"/>
      <c r="AZ114" s="532"/>
    </row>
    <row r="115" spans="1:52" ht="15.75" hidden="1" customHeight="1">
      <c r="A115" s="716" t="s">
        <v>677</v>
      </c>
      <c r="B115" s="717" t="s">
        <v>1718</v>
      </c>
      <c r="C115" s="789">
        <f>+$C$113+$G$114</f>
        <v>33168</v>
      </c>
      <c r="D115" s="719"/>
      <c r="E115" s="719"/>
      <c r="F115" s="720">
        <v>0</v>
      </c>
      <c r="G115" s="721"/>
      <c r="H115" s="726"/>
      <c r="I115" s="722"/>
      <c r="J115" s="718"/>
      <c r="K115" s="719"/>
      <c r="L115" s="719" t="s">
        <v>241</v>
      </c>
      <c r="M115" s="719"/>
      <c r="N115" s="726" t="s">
        <v>695</v>
      </c>
      <c r="O115" s="726"/>
      <c r="P115" s="731"/>
      <c r="Q115" s="719">
        <v>0</v>
      </c>
      <c r="R115" s="719">
        <v>0</v>
      </c>
      <c r="S115" s="719"/>
      <c r="T115" s="719">
        <v>-30</v>
      </c>
      <c r="U115" s="719"/>
      <c r="V115" s="719"/>
      <c r="W115" s="719">
        <v>1.1000000000000001</v>
      </c>
      <c r="X115" s="719"/>
      <c r="Y115" s="719"/>
      <c r="Z115" s="719"/>
      <c r="AA115" s="719"/>
      <c r="AB115" s="719"/>
      <c r="AC115" s="719" t="s">
        <v>2979</v>
      </c>
      <c r="AD115" s="719"/>
      <c r="AE115" s="719"/>
      <c r="AF115" s="719">
        <v>200</v>
      </c>
      <c r="AG115" s="789">
        <v>33168.06</v>
      </c>
      <c r="AH115" s="719">
        <v>1413</v>
      </c>
      <c r="AI115" s="719">
        <v>-5210</v>
      </c>
      <c r="AJ115" s="719"/>
      <c r="AK115" s="719"/>
      <c r="AL115" s="719"/>
      <c r="AM115" s="719" t="s">
        <v>2608</v>
      </c>
      <c r="AN115" s="719">
        <v>5.25</v>
      </c>
      <c r="AO115" s="719"/>
      <c r="AP115" s="719"/>
      <c r="AQ115" s="724"/>
      <c r="AR115" s="724"/>
      <c r="AS115" s="724"/>
      <c r="AT115" s="724">
        <f>+ab($T$115,$T$113,$T$117,$G$114,$G$116, 1*$F$115,1200)</f>
        <v>-7.9442410717051439</v>
      </c>
      <c r="AU115" s="724"/>
      <c r="AV115" s="724"/>
      <c r="AW115" s="719"/>
      <c r="AX115" s="719"/>
      <c r="AY115" s="719"/>
      <c r="AZ115" s="532"/>
    </row>
    <row r="116" spans="1:52" ht="15.75" hidden="1" customHeight="1">
      <c r="A116" s="716"/>
      <c r="B116" s="717"/>
      <c r="C116" s="789"/>
      <c r="D116" s="719"/>
      <c r="E116" s="719"/>
      <c r="F116" s="720"/>
      <c r="G116" s="721">
        <v>50</v>
      </c>
      <c r="H116" s="726"/>
      <c r="I116" s="722"/>
      <c r="J116" s="718"/>
      <c r="K116" s="719"/>
      <c r="L116" s="719"/>
      <c r="M116" s="719"/>
      <c r="N116" s="726"/>
      <c r="O116" s="726"/>
      <c r="P116" s="731"/>
      <c r="Q116" s="719"/>
      <c r="R116" s="719"/>
      <c r="S116" s="724">
        <f t="shared" ref="S116" si="40">AG117-AG115</f>
        <v>49.600000000005821</v>
      </c>
      <c r="T116" s="719"/>
      <c r="U116" s="719"/>
      <c r="V116" s="719"/>
      <c r="W116" s="719"/>
      <c r="X116" s="719"/>
      <c r="Y116" s="719"/>
      <c r="Z116" s="719"/>
      <c r="AA116" s="719"/>
      <c r="AB116" s="719"/>
      <c r="AC116" s="719"/>
      <c r="AD116" s="719"/>
      <c r="AE116" s="719"/>
      <c r="AF116" s="719"/>
      <c r="AG116" s="789"/>
      <c r="AH116" s="719"/>
      <c r="AI116" s="719"/>
      <c r="AJ116" s="719"/>
      <c r="AK116" s="719"/>
      <c r="AL116" s="719"/>
      <c r="AM116" s="719"/>
      <c r="AN116" s="719"/>
      <c r="AO116" s="719"/>
      <c r="AP116" s="719"/>
      <c r="AQ116" s="724">
        <f>+FL_1($T$117,$T$115,$G$116,1200,9.28, 1*$F$117)</f>
        <v>0.33477011200000001</v>
      </c>
      <c r="AR116" s="724"/>
      <c r="AS116" s="724"/>
      <c r="AT116" s="724"/>
      <c r="AU116" s="724"/>
      <c r="AV116" s="724"/>
      <c r="AW116" s="719"/>
      <c r="AX116" s="719"/>
      <c r="AY116" s="719"/>
      <c r="AZ116" s="532"/>
    </row>
    <row r="117" spans="1:52" ht="15.75" hidden="1" customHeight="1">
      <c r="A117" s="716" t="s">
        <v>677</v>
      </c>
      <c r="B117" s="719" t="s">
        <v>1719</v>
      </c>
      <c r="C117" s="789">
        <f>+$C$115+$G$116</f>
        <v>33218</v>
      </c>
      <c r="D117" s="719"/>
      <c r="E117" s="719"/>
      <c r="F117" s="720">
        <v>0</v>
      </c>
      <c r="G117" s="721"/>
      <c r="H117" s="726" t="s">
        <v>138</v>
      </c>
      <c r="I117" s="722" t="s">
        <v>948</v>
      </c>
      <c r="J117" s="718"/>
      <c r="K117" s="719"/>
      <c r="L117" s="719" t="s">
        <v>241</v>
      </c>
      <c r="M117" s="719"/>
      <c r="N117" s="726" t="s">
        <v>696</v>
      </c>
      <c r="O117" s="726"/>
      <c r="P117" s="731"/>
      <c r="Q117" s="719">
        <v>0</v>
      </c>
      <c r="R117" s="719">
        <v>0</v>
      </c>
      <c r="S117" s="719"/>
      <c r="T117" s="719">
        <v>30</v>
      </c>
      <c r="U117" s="719"/>
      <c r="V117" s="719"/>
      <c r="W117" s="719">
        <v>1.1000000000000001</v>
      </c>
      <c r="X117" s="719"/>
      <c r="Y117" s="719"/>
      <c r="Z117" s="719"/>
      <c r="AA117" s="719"/>
      <c r="AB117" s="719"/>
      <c r="AC117" s="719" t="s">
        <v>2977</v>
      </c>
      <c r="AD117" s="719"/>
      <c r="AE117" s="719"/>
      <c r="AF117" s="719">
        <v>200</v>
      </c>
      <c r="AG117" s="789">
        <v>33217.660000000003</v>
      </c>
      <c r="AH117" s="719">
        <v>1396</v>
      </c>
      <c r="AI117" s="719">
        <v>-5200</v>
      </c>
      <c r="AJ117" s="719"/>
      <c r="AK117" s="719"/>
      <c r="AL117" s="719"/>
      <c r="AM117" s="719" t="s">
        <v>2608</v>
      </c>
      <c r="AN117" s="719">
        <v>5.25</v>
      </c>
      <c r="AO117" s="719"/>
      <c r="AP117" s="719"/>
      <c r="AQ117" s="724"/>
      <c r="AR117" s="724"/>
      <c r="AS117" s="724"/>
      <c r="AT117" s="724">
        <f>+ab($T$117,$T$115,$T$119,$G$116,$G$118, 1*$F$117,1200)</f>
        <v>9.6925467454765606</v>
      </c>
      <c r="AU117" s="724"/>
      <c r="AV117" s="724"/>
      <c r="AW117" s="719"/>
      <c r="AX117" s="719"/>
      <c r="AY117" s="719"/>
      <c r="AZ117" s="532"/>
    </row>
    <row r="118" spans="1:52" ht="15.75" hidden="1" customHeight="1">
      <c r="A118" s="716"/>
      <c r="B118" s="717"/>
      <c r="C118" s="789"/>
      <c r="D118" s="719"/>
      <c r="E118" s="719"/>
      <c r="F118" s="720"/>
      <c r="G118" s="721">
        <v>46</v>
      </c>
      <c r="H118" s="726"/>
      <c r="I118" s="722"/>
      <c r="J118" s="718">
        <f>C117+10</f>
        <v>33228</v>
      </c>
      <c r="K118" s="719" t="s">
        <v>1097</v>
      </c>
      <c r="L118" s="719"/>
      <c r="M118" s="719"/>
      <c r="N118" s="726"/>
      <c r="O118" s="726"/>
      <c r="P118" s="726"/>
      <c r="Q118" s="719"/>
      <c r="R118" s="719"/>
      <c r="S118" s="724">
        <f t="shared" ref="S118" si="41">AG119-AG117</f>
        <v>44.759999999994761</v>
      </c>
      <c r="T118" s="719"/>
      <c r="U118" s="719"/>
      <c r="V118" s="719"/>
      <c r="W118" s="719"/>
      <c r="X118" s="719"/>
      <c r="Y118" s="719"/>
      <c r="Z118" s="719"/>
      <c r="AA118" s="719"/>
      <c r="AB118" s="719"/>
      <c r="AC118" s="719"/>
      <c r="AD118" s="719"/>
      <c r="AE118" s="719"/>
      <c r="AF118" s="719"/>
      <c r="AG118" s="789"/>
      <c r="AH118" s="719"/>
      <c r="AI118" s="719"/>
      <c r="AJ118" s="719"/>
      <c r="AK118" s="719"/>
      <c r="AL118" s="719"/>
      <c r="AM118" s="719"/>
      <c r="AN118" s="719"/>
      <c r="AO118" s="719"/>
      <c r="AP118" s="719"/>
      <c r="AQ118" s="724">
        <f>+FL_2($U$119,$T$117,$G$118,1200,9.28, 1*$F$119)</f>
        <v>-0.27197667408695653</v>
      </c>
      <c r="AR118" s="724"/>
      <c r="AS118" s="724"/>
      <c r="AT118" s="724"/>
      <c r="AU118" s="724"/>
      <c r="AV118" s="724"/>
      <c r="AW118" s="719"/>
      <c r="AX118" s="719"/>
      <c r="AY118" s="719"/>
      <c r="AZ118" s="532"/>
    </row>
    <row r="119" spans="1:52" ht="15.75" hidden="1" customHeight="1">
      <c r="A119" s="716" t="s">
        <v>677</v>
      </c>
      <c r="B119" s="717" t="s">
        <v>1720</v>
      </c>
      <c r="C119" s="789">
        <f>+$C$117+$G$118</f>
        <v>33264</v>
      </c>
      <c r="D119" s="719"/>
      <c r="E119" s="719"/>
      <c r="F119" s="720">
        <v>0</v>
      </c>
      <c r="G119" s="721"/>
      <c r="H119" s="726" t="s">
        <v>668</v>
      </c>
      <c r="I119" s="722"/>
      <c r="J119" s="718"/>
      <c r="K119" s="719"/>
      <c r="L119" s="719" t="s">
        <v>465</v>
      </c>
      <c r="M119" s="719"/>
      <c r="N119" s="726" t="s">
        <v>697</v>
      </c>
      <c r="O119" s="726" t="s">
        <v>695</v>
      </c>
      <c r="P119" s="731"/>
      <c r="Q119" s="719">
        <v>0</v>
      </c>
      <c r="R119" s="719">
        <v>0</v>
      </c>
      <c r="S119" s="724">
        <f>AG120-AG119</f>
        <v>3.2200000000011642</v>
      </c>
      <c r="T119" s="719">
        <v>-5</v>
      </c>
      <c r="U119" s="719">
        <v>-25</v>
      </c>
      <c r="V119" s="719"/>
      <c r="W119" s="719">
        <v>1.1000000000000001</v>
      </c>
      <c r="X119" s="719">
        <v>1.2</v>
      </c>
      <c r="Y119" s="719"/>
      <c r="Z119" s="719">
        <v>0.45</v>
      </c>
      <c r="AA119" s="719"/>
      <c r="AB119" s="719"/>
      <c r="AC119" s="719"/>
      <c r="AD119" s="719" t="s">
        <v>2614</v>
      </c>
      <c r="AE119" s="719"/>
      <c r="AF119" s="719">
        <v>200</v>
      </c>
      <c r="AG119" s="789">
        <v>33262.42</v>
      </c>
      <c r="AH119" s="719">
        <v>1399</v>
      </c>
      <c r="AI119" s="719">
        <v>-5207</v>
      </c>
      <c r="AJ119" s="719"/>
      <c r="AK119" s="719"/>
      <c r="AL119" s="719"/>
      <c r="AM119" s="719" t="s">
        <v>2608</v>
      </c>
      <c r="AN119" s="719">
        <v>5.25</v>
      </c>
      <c r="AO119" s="719"/>
      <c r="AP119" s="719"/>
      <c r="AQ119" s="724"/>
      <c r="AR119" s="724"/>
      <c r="AS119" s="724"/>
      <c r="AT119" s="724">
        <f>+ab($U$119,$T$117,$U$121,$G$118,$G$120, 1*$F$119,1200)</f>
        <v>-10.565147373072364</v>
      </c>
      <c r="AU119" s="724"/>
      <c r="AV119" s="724"/>
      <c r="AW119" s="719"/>
      <c r="AX119" s="719"/>
      <c r="AY119" s="719"/>
      <c r="AZ119" s="532"/>
    </row>
    <row r="120" spans="1:52" ht="15.75" hidden="1" customHeight="1">
      <c r="A120" s="716"/>
      <c r="B120" s="717"/>
      <c r="C120" s="789"/>
      <c r="D120" s="719"/>
      <c r="E120" s="719"/>
      <c r="F120" s="720"/>
      <c r="G120" s="721">
        <v>50</v>
      </c>
      <c r="H120" s="726"/>
      <c r="I120" s="722"/>
      <c r="J120" s="718"/>
      <c r="K120" s="719"/>
      <c r="L120" s="719"/>
      <c r="M120" s="719"/>
      <c r="N120" s="726"/>
      <c r="O120" s="726"/>
      <c r="P120" s="731"/>
      <c r="Q120" s="719"/>
      <c r="R120" s="719"/>
      <c r="S120" s="724">
        <f t="shared" ref="S120:S122" si="42">AG121-AG120</f>
        <v>44.900000000001455</v>
      </c>
      <c r="T120" s="719"/>
      <c r="U120" s="719"/>
      <c r="V120" s="719"/>
      <c r="W120" s="719"/>
      <c r="X120" s="719"/>
      <c r="Y120" s="719"/>
      <c r="Z120" s="719"/>
      <c r="AA120" s="719"/>
      <c r="AB120" s="719"/>
      <c r="AC120" s="719"/>
      <c r="AD120" s="719"/>
      <c r="AE120" s="719"/>
      <c r="AF120" s="719"/>
      <c r="AG120" s="789">
        <v>33265.64</v>
      </c>
      <c r="AH120" s="719">
        <v>1390</v>
      </c>
      <c r="AI120" s="719">
        <v>-5208</v>
      </c>
      <c r="AJ120" s="719"/>
      <c r="AK120" s="719"/>
      <c r="AL120" s="719"/>
      <c r="AM120" s="719"/>
      <c r="AN120" s="719"/>
      <c r="AO120" s="719"/>
      <c r="AP120" s="719"/>
      <c r="AQ120" s="724">
        <f>+FL_1($T$121,$U$119,$G$120,1200,9.28, 1*$F$121)</f>
        <v>0.30632183866666668</v>
      </c>
      <c r="AR120" s="724"/>
      <c r="AS120" s="724"/>
      <c r="AT120" s="724"/>
      <c r="AU120" s="724"/>
      <c r="AV120" s="724"/>
      <c r="AW120" s="719"/>
      <c r="AX120" s="719"/>
      <c r="AY120" s="719"/>
      <c r="AZ120" s="532"/>
    </row>
    <row r="121" spans="1:52" ht="15.75" hidden="1" customHeight="1">
      <c r="A121" s="716" t="s">
        <v>677</v>
      </c>
      <c r="B121" s="717" t="s">
        <v>1721</v>
      </c>
      <c r="C121" s="789">
        <f>+$C$119+$G$120</f>
        <v>33314</v>
      </c>
      <c r="D121" s="719"/>
      <c r="E121" s="719"/>
      <c r="F121" s="720">
        <v>0</v>
      </c>
      <c r="G121" s="721"/>
      <c r="H121" s="726" t="s">
        <v>668</v>
      </c>
      <c r="I121" s="726"/>
      <c r="J121" s="718"/>
      <c r="K121" s="719"/>
      <c r="L121" s="719" t="s">
        <v>465</v>
      </c>
      <c r="M121" s="719"/>
      <c r="N121" s="726" t="s">
        <v>696</v>
      </c>
      <c r="O121" s="726" t="s">
        <v>697</v>
      </c>
      <c r="P121" s="731"/>
      <c r="Q121" s="719">
        <v>0</v>
      </c>
      <c r="R121" s="719">
        <v>0</v>
      </c>
      <c r="S121" s="724">
        <f t="shared" si="42"/>
        <v>3.2099999999991269</v>
      </c>
      <c r="T121" s="719">
        <v>25</v>
      </c>
      <c r="U121" s="719">
        <v>5</v>
      </c>
      <c r="V121" s="719"/>
      <c r="W121" s="719">
        <v>1.1000000000000001</v>
      </c>
      <c r="X121" s="719">
        <v>1.2</v>
      </c>
      <c r="Y121" s="719"/>
      <c r="Z121" s="719"/>
      <c r="AA121" s="719">
        <v>0.45</v>
      </c>
      <c r="AB121" s="719"/>
      <c r="AC121" s="719" t="s">
        <v>2614</v>
      </c>
      <c r="AD121" s="719"/>
      <c r="AE121" s="719"/>
      <c r="AF121" s="719">
        <v>200</v>
      </c>
      <c r="AG121" s="789">
        <v>33310.54</v>
      </c>
      <c r="AH121" s="719">
        <v>1402</v>
      </c>
      <c r="AI121" s="719">
        <v>-5177</v>
      </c>
      <c r="AJ121" s="719"/>
      <c r="AK121" s="719"/>
      <c r="AL121" s="719"/>
      <c r="AM121" s="719" t="s">
        <v>2608</v>
      </c>
      <c r="AN121" s="719">
        <v>5.25</v>
      </c>
      <c r="AO121" s="719"/>
      <c r="AP121" s="719"/>
      <c r="AQ121" s="724"/>
      <c r="AR121" s="724"/>
      <c r="AS121" s="724"/>
      <c r="AT121" s="724">
        <f>+ab($T$121,$T$119,$T$123,$G$120,$G$122, 1*$F$121,1200)</f>
        <v>11.14504395531122</v>
      </c>
      <c r="AU121" s="724"/>
      <c r="AV121" s="724"/>
      <c r="AW121" s="719"/>
      <c r="AX121" s="719"/>
      <c r="AY121" s="719"/>
      <c r="AZ121" s="532"/>
    </row>
    <row r="122" spans="1:52" ht="15.75" hidden="1" customHeight="1">
      <c r="A122" s="716"/>
      <c r="B122" s="717"/>
      <c r="C122" s="789"/>
      <c r="D122" s="719"/>
      <c r="E122" s="719"/>
      <c r="F122" s="720"/>
      <c r="G122" s="721">
        <v>50</v>
      </c>
      <c r="H122" s="726"/>
      <c r="I122" s="726"/>
      <c r="J122" s="718">
        <f>C123-10</f>
        <v>33354</v>
      </c>
      <c r="K122" s="719" t="s">
        <v>1097</v>
      </c>
      <c r="L122" s="719"/>
      <c r="M122" s="719"/>
      <c r="N122" s="726"/>
      <c r="O122" s="719"/>
      <c r="P122" s="726"/>
      <c r="Q122" s="719"/>
      <c r="R122" s="719"/>
      <c r="S122" s="724">
        <f t="shared" si="42"/>
        <v>51.209999999999127</v>
      </c>
      <c r="T122" s="719"/>
      <c r="U122" s="719"/>
      <c r="V122" s="719"/>
      <c r="W122" s="719"/>
      <c r="X122" s="719"/>
      <c r="Y122" s="719"/>
      <c r="Z122" s="719"/>
      <c r="AA122" s="719"/>
      <c r="AB122" s="719"/>
      <c r="AC122" s="719"/>
      <c r="AD122" s="719"/>
      <c r="AE122" s="719"/>
      <c r="AF122" s="719"/>
      <c r="AG122" s="789">
        <v>33313.75</v>
      </c>
      <c r="AH122" s="719">
        <v>1406</v>
      </c>
      <c r="AI122" s="719">
        <v>-5191</v>
      </c>
      <c r="AJ122" s="719"/>
      <c r="AK122" s="719"/>
      <c r="AL122" s="719"/>
      <c r="AM122" s="719"/>
      <c r="AN122" s="719"/>
      <c r="AO122" s="719"/>
      <c r="AP122" s="719"/>
      <c r="AQ122" s="724">
        <f>+FL_1($T$123,$T$121,$G$122,1200,9.28, 1*$F$123)</f>
        <v>0.29489941866666669</v>
      </c>
      <c r="AR122" s="724"/>
      <c r="AS122" s="724"/>
      <c r="AT122" s="724"/>
      <c r="AU122" s="724"/>
      <c r="AV122" s="724"/>
      <c r="AW122" s="719"/>
      <c r="AX122" s="719"/>
      <c r="AY122" s="719"/>
      <c r="AZ122" s="532"/>
    </row>
    <row r="123" spans="1:52" ht="15.75" hidden="1" customHeight="1">
      <c r="A123" s="716" t="s">
        <v>677</v>
      </c>
      <c r="B123" s="717" t="s">
        <v>1722</v>
      </c>
      <c r="C123" s="789">
        <f>+$C$121+$G$122</f>
        <v>33364</v>
      </c>
      <c r="D123" s="719"/>
      <c r="E123" s="719"/>
      <c r="F123" s="720">
        <v>0</v>
      </c>
      <c r="G123" s="721"/>
      <c r="H123" s="726" t="s">
        <v>138</v>
      </c>
      <c r="I123" s="726" t="s">
        <v>948</v>
      </c>
      <c r="J123" s="718"/>
      <c r="K123" s="719"/>
      <c r="L123" s="719" t="s">
        <v>241</v>
      </c>
      <c r="M123" s="719"/>
      <c r="N123" s="726" t="s">
        <v>695</v>
      </c>
      <c r="O123" s="726"/>
      <c r="P123" s="726"/>
      <c r="Q123" s="719">
        <v>0</v>
      </c>
      <c r="R123" s="719">
        <v>0</v>
      </c>
      <c r="S123" s="719"/>
      <c r="T123" s="719">
        <v>-30</v>
      </c>
      <c r="U123" s="719"/>
      <c r="V123" s="719"/>
      <c r="W123" s="719">
        <v>1.1000000000000001</v>
      </c>
      <c r="X123" s="719"/>
      <c r="Y123" s="719"/>
      <c r="Z123" s="719"/>
      <c r="AA123" s="719"/>
      <c r="AB123" s="719"/>
      <c r="AC123" s="719" t="s">
        <v>2979</v>
      </c>
      <c r="AD123" s="719"/>
      <c r="AE123" s="719"/>
      <c r="AF123" s="719">
        <v>200</v>
      </c>
      <c r="AG123" s="789">
        <v>33364.959999999999</v>
      </c>
      <c r="AH123" s="719">
        <v>1402</v>
      </c>
      <c r="AI123" s="719">
        <v>-5208</v>
      </c>
      <c r="AJ123" s="719"/>
      <c r="AK123" s="719"/>
      <c r="AL123" s="719"/>
      <c r="AM123" s="719" t="s">
        <v>2608</v>
      </c>
      <c r="AN123" s="719">
        <v>5.25</v>
      </c>
      <c r="AO123" s="719"/>
      <c r="AP123" s="719"/>
      <c r="AQ123" s="724"/>
      <c r="AR123" s="724"/>
      <c r="AS123" s="724"/>
      <c r="AT123" s="724">
        <f>+ab($T$123,$T$121,$T$125,$G$122,$G$124, 1*$F$123,1200)</f>
        <v>-8.2849467556123688</v>
      </c>
      <c r="AU123" s="724"/>
      <c r="AV123" s="724"/>
      <c r="AW123" s="719"/>
      <c r="AX123" s="719"/>
      <c r="AY123" s="719"/>
      <c r="AZ123" s="532"/>
    </row>
    <row r="124" spans="1:52" ht="15.75" hidden="1" customHeight="1">
      <c r="A124" s="716"/>
      <c r="B124" s="717"/>
      <c r="C124" s="1332"/>
      <c r="D124" s="719"/>
      <c r="E124" s="719"/>
      <c r="F124" s="720"/>
      <c r="G124" s="721">
        <v>50</v>
      </c>
      <c r="H124" s="719"/>
      <c r="I124" s="722"/>
      <c r="J124" s="718"/>
      <c r="K124" s="719"/>
      <c r="L124" s="719"/>
      <c r="M124" s="719"/>
      <c r="N124" s="726"/>
      <c r="O124" s="726"/>
      <c r="P124" s="726"/>
      <c r="Q124" s="719"/>
      <c r="R124" s="719"/>
      <c r="S124" s="724">
        <f t="shared" ref="S124" si="43">AG125-AG123</f>
        <v>48</v>
      </c>
      <c r="T124" s="719"/>
      <c r="U124" s="719"/>
      <c r="V124" s="719"/>
      <c r="W124" s="719"/>
      <c r="X124" s="719"/>
      <c r="Y124" s="719"/>
      <c r="Z124" s="719"/>
      <c r="AA124" s="719"/>
      <c r="AB124" s="719"/>
      <c r="AC124" s="719"/>
      <c r="AD124" s="719"/>
      <c r="AE124" s="719"/>
      <c r="AF124" s="719"/>
      <c r="AG124" s="1332"/>
      <c r="AH124" s="719"/>
      <c r="AI124" s="719"/>
      <c r="AJ124" s="719"/>
      <c r="AK124" s="719"/>
      <c r="AL124" s="719"/>
      <c r="AM124" s="719"/>
      <c r="AN124" s="719"/>
      <c r="AO124" s="719"/>
      <c r="AP124" s="719"/>
      <c r="AQ124" s="724">
        <f>+FL_1($T$125,$T$123,$G$124,1200,9.28, 1*$F$125)</f>
        <v>0.33477011200000001</v>
      </c>
      <c r="AR124" s="724"/>
      <c r="AS124" s="724"/>
      <c r="AT124" s="724"/>
      <c r="AU124" s="724"/>
      <c r="AV124" s="724"/>
      <c r="AW124" s="719"/>
      <c r="AX124" s="719"/>
      <c r="AY124" s="719"/>
      <c r="AZ124" s="532"/>
    </row>
    <row r="125" spans="1:52" ht="15.75" hidden="1" customHeight="1">
      <c r="A125" s="716" t="s">
        <v>677</v>
      </c>
      <c r="B125" s="717" t="s">
        <v>1723</v>
      </c>
      <c r="C125" s="789">
        <f>+$C$123+$G$124</f>
        <v>33414</v>
      </c>
      <c r="D125" s="719"/>
      <c r="E125" s="719"/>
      <c r="F125" s="720">
        <v>0</v>
      </c>
      <c r="G125" s="721"/>
      <c r="H125" s="726"/>
      <c r="I125" s="726"/>
      <c r="J125" s="718"/>
      <c r="K125" s="719"/>
      <c r="L125" s="719" t="s">
        <v>241</v>
      </c>
      <c r="M125" s="719"/>
      <c r="N125" s="719" t="s">
        <v>696</v>
      </c>
      <c r="O125" s="719"/>
      <c r="P125" s="726"/>
      <c r="Q125" s="719">
        <v>0</v>
      </c>
      <c r="R125" s="719">
        <v>0</v>
      </c>
      <c r="S125" s="719"/>
      <c r="T125" s="719">
        <v>30</v>
      </c>
      <c r="U125" s="719"/>
      <c r="V125" s="719"/>
      <c r="W125" s="719">
        <v>1.1000000000000001</v>
      </c>
      <c r="X125" s="719"/>
      <c r="Y125" s="719"/>
      <c r="Z125" s="719"/>
      <c r="AA125" s="719"/>
      <c r="AB125" s="719"/>
      <c r="AC125" s="719" t="s">
        <v>2977</v>
      </c>
      <c r="AD125" s="719"/>
      <c r="AE125" s="719"/>
      <c r="AF125" s="719">
        <v>200</v>
      </c>
      <c r="AG125" s="789">
        <v>33412.959999999999</v>
      </c>
      <c r="AH125" s="719">
        <v>1404</v>
      </c>
      <c r="AI125" s="719">
        <v>-5187</v>
      </c>
      <c r="AJ125" s="719"/>
      <c r="AK125" s="719"/>
      <c r="AL125" s="719"/>
      <c r="AM125" s="719" t="s">
        <v>2608</v>
      </c>
      <c r="AN125" s="719">
        <v>5.25</v>
      </c>
      <c r="AO125" s="719"/>
      <c r="AP125" s="719"/>
      <c r="AQ125" s="724"/>
      <c r="AR125" s="724"/>
      <c r="AS125" s="724"/>
      <c r="AT125" s="724">
        <f>+ab($T$125,$T$123,$T$127,$G$124,$G$126, 1*$F$125,1200)</f>
        <v>7.9442083933778509</v>
      </c>
      <c r="AU125" s="724"/>
      <c r="AV125" s="724"/>
      <c r="AW125" s="719"/>
      <c r="AX125" s="719"/>
      <c r="AY125" s="719"/>
      <c r="AZ125" s="532"/>
    </row>
    <row r="126" spans="1:52" ht="15.75" hidden="1" customHeight="1">
      <c r="A126" s="716"/>
      <c r="B126" s="717"/>
      <c r="C126" s="789"/>
      <c r="D126" s="719"/>
      <c r="E126" s="719"/>
      <c r="F126" s="720"/>
      <c r="G126" s="721">
        <v>50</v>
      </c>
      <c r="H126" s="726"/>
      <c r="I126" s="726"/>
      <c r="J126" s="718"/>
      <c r="K126" s="719"/>
      <c r="L126" s="719"/>
      <c r="M126" s="719"/>
      <c r="N126" s="726"/>
      <c r="O126" s="726"/>
      <c r="P126" s="726"/>
      <c r="Q126" s="719"/>
      <c r="R126" s="719"/>
      <c r="S126" s="724">
        <f t="shared" ref="S126" si="44">AG127-AG125</f>
        <v>51.220000000001164</v>
      </c>
      <c r="T126" s="719"/>
      <c r="U126" s="719"/>
      <c r="V126" s="719"/>
      <c r="W126" s="719"/>
      <c r="X126" s="719"/>
      <c r="Y126" s="719"/>
      <c r="Z126" s="719"/>
      <c r="AA126" s="719"/>
      <c r="AB126" s="719"/>
      <c r="AC126" s="719"/>
      <c r="AD126" s="719"/>
      <c r="AE126" s="719"/>
      <c r="AF126" s="719"/>
      <c r="AG126" s="789"/>
      <c r="AH126" s="719"/>
      <c r="AI126" s="719"/>
      <c r="AJ126" s="719"/>
      <c r="AK126" s="719"/>
      <c r="AL126" s="719"/>
      <c r="AM126" s="719"/>
      <c r="AN126" s="719"/>
      <c r="AO126" s="719"/>
      <c r="AP126" s="719"/>
      <c r="AQ126" s="724">
        <f>+FL_2($T$127,$T$125,$G$126,1200,9.28, 1*$F$127)</f>
        <v>-0.33477011200000001</v>
      </c>
      <c r="AR126" s="724"/>
      <c r="AS126" s="724"/>
      <c r="AT126" s="724"/>
      <c r="AU126" s="724"/>
      <c r="AV126" s="724"/>
      <c r="AW126" s="719"/>
      <c r="AX126" s="719"/>
      <c r="AY126" s="719"/>
      <c r="AZ126" s="532"/>
    </row>
    <row r="127" spans="1:52" ht="15.75" hidden="1" customHeight="1">
      <c r="A127" s="716" t="s">
        <v>677</v>
      </c>
      <c r="B127" s="717" t="s">
        <v>1724</v>
      </c>
      <c r="C127" s="789">
        <f>+$C$125+$G$126</f>
        <v>33464</v>
      </c>
      <c r="D127" s="719"/>
      <c r="E127" s="719"/>
      <c r="F127" s="720">
        <v>0</v>
      </c>
      <c r="G127" s="721"/>
      <c r="H127" s="726"/>
      <c r="I127" s="726"/>
      <c r="J127" s="718"/>
      <c r="K127" s="719"/>
      <c r="L127" s="719" t="s">
        <v>241</v>
      </c>
      <c r="M127" s="719"/>
      <c r="N127" s="726" t="s">
        <v>695</v>
      </c>
      <c r="O127" s="726"/>
      <c r="P127" s="726"/>
      <c r="Q127" s="719">
        <v>0</v>
      </c>
      <c r="R127" s="719">
        <v>0</v>
      </c>
      <c r="S127" s="719"/>
      <c r="T127" s="719">
        <v>-30</v>
      </c>
      <c r="U127" s="719"/>
      <c r="V127" s="719"/>
      <c r="W127" s="719">
        <v>1.1000000000000001</v>
      </c>
      <c r="X127" s="719"/>
      <c r="Y127" s="719"/>
      <c r="Z127" s="719"/>
      <c r="AA127" s="719"/>
      <c r="AB127" s="719"/>
      <c r="AC127" s="719" t="s">
        <v>2979</v>
      </c>
      <c r="AD127" s="719"/>
      <c r="AE127" s="719"/>
      <c r="AF127" s="719">
        <v>200</v>
      </c>
      <c r="AG127" s="789">
        <v>33464.18</v>
      </c>
      <c r="AH127" s="719">
        <v>1403</v>
      </c>
      <c r="AI127" s="719">
        <v>-5206</v>
      </c>
      <c r="AJ127" s="719"/>
      <c r="AK127" s="719"/>
      <c r="AL127" s="719"/>
      <c r="AM127" s="719" t="s">
        <v>2608</v>
      </c>
      <c r="AN127" s="719">
        <v>5.25</v>
      </c>
      <c r="AO127" s="719"/>
      <c r="AP127" s="719"/>
      <c r="AQ127" s="724"/>
      <c r="AR127" s="724"/>
      <c r="AS127" s="724"/>
      <c r="AT127" s="724">
        <f>+ab($T$127,$T$125,$T$129,$G$126,$G$128, 1*$F$127,1200)</f>
        <v>-7.9442410717051439</v>
      </c>
      <c r="AU127" s="724"/>
      <c r="AV127" s="724"/>
      <c r="AW127" s="719"/>
      <c r="AX127" s="719"/>
      <c r="AY127" s="719"/>
      <c r="AZ127" s="532"/>
    </row>
    <row r="128" spans="1:52" ht="15.75" hidden="1" customHeight="1">
      <c r="A128" s="716"/>
      <c r="B128" s="717"/>
      <c r="C128" s="789"/>
      <c r="D128" s="719"/>
      <c r="E128" s="719"/>
      <c r="F128" s="720"/>
      <c r="G128" s="721">
        <v>50</v>
      </c>
      <c r="H128" s="726"/>
      <c r="I128" s="726"/>
      <c r="J128" s="718"/>
      <c r="K128" s="719"/>
      <c r="L128" s="719"/>
      <c r="M128" s="719"/>
      <c r="N128" s="726"/>
      <c r="O128" s="726"/>
      <c r="P128" s="726"/>
      <c r="Q128" s="719"/>
      <c r="R128" s="719"/>
      <c r="S128" s="724">
        <f t="shared" ref="S128" si="45">AG129-AG127</f>
        <v>48.110000000000582</v>
      </c>
      <c r="T128" s="719"/>
      <c r="U128" s="719"/>
      <c r="V128" s="719"/>
      <c r="W128" s="719"/>
      <c r="X128" s="719"/>
      <c r="Y128" s="719"/>
      <c r="Z128" s="719"/>
      <c r="AA128" s="719"/>
      <c r="AB128" s="719"/>
      <c r="AC128" s="719"/>
      <c r="AD128" s="719"/>
      <c r="AE128" s="719"/>
      <c r="AF128" s="719"/>
      <c r="AG128" s="789"/>
      <c r="AH128" s="719"/>
      <c r="AI128" s="719"/>
      <c r="AJ128" s="719"/>
      <c r="AK128" s="719"/>
      <c r="AL128" s="719"/>
      <c r="AM128" s="719"/>
      <c r="AN128" s="719"/>
      <c r="AO128" s="719"/>
      <c r="AP128" s="719"/>
      <c r="AQ128" s="724">
        <f>+FL_1($T$129,$T$127,$G$128,1200,9.28, 1*$F$129)</f>
        <v>0.33477011200000001</v>
      </c>
      <c r="AR128" s="724"/>
      <c r="AS128" s="724"/>
      <c r="AT128" s="724"/>
      <c r="AU128" s="724"/>
      <c r="AV128" s="724"/>
      <c r="AW128" s="719"/>
      <c r="AX128" s="719"/>
      <c r="AY128" s="719"/>
      <c r="AZ128" s="532"/>
    </row>
    <row r="129" spans="1:52" ht="15.75" hidden="1" customHeight="1">
      <c r="A129" s="716" t="s">
        <v>677</v>
      </c>
      <c r="B129" s="717" t="s">
        <v>1725</v>
      </c>
      <c r="C129" s="789">
        <f>+$C$127+$G$128</f>
        <v>33514</v>
      </c>
      <c r="D129" s="719"/>
      <c r="E129" s="719"/>
      <c r="F129" s="720">
        <v>0</v>
      </c>
      <c r="G129" s="721"/>
      <c r="H129" s="726"/>
      <c r="I129" s="726"/>
      <c r="J129" s="718"/>
      <c r="K129" s="719"/>
      <c r="L129" s="719" t="s">
        <v>241</v>
      </c>
      <c r="M129" s="719"/>
      <c r="N129" s="719" t="s">
        <v>696</v>
      </c>
      <c r="O129" s="726"/>
      <c r="P129" s="726"/>
      <c r="Q129" s="719">
        <v>0</v>
      </c>
      <c r="R129" s="719">
        <v>0</v>
      </c>
      <c r="S129" s="719"/>
      <c r="T129" s="719">
        <v>30</v>
      </c>
      <c r="U129" s="719"/>
      <c r="V129" s="719"/>
      <c r="W129" s="719">
        <v>1.1000000000000001</v>
      </c>
      <c r="X129" s="719"/>
      <c r="Y129" s="719"/>
      <c r="Z129" s="719"/>
      <c r="AA129" s="719"/>
      <c r="AB129" s="719"/>
      <c r="AC129" s="719" t="s">
        <v>2977</v>
      </c>
      <c r="AD129" s="719"/>
      <c r="AE129" s="719"/>
      <c r="AF129" s="719">
        <v>200</v>
      </c>
      <c r="AG129" s="789">
        <v>33512.29</v>
      </c>
      <c r="AH129" s="719">
        <v>1410</v>
      </c>
      <c r="AI129" s="719">
        <v>-5184</v>
      </c>
      <c r="AJ129" s="719"/>
      <c r="AK129" s="719"/>
      <c r="AL129" s="719"/>
      <c r="AM129" s="719" t="s">
        <v>2608</v>
      </c>
      <c r="AN129" s="719">
        <v>5.25</v>
      </c>
      <c r="AO129" s="719"/>
      <c r="AP129" s="719"/>
      <c r="AQ129" s="724"/>
      <c r="AR129" s="724"/>
      <c r="AS129" s="724"/>
      <c r="AT129" s="724">
        <f>+ab($T$129,$T$127,$T$131,$G$128,$G$130, 1*$F$129,1200)</f>
        <v>7.9442083933778509</v>
      </c>
      <c r="AU129" s="724"/>
      <c r="AV129" s="724"/>
      <c r="AW129" s="719"/>
      <c r="AX129" s="719"/>
      <c r="AY129" s="719"/>
      <c r="AZ129" s="532"/>
    </row>
    <row r="130" spans="1:52" ht="15.75" hidden="1" customHeight="1">
      <c r="A130" s="716"/>
      <c r="B130" s="717"/>
      <c r="C130" s="789"/>
      <c r="D130" s="719"/>
      <c r="E130" s="719"/>
      <c r="F130" s="720"/>
      <c r="G130" s="721">
        <v>50</v>
      </c>
      <c r="H130" s="726"/>
      <c r="I130" s="722"/>
      <c r="J130" s="718"/>
      <c r="K130" s="719"/>
      <c r="L130" s="719"/>
      <c r="M130" s="719"/>
      <c r="N130" s="726"/>
      <c r="O130" s="719"/>
      <c r="P130" s="719"/>
      <c r="Q130" s="719"/>
      <c r="R130" s="719"/>
      <c r="S130" s="724">
        <f t="shared" ref="S130" si="46">AG131-AG129</f>
        <v>51.190000000002328</v>
      </c>
      <c r="T130" s="719"/>
      <c r="U130" s="719"/>
      <c r="V130" s="719"/>
      <c r="W130" s="719"/>
      <c r="X130" s="719"/>
      <c r="Y130" s="719"/>
      <c r="Z130" s="719"/>
      <c r="AA130" s="719"/>
      <c r="AB130" s="719"/>
      <c r="AC130" s="719"/>
      <c r="AD130" s="719"/>
      <c r="AE130" s="719"/>
      <c r="AF130" s="719"/>
      <c r="AG130" s="789"/>
      <c r="AH130" s="719"/>
      <c r="AI130" s="719"/>
      <c r="AJ130" s="719"/>
      <c r="AK130" s="719"/>
      <c r="AL130" s="719"/>
      <c r="AM130" s="719"/>
      <c r="AN130" s="719"/>
      <c r="AO130" s="719"/>
      <c r="AP130" s="719"/>
      <c r="AQ130" s="724">
        <f>+FL_2($T$131,$T$129,$G$130,1200,9.28, 1*$F$131)</f>
        <v>-0.33477011200000001</v>
      </c>
      <c r="AR130" s="724"/>
      <c r="AS130" s="724"/>
      <c r="AT130" s="724"/>
      <c r="AU130" s="724"/>
      <c r="AV130" s="724"/>
      <c r="AW130" s="719"/>
      <c r="AX130" s="719"/>
      <c r="AY130" s="719"/>
      <c r="AZ130" s="532"/>
    </row>
    <row r="131" spans="1:52" ht="15.75" hidden="1" customHeight="1">
      <c r="A131" s="716" t="s">
        <v>677</v>
      </c>
      <c r="B131" s="717" t="s">
        <v>1726</v>
      </c>
      <c r="C131" s="789">
        <f>+$C$129+$G$130</f>
        <v>33564</v>
      </c>
      <c r="D131" s="719"/>
      <c r="E131" s="719"/>
      <c r="F131" s="720">
        <v>0</v>
      </c>
      <c r="G131" s="721"/>
      <c r="H131" s="726"/>
      <c r="I131" s="726"/>
      <c r="J131" s="718"/>
      <c r="K131" s="719"/>
      <c r="L131" s="719" t="s">
        <v>241</v>
      </c>
      <c r="M131" s="719"/>
      <c r="N131" s="726" t="s">
        <v>695</v>
      </c>
      <c r="O131" s="726"/>
      <c r="P131" s="726"/>
      <c r="Q131" s="719">
        <v>0</v>
      </c>
      <c r="R131" s="719">
        <v>0</v>
      </c>
      <c r="S131" s="719"/>
      <c r="T131" s="719">
        <v>-30</v>
      </c>
      <c r="U131" s="719"/>
      <c r="V131" s="719"/>
      <c r="W131" s="719">
        <v>1.1000000000000001</v>
      </c>
      <c r="X131" s="719"/>
      <c r="Y131" s="719"/>
      <c r="Z131" s="719"/>
      <c r="AA131" s="719"/>
      <c r="AB131" s="719"/>
      <c r="AC131" s="719" t="s">
        <v>2979</v>
      </c>
      <c r="AD131" s="719"/>
      <c r="AE131" s="719"/>
      <c r="AF131" s="719">
        <v>200</v>
      </c>
      <c r="AG131" s="789">
        <v>33563.480000000003</v>
      </c>
      <c r="AH131" s="719">
        <v>1414</v>
      </c>
      <c r="AI131" s="719">
        <v>-5136</v>
      </c>
      <c r="AJ131" s="719"/>
      <c r="AK131" s="719"/>
      <c r="AL131" s="719"/>
      <c r="AM131" s="719" t="s">
        <v>2608</v>
      </c>
      <c r="AN131" s="719">
        <v>5.25</v>
      </c>
      <c r="AO131" s="719"/>
      <c r="AP131" s="719"/>
      <c r="AQ131" s="724"/>
      <c r="AR131" s="724"/>
      <c r="AS131" s="724"/>
      <c r="AT131" s="724">
        <f>+ab($T$131,$T$129,$T$133,$G$130,$G$132, 1*$F$131,1200)</f>
        <v>-7.9442410717051439</v>
      </c>
      <c r="AU131" s="724"/>
      <c r="AV131" s="724"/>
      <c r="AW131" s="719"/>
      <c r="AX131" s="719"/>
      <c r="AY131" s="719"/>
      <c r="AZ131" s="532"/>
    </row>
    <row r="132" spans="1:52" ht="15.75" hidden="1" customHeight="1">
      <c r="A132" s="716"/>
      <c r="B132" s="717"/>
      <c r="C132" s="789"/>
      <c r="D132" s="719"/>
      <c r="E132" s="719"/>
      <c r="F132" s="720"/>
      <c r="G132" s="721">
        <v>50</v>
      </c>
      <c r="H132" s="726"/>
      <c r="I132" s="726"/>
      <c r="J132" s="718"/>
      <c r="K132" s="719"/>
      <c r="L132" s="719"/>
      <c r="M132" s="719"/>
      <c r="N132" s="726"/>
      <c r="O132" s="726"/>
      <c r="P132" s="726"/>
      <c r="Q132" s="719"/>
      <c r="R132" s="719"/>
      <c r="S132" s="724">
        <f t="shared" ref="S132" si="47">AG133-AG131</f>
        <v>51.309999999997672</v>
      </c>
      <c r="T132" s="719"/>
      <c r="U132" s="719"/>
      <c r="V132" s="719"/>
      <c r="W132" s="719"/>
      <c r="X132" s="719"/>
      <c r="Y132" s="719"/>
      <c r="Z132" s="719"/>
      <c r="AA132" s="719"/>
      <c r="AB132" s="719"/>
      <c r="AC132" s="719"/>
      <c r="AD132" s="719"/>
      <c r="AE132" s="719"/>
      <c r="AF132" s="719"/>
      <c r="AG132" s="789"/>
      <c r="AH132" s="719"/>
      <c r="AI132" s="719"/>
      <c r="AJ132" s="719"/>
      <c r="AK132" s="719"/>
      <c r="AL132" s="719"/>
      <c r="AM132" s="719"/>
      <c r="AN132" s="719"/>
      <c r="AO132" s="719"/>
      <c r="AP132" s="719"/>
      <c r="AQ132" s="724">
        <f>+FL_1($T$133,$T$131,$G$132,1200,9.28, 1*$F$133)</f>
        <v>0.33477011200000001</v>
      </c>
      <c r="AR132" s="724"/>
      <c r="AS132" s="724"/>
      <c r="AT132" s="724"/>
      <c r="AU132" s="724"/>
      <c r="AV132" s="724"/>
      <c r="AW132" s="719"/>
      <c r="AX132" s="719"/>
      <c r="AY132" s="719"/>
      <c r="AZ132" s="532"/>
    </row>
    <row r="133" spans="1:52" ht="15.75" hidden="1" customHeight="1">
      <c r="A133" s="716" t="s">
        <v>677</v>
      </c>
      <c r="B133" s="717" t="s">
        <v>1727</v>
      </c>
      <c r="C133" s="789">
        <f>+$C$131+$G$132</f>
        <v>33614</v>
      </c>
      <c r="D133" s="719"/>
      <c r="E133" s="719"/>
      <c r="F133" s="720">
        <v>0</v>
      </c>
      <c r="G133" s="721"/>
      <c r="H133" s="726"/>
      <c r="I133" s="726"/>
      <c r="J133" s="718"/>
      <c r="K133" s="719"/>
      <c r="L133" s="719" t="s">
        <v>241</v>
      </c>
      <c r="M133" s="719"/>
      <c r="N133" s="719" t="s">
        <v>696</v>
      </c>
      <c r="O133" s="726"/>
      <c r="P133" s="726"/>
      <c r="Q133" s="719">
        <v>0</v>
      </c>
      <c r="R133" s="719">
        <v>0</v>
      </c>
      <c r="S133" s="719"/>
      <c r="T133" s="719">
        <v>30</v>
      </c>
      <c r="U133" s="719"/>
      <c r="V133" s="719"/>
      <c r="W133" s="719">
        <v>1.1000000000000001</v>
      </c>
      <c r="X133" s="719"/>
      <c r="Y133" s="719"/>
      <c r="Z133" s="719"/>
      <c r="AA133" s="719"/>
      <c r="AB133" s="719"/>
      <c r="AC133" s="719" t="s">
        <v>2977</v>
      </c>
      <c r="AD133" s="719"/>
      <c r="AE133" s="719"/>
      <c r="AF133" s="719">
        <v>200</v>
      </c>
      <c r="AG133" s="789">
        <v>33614.79</v>
      </c>
      <c r="AH133" s="719">
        <v>1418</v>
      </c>
      <c r="AI133" s="719">
        <v>-5228</v>
      </c>
      <c r="AJ133" s="719"/>
      <c r="AK133" s="719"/>
      <c r="AL133" s="719"/>
      <c r="AM133" s="719" t="s">
        <v>2608</v>
      </c>
      <c r="AN133" s="719">
        <v>5.25</v>
      </c>
      <c r="AO133" s="719"/>
      <c r="AP133" s="719"/>
      <c r="AQ133" s="724"/>
      <c r="AR133" s="724"/>
      <c r="AS133" s="724"/>
      <c r="AT133" s="724">
        <f>+ab($T$133,$T$131,$T$135,$G$132,$G$134, 1*$F$133,1200)</f>
        <v>7.9442083933778509</v>
      </c>
      <c r="AU133" s="724"/>
      <c r="AV133" s="724"/>
      <c r="AW133" s="719"/>
      <c r="AX133" s="719"/>
      <c r="AY133" s="719"/>
      <c r="AZ133" s="532"/>
    </row>
    <row r="134" spans="1:52" ht="15.75" hidden="1" customHeight="1">
      <c r="A134" s="716"/>
      <c r="B134" s="717"/>
      <c r="C134" s="789"/>
      <c r="D134" s="719"/>
      <c r="E134" s="719"/>
      <c r="F134" s="720"/>
      <c r="G134" s="721">
        <v>50</v>
      </c>
      <c r="H134" s="726"/>
      <c r="I134" s="722"/>
      <c r="J134" s="718"/>
      <c r="K134" s="719"/>
      <c r="L134" s="719"/>
      <c r="M134" s="719"/>
      <c r="N134" s="726"/>
      <c r="O134" s="726"/>
      <c r="P134" s="726"/>
      <c r="Q134" s="719"/>
      <c r="R134" s="719"/>
      <c r="S134" s="724">
        <f t="shared" ref="S134" si="48">AG135-AG133</f>
        <v>48.019999999996799</v>
      </c>
      <c r="T134" s="719"/>
      <c r="U134" s="719"/>
      <c r="V134" s="719"/>
      <c r="W134" s="719"/>
      <c r="X134" s="719"/>
      <c r="Y134" s="719"/>
      <c r="Z134" s="719"/>
      <c r="AA134" s="719"/>
      <c r="AB134" s="719"/>
      <c r="AC134" s="719"/>
      <c r="AD134" s="719"/>
      <c r="AE134" s="719"/>
      <c r="AF134" s="719"/>
      <c r="AG134" s="789"/>
      <c r="AH134" s="719"/>
      <c r="AI134" s="719"/>
      <c r="AJ134" s="719"/>
      <c r="AK134" s="719"/>
      <c r="AL134" s="719"/>
      <c r="AM134" s="719"/>
      <c r="AN134" s="719"/>
      <c r="AO134" s="719"/>
      <c r="AP134" s="719"/>
      <c r="AQ134" s="724">
        <f>+FL_2($T$135,$T$133,$G$134,1200,9.28, 1*$F$135)</f>
        <v>-0.33477011200000001</v>
      </c>
      <c r="AR134" s="724"/>
      <c r="AS134" s="724"/>
      <c r="AT134" s="724"/>
      <c r="AU134" s="724"/>
      <c r="AV134" s="724"/>
      <c r="AW134" s="719"/>
      <c r="AX134" s="719"/>
      <c r="AY134" s="719"/>
      <c r="AZ134" s="532"/>
    </row>
    <row r="135" spans="1:52" ht="15.75" customHeight="1">
      <c r="A135" s="716" t="s">
        <v>677</v>
      </c>
      <c r="B135" s="717" t="s">
        <v>1728</v>
      </c>
      <c r="C135" s="789">
        <f>+$C$133+$G$134</f>
        <v>33664</v>
      </c>
      <c r="D135" s="719"/>
      <c r="E135" s="719"/>
      <c r="F135" s="720">
        <v>0</v>
      </c>
      <c r="G135" s="721"/>
      <c r="H135" s="726" t="s">
        <v>1101</v>
      </c>
      <c r="I135" s="726"/>
      <c r="J135" s="718"/>
      <c r="K135" s="719"/>
      <c r="L135" s="719" t="s">
        <v>241</v>
      </c>
      <c r="M135" s="719"/>
      <c r="N135" s="726" t="s">
        <v>695</v>
      </c>
      <c r="O135" s="726"/>
      <c r="P135" s="726"/>
      <c r="Q135" s="719">
        <v>0</v>
      </c>
      <c r="R135" s="719">
        <v>0</v>
      </c>
      <c r="S135" s="719"/>
      <c r="T135" s="719">
        <v>-30</v>
      </c>
      <c r="U135" s="719"/>
      <c r="V135" s="719"/>
      <c r="W135" s="719">
        <v>1.1000000000000001</v>
      </c>
      <c r="X135" s="719"/>
      <c r="Y135" s="719"/>
      <c r="Z135" s="719"/>
      <c r="AA135" s="719"/>
      <c r="AB135" s="719"/>
      <c r="AC135" s="719" t="s">
        <v>2979</v>
      </c>
      <c r="AD135" s="719"/>
      <c r="AE135" s="719"/>
      <c r="AF135" s="719">
        <v>200</v>
      </c>
      <c r="AG135" s="789">
        <v>33662.81</v>
      </c>
      <c r="AH135" s="719">
        <v>1414</v>
      </c>
      <c r="AI135" s="719">
        <v>-5200</v>
      </c>
      <c r="AJ135" s="719"/>
      <c r="AK135" s="719"/>
      <c r="AL135" s="719"/>
      <c r="AM135" s="719" t="s">
        <v>2608</v>
      </c>
      <c r="AN135" s="719">
        <v>5.25</v>
      </c>
      <c r="AO135" s="719"/>
      <c r="AP135" s="719"/>
      <c r="AQ135" s="724"/>
      <c r="AR135" s="724"/>
      <c r="AS135" s="724"/>
      <c r="AT135" s="724">
        <f>+ab($T$135,$T$133,$T$137,$G$134,$G$136, 1*$F$135,1200)</f>
        <v>-7.9442410717051439</v>
      </c>
      <c r="AU135" s="724"/>
      <c r="AV135" s="724"/>
      <c r="AW135" s="719"/>
      <c r="AX135" s="719"/>
      <c r="AY135" s="719"/>
      <c r="AZ135" s="532"/>
    </row>
    <row r="136" spans="1:52" ht="15.75" hidden="1" customHeight="1">
      <c r="A136" s="716"/>
      <c r="B136" s="717"/>
      <c r="C136" s="789"/>
      <c r="D136" s="719"/>
      <c r="E136" s="719"/>
      <c r="F136" s="720"/>
      <c r="G136" s="721">
        <v>50</v>
      </c>
      <c r="H136" s="726"/>
      <c r="I136" s="722">
        <f>+SUM(G118:G136)</f>
        <v>496</v>
      </c>
      <c r="J136" s="718">
        <f>C135+1</f>
        <v>33665</v>
      </c>
      <c r="K136" s="719" t="s">
        <v>1102</v>
      </c>
      <c r="L136" s="719"/>
      <c r="M136" s="719"/>
      <c r="N136" s="726"/>
      <c r="O136" s="726"/>
      <c r="P136" s="726"/>
      <c r="Q136" s="719"/>
      <c r="R136" s="719"/>
      <c r="S136" s="724">
        <f t="shared" ref="S136" si="49">AG137-AG135</f>
        <v>51.230000000003201</v>
      </c>
      <c r="T136" s="719"/>
      <c r="U136" s="719"/>
      <c r="V136" s="719"/>
      <c r="W136" s="719"/>
      <c r="X136" s="719"/>
      <c r="Y136" s="719"/>
      <c r="Z136" s="719"/>
      <c r="AA136" s="719"/>
      <c r="AB136" s="719"/>
      <c r="AC136" s="719"/>
      <c r="AD136" s="719"/>
      <c r="AE136" s="719"/>
      <c r="AF136" s="719"/>
      <c r="AG136" s="789"/>
      <c r="AH136" s="719"/>
      <c r="AI136" s="719"/>
      <c r="AJ136" s="719"/>
      <c r="AK136" s="719"/>
      <c r="AL136" s="719"/>
      <c r="AM136" s="719"/>
      <c r="AN136" s="719"/>
      <c r="AO136" s="719"/>
      <c r="AP136" s="719"/>
      <c r="AQ136" s="724">
        <f>+FL_1($T$137,$T$135,$G$136,1200,9.28, 1*$F$137)</f>
        <v>0.33477011200000001</v>
      </c>
      <c r="AR136" s="724"/>
      <c r="AS136" s="724"/>
      <c r="AT136" s="724"/>
      <c r="AU136" s="724"/>
      <c r="AV136" s="724"/>
      <c r="AW136" s="719"/>
      <c r="AX136" s="719"/>
      <c r="AY136" s="719"/>
      <c r="AZ136" s="532"/>
    </row>
    <row r="137" spans="1:52" ht="15.75" customHeight="1">
      <c r="A137" s="716" t="s">
        <v>677</v>
      </c>
      <c r="B137" s="717" t="s">
        <v>1729</v>
      </c>
      <c r="C137" s="789">
        <f>+$C$135+$G$136</f>
        <v>33714</v>
      </c>
      <c r="D137" s="719"/>
      <c r="E137" s="719"/>
      <c r="F137" s="720">
        <v>0</v>
      </c>
      <c r="G137" s="721"/>
      <c r="H137" s="726" t="s">
        <v>997</v>
      </c>
      <c r="I137" s="722"/>
      <c r="J137" s="718"/>
      <c r="K137" s="719"/>
      <c r="L137" s="719" t="s">
        <v>241</v>
      </c>
      <c r="M137" s="719"/>
      <c r="N137" s="719" t="s">
        <v>696</v>
      </c>
      <c r="O137" s="726"/>
      <c r="P137" s="726"/>
      <c r="Q137" s="719">
        <v>0</v>
      </c>
      <c r="R137" s="719">
        <v>0</v>
      </c>
      <c r="S137" s="719"/>
      <c r="T137" s="719">
        <v>30</v>
      </c>
      <c r="U137" s="719"/>
      <c r="V137" s="719"/>
      <c r="W137" s="719">
        <v>1.1000000000000001</v>
      </c>
      <c r="X137" s="719"/>
      <c r="Y137" s="719"/>
      <c r="Z137" s="719"/>
      <c r="AA137" s="719"/>
      <c r="AB137" s="719"/>
      <c r="AC137" s="719" t="s">
        <v>2977</v>
      </c>
      <c r="AD137" s="719"/>
      <c r="AE137" s="719"/>
      <c r="AF137" s="719">
        <v>200</v>
      </c>
      <c r="AG137" s="789">
        <v>33714.04</v>
      </c>
      <c r="AH137" s="719">
        <v>1412</v>
      </c>
      <c r="AI137" s="719">
        <v>-5161</v>
      </c>
      <c r="AJ137" s="719"/>
      <c r="AK137" s="719"/>
      <c r="AL137" s="719"/>
      <c r="AM137" s="719" t="s">
        <v>2608</v>
      </c>
      <c r="AN137" s="719">
        <v>5.25</v>
      </c>
      <c r="AO137" s="719"/>
      <c r="AP137" s="719"/>
      <c r="AQ137" s="724"/>
      <c r="AR137" s="724"/>
      <c r="AS137" s="724"/>
      <c r="AT137" s="724">
        <f>+ab($T$137,$T$135,$T$139,$G$136,$G$138, 1*$F$137,1200)</f>
        <v>7.7840902388502782</v>
      </c>
      <c r="AU137" s="724"/>
      <c r="AV137" s="724"/>
      <c r="AW137" s="719"/>
      <c r="AX137" s="719"/>
      <c r="AY137" s="719"/>
      <c r="AZ137" s="532"/>
    </row>
    <row r="138" spans="1:52" ht="15.75" hidden="1" customHeight="1">
      <c r="A138" s="716"/>
      <c r="B138" s="717"/>
      <c r="C138" s="789"/>
      <c r="D138" s="719"/>
      <c r="E138" s="719"/>
      <c r="F138" s="720"/>
      <c r="G138" s="721">
        <v>48</v>
      </c>
      <c r="H138" s="726"/>
      <c r="I138" s="722">
        <f>SUM(G138:G156)</f>
        <v>498</v>
      </c>
      <c r="J138" s="718">
        <f>C139-1</f>
        <v>33761</v>
      </c>
      <c r="K138" s="719" t="s">
        <v>1102</v>
      </c>
      <c r="L138" s="719"/>
      <c r="M138" s="719"/>
      <c r="N138" s="726"/>
      <c r="O138" s="726"/>
      <c r="P138" s="726"/>
      <c r="Q138" s="719"/>
      <c r="R138" s="719"/>
      <c r="S138" s="724">
        <f t="shared" ref="S138" si="50">AG139-AG137</f>
        <v>48.089999999996508</v>
      </c>
      <c r="T138" s="719"/>
      <c r="U138" s="719"/>
      <c r="V138" s="719"/>
      <c r="W138" s="719"/>
      <c r="X138" s="719"/>
      <c r="Y138" s="719"/>
      <c r="Z138" s="719"/>
      <c r="AA138" s="719"/>
      <c r="AB138" s="719"/>
      <c r="AC138" s="719"/>
      <c r="AD138" s="719"/>
      <c r="AE138" s="719"/>
      <c r="AF138" s="719"/>
      <c r="AG138" s="789"/>
      <c r="AH138" s="719"/>
      <c r="AI138" s="719"/>
      <c r="AJ138" s="719"/>
      <c r="AK138" s="719"/>
      <c r="AL138" s="719"/>
      <c r="AM138" s="719"/>
      <c r="AN138" s="719"/>
      <c r="AO138" s="719"/>
      <c r="AP138" s="719"/>
      <c r="AQ138" s="724">
        <f>+FL_1($T$139,$T$137,$G$138,1200,9.28, 1*$F$139)</f>
        <v>0.32374370133333336</v>
      </c>
      <c r="AR138" s="724"/>
      <c r="AS138" s="724"/>
      <c r="AT138" s="724"/>
      <c r="AU138" s="724"/>
      <c r="AV138" s="724"/>
      <c r="AW138" s="719"/>
      <c r="AX138" s="719"/>
      <c r="AY138" s="719"/>
      <c r="AZ138" s="532"/>
    </row>
    <row r="139" spans="1:52" ht="15.75" customHeight="1">
      <c r="A139" s="716" t="s">
        <v>677</v>
      </c>
      <c r="B139" s="717" t="s">
        <v>1730</v>
      </c>
      <c r="C139" s="789">
        <f>+$C$137+$G$138</f>
        <v>33762</v>
      </c>
      <c r="D139" s="719"/>
      <c r="E139" s="719"/>
      <c r="F139" s="720">
        <v>0</v>
      </c>
      <c r="G139" s="721"/>
      <c r="H139" s="726" t="s">
        <v>1101</v>
      </c>
      <c r="I139" s="722"/>
      <c r="J139" s="718"/>
      <c r="K139" s="719"/>
      <c r="L139" s="719" t="s">
        <v>241</v>
      </c>
      <c r="M139" s="719"/>
      <c r="N139" s="726" t="s">
        <v>695</v>
      </c>
      <c r="O139" s="726"/>
      <c r="P139" s="726"/>
      <c r="Q139" s="719">
        <v>0</v>
      </c>
      <c r="R139" s="719">
        <v>0</v>
      </c>
      <c r="S139" s="719"/>
      <c r="T139" s="719">
        <v>-30</v>
      </c>
      <c r="U139" s="719"/>
      <c r="V139" s="719"/>
      <c r="W139" s="719">
        <v>1.1000000000000001</v>
      </c>
      <c r="X139" s="719"/>
      <c r="Y139" s="719"/>
      <c r="Z139" s="719"/>
      <c r="AA139" s="719"/>
      <c r="AB139" s="719"/>
      <c r="AC139" s="719" t="s">
        <v>2979</v>
      </c>
      <c r="AD139" s="719"/>
      <c r="AE139" s="719"/>
      <c r="AF139" s="719">
        <v>200</v>
      </c>
      <c r="AG139" s="789">
        <v>33762.129999999997</v>
      </c>
      <c r="AH139" s="719">
        <v>1414</v>
      </c>
      <c r="AI139" s="719">
        <v>-5210</v>
      </c>
      <c r="AJ139" s="719"/>
      <c r="AK139" s="719"/>
      <c r="AL139" s="719"/>
      <c r="AM139" s="719" t="s">
        <v>2608</v>
      </c>
      <c r="AN139" s="719">
        <v>5.25</v>
      </c>
      <c r="AO139" s="719"/>
      <c r="AP139" s="719"/>
      <c r="AQ139" s="724"/>
      <c r="AR139" s="724"/>
      <c r="AS139" s="724"/>
      <c r="AT139" s="724">
        <f>+ab($T$139,$T$137,$T$141,$G$138,$G$140, 1*$F$139,1200)</f>
        <v>-7.7841209935497506</v>
      </c>
      <c r="AU139" s="724"/>
      <c r="AV139" s="724"/>
      <c r="AW139" s="719"/>
      <c r="AX139" s="719"/>
      <c r="AY139" s="719"/>
      <c r="AZ139" s="532"/>
    </row>
    <row r="140" spans="1:52" ht="15.75" hidden="1" customHeight="1">
      <c r="A140" s="716"/>
      <c r="B140" s="717"/>
      <c r="C140" s="789"/>
      <c r="D140" s="719"/>
      <c r="E140" s="719"/>
      <c r="F140" s="720"/>
      <c r="G140" s="721">
        <v>50</v>
      </c>
      <c r="H140" s="726"/>
      <c r="I140" s="722"/>
      <c r="J140" s="718"/>
      <c r="K140" s="719"/>
      <c r="L140" s="719"/>
      <c r="M140" s="719"/>
      <c r="N140" s="726"/>
      <c r="O140" s="726"/>
      <c r="P140" s="726"/>
      <c r="Q140" s="719"/>
      <c r="R140" s="719"/>
      <c r="S140" s="724">
        <f t="shared" ref="S140" si="51">AG141-AG139</f>
        <v>48.060000000004948</v>
      </c>
      <c r="T140" s="719"/>
      <c r="U140" s="719"/>
      <c r="V140" s="719"/>
      <c r="W140" s="719"/>
      <c r="X140" s="719"/>
      <c r="Y140" s="719"/>
      <c r="Z140" s="719"/>
      <c r="AA140" s="719"/>
      <c r="AB140" s="719"/>
      <c r="AC140" s="719"/>
      <c r="AD140" s="719"/>
      <c r="AE140" s="719"/>
      <c r="AF140" s="719"/>
      <c r="AG140" s="789"/>
      <c r="AH140" s="719"/>
      <c r="AI140" s="719"/>
      <c r="AJ140" s="719"/>
      <c r="AK140" s="719"/>
      <c r="AL140" s="719"/>
      <c r="AM140" s="719"/>
      <c r="AN140" s="719"/>
      <c r="AO140" s="719"/>
      <c r="AP140" s="719"/>
      <c r="AQ140" s="724">
        <f>+FL_1($T$141,$T$139,$G$140,1200,9.28, 1*$F$141)</f>
        <v>0.33477011200000001</v>
      </c>
      <c r="AR140" s="724"/>
      <c r="AS140" s="724"/>
      <c r="AT140" s="724"/>
      <c r="AU140" s="724"/>
      <c r="AV140" s="724"/>
      <c r="AW140" s="719"/>
      <c r="AX140" s="719"/>
      <c r="AY140" s="719"/>
      <c r="AZ140" s="532"/>
    </row>
    <row r="141" spans="1:52" ht="15.75" hidden="1" customHeight="1">
      <c r="A141" s="716" t="s">
        <v>677</v>
      </c>
      <c r="B141" s="717" t="s">
        <v>1731</v>
      </c>
      <c r="C141" s="789">
        <f>+$C$139+$G$140</f>
        <v>33812</v>
      </c>
      <c r="D141" s="719"/>
      <c r="E141" s="719"/>
      <c r="F141" s="720">
        <v>0</v>
      </c>
      <c r="G141" s="721"/>
      <c r="H141" s="726"/>
      <c r="I141" s="722"/>
      <c r="J141" s="718"/>
      <c r="K141" s="719"/>
      <c r="L141" s="719" t="s">
        <v>241</v>
      </c>
      <c r="M141" s="719"/>
      <c r="N141" s="719" t="s">
        <v>696</v>
      </c>
      <c r="O141" s="726"/>
      <c r="P141" s="726"/>
      <c r="Q141" s="719">
        <v>0</v>
      </c>
      <c r="R141" s="719">
        <v>0</v>
      </c>
      <c r="S141" s="719"/>
      <c r="T141" s="719">
        <v>30</v>
      </c>
      <c r="U141" s="719"/>
      <c r="V141" s="719"/>
      <c r="W141" s="719">
        <v>1.1000000000000001</v>
      </c>
      <c r="X141" s="719"/>
      <c r="Y141" s="719"/>
      <c r="Z141" s="719"/>
      <c r="AA141" s="719"/>
      <c r="AB141" s="719"/>
      <c r="AC141" s="719" t="s">
        <v>2977</v>
      </c>
      <c r="AD141" s="719"/>
      <c r="AE141" s="719"/>
      <c r="AF141" s="719">
        <v>200</v>
      </c>
      <c r="AG141" s="789">
        <v>33810.19</v>
      </c>
      <c r="AH141" s="719">
        <v>1413</v>
      </c>
      <c r="AI141" s="719">
        <v>-5213</v>
      </c>
      <c r="AJ141" s="719"/>
      <c r="AK141" s="719"/>
      <c r="AL141" s="719"/>
      <c r="AM141" s="719" t="s">
        <v>2608</v>
      </c>
      <c r="AN141" s="719">
        <v>5.25</v>
      </c>
      <c r="AO141" s="719"/>
      <c r="AP141" s="719"/>
      <c r="AQ141" s="724"/>
      <c r="AR141" s="724"/>
      <c r="AS141" s="724"/>
      <c r="AT141" s="724">
        <f>+ab($T$141,$T$139,$T$143,$G$140,$G$142, 1*$F$141,1200)</f>
        <v>7.9442083933778509</v>
      </c>
      <c r="AU141" s="724"/>
      <c r="AV141" s="724"/>
      <c r="AW141" s="719"/>
      <c r="AX141" s="719"/>
      <c r="AY141" s="719"/>
      <c r="AZ141" s="532"/>
    </row>
    <row r="142" spans="1:52" ht="15.75" hidden="1" customHeight="1">
      <c r="A142" s="716"/>
      <c r="B142" s="717"/>
      <c r="C142" s="789"/>
      <c r="D142" s="719"/>
      <c r="E142" s="719"/>
      <c r="F142" s="720"/>
      <c r="G142" s="721">
        <v>50</v>
      </c>
      <c r="H142" s="719"/>
      <c r="I142" s="726"/>
      <c r="J142" s="718"/>
      <c r="K142" s="719"/>
      <c r="L142" s="719"/>
      <c r="M142" s="719"/>
      <c r="N142" s="726"/>
      <c r="O142" s="726"/>
      <c r="P142" s="726"/>
      <c r="Q142" s="719"/>
      <c r="R142" s="719"/>
      <c r="S142" s="724">
        <f t="shared" ref="S142" si="52">AG143-AG141</f>
        <v>51.239999999997963</v>
      </c>
      <c r="T142" s="719"/>
      <c r="U142" s="719"/>
      <c r="V142" s="719"/>
      <c r="W142" s="719"/>
      <c r="X142" s="719"/>
      <c r="Y142" s="719"/>
      <c r="Z142" s="719"/>
      <c r="AA142" s="719"/>
      <c r="AB142" s="719"/>
      <c r="AC142" s="719"/>
      <c r="AD142" s="719"/>
      <c r="AE142" s="719"/>
      <c r="AF142" s="719"/>
      <c r="AG142" s="789"/>
      <c r="AH142" s="719"/>
      <c r="AI142" s="719"/>
      <c r="AJ142" s="719"/>
      <c r="AK142" s="719"/>
      <c r="AL142" s="719"/>
      <c r="AM142" s="719"/>
      <c r="AN142" s="719"/>
      <c r="AO142" s="719"/>
      <c r="AP142" s="719"/>
      <c r="AQ142" s="724">
        <f>+FL_2($T$143,$T$141,$G$142,1200,9.28, 1*$F$143)</f>
        <v>-0.33477011200000001</v>
      </c>
      <c r="AR142" s="724"/>
      <c r="AS142" s="724"/>
      <c r="AT142" s="724"/>
      <c r="AU142" s="724"/>
      <c r="AV142" s="724"/>
      <c r="AW142" s="719"/>
      <c r="AX142" s="719"/>
      <c r="AY142" s="719"/>
      <c r="AZ142" s="532"/>
    </row>
    <row r="143" spans="1:52" ht="15.75" hidden="1" customHeight="1">
      <c r="A143" s="716" t="s">
        <v>677</v>
      </c>
      <c r="B143" s="717" t="s">
        <v>1732</v>
      </c>
      <c r="C143" s="789">
        <f>+$C$141+$G$142</f>
        <v>33862</v>
      </c>
      <c r="D143" s="719"/>
      <c r="E143" s="719"/>
      <c r="F143" s="720">
        <v>0</v>
      </c>
      <c r="G143" s="721"/>
      <c r="H143" s="726"/>
      <c r="I143" s="722"/>
      <c r="J143" s="718"/>
      <c r="K143" s="719"/>
      <c r="L143" s="719" t="s">
        <v>241</v>
      </c>
      <c r="M143" s="719"/>
      <c r="N143" s="726" t="s">
        <v>695</v>
      </c>
      <c r="O143" s="726"/>
      <c r="P143" s="726"/>
      <c r="Q143" s="719">
        <v>0</v>
      </c>
      <c r="R143" s="719">
        <v>0</v>
      </c>
      <c r="S143" s="719"/>
      <c r="T143" s="719">
        <v>-30</v>
      </c>
      <c r="U143" s="719"/>
      <c r="V143" s="719"/>
      <c r="W143" s="719">
        <v>1.1000000000000001</v>
      </c>
      <c r="X143" s="719"/>
      <c r="Y143" s="719"/>
      <c r="Z143" s="719"/>
      <c r="AA143" s="719"/>
      <c r="AB143" s="719"/>
      <c r="AC143" s="719" t="s">
        <v>2979</v>
      </c>
      <c r="AD143" s="719"/>
      <c r="AE143" s="719"/>
      <c r="AF143" s="719">
        <v>200</v>
      </c>
      <c r="AG143" s="789">
        <v>33861.43</v>
      </c>
      <c r="AH143" s="719">
        <v>1424</v>
      </c>
      <c r="AI143" s="719">
        <v>-5189</v>
      </c>
      <c r="AJ143" s="719"/>
      <c r="AK143" s="719"/>
      <c r="AL143" s="719"/>
      <c r="AM143" s="719" t="s">
        <v>2608</v>
      </c>
      <c r="AN143" s="719">
        <v>5.25</v>
      </c>
      <c r="AO143" s="719"/>
      <c r="AP143" s="719"/>
      <c r="AQ143" s="724"/>
      <c r="AR143" s="724"/>
      <c r="AS143" s="724"/>
      <c r="AT143" s="724">
        <f>+ab($T$143,$T$141,$T$145,$G$142,$G$144, 1*$F$143,1200)</f>
        <v>-7.9442410717051439</v>
      </c>
      <c r="AU143" s="724"/>
      <c r="AV143" s="724"/>
      <c r="AW143" s="719"/>
      <c r="AX143" s="719"/>
      <c r="AY143" s="719"/>
      <c r="AZ143" s="532"/>
    </row>
    <row r="144" spans="1:52" ht="15.75" hidden="1" customHeight="1">
      <c r="A144" s="716"/>
      <c r="B144" s="717"/>
      <c r="C144" s="789"/>
      <c r="D144" s="719"/>
      <c r="E144" s="719"/>
      <c r="F144" s="720"/>
      <c r="G144" s="721">
        <v>50</v>
      </c>
      <c r="H144" s="726"/>
      <c r="I144" s="726"/>
      <c r="J144" s="718"/>
      <c r="K144" s="719"/>
      <c r="L144" s="719"/>
      <c r="M144" s="719"/>
      <c r="N144" s="726"/>
      <c r="O144" s="726"/>
      <c r="P144" s="726"/>
      <c r="Q144" s="719"/>
      <c r="R144" s="719"/>
      <c r="S144" s="724">
        <f t="shared" ref="S144" si="53">AG145-AG143</f>
        <v>51.330000000001746</v>
      </c>
      <c r="T144" s="719"/>
      <c r="U144" s="719"/>
      <c r="V144" s="719"/>
      <c r="W144" s="719"/>
      <c r="X144" s="719"/>
      <c r="Y144" s="719"/>
      <c r="Z144" s="719"/>
      <c r="AA144" s="719"/>
      <c r="AB144" s="719"/>
      <c r="AC144" s="719"/>
      <c r="AD144" s="719"/>
      <c r="AE144" s="719"/>
      <c r="AF144" s="719"/>
      <c r="AG144" s="789"/>
      <c r="AH144" s="719"/>
      <c r="AI144" s="719"/>
      <c r="AJ144" s="719"/>
      <c r="AK144" s="719"/>
      <c r="AL144" s="719"/>
      <c r="AM144" s="719"/>
      <c r="AN144" s="719"/>
      <c r="AO144" s="719"/>
      <c r="AP144" s="719"/>
      <c r="AQ144" s="724">
        <f>+FL_1($T$145,$T$143,$G$144,1200,9.28, 1*$F$145)</f>
        <v>0.33477011200000001</v>
      </c>
      <c r="AR144" s="724"/>
      <c r="AS144" s="724"/>
      <c r="AT144" s="724"/>
      <c r="AU144" s="724"/>
      <c r="AV144" s="724"/>
      <c r="AW144" s="719"/>
      <c r="AX144" s="719"/>
      <c r="AY144" s="719"/>
      <c r="AZ144" s="532"/>
    </row>
    <row r="145" spans="1:52" ht="15.75" hidden="1" customHeight="1">
      <c r="A145" s="716" t="s">
        <v>677</v>
      </c>
      <c r="B145" s="717" t="s">
        <v>1733</v>
      </c>
      <c r="C145" s="789">
        <f>+$C$143+$G$144</f>
        <v>33912</v>
      </c>
      <c r="D145" s="719"/>
      <c r="E145" s="719"/>
      <c r="F145" s="720">
        <v>0</v>
      </c>
      <c r="G145" s="721"/>
      <c r="H145" s="726"/>
      <c r="I145" s="726"/>
      <c r="J145" s="718"/>
      <c r="K145" s="719"/>
      <c r="L145" s="719" t="s">
        <v>241</v>
      </c>
      <c r="M145" s="719"/>
      <c r="N145" s="719" t="s">
        <v>696</v>
      </c>
      <c r="O145" s="726"/>
      <c r="P145" s="726"/>
      <c r="Q145" s="719">
        <v>0</v>
      </c>
      <c r="R145" s="719">
        <v>0</v>
      </c>
      <c r="S145" s="719"/>
      <c r="T145" s="719">
        <v>30</v>
      </c>
      <c r="U145" s="719"/>
      <c r="V145" s="719"/>
      <c r="W145" s="719">
        <v>1.1000000000000001</v>
      </c>
      <c r="X145" s="719"/>
      <c r="Y145" s="719"/>
      <c r="Z145" s="719"/>
      <c r="AA145" s="719"/>
      <c r="AB145" s="719"/>
      <c r="AC145" s="719" t="s">
        <v>2977</v>
      </c>
      <c r="AD145" s="719"/>
      <c r="AE145" s="719"/>
      <c r="AF145" s="719">
        <v>200</v>
      </c>
      <c r="AG145" s="789">
        <v>33912.76</v>
      </c>
      <c r="AH145" s="719">
        <v>1417</v>
      </c>
      <c r="AI145" s="719">
        <v>-5183</v>
      </c>
      <c r="AJ145" s="719"/>
      <c r="AK145" s="719"/>
      <c r="AL145" s="719"/>
      <c r="AM145" s="719" t="s">
        <v>2608</v>
      </c>
      <c r="AN145" s="719">
        <v>5.25</v>
      </c>
      <c r="AO145" s="719"/>
      <c r="AP145" s="719"/>
      <c r="AQ145" s="724"/>
      <c r="AR145" s="724"/>
      <c r="AS145" s="724"/>
      <c r="AT145" s="724">
        <f>+ab($T$145,$T$143,$T$147,$G$144,$G$146, 1*$F$145,1200)</f>
        <v>7.9442083933778509</v>
      </c>
      <c r="AU145" s="724"/>
      <c r="AV145" s="724"/>
      <c r="AW145" s="719"/>
      <c r="AX145" s="719"/>
      <c r="AY145" s="719"/>
      <c r="AZ145" s="532"/>
    </row>
    <row r="146" spans="1:52" ht="15.75" hidden="1" customHeight="1">
      <c r="A146" s="716"/>
      <c r="B146" s="717"/>
      <c r="C146" s="789"/>
      <c r="D146" s="719"/>
      <c r="E146" s="719"/>
      <c r="F146" s="720"/>
      <c r="G146" s="721">
        <v>50</v>
      </c>
      <c r="H146" s="726"/>
      <c r="I146" s="726"/>
      <c r="J146" s="718"/>
      <c r="K146" s="719"/>
      <c r="L146" s="719"/>
      <c r="M146" s="719"/>
      <c r="N146" s="726"/>
      <c r="O146" s="726"/>
      <c r="P146" s="726"/>
      <c r="Q146" s="719"/>
      <c r="R146" s="719"/>
      <c r="S146" s="724">
        <f t="shared" ref="S146" si="54">AG147-AG145</f>
        <v>48</v>
      </c>
      <c r="T146" s="719"/>
      <c r="U146" s="719"/>
      <c r="V146" s="719"/>
      <c r="W146" s="719"/>
      <c r="X146" s="719"/>
      <c r="Y146" s="719"/>
      <c r="Z146" s="719"/>
      <c r="AA146" s="719"/>
      <c r="AB146" s="719"/>
      <c r="AC146" s="719"/>
      <c r="AD146" s="719"/>
      <c r="AE146" s="719"/>
      <c r="AF146" s="719"/>
      <c r="AG146" s="789"/>
      <c r="AH146" s="719"/>
      <c r="AI146" s="719"/>
      <c r="AJ146" s="719"/>
      <c r="AK146" s="719"/>
      <c r="AL146" s="719"/>
      <c r="AM146" s="719"/>
      <c r="AN146" s="719"/>
      <c r="AO146" s="719"/>
      <c r="AP146" s="719"/>
      <c r="AQ146" s="724">
        <f>+FL_2($T$147,$T$145,$G$146,1200,9.28, 1*$F$147)</f>
        <v>-0.33477011200000001</v>
      </c>
      <c r="AR146" s="724"/>
      <c r="AS146" s="724"/>
      <c r="AT146" s="724"/>
      <c r="AU146" s="724"/>
      <c r="AV146" s="724"/>
      <c r="AW146" s="719"/>
      <c r="AX146" s="719"/>
      <c r="AY146" s="719"/>
      <c r="AZ146" s="532"/>
    </row>
    <row r="147" spans="1:52" ht="15.75" hidden="1" customHeight="1">
      <c r="A147" s="716" t="s">
        <v>677</v>
      </c>
      <c r="B147" s="717" t="s">
        <v>1734</v>
      </c>
      <c r="C147" s="789">
        <f>+$C$145+$G$146</f>
        <v>33962</v>
      </c>
      <c r="D147" s="719"/>
      <c r="E147" s="719"/>
      <c r="F147" s="720">
        <v>0</v>
      </c>
      <c r="G147" s="721"/>
      <c r="H147" s="726"/>
      <c r="I147" s="726"/>
      <c r="J147" s="718"/>
      <c r="K147" s="719"/>
      <c r="L147" s="719" t="s">
        <v>241</v>
      </c>
      <c r="M147" s="719"/>
      <c r="N147" s="726" t="s">
        <v>695</v>
      </c>
      <c r="O147" s="726"/>
      <c r="P147" s="726"/>
      <c r="Q147" s="719">
        <v>0</v>
      </c>
      <c r="R147" s="719">
        <v>0</v>
      </c>
      <c r="S147" s="719"/>
      <c r="T147" s="719">
        <v>-30</v>
      </c>
      <c r="U147" s="719"/>
      <c r="V147" s="719"/>
      <c r="W147" s="719">
        <v>1.1000000000000001</v>
      </c>
      <c r="X147" s="719"/>
      <c r="Y147" s="719"/>
      <c r="Z147" s="719"/>
      <c r="AA147" s="719"/>
      <c r="AB147" s="719"/>
      <c r="AC147" s="719" t="s">
        <v>2979</v>
      </c>
      <c r="AD147" s="719"/>
      <c r="AE147" s="719"/>
      <c r="AF147" s="719">
        <v>200</v>
      </c>
      <c r="AG147" s="789">
        <v>33960.76</v>
      </c>
      <c r="AH147" s="719">
        <v>1411</v>
      </c>
      <c r="AI147" s="719">
        <v>-5194</v>
      </c>
      <c r="AJ147" s="719"/>
      <c r="AK147" s="719"/>
      <c r="AL147" s="719"/>
      <c r="AM147" s="719" t="s">
        <v>2608</v>
      </c>
      <c r="AN147" s="719">
        <v>5.25</v>
      </c>
      <c r="AO147" s="719"/>
      <c r="AP147" s="719"/>
      <c r="AQ147" s="724"/>
      <c r="AR147" s="724"/>
      <c r="AS147" s="724"/>
      <c r="AT147" s="724">
        <f>+ab($T$147,$T$145,$T$149,$G$146,$G$148, 1*$F$147,1200)</f>
        <v>-7.9442410717051439</v>
      </c>
      <c r="AU147" s="724"/>
      <c r="AV147" s="724"/>
      <c r="AW147" s="719"/>
      <c r="AX147" s="719"/>
      <c r="AY147" s="719"/>
      <c r="AZ147" s="532"/>
    </row>
    <row r="148" spans="1:52" ht="15.75" hidden="1" customHeight="1">
      <c r="A148" s="716"/>
      <c r="B148" s="717"/>
      <c r="C148" s="789"/>
      <c r="D148" s="719"/>
      <c r="E148" s="719"/>
      <c r="F148" s="720"/>
      <c r="G148" s="721">
        <v>50</v>
      </c>
      <c r="H148" s="726"/>
      <c r="I148" s="726"/>
      <c r="J148" s="718"/>
      <c r="K148" s="719"/>
      <c r="L148" s="719"/>
      <c r="M148" s="719"/>
      <c r="N148" s="726"/>
      <c r="O148" s="726"/>
      <c r="P148" s="726"/>
      <c r="Q148" s="719"/>
      <c r="R148" s="719"/>
      <c r="S148" s="724">
        <f t="shared" ref="S148" si="55">AG149-AG147</f>
        <v>51.229999999995925</v>
      </c>
      <c r="T148" s="719"/>
      <c r="U148" s="719"/>
      <c r="V148" s="719"/>
      <c r="W148" s="719"/>
      <c r="X148" s="719"/>
      <c r="Y148" s="719"/>
      <c r="Z148" s="719"/>
      <c r="AA148" s="719"/>
      <c r="AB148" s="719"/>
      <c r="AC148" s="719"/>
      <c r="AD148" s="719"/>
      <c r="AE148" s="719"/>
      <c r="AF148" s="719"/>
      <c r="AG148" s="789"/>
      <c r="AH148" s="719"/>
      <c r="AI148" s="719"/>
      <c r="AJ148" s="719"/>
      <c r="AK148" s="719"/>
      <c r="AL148" s="719"/>
      <c r="AM148" s="719"/>
      <c r="AN148" s="719"/>
      <c r="AO148" s="719"/>
      <c r="AP148" s="719"/>
      <c r="AQ148" s="724">
        <f>+FL_1($T$149,$T$147,$G$148,1200,9.28, 1*$F$149)</f>
        <v>0.33477011200000001</v>
      </c>
      <c r="AR148" s="724"/>
      <c r="AS148" s="724"/>
      <c r="AT148" s="724"/>
      <c r="AU148" s="724"/>
      <c r="AV148" s="724"/>
      <c r="AW148" s="719"/>
      <c r="AX148" s="719"/>
      <c r="AY148" s="719"/>
      <c r="AZ148" s="532"/>
    </row>
    <row r="149" spans="1:52" ht="15.75" hidden="1" customHeight="1">
      <c r="A149" s="716" t="s">
        <v>677</v>
      </c>
      <c r="B149" s="717" t="s">
        <v>1735</v>
      </c>
      <c r="C149" s="789">
        <f>+$C$147+$G$148</f>
        <v>34012</v>
      </c>
      <c r="D149" s="719"/>
      <c r="E149" s="719"/>
      <c r="F149" s="720">
        <v>0</v>
      </c>
      <c r="G149" s="721"/>
      <c r="H149" s="726"/>
      <c r="I149" s="722"/>
      <c r="J149" s="718"/>
      <c r="K149" s="719"/>
      <c r="L149" s="719" t="s">
        <v>241</v>
      </c>
      <c r="M149" s="719"/>
      <c r="N149" s="719" t="s">
        <v>696</v>
      </c>
      <c r="O149" s="726"/>
      <c r="P149" s="726"/>
      <c r="Q149" s="719">
        <v>0</v>
      </c>
      <c r="R149" s="719">
        <v>0</v>
      </c>
      <c r="S149" s="719"/>
      <c r="T149" s="719">
        <v>30</v>
      </c>
      <c r="U149" s="719"/>
      <c r="V149" s="719"/>
      <c r="W149" s="719">
        <v>1.1000000000000001</v>
      </c>
      <c r="X149" s="719"/>
      <c r="Y149" s="719"/>
      <c r="Z149" s="719"/>
      <c r="AA149" s="719"/>
      <c r="AB149" s="719"/>
      <c r="AC149" s="719" t="s">
        <v>2977</v>
      </c>
      <c r="AD149" s="719"/>
      <c r="AE149" s="719"/>
      <c r="AF149" s="719">
        <v>200</v>
      </c>
      <c r="AG149" s="789">
        <v>34011.99</v>
      </c>
      <c r="AH149" s="719">
        <v>1408</v>
      </c>
      <c r="AI149" s="719">
        <v>-5192</v>
      </c>
      <c r="AJ149" s="719"/>
      <c r="AK149" s="719"/>
      <c r="AL149" s="719"/>
      <c r="AM149" s="719" t="s">
        <v>2608</v>
      </c>
      <c r="AN149" s="719">
        <v>5.25</v>
      </c>
      <c r="AO149" s="719"/>
      <c r="AP149" s="719"/>
      <c r="AQ149" s="724"/>
      <c r="AR149" s="724"/>
      <c r="AS149" s="724"/>
      <c r="AT149" s="724">
        <f>+ab($T$149,$T$147,$T$151,$G$148,$G$150, 1*$F$149,1200)</f>
        <v>7.9442083933778509</v>
      </c>
      <c r="AU149" s="724"/>
      <c r="AV149" s="724"/>
      <c r="AW149" s="719"/>
      <c r="AX149" s="719"/>
      <c r="AY149" s="719"/>
      <c r="AZ149" s="532"/>
    </row>
    <row r="150" spans="1:52" ht="15.75" hidden="1" customHeight="1">
      <c r="A150" s="716"/>
      <c r="B150" s="717"/>
      <c r="C150" s="789"/>
      <c r="D150" s="719"/>
      <c r="E150" s="719"/>
      <c r="F150" s="720"/>
      <c r="G150" s="721">
        <v>50</v>
      </c>
      <c r="H150" s="726"/>
      <c r="I150" s="726"/>
      <c r="J150" s="718"/>
      <c r="K150" s="719"/>
      <c r="L150" s="719"/>
      <c r="M150" s="719"/>
      <c r="N150" s="726"/>
      <c r="O150" s="726"/>
      <c r="P150" s="726"/>
      <c r="Q150" s="719"/>
      <c r="R150" s="719"/>
      <c r="S150" s="724">
        <f t="shared" ref="S150" si="56">AG151-AG149</f>
        <v>51.340000000003783</v>
      </c>
      <c r="T150" s="719"/>
      <c r="U150" s="719"/>
      <c r="V150" s="719"/>
      <c r="W150" s="719"/>
      <c r="X150" s="719"/>
      <c r="Y150" s="719"/>
      <c r="Z150" s="719"/>
      <c r="AA150" s="719"/>
      <c r="AB150" s="719"/>
      <c r="AC150" s="719"/>
      <c r="AD150" s="719"/>
      <c r="AE150" s="719"/>
      <c r="AF150" s="719"/>
      <c r="AG150" s="789"/>
      <c r="AH150" s="719"/>
      <c r="AI150" s="719"/>
      <c r="AJ150" s="719"/>
      <c r="AK150" s="719"/>
      <c r="AL150" s="719"/>
      <c r="AM150" s="719"/>
      <c r="AN150" s="719"/>
      <c r="AO150" s="719"/>
      <c r="AP150" s="719"/>
      <c r="AQ150" s="724">
        <f>+FL_1($T$151,$T$149,$G$150,1200,9.28, 1*$F$151)</f>
        <v>0.33477011200000012</v>
      </c>
      <c r="AR150" s="724"/>
      <c r="AS150" s="724"/>
      <c r="AT150" s="724"/>
      <c r="AU150" s="724"/>
      <c r="AV150" s="724"/>
      <c r="AW150" s="719"/>
      <c r="AX150" s="719"/>
      <c r="AY150" s="719"/>
      <c r="AZ150" s="532"/>
    </row>
    <row r="151" spans="1:52" ht="15.75" hidden="1" customHeight="1">
      <c r="A151" s="716" t="s">
        <v>677</v>
      </c>
      <c r="B151" s="717" t="s">
        <v>1736</v>
      </c>
      <c r="C151" s="789">
        <f>+$C$149+$G$150</f>
        <v>34062</v>
      </c>
      <c r="D151" s="719"/>
      <c r="E151" s="719"/>
      <c r="F151" s="720">
        <v>0</v>
      </c>
      <c r="G151" s="721"/>
      <c r="H151" s="726" t="s">
        <v>138</v>
      </c>
      <c r="I151" s="722" t="s">
        <v>948</v>
      </c>
      <c r="J151" s="718"/>
      <c r="K151" s="719"/>
      <c r="L151" s="719" t="s">
        <v>241</v>
      </c>
      <c r="M151" s="719"/>
      <c r="N151" s="726" t="s">
        <v>695</v>
      </c>
      <c r="O151" s="726"/>
      <c r="P151" s="726"/>
      <c r="Q151" s="719">
        <v>0</v>
      </c>
      <c r="R151" s="719">
        <v>0</v>
      </c>
      <c r="S151" s="719"/>
      <c r="T151" s="719">
        <v>-30</v>
      </c>
      <c r="U151" s="719"/>
      <c r="V151" s="719"/>
      <c r="W151" s="719">
        <v>1.1000000000000001</v>
      </c>
      <c r="X151" s="719"/>
      <c r="Y151" s="719"/>
      <c r="Z151" s="719"/>
      <c r="AA151" s="719"/>
      <c r="AB151" s="719"/>
      <c r="AC151" s="719" t="s">
        <v>2979</v>
      </c>
      <c r="AD151" s="719"/>
      <c r="AE151" s="719"/>
      <c r="AF151" s="719">
        <v>200</v>
      </c>
      <c r="AG151" s="789">
        <v>34063.33</v>
      </c>
      <c r="AH151" s="719">
        <v>1416</v>
      </c>
      <c r="AI151" s="719">
        <v>-5168</v>
      </c>
      <c r="AJ151" s="719"/>
      <c r="AK151" s="719"/>
      <c r="AL151" s="719"/>
      <c r="AM151" s="719" t="s">
        <v>2608</v>
      </c>
      <c r="AN151" s="719">
        <v>5.25</v>
      </c>
      <c r="AO151" s="719"/>
      <c r="AP151" s="719"/>
      <c r="AQ151" s="724"/>
      <c r="AR151" s="724"/>
      <c r="AS151" s="724"/>
      <c r="AT151" s="724">
        <f>+ab($T$151,$T$149,$T$153,$G$150,$G$152, 1*$F$151,1200)</f>
        <v>-8.2849467556123688</v>
      </c>
      <c r="AU151" s="724"/>
      <c r="AV151" s="724"/>
      <c r="AW151" s="719"/>
      <c r="AX151" s="719"/>
      <c r="AY151" s="719"/>
      <c r="AZ151" s="532"/>
    </row>
    <row r="152" spans="1:52" ht="15.75" hidden="1" customHeight="1">
      <c r="A152" s="716"/>
      <c r="B152" s="717"/>
      <c r="C152" s="789"/>
      <c r="D152" s="719"/>
      <c r="E152" s="719"/>
      <c r="F152" s="720"/>
      <c r="G152" s="721">
        <v>50</v>
      </c>
      <c r="H152" s="726"/>
      <c r="I152" s="726"/>
      <c r="J152" s="718">
        <f>C151+10</f>
        <v>34072</v>
      </c>
      <c r="K152" s="719" t="s">
        <v>1097</v>
      </c>
      <c r="L152" s="719"/>
      <c r="M152" s="719"/>
      <c r="N152" s="726"/>
      <c r="O152" s="726"/>
      <c r="P152" s="726"/>
      <c r="Q152" s="719"/>
      <c r="R152" s="719"/>
      <c r="S152" s="724">
        <f t="shared" ref="S152" si="57">AG153-AG151</f>
        <v>48.040000000000873</v>
      </c>
      <c r="T152" s="719"/>
      <c r="U152" s="719"/>
      <c r="V152" s="719"/>
      <c r="W152" s="719"/>
      <c r="X152" s="719"/>
      <c r="Y152" s="719"/>
      <c r="Z152" s="719"/>
      <c r="AA152" s="719"/>
      <c r="AB152" s="719"/>
      <c r="AC152" s="719"/>
      <c r="AD152" s="719"/>
      <c r="AE152" s="719"/>
      <c r="AF152" s="719"/>
      <c r="AG152" s="789"/>
      <c r="AH152" s="719"/>
      <c r="AI152" s="719"/>
      <c r="AJ152" s="719"/>
      <c r="AK152" s="719"/>
      <c r="AL152" s="719"/>
      <c r="AM152" s="719"/>
      <c r="AN152" s="719"/>
      <c r="AO152" s="719"/>
      <c r="AP152" s="719"/>
      <c r="AQ152" s="724">
        <f>+FL_2($U$153,$T$151,$G$152,1200,9.28, 1*$F$153)</f>
        <v>-0.39834769999999992</v>
      </c>
      <c r="AR152" s="724"/>
      <c r="AS152" s="724"/>
      <c r="AT152" s="724"/>
      <c r="AU152" s="724"/>
      <c r="AV152" s="724"/>
      <c r="AW152" s="719"/>
      <c r="AX152" s="719"/>
      <c r="AY152" s="719"/>
      <c r="AZ152" s="532"/>
    </row>
    <row r="153" spans="1:52" ht="15.75" hidden="1" customHeight="1">
      <c r="A153" s="716" t="s">
        <v>677</v>
      </c>
      <c r="B153" s="717" t="s">
        <v>1737</v>
      </c>
      <c r="C153" s="789">
        <f>+$C$151+$G$152</f>
        <v>34112</v>
      </c>
      <c r="D153" s="719"/>
      <c r="E153" s="719"/>
      <c r="F153" s="720">
        <v>0</v>
      </c>
      <c r="G153" s="721"/>
      <c r="H153" s="726" t="s">
        <v>668</v>
      </c>
      <c r="I153" s="726"/>
      <c r="J153" s="718"/>
      <c r="K153" s="719"/>
      <c r="L153" s="719" t="s">
        <v>465</v>
      </c>
      <c r="M153" s="719"/>
      <c r="N153" s="719" t="s">
        <v>697</v>
      </c>
      <c r="O153" s="726" t="s">
        <v>696</v>
      </c>
      <c r="P153" s="726"/>
      <c r="Q153" s="719">
        <v>0</v>
      </c>
      <c r="R153" s="719">
        <v>0</v>
      </c>
      <c r="S153" s="724">
        <f>AG154-AG153</f>
        <v>3.1899999999950523</v>
      </c>
      <c r="T153" s="719">
        <v>25</v>
      </c>
      <c r="U153" s="719">
        <v>5</v>
      </c>
      <c r="V153" s="719"/>
      <c r="W153" s="719">
        <v>1.1000000000000001</v>
      </c>
      <c r="X153" s="719">
        <v>1.2</v>
      </c>
      <c r="Y153" s="719"/>
      <c r="Z153" s="719">
        <v>0.45</v>
      </c>
      <c r="AA153" s="719"/>
      <c r="AB153" s="719"/>
      <c r="AC153" s="719"/>
      <c r="AD153" s="719" t="s">
        <v>2616</v>
      </c>
      <c r="AE153" s="719"/>
      <c r="AF153" s="719">
        <v>200</v>
      </c>
      <c r="AG153" s="789">
        <v>34111.370000000003</v>
      </c>
      <c r="AH153" s="719">
        <v>1413</v>
      </c>
      <c r="AI153" s="719">
        <v>-5179</v>
      </c>
      <c r="AJ153" s="719"/>
      <c r="AK153" s="719"/>
      <c r="AL153" s="719"/>
      <c r="AM153" s="719" t="s">
        <v>2608</v>
      </c>
      <c r="AN153" s="719">
        <v>5.25</v>
      </c>
      <c r="AO153" s="719"/>
      <c r="AP153" s="719"/>
      <c r="AQ153" s="724"/>
      <c r="AR153" s="724"/>
      <c r="AS153" s="724"/>
      <c r="AT153" s="724">
        <f>+ab($U$153,$T$151,$U$155,$G$152,$G$154, 1*$F$153,1200)</f>
        <v>14.446766725215634</v>
      </c>
      <c r="AU153" s="724"/>
      <c r="AV153" s="724"/>
      <c r="AW153" s="719"/>
      <c r="AX153" s="719"/>
      <c r="AY153" s="719"/>
      <c r="AZ153" s="532"/>
    </row>
    <row r="154" spans="1:52" ht="15.75" hidden="1" customHeight="1">
      <c r="A154" s="716"/>
      <c r="B154" s="717"/>
      <c r="C154" s="789"/>
      <c r="D154" s="719"/>
      <c r="E154" s="719"/>
      <c r="F154" s="720"/>
      <c r="G154" s="721">
        <v>50</v>
      </c>
      <c r="H154" s="726"/>
      <c r="I154" s="726"/>
      <c r="J154" s="718"/>
      <c r="K154" s="719"/>
      <c r="L154" s="719"/>
      <c r="M154" s="719"/>
      <c r="N154" s="726"/>
      <c r="O154" s="726"/>
      <c r="P154" s="726"/>
      <c r="Q154" s="719"/>
      <c r="R154" s="719"/>
      <c r="S154" s="724">
        <f t="shared" ref="S154:S156" si="58">AG155-AG154</f>
        <v>44.830000000001746</v>
      </c>
      <c r="T154" s="719"/>
      <c r="U154" s="719"/>
      <c r="V154" s="719"/>
      <c r="W154" s="719"/>
      <c r="X154" s="719"/>
      <c r="Y154" s="719"/>
      <c r="Z154" s="719"/>
      <c r="AA154" s="719"/>
      <c r="AB154" s="719"/>
      <c r="AC154" s="719"/>
      <c r="AD154" s="719"/>
      <c r="AE154" s="719"/>
      <c r="AF154" s="719"/>
      <c r="AG154" s="789">
        <v>34114.559999999998</v>
      </c>
      <c r="AH154" s="719">
        <v>1413</v>
      </c>
      <c r="AI154" s="719">
        <v>-5179</v>
      </c>
      <c r="AJ154" s="719"/>
      <c r="AK154" s="719"/>
      <c r="AL154" s="719"/>
      <c r="AM154" s="719"/>
      <c r="AN154" s="719"/>
      <c r="AO154" s="719"/>
      <c r="AP154" s="719"/>
      <c r="AQ154" s="724">
        <f>+FL_2($T$155,$U$153,$G$154,1200,9.28, 1*$F$155)</f>
        <v>-0.24425286799999996</v>
      </c>
      <c r="AR154" s="724"/>
      <c r="AS154" s="724"/>
      <c r="AT154" s="724"/>
      <c r="AU154" s="724"/>
      <c r="AV154" s="724"/>
      <c r="AW154" s="719"/>
      <c r="AX154" s="719"/>
      <c r="AY154" s="719"/>
      <c r="AZ154" s="532"/>
    </row>
    <row r="155" spans="1:52" ht="15.75" hidden="1" customHeight="1">
      <c r="A155" s="716" t="s">
        <v>677</v>
      </c>
      <c r="B155" s="717" t="s">
        <v>1738</v>
      </c>
      <c r="C155" s="789">
        <f>+$C$153+$G$154</f>
        <v>34162</v>
      </c>
      <c r="D155" s="719"/>
      <c r="E155" s="719"/>
      <c r="F155" s="720">
        <v>0</v>
      </c>
      <c r="G155" s="721"/>
      <c r="H155" s="726" t="s">
        <v>668</v>
      </c>
      <c r="I155" s="726"/>
      <c r="J155" s="718"/>
      <c r="K155" s="719"/>
      <c r="L155" s="719" t="s">
        <v>465</v>
      </c>
      <c r="M155" s="719"/>
      <c r="N155" s="726" t="s">
        <v>695</v>
      </c>
      <c r="O155" s="726" t="s">
        <v>697</v>
      </c>
      <c r="P155" s="726"/>
      <c r="Q155" s="719">
        <v>0</v>
      </c>
      <c r="R155" s="719">
        <v>0</v>
      </c>
      <c r="S155" s="724">
        <f t="shared" si="58"/>
        <v>3.1999999999970896</v>
      </c>
      <c r="T155" s="719">
        <v>-5</v>
      </c>
      <c r="U155" s="719">
        <v>-25</v>
      </c>
      <c r="V155" s="719"/>
      <c r="W155" s="719">
        <v>1.1000000000000001</v>
      </c>
      <c r="X155" s="719">
        <v>1.2</v>
      </c>
      <c r="Y155" s="719"/>
      <c r="Z155" s="719"/>
      <c r="AA155" s="719">
        <v>0.45</v>
      </c>
      <c r="AB155" s="719"/>
      <c r="AC155" s="719" t="s">
        <v>2613</v>
      </c>
      <c r="AD155" s="719"/>
      <c r="AE155" s="719"/>
      <c r="AF155" s="719">
        <v>200</v>
      </c>
      <c r="AG155" s="789">
        <v>34159.39</v>
      </c>
      <c r="AH155" s="719">
        <v>1393</v>
      </c>
      <c r="AI155" s="719">
        <v>-5156</v>
      </c>
      <c r="AJ155" s="719"/>
      <c r="AK155" s="719"/>
      <c r="AL155" s="719"/>
      <c r="AM155" s="719" t="s">
        <v>2608</v>
      </c>
      <c r="AN155" s="719">
        <v>5.25</v>
      </c>
      <c r="AO155" s="719"/>
      <c r="AP155" s="719"/>
      <c r="AQ155" s="724"/>
      <c r="AR155" s="724"/>
      <c r="AS155" s="724"/>
      <c r="AT155" s="724">
        <f>+ab($T$155,$T$153,$T$157,$G$154,$G$156, 1*$F$155,1200)</f>
        <v>-14.446873203935258</v>
      </c>
      <c r="AU155" s="724"/>
      <c r="AV155" s="724"/>
      <c r="AW155" s="719"/>
      <c r="AX155" s="719"/>
      <c r="AY155" s="719"/>
      <c r="AZ155" s="532"/>
    </row>
    <row r="156" spans="1:52" ht="15.75" hidden="1" customHeight="1">
      <c r="A156" s="716"/>
      <c r="B156" s="717"/>
      <c r="C156" s="789"/>
      <c r="D156" s="719"/>
      <c r="E156" s="719"/>
      <c r="F156" s="720"/>
      <c r="G156" s="721">
        <v>50</v>
      </c>
      <c r="H156" s="726"/>
      <c r="I156" s="726"/>
      <c r="J156" s="718">
        <f>C157-10</f>
        <v>34202</v>
      </c>
      <c r="K156" s="719" t="s">
        <v>1097</v>
      </c>
      <c r="L156" s="719"/>
      <c r="M156" s="719"/>
      <c r="N156" s="726"/>
      <c r="O156" s="726"/>
      <c r="P156" s="726"/>
      <c r="Q156" s="719"/>
      <c r="R156" s="719"/>
      <c r="S156" s="724">
        <f t="shared" si="58"/>
        <v>48.120000000002619</v>
      </c>
      <c r="T156" s="719"/>
      <c r="U156" s="719"/>
      <c r="V156" s="719"/>
      <c r="W156" s="719"/>
      <c r="X156" s="719"/>
      <c r="Y156" s="719"/>
      <c r="Z156" s="719"/>
      <c r="AA156" s="719"/>
      <c r="AB156" s="719"/>
      <c r="AC156" s="719"/>
      <c r="AD156" s="719"/>
      <c r="AE156" s="719"/>
      <c r="AF156" s="719"/>
      <c r="AG156" s="789">
        <v>34162.589999999997</v>
      </c>
      <c r="AH156" s="719">
        <v>1383</v>
      </c>
      <c r="AI156" s="719">
        <v>-5171</v>
      </c>
      <c r="AJ156" s="719"/>
      <c r="AK156" s="719"/>
      <c r="AL156" s="719"/>
      <c r="AM156" s="719"/>
      <c r="AN156" s="719"/>
      <c r="AO156" s="719"/>
      <c r="AP156" s="719"/>
      <c r="AQ156" s="724">
        <f>+FL_1($T$157,$T$155,$G$156,1200,9.28, 1*$F$157)</f>
        <v>0.39834769999999997</v>
      </c>
      <c r="AR156" s="724"/>
      <c r="AS156" s="724"/>
      <c r="AT156" s="724"/>
      <c r="AU156" s="724"/>
      <c r="AV156" s="724"/>
      <c r="AW156" s="719"/>
      <c r="AX156" s="719"/>
      <c r="AY156" s="719"/>
      <c r="AZ156" s="532"/>
    </row>
    <row r="157" spans="1:52" ht="15.75" hidden="1" customHeight="1">
      <c r="A157" s="716" t="s">
        <v>677</v>
      </c>
      <c r="B157" s="717" t="s">
        <v>1739</v>
      </c>
      <c r="C157" s="789">
        <f>+$C$155+$G$156</f>
        <v>34212</v>
      </c>
      <c r="D157" s="719"/>
      <c r="E157" s="719"/>
      <c r="F157" s="720">
        <v>0</v>
      </c>
      <c r="G157" s="721"/>
      <c r="H157" s="726" t="s">
        <v>138</v>
      </c>
      <c r="I157" s="722" t="s">
        <v>948</v>
      </c>
      <c r="J157" s="718"/>
      <c r="K157" s="719"/>
      <c r="L157" s="719" t="s">
        <v>241</v>
      </c>
      <c r="M157" s="719"/>
      <c r="N157" s="719" t="s">
        <v>696</v>
      </c>
      <c r="O157" s="726"/>
      <c r="P157" s="726"/>
      <c r="Q157" s="719">
        <v>0</v>
      </c>
      <c r="R157" s="719">
        <v>0</v>
      </c>
      <c r="S157" s="719"/>
      <c r="T157" s="719">
        <v>30</v>
      </c>
      <c r="U157" s="719"/>
      <c r="V157" s="719"/>
      <c r="W157" s="719">
        <v>1.1000000000000001</v>
      </c>
      <c r="X157" s="719"/>
      <c r="Y157" s="719"/>
      <c r="Z157" s="719"/>
      <c r="AA157" s="719"/>
      <c r="AB157" s="719"/>
      <c r="AC157" s="719" t="s">
        <v>2977</v>
      </c>
      <c r="AD157" s="719"/>
      <c r="AE157" s="719"/>
      <c r="AF157" s="719">
        <v>200</v>
      </c>
      <c r="AG157" s="789">
        <v>34210.71</v>
      </c>
      <c r="AH157" s="719">
        <v>1404</v>
      </c>
      <c r="AI157" s="719">
        <v>-5185</v>
      </c>
      <c r="AJ157" s="719"/>
      <c r="AK157" s="719"/>
      <c r="AL157" s="719"/>
      <c r="AM157" s="719" t="s">
        <v>2608</v>
      </c>
      <c r="AN157" s="719">
        <v>5.25</v>
      </c>
      <c r="AO157" s="719"/>
      <c r="AP157" s="719"/>
      <c r="AQ157" s="724"/>
      <c r="AR157" s="724"/>
      <c r="AS157" s="724"/>
      <c r="AT157" s="724">
        <f>+ab($T$157,$T$155,$T$159,$G$156,$G$158, 1*$F$157,1200)</f>
        <v>9.9968917440918084</v>
      </c>
      <c r="AU157" s="724"/>
      <c r="AV157" s="724"/>
      <c r="AW157" s="719"/>
      <c r="AX157" s="719"/>
      <c r="AY157" s="719"/>
      <c r="AZ157" s="532"/>
    </row>
    <row r="158" spans="1:52" ht="15.75" hidden="1" customHeight="1">
      <c r="A158" s="716"/>
      <c r="B158" s="717"/>
      <c r="C158" s="789"/>
      <c r="D158" s="719"/>
      <c r="E158" s="719"/>
      <c r="F158" s="720"/>
      <c r="G158" s="721">
        <v>50</v>
      </c>
      <c r="H158" s="719"/>
      <c r="I158" s="722"/>
      <c r="J158" s="718"/>
      <c r="K158" s="719"/>
      <c r="L158" s="719"/>
      <c r="M158" s="719"/>
      <c r="N158" s="726"/>
      <c r="O158" s="726"/>
      <c r="P158" s="726"/>
      <c r="Q158" s="719"/>
      <c r="R158" s="719"/>
      <c r="S158" s="724">
        <f t="shared" ref="S158" si="59">AG159-AG157</f>
        <v>51.25</v>
      </c>
      <c r="T158" s="719"/>
      <c r="U158" s="719"/>
      <c r="V158" s="719"/>
      <c r="W158" s="719"/>
      <c r="X158" s="719"/>
      <c r="Y158" s="719"/>
      <c r="Z158" s="719"/>
      <c r="AA158" s="719"/>
      <c r="AB158" s="719"/>
      <c r="AC158" s="719"/>
      <c r="AD158" s="719"/>
      <c r="AE158" s="719"/>
      <c r="AF158" s="719"/>
      <c r="AG158" s="789"/>
      <c r="AH158" s="719"/>
      <c r="AI158" s="719"/>
      <c r="AJ158" s="719"/>
      <c r="AK158" s="719"/>
      <c r="AL158" s="719"/>
      <c r="AM158" s="719"/>
      <c r="AN158" s="719"/>
      <c r="AO158" s="719"/>
      <c r="AP158" s="719"/>
      <c r="AQ158" s="724">
        <f>+FL_2($T$159,$T$157,$G$158,1200,9.28, 1*$F$159)</f>
        <v>-0.33477011200000001</v>
      </c>
      <c r="AR158" s="724"/>
      <c r="AS158" s="724"/>
      <c r="AT158" s="724"/>
      <c r="AU158" s="724"/>
      <c r="AV158" s="724"/>
      <c r="AW158" s="719"/>
      <c r="AX158" s="719"/>
      <c r="AY158" s="719"/>
      <c r="AZ158" s="532"/>
    </row>
    <row r="159" spans="1:52" ht="15.75" hidden="1" customHeight="1">
      <c r="A159" s="716" t="s">
        <v>677</v>
      </c>
      <c r="B159" s="717" t="s">
        <v>1740</v>
      </c>
      <c r="C159" s="789">
        <f>+$C$157+$G$158</f>
        <v>34262</v>
      </c>
      <c r="D159" s="719"/>
      <c r="E159" s="719"/>
      <c r="F159" s="720">
        <v>0</v>
      </c>
      <c r="G159" s="721"/>
      <c r="H159" s="726"/>
      <c r="I159" s="722"/>
      <c r="J159" s="718"/>
      <c r="K159" s="719"/>
      <c r="L159" s="719" t="s">
        <v>241</v>
      </c>
      <c r="M159" s="719"/>
      <c r="N159" s="726" t="s">
        <v>695</v>
      </c>
      <c r="O159" s="726"/>
      <c r="P159" s="726"/>
      <c r="Q159" s="719">
        <v>0</v>
      </c>
      <c r="R159" s="719">
        <v>0</v>
      </c>
      <c r="S159" s="719"/>
      <c r="T159" s="719">
        <v>-30</v>
      </c>
      <c r="U159" s="719"/>
      <c r="V159" s="719"/>
      <c r="W159" s="719">
        <v>1.1000000000000001</v>
      </c>
      <c r="X159" s="719"/>
      <c r="Y159" s="719"/>
      <c r="Z159" s="719"/>
      <c r="AA159" s="719"/>
      <c r="AB159" s="719"/>
      <c r="AC159" s="719" t="s">
        <v>2979</v>
      </c>
      <c r="AD159" s="719"/>
      <c r="AE159" s="719"/>
      <c r="AF159" s="719">
        <v>200</v>
      </c>
      <c r="AG159" s="789">
        <v>34261.96</v>
      </c>
      <c r="AH159" s="719">
        <v>1415</v>
      </c>
      <c r="AI159" s="719">
        <v>-5187</v>
      </c>
      <c r="AJ159" s="719"/>
      <c r="AK159" s="719"/>
      <c r="AL159" s="719"/>
      <c r="AM159" s="719" t="s">
        <v>2608</v>
      </c>
      <c r="AN159" s="719">
        <v>5.25</v>
      </c>
      <c r="AO159" s="719"/>
      <c r="AP159" s="719"/>
      <c r="AQ159" s="724"/>
      <c r="AR159" s="724"/>
      <c r="AS159" s="724"/>
      <c r="AT159" s="724">
        <f>+ab($T$159,$T$157,$T$161,$G$158,$G$160, 1*$F$159,1200)</f>
        <v>-7.9442410717051439</v>
      </c>
      <c r="AU159" s="724"/>
      <c r="AV159" s="724"/>
      <c r="AW159" s="719"/>
      <c r="AX159" s="719"/>
      <c r="AY159" s="719"/>
      <c r="AZ159" s="532"/>
    </row>
    <row r="160" spans="1:52" ht="15.75" hidden="1" customHeight="1">
      <c r="A160" s="716"/>
      <c r="B160" s="717"/>
      <c r="C160" s="789"/>
      <c r="D160" s="719"/>
      <c r="E160" s="719"/>
      <c r="F160" s="720"/>
      <c r="G160" s="721">
        <v>50</v>
      </c>
      <c r="H160" s="719"/>
      <c r="I160" s="722"/>
      <c r="J160" s="718"/>
      <c r="K160" s="719"/>
      <c r="L160" s="719"/>
      <c r="M160" s="719"/>
      <c r="N160" s="726"/>
      <c r="O160" s="726"/>
      <c r="P160" s="726"/>
      <c r="Q160" s="719"/>
      <c r="R160" s="719"/>
      <c r="S160" s="724">
        <f t="shared" ref="S160" si="60">AG161-AG159</f>
        <v>51.239999999997963</v>
      </c>
      <c r="T160" s="719"/>
      <c r="U160" s="719"/>
      <c r="V160" s="719"/>
      <c r="W160" s="719"/>
      <c r="X160" s="719"/>
      <c r="Y160" s="719"/>
      <c r="Z160" s="719"/>
      <c r="AA160" s="719"/>
      <c r="AB160" s="719"/>
      <c r="AC160" s="719"/>
      <c r="AD160" s="719"/>
      <c r="AE160" s="719"/>
      <c r="AF160" s="719"/>
      <c r="AG160" s="789"/>
      <c r="AH160" s="719"/>
      <c r="AI160" s="719"/>
      <c r="AJ160" s="719"/>
      <c r="AK160" s="719"/>
      <c r="AL160" s="719"/>
      <c r="AM160" s="719"/>
      <c r="AN160" s="719"/>
      <c r="AO160" s="719"/>
      <c r="AP160" s="719"/>
      <c r="AQ160" s="724">
        <f>+FL_1($T$161,$T$159,$G$160,1200,9.28, 1*$F$161)</f>
        <v>0.33477011200000001</v>
      </c>
      <c r="AR160" s="724"/>
      <c r="AS160" s="724"/>
      <c r="AT160" s="724"/>
      <c r="AU160" s="724"/>
      <c r="AV160" s="724"/>
      <c r="AW160" s="719"/>
      <c r="AX160" s="719"/>
      <c r="AY160" s="719"/>
      <c r="AZ160" s="532"/>
    </row>
    <row r="161" spans="1:52" ht="15.75" hidden="1" customHeight="1">
      <c r="A161" s="716" t="s">
        <v>677</v>
      </c>
      <c r="B161" s="717" t="s">
        <v>1741</v>
      </c>
      <c r="C161" s="789">
        <f>+$C$159+$G$160</f>
        <v>34312</v>
      </c>
      <c r="D161" s="719"/>
      <c r="E161" s="719"/>
      <c r="F161" s="720">
        <v>0</v>
      </c>
      <c r="G161" s="721"/>
      <c r="H161" s="726"/>
      <c r="I161" s="722"/>
      <c r="J161" s="718"/>
      <c r="K161" s="719"/>
      <c r="L161" s="719" t="s">
        <v>241</v>
      </c>
      <c r="M161" s="719"/>
      <c r="N161" s="726" t="s">
        <v>696</v>
      </c>
      <c r="O161" s="726"/>
      <c r="P161" s="726"/>
      <c r="Q161" s="719">
        <v>0</v>
      </c>
      <c r="R161" s="719">
        <v>0</v>
      </c>
      <c r="S161" s="719"/>
      <c r="T161" s="719">
        <v>30</v>
      </c>
      <c r="U161" s="719"/>
      <c r="V161" s="719"/>
      <c r="W161" s="719">
        <v>1.1000000000000001</v>
      </c>
      <c r="X161" s="719"/>
      <c r="Y161" s="719"/>
      <c r="Z161" s="719"/>
      <c r="AA161" s="719"/>
      <c r="AB161" s="719"/>
      <c r="AC161" s="719" t="s">
        <v>2977</v>
      </c>
      <c r="AD161" s="719"/>
      <c r="AE161" s="719"/>
      <c r="AF161" s="719">
        <v>200</v>
      </c>
      <c r="AG161" s="789">
        <v>34313.199999999997</v>
      </c>
      <c r="AH161" s="719">
        <v>1411</v>
      </c>
      <c r="AI161" s="719">
        <v>-5158</v>
      </c>
      <c r="AJ161" s="719"/>
      <c r="AK161" s="719"/>
      <c r="AL161" s="719"/>
      <c r="AM161" s="719" t="s">
        <v>2608</v>
      </c>
      <c r="AN161" s="719">
        <v>5.25</v>
      </c>
      <c r="AO161" s="719"/>
      <c r="AP161" s="719"/>
      <c r="AQ161" s="724"/>
      <c r="AR161" s="724"/>
      <c r="AS161" s="724"/>
      <c r="AT161" s="724">
        <f>+ab($T$161,$T$159,$T$163,$G$160,$G$162, 1*$F$161,1200)</f>
        <v>7.9442083933778509</v>
      </c>
      <c r="AU161" s="724"/>
      <c r="AV161" s="724"/>
      <c r="AW161" s="719"/>
      <c r="AX161" s="719"/>
      <c r="AY161" s="719"/>
      <c r="AZ161" s="532"/>
    </row>
    <row r="162" spans="1:52" ht="15.75" hidden="1" customHeight="1">
      <c r="A162" s="716"/>
      <c r="B162" s="717"/>
      <c r="C162" s="789"/>
      <c r="D162" s="719"/>
      <c r="E162" s="719"/>
      <c r="F162" s="720"/>
      <c r="G162" s="721">
        <v>50</v>
      </c>
      <c r="H162" s="726"/>
      <c r="I162" s="722"/>
      <c r="J162" s="718"/>
      <c r="K162" s="719"/>
      <c r="L162" s="719"/>
      <c r="M162" s="719"/>
      <c r="N162" s="726"/>
      <c r="O162" s="726"/>
      <c r="P162" s="726"/>
      <c r="Q162" s="719"/>
      <c r="R162" s="719"/>
      <c r="S162" s="724">
        <f t="shared" ref="S162" si="61">AG163-AG161</f>
        <v>49.760000000002037</v>
      </c>
      <c r="T162" s="719"/>
      <c r="U162" s="719"/>
      <c r="V162" s="719"/>
      <c r="W162" s="719"/>
      <c r="X162" s="719"/>
      <c r="Y162" s="719"/>
      <c r="Z162" s="719"/>
      <c r="AA162" s="719"/>
      <c r="AB162" s="719"/>
      <c r="AC162" s="719"/>
      <c r="AD162" s="719"/>
      <c r="AE162" s="719"/>
      <c r="AF162" s="719"/>
      <c r="AG162" s="789"/>
      <c r="AH162" s="719"/>
      <c r="AI162" s="719"/>
      <c r="AJ162" s="719"/>
      <c r="AK162" s="719"/>
      <c r="AL162" s="719"/>
      <c r="AM162" s="719"/>
      <c r="AN162" s="719"/>
      <c r="AO162" s="719"/>
      <c r="AP162" s="719"/>
      <c r="AQ162" s="724">
        <f>+FL_2($T$163,$T$161,$G$162,1200,9.28, 1*$F$163)</f>
        <v>-0.33477011200000001</v>
      </c>
      <c r="AR162" s="724"/>
      <c r="AS162" s="724"/>
      <c r="AT162" s="724"/>
      <c r="AU162" s="724"/>
      <c r="AV162" s="724"/>
      <c r="AW162" s="719"/>
      <c r="AX162" s="719"/>
      <c r="AY162" s="719"/>
      <c r="AZ162" s="532"/>
    </row>
    <row r="163" spans="1:52" ht="15.75" hidden="1" customHeight="1">
      <c r="A163" s="716" t="s">
        <v>677</v>
      </c>
      <c r="B163" s="717" t="s">
        <v>1742</v>
      </c>
      <c r="C163" s="789">
        <f>+$C$161+$G$162</f>
        <v>34362</v>
      </c>
      <c r="D163" s="719"/>
      <c r="E163" s="719"/>
      <c r="F163" s="720">
        <v>0</v>
      </c>
      <c r="G163" s="721"/>
      <c r="H163" s="726"/>
      <c r="I163" s="722"/>
      <c r="J163" s="718"/>
      <c r="K163" s="719"/>
      <c r="L163" s="719" t="s">
        <v>241</v>
      </c>
      <c r="M163" s="719"/>
      <c r="N163" s="726" t="s">
        <v>695</v>
      </c>
      <c r="O163" s="726"/>
      <c r="P163" s="726"/>
      <c r="Q163" s="719">
        <v>0</v>
      </c>
      <c r="R163" s="719">
        <v>0</v>
      </c>
      <c r="S163" s="719"/>
      <c r="T163" s="719">
        <v>-30</v>
      </c>
      <c r="U163" s="719"/>
      <c r="V163" s="719"/>
      <c r="W163" s="719">
        <v>1.1000000000000001</v>
      </c>
      <c r="X163" s="719"/>
      <c r="Y163" s="719"/>
      <c r="Z163" s="719"/>
      <c r="AA163" s="719"/>
      <c r="AB163" s="719"/>
      <c r="AC163" s="719" t="s">
        <v>2979</v>
      </c>
      <c r="AD163" s="719"/>
      <c r="AE163" s="719"/>
      <c r="AF163" s="719">
        <v>200</v>
      </c>
      <c r="AG163" s="789">
        <v>34362.959999999999</v>
      </c>
      <c r="AH163" s="719">
        <v>1403</v>
      </c>
      <c r="AI163" s="719">
        <v>-5166</v>
      </c>
      <c r="AJ163" s="719"/>
      <c r="AK163" s="719"/>
      <c r="AL163" s="719"/>
      <c r="AM163" s="719" t="s">
        <v>2608</v>
      </c>
      <c r="AN163" s="719">
        <v>5.25</v>
      </c>
      <c r="AO163" s="719"/>
      <c r="AP163" s="719"/>
      <c r="AQ163" s="724"/>
      <c r="AR163" s="724"/>
      <c r="AS163" s="724"/>
      <c r="AT163" s="724">
        <f>+ab($T$163,$T$161,$T$165,$G$162,$G$164, 1*$F$163,1200)</f>
        <v>-7.9442410717051439</v>
      </c>
      <c r="AU163" s="724"/>
      <c r="AV163" s="724"/>
      <c r="AW163" s="719"/>
      <c r="AX163" s="719"/>
      <c r="AY163" s="719"/>
      <c r="AZ163" s="532"/>
    </row>
    <row r="164" spans="1:52" ht="15.75" hidden="1" customHeight="1">
      <c r="A164" s="716"/>
      <c r="B164" s="717"/>
      <c r="C164" s="789"/>
      <c r="D164" s="719"/>
      <c r="E164" s="719"/>
      <c r="F164" s="720"/>
      <c r="G164" s="721">
        <v>50</v>
      </c>
      <c r="H164" s="726"/>
      <c r="I164" s="722"/>
      <c r="J164" s="718"/>
      <c r="K164" s="719"/>
      <c r="L164" s="719"/>
      <c r="M164" s="719"/>
      <c r="N164" s="726"/>
      <c r="O164" s="726"/>
      <c r="P164" s="726"/>
      <c r="Q164" s="719"/>
      <c r="R164" s="719"/>
      <c r="S164" s="724">
        <f t="shared" ref="S164" si="62">AG165-AG163</f>
        <v>48.029999999998836</v>
      </c>
      <c r="T164" s="719"/>
      <c r="U164" s="719"/>
      <c r="V164" s="719"/>
      <c r="W164" s="719"/>
      <c r="X164" s="719"/>
      <c r="Y164" s="719"/>
      <c r="Z164" s="719"/>
      <c r="AA164" s="719"/>
      <c r="AB164" s="719"/>
      <c r="AC164" s="719"/>
      <c r="AD164" s="719"/>
      <c r="AE164" s="719"/>
      <c r="AF164" s="719"/>
      <c r="AG164" s="789"/>
      <c r="AH164" s="719"/>
      <c r="AI164" s="719"/>
      <c r="AJ164" s="719"/>
      <c r="AK164" s="719"/>
      <c r="AL164" s="719"/>
      <c r="AM164" s="719"/>
      <c r="AN164" s="719"/>
      <c r="AO164" s="719"/>
      <c r="AP164" s="719"/>
      <c r="AQ164" s="724">
        <f>+FL_1($T$165,$T$163,$G$164,1200,9.28, 1*$F$165)</f>
        <v>0.33477011200000001</v>
      </c>
      <c r="AR164" s="724"/>
      <c r="AS164" s="724"/>
      <c r="AT164" s="724"/>
      <c r="AU164" s="724"/>
      <c r="AV164" s="724"/>
      <c r="AW164" s="719"/>
      <c r="AX164" s="719"/>
      <c r="AY164" s="719"/>
      <c r="AZ164" s="532"/>
    </row>
    <row r="165" spans="1:52" ht="15.75" hidden="1" customHeight="1">
      <c r="A165" s="716" t="s">
        <v>677</v>
      </c>
      <c r="B165" s="717" t="s">
        <v>1743</v>
      </c>
      <c r="C165" s="789">
        <f>+$C$163+$G$164</f>
        <v>34412</v>
      </c>
      <c r="D165" s="719"/>
      <c r="E165" s="719"/>
      <c r="F165" s="720">
        <v>0</v>
      </c>
      <c r="G165" s="721"/>
      <c r="H165" s="726"/>
      <c r="I165" s="722"/>
      <c r="J165" s="718"/>
      <c r="K165" s="719"/>
      <c r="L165" s="719" t="s">
        <v>241</v>
      </c>
      <c r="M165" s="719"/>
      <c r="N165" s="726" t="s">
        <v>696</v>
      </c>
      <c r="O165" s="726"/>
      <c r="P165" s="726"/>
      <c r="Q165" s="719">
        <v>0</v>
      </c>
      <c r="R165" s="719">
        <v>0</v>
      </c>
      <c r="S165" s="719"/>
      <c r="T165" s="719">
        <v>30</v>
      </c>
      <c r="U165" s="719"/>
      <c r="V165" s="719"/>
      <c r="W165" s="719">
        <v>1.1000000000000001</v>
      </c>
      <c r="X165" s="719"/>
      <c r="Y165" s="719"/>
      <c r="Z165" s="719"/>
      <c r="AA165" s="719"/>
      <c r="AB165" s="719"/>
      <c r="AC165" s="719" t="s">
        <v>2977</v>
      </c>
      <c r="AD165" s="719"/>
      <c r="AE165" s="719"/>
      <c r="AF165" s="719">
        <v>200</v>
      </c>
      <c r="AG165" s="789">
        <v>34410.99</v>
      </c>
      <c r="AH165" s="719">
        <v>1406</v>
      </c>
      <c r="AI165" s="719">
        <v>-5184</v>
      </c>
      <c r="AJ165" s="719"/>
      <c r="AK165" s="719"/>
      <c r="AL165" s="719"/>
      <c r="AM165" s="719" t="s">
        <v>2608</v>
      </c>
      <c r="AN165" s="719">
        <v>5.25</v>
      </c>
      <c r="AO165" s="719"/>
      <c r="AP165" s="719"/>
      <c r="AQ165" s="724"/>
      <c r="AR165" s="724"/>
      <c r="AS165" s="724"/>
      <c r="AT165" s="724">
        <f>+ab($T$165,$T$163,$T$167,$G$164,$G$166, 1*$F$165,1200)</f>
        <v>7.9442083933778509</v>
      </c>
      <c r="AU165" s="724"/>
      <c r="AV165" s="724"/>
      <c r="AW165" s="719"/>
      <c r="AX165" s="719"/>
      <c r="AY165" s="719"/>
      <c r="AZ165" s="532"/>
    </row>
    <row r="166" spans="1:52" ht="15.75" hidden="1" customHeight="1">
      <c r="A166" s="716"/>
      <c r="B166" s="717"/>
      <c r="C166" s="789"/>
      <c r="D166" s="719"/>
      <c r="E166" s="719"/>
      <c r="F166" s="720"/>
      <c r="G166" s="721">
        <v>50</v>
      </c>
      <c r="H166" s="726"/>
      <c r="I166" s="722"/>
      <c r="J166" s="718"/>
      <c r="K166" s="719"/>
      <c r="L166" s="719"/>
      <c r="M166" s="719"/>
      <c r="N166" s="726"/>
      <c r="O166" s="726"/>
      <c r="P166" s="726"/>
      <c r="Q166" s="719"/>
      <c r="R166" s="719"/>
      <c r="S166" s="724">
        <f t="shared" ref="S166" si="63">AG167-AG165</f>
        <v>51.220000000001164</v>
      </c>
      <c r="T166" s="719"/>
      <c r="U166" s="719"/>
      <c r="V166" s="719"/>
      <c r="W166" s="719"/>
      <c r="X166" s="719"/>
      <c r="Y166" s="719"/>
      <c r="Z166" s="719"/>
      <c r="AA166" s="719"/>
      <c r="AB166" s="719"/>
      <c r="AC166" s="719"/>
      <c r="AD166" s="719"/>
      <c r="AE166" s="719"/>
      <c r="AF166" s="719"/>
      <c r="AG166" s="789"/>
      <c r="AH166" s="719"/>
      <c r="AI166" s="719"/>
      <c r="AJ166" s="719"/>
      <c r="AK166" s="719"/>
      <c r="AL166" s="719"/>
      <c r="AM166" s="719"/>
      <c r="AN166" s="719"/>
      <c r="AO166" s="719"/>
      <c r="AP166" s="719"/>
      <c r="AQ166" s="724">
        <f>+FL_2($T$167,$T$165,$G$166,1200,9.28, 1*$F$167)</f>
        <v>-0.33477011200000001</v>
      </c>
      <c r="AR166" s="724"/>
      <c r="AS166" s="724"/>
      <c r="AT166" s="724"/>
      <c r="AU166" s="724"/>
      <c r="AV166" s="724"/>
      <c r="AW166" s="719"/>
      <c r="AX166" s="719"/>
      <c r="AY166" s="719"/>
      <c r="AZ166" s="532"/>
    </row>
    <row r="167" spans="1:52" ht="15.75" hidden="1" customHeight="1">
      <c r="A167" s="716" t="s">
        <v>677</v>
      </c>
      <c r="B167" s="717" t="s">
        <v>1744</v>
      </c>
      <c r="C167" s="789">
        <f>+$C$165+$G$166</f>
        <v>34462</v>
      </c>
      <c r="D167" s="719"/>
      <c r="E167" s="719"/>
      <c r="F167" s="720">
        <v>0</v>
      </c>
      <c r="G167" s="721"/>
      <c r="H167" s="726"/>
      <c r="I167" s="726"/>
      <c r="J167" s="718"/>
      <c r="K167" s="719"/>
      <c r="L167" s="719" t="s">
        <v>241</v>
      </c>
      <c r="M167" s="719"/>
      <c r="N167" s="726" t="s">
        <v>695</v>
      </c>
      <c r="O167" s="726"/>
      <c r="P167" s="726"/>
      <c r="Q167" s="719">
        <v>0</v>
      </c>
      <c r="R167" s="719">
        <v>0</v>
      </c>
      <c r="S167" s="719"/>
      <c r="T167" s="719">
        <v>-30</v>
      </c>
      <c r="U167" s="719"/>
      <c r="V167" s="719"/>
      <c r="W167" s="719">
        <v>1.1000000000000001</v>
      </c>
      <c r="X167" s="719"/>
      <c r="Y167" s="719"/>
      <c r="Z167" s="719"/>
      <c r="AA167" s="719"/>
      <c r="AB167" s="719"/>
      <c r="AC167" s="719" t="s">
        <v>2979</v>
      </c>
      <c r="AD167" s="719"/>
      <c r="AE167" s="719"/>
      <c r="AF167" s="719">
        <v>200</v>
      </c>
      <c r="AG167" s="789">
        <v>34462.21</v>
      </c>
      <c r="AH167" s="719">
        <v>1398</v>
      </c>
      <c r="AI167" s="719">
        <v>-5177</v>
      </c>
      <c r="AJ167" s="719"/>
      <c r="AK167" s="719"/>
      <c r="AL167" s="719"/>
      <c r="AM167" s="719" t="s">
        <v>2608</v>
      </c>
      <c r="AN167" s="719">
        <v>5.25</v>
      </c>
      <c r="AO167" s="719"/>
      <c r="AP167" s="719"/>
      <c r="AQ167" s="724"/>
      <c r="AR167" s="724"/>
      <c r="AS167" s="724"/>
      <c r="AT167" s="724">
        <f>+ab($T$167,$T$165,$T$169,$G$166,$G$168, 1*$F$167,1200)</f>
        <v>-7.9442410717051439</v>
      </c>
      <c r="AU167" s="724"/>
      <c r="AV167" s="724"/>
      <c r="AW167" s="719"/>
      <c r="AX167" s="719"/>
      <c r="AY167" s="719"/>
      <c r="AZ167" s="532"/>
    </row>
    <row r="168" spans="1:52" ht="15.75" hidden="1" customHeight="1">
      <c r="A168" s="716"/>
      <c r="B168" s="717"/>
      <c r="C168" s="789"/>
      <c r="D168" s="719"/>
      <c r="E168" s="719"/>
      <c r="F168" s="720"/>
      <c r="G168" s="721">
        <v>50</v>
      </c>
      <c r="H168" s="726"/>
      <c r="I168" s="726"/>
      <c r="J168" s="718"/>
      <c r="K168" s="719"/>
      <c r="L168" s="719"/>
      <c r="M168" s="719"/>
      <c r="N168" s="726"/>
      <c r="O168" s="726"/>
      <c r="P168" s="726"/>
      <c r="Q168" s="719"/>
      <c r="R168" s="719"/>
      <c r="S168" s="724">
        <f t="shared" ref="S168" si="64">AG169-AG167</f>
        <v>48.099999999998545</v>
      </c>
      <c r="T168" s="719"/>
      <c r="U168" s="719"/>
      <c r="V168" s="719"/>
      <c r="W168" s="719"/>
      <c r="X168" s="719"/>
      <c r="Y168" s="719"/>
      <c r="Z168" s="719"/>
      <c r="AA168" s="719"/>
      <c r="AB168" s="719"/>
      <c r="AC168" s="719"/>
      <c r="AD168" s="719"/>
      <c r="AE168" s="719"/>
      <c r="AF168" s="719"/>
      <c r="AG168" s="789"/>
      <c r="AH168" s="719"/>
      <c r="AI168" s="719"/>
      <c r="AJ168" s="719"/>
      <c r="AK168" s="719"/>
      <c r="AL168" s="719"/>
      <c r="AM168" s="719"/>
      <c r="AN168" s="719"/>
      <c r="AO168" s="719"/>
      <c r="AP168" s="719"/>
      <c r="AQ168" s="724">
        <f>+FL_1($T$169,$T$167,$G$168,1200,9.28, 1*$F$169)</f>
        <v>0.33477011200000001</v>
      </c>
      <c r="AR168" s="724"/>
      <c r="AS168" s="724"/>
      <c r="AT168" s="724"/>
      <c r="AU168" s="724"/>
      <c r="AV168" s="724"/>
      <c r="AW168" s="719"/>
      <c r="AX168" s="719"/>
      <c r="AY168" s="719"/>
      <c r="AZ168" s="532"/>
    </row>
    <row r="169" spans="1:52" ht="15.75" customHeight="1">
      <c r="A169" s="716" t="s">
        <v>677</v>
      </c>
      <c r="B169" s="717" t="s">
        <v>1745</v>
      </c>
      <c r="C169" s="789">
        <f>+$C$167+$G$168</f>
        <v>34512</v>
      </c>
      <c r="D169" s="719"/>
      <c r="E169" s="719"/>
      <c r="F169" s="720">
        <v>0</v>
      </c>
      <c r="G169" s="721"/>
      <c r="H169" s="726" t="s">
        <v>1101</v>
      </c>
      <c r="I169" s="722"/>
      <c r="J169" s="718"/>
      <c r="K169" s="719"/>
      <c r="L169" s="719" t="s">
        <v>241</v>
      </c>
      <c r="M169" s="719"/>
      <c r="N169" s="726" t="s">
        <v>696</v>
      </c>
      <c r="O169" s="726"/>
      <c r="P169" s="726"/>
      <c r="Q169" s="719">
        <v>0</v>
      </c>
      <c r="R169" s="719">
        <v>0</v>
      </c>
      <c r="S169" s="719"/>
      <c r="T169" s="719">
        <v>30</v>
      </c>
      <c r="U169" s="719"/>
      <c r="V169" s="719"/>
      <c r="W169" s="719">
        <v>1.1000000000000001</v>
      </c>
      <c r="X169" s="719"/>
      <c r="Y169" s="719"/>
      <c r="Z169" s="719"/>
      <c r="AA169" s="719"/>
      <c r="AB169" s="719"/>
      <c r="AC169" s="719" t="s">
        <v>2977</v>
      </c>
      <c r="AD169" s="719"/>
      <c r="AE169" s="719"/>
      <c r="AF169" s="719">
        <v>200</v>
      </c>
      <c r="AG169" s="789">
        <v>34510.31</v>
      </c>
      <c r="AH169" s="719">
        <v>1401</v>
      </c>
      <c r="AI169" s="719">
        <v>-5167</v>
      </c>
      <c r="AJ169" s="719"/>
      <c r="AK169" s="719"/>
      <c r="AL169" s="719"/>
      <c r="AM169" s="719" t="s">
        <v>2608</v>
      </c>
      <c r="AN169" s="719">
        <v>5.25</v>
      </c>
      <c r="AO169" s="719"/>
      <c r="AP169" s="719"/>
      <c r="AQ169" s="724"/>
      <c r="AR169" s="724"/>
      <c r="AS169" s="724"/>
      <c r="AT169" s="724">
        <f>+ab($T$169,$T$167,$T$171,$G$168,$G$170, 1*$F$169,1200)</f>
        <v>7.9442083933778509</v>
      </c>
      <c r="AU169" s="724"/>
      <c r="AV169" s="724"/>
      <c r="AW169" s="719"/>
      <c r="AX169" s="719"/>
      <c r="AY169" s="719"/>
      <c r="AZ169" s="532"/>
    </row>
    <row r="170" spans="1:52" ht="15.75" hidden="1" customHeight="1">
      <c r="A170" s="716"/>
      <c r="B170" s="717"/>
      <c r="C170" s="789"/>
      <c r="D170" s="719"/>
      <c r="E170" s="719"/>
      <c r="F170" s="720"/>
      <c r="G170" s="721">
        <v>50</v>
      </c>
      <c r="H170" s="726"/>
      <c r="I170" s="722">
        <f>+SUM(G152:G170)</f>
        <v>500</v>
      </c>
      <c r="J170" s="718">
        <f>C169+1</f>
        <v>34513</v>
      </c>
      <c r="K170" s="719" t="s">
        <v>1102</v>
      </c>
      <c r="L170" s="719"/>
      <c r="M170" s="719"/>
      <c r="N170" s="726"/>
      <c r="O170" s="726"/>
      <c r="P170" s="726"/>
      <c r="Q170" s="719"/>
      <c r="R170" s="719"/>
      <c r="S170" s="724">
        <f t="shared" ref="S170" si="65">AG171-AG169</f>
        <v>51.25</v>
      </c>
      <c r="T170" s="719"/>
      <c r="U170" s="719"/>
      <c r="V170" s="719"/>
      <c r="W170" s="719"/>
      <c r="X170" s="719"/>
      <c r="Y170" s="719"/>
      <c r="Z170" s="719"/>
      <c r="AA170" s="719"/>
      <c r="AB170" s="719"/>
      <c r="AC170" s="719"/>
      <c r="AD170" s="719"/>
      <c r="AE170" s="719"/>
      <c r="AF170" s="719"/>
      <c r="AG170" s="789"/>
      <c r="AH170" s="719"/>
      <c r="AI170" s="719"/>
      <c r="AJ170" s="719"/>
      <c r="AK170" s="719"/>
      <c r="AL170" s="719"/>
      <c r="AM170" s="719"/>
      <c r="AN170" s="719"/>
      <c r="AO170" s="719"/>
      <c r="AP170" s="719"/>
      <c r="AQ170" s="724">
        <f>+FL_2($T$171,$T$169,$G$170,1200,9.28, 1*$F$171)</f>
        <v>-0.33477011200000001</v>
      </c>
      <c r="AR170" s="724"/>
      <c r="AS170" s="724"/>
      <c r="AT170" s="724"/>
      <c r="AU170" s="724"/>
      <c r="AV170" s="724"/>
      <c r="AW170" s="719"/>
      <c r="AX170" s="719"/>
      <c r="AY170" s="719"/>
      <c r="AZ170" s="532"/>
    </row>
    <row r="171" spans="1:52" ht="15.75" customHeight="1">
      <c r="A171" s="716" t="s">
        <v>677</v>
      </c>
      <c r="B171" s="717" t="s">
        <v>1746</v>
      </c>
      <c r="C171" s="789">
        <f>+$C$169+$G$170</f>
        <v>34562</v>
      </c>
      <c r="D171" s="719"/>
      <c r="E171" s="719"/>
      <c r="F171" s="720">
        <v>0</v>
      </c>
      <c r="G171" s="721"/>
      <c r="H171" s="726" t="s">
        <v>997</v>
      </c>
      <c r="I171" s="722"/>
      <c r="J171" s="718"/>
      <c r="K171" s="719"/>
      <c r="L171" s="719" t="s">
        <v>241</v>
      </c>
      <c r="M171" s="719"/>
      <c r="N171" s="726" t="s">
        <v>695</v>
      </c>
      <c r="O171" s="726"/>
      <c r="P171" s="726"/>
      <c r="Q171" s="719">
        <v>0</v>
      </c>
      <c r="R171" s="719">
        <v>0</v>
      </c>
      <c r="S171" s="719"/>
      <c r="T171" s="719">
        <v>-30</v>
      </c>
      <c r="U171" s="719"/>
      <c r="V171" s="719"/>
      <c r="W171" s="719">
        <v>1.1000000000000001</v>
      </c>
      <c r="X171" s="719"/>
      <c r="Y171" s="719"/>
      <c r="Z171" s="719"/>
      <c r="AA171" s="719"/>
      <c r="AB171" s="719"/>
      <c r="AC171" s="719" t="s">
        <v>2979</v>
      </c>
      <c r="AD171" s="719"/>
      <c r="AE171" s="719"/>
      <c r="AF171" s="719">
        <v>200</v>
      </c>
      <c r="AG171" s="789">
        <v>34561.56</v>
      </c>
      <c r="AH171" s="719">
        <v>1407</v>
      </c>
      <c r="AI171" s="719">
        <v>-5185</v>
      </c>
      <c r="AJ171" s="719"/>
      <c r="AK171" s="719"/>
      <c r="AL171" s="719"/>
      <c r="AM171" s="719" t="s">
        <v>2608</v>
      </c>
      <c r="AN171" s="719">
        <v>5.25</v>
      </c>
      <c r="AO171" s="719"/>
      <c r="AP171" s="719"/>
      <c r="AQ171" s="724"/>
      <c r="AR171" s="724"/>
      <c r="AS171" s="724"/>
      <c r="AT171" s="724">
        <f>+ab($T$171,$T$169,$T$173,$G$170,$G$172, 1*$F$171,1200)</f>
        <v>-7.9442410717051439</v>
      </c>
      <c r="AU171" s="724"/>
      <c r="AV171" s="724"/>
      <c r="AW171" s="719"/>
      <c r="AX171" s="719"/>
      <c r="AY171" s="719"/>
      <c r="AZ171" s="532"/>
    </row>
    <row r="172" spans="1:52" ht="15.75" hidden="1" customHeight="1">
      <c r="A172" s="716"/>
      <c r="B172" s="717"/>
      <c r="C172" s="789"/>
      <c r="D172" s="719"/>
      <c r="E172" s="719"/>
      <c r="F172" s="720"/>
      <c r="G172" s="721">
        <v>50</v>
      </c>
      <c r="H172" s="726"/>
      <c r="I172" s="722">
        <f>SUM(G172:G190)</f>
        <v>500</v>
      </c>
      <c r="J172" s="718">
        <f>C173-1</f>
        <v>34611</v>
      </c>
      <c r="K172" s="719" t="s">
        <v>1102</v>
      </c>
      <c r="L172" s="719"/>
      <c r="M172" s="719"/>
      <c r="N172" s="726"/>
      <c r="O172" s="726"/>
      <c r="P172" s="726"/>
      <c r="Q172" s="719"/>
      <c r="R172" s="719"/>
      <c r="S172" s="724">
        <f t="shared" ref="S172" si="66">AG173-AG171</f>
        <v>51.240000000005239</v>
      </c>
      <c r="T172" s="719"/>
      <c r="U172" s="719"/>
      <c r="V172" s="719"/>
      <c r="W172" s="719"/>
      <c r="X172" s="719"/>
      <c r="Y172" s="719"/>
      <c r="Z172" s="719"/>
      <c r="AA172" s="719"/>
      <c r="AB172" s="719"/>
      <c r="AC172" s="719"/>
      <c r="AD172" s="719"/>
      <c r="AE172" s="719"/>
      <c r="AF172" s="719"/>
      <c r="AG172" s="789"/>
      <c r="AH172" s="719"/>
      <c r="AI172" s="719"/>
      <c r="AJ172" s="719"/>
      <c r="AK172" s="719"/>
      <c r="AL172" s="719"/>
      <c r="AM172" s="719"/>
      <c r="AN172" s="719"/>
      <c r="AO172" s="719"/>
      <c r="AP172" s="719"/>
      <c r="AQ172" s="724">
        <f>+FL_1($T$173,$T$171,$G$172,1200,9.28, 1*$F$173)</f>
        <v>0.33477011200000001</v>
      </c>
      <c r="AR172" s="724"/>
      <c r="AS172" s="724"/>
      <c r="AT172" s="724"/>
      <c r="AU172" s="724"/>
      <c r="AV172" s="724"/>
      <c r="AW172" s="719"/>
      <c r="AX172" s="719"/>
      <c r="AY172" s="719"/>
      <c r="AZ172" s="532"/>
    </row>
    <row r="173" spans="1:52" ht="15.75" customHeight="1">
      <c r="A173" s="716" t="s">
        <v>677</v>
      </c>
      <c r="B173" s="717" t="s">
        <v>1747</v>
      </c>
      <c r="C173" s="789">
        <f>+$C$171+$G$172</f>
        <v>34612</v>
      </c>
      <c r="D173" s="719"/>
      <c r="E173" s="719"/>
      <c r="F173" s="720">
        <v>0</v>
      </c>
      <c r="G173" s="721"/>
      <c r="H173" s="726" t="s">
        <v>1101</v>
      </c>
      <c r="I173" s="722"/>
      <c r="J173" s="718"/>
      <c r="K173" s="719"/>
      <c r="L173" s="719" t="s">
        <v>241</v>
      </c>
      <c r="M173" s="719"/>
      <c r="N173" s="726" t="s">
        <v>696</v>
      </c>
      <c r="O173" s="726"/>
      <c r="P173" s="726"/>
      <c r="Q173" s="719">
        <v>0</v>
      </c>
      <c r="R173" s="719">
        <v>0</v>
      </c>
      <c r="S173" s="719"/>
      <c r="T173" s="719">
        <v>30</v>
      </c>
      <c r="U173" s="719"/>
      <c r="V173" s="719"/>
      <c r="W173" s="719">
        <v>1.1000000000000001</v>
      </c>
      <c r="X173" s="719"/>
      <c r="Y173" s="719"/>
      <c r="Z173" s="719"/>
      <c r="AA173" s="719"/>
      <c r="AB173" s="719"/>
      <c r="AC173" s="719" t="s">
        <v>2977</v>
      </c>
      <c r="AD173" s="719"/>
      <c r="AE173" s="719"/>
      <c r="AF173" s="719">
        <v>200</v>
      </c>
      <c r="AG173" s="789">
        <v>34612.800000000003</v>
      </c>
      <c r="AH173" s="719">
        <v>1402</v>
      </c>
      <c r="AI173" s="719">
        <v>-5158</v>
      </c>
      <c r="AJ173" s="719"/>
      <c r="AK173" s="719"/>
      <c r="AL173" s="719"/>
      <c r="AM173" s="719" t="s">
        <v>2608</v>
      </c>
      <c r="AN173" s="719">
        <v>5.25</v>
      </c>
      <c r="AO173" s="719"/>
      <c r="AP173" s="719"/>
      <c r="AQ173" s="724"/>
      <c r="AR173" s="724"/>
      <c r="AS173" s="724"/>
      <c r="AT173" s="724">
        <f>+ab($T$173,$T$171,$T$175,$G$172,$G$174, 1*$F$173,1200)</f>
        <v>7.9442083933778509</v>
      </c>
      <c r="AU173" s="724"/>
      <c r="AV173" s="724"/>
      <c r="AW173" s="719"/>
      <c r="AX173" s="719"/>
      <c r="AY173" s="719"/>
      <c r="AZ173" s="532"/>
    </row>
    <row r="174" spans="1:52" ht="15.75" hidden="1" customHeight="1">
      <c r="A174" s="716"/>
      <c r="B174" s="717"/>
      <c r="C174" s="789"/>
      <c r="D174" s="719"/>
      <c r="E174" s="719"/>
      <c r="F174" s="720"/>
      <c r="G174" s="721">
        <v>50</v>
      </c>
      <c r="H174" s="726"/>
      <c r="I174" s="722"/>
      <c r="J174" s="718"/>
      <c r="K174" s="719"/>
      <c r="L174" s="719"/>
      <c r="M174" s="719"/>
      <c r="N174" s="726"/>
      <c r="O174" s="726"/>
      <c r="P174" s="726"/>
      <c r="Q174" s="719"/>
      <c r="R174" s="719"/>
      <c r="S174" s="724">
        <f t="shared" ref="S174" si="67">AG175-AG173</f>
        <v>48.099999999998545</v>
      </c>
      <c r="T174" s="719"/>
      <c r="U174" s="719"/>
      <c r="V174" s="719"/>
      <c r="W174" s="719"/>
      <c r="X174" s="719"/>
      <c r="Y174" s="719"/>
      <c r="Z174" s="719"/>
      <c r="AA174" s="719"/>
      <c r="AB174" s="719"/>
      <c r="AC174" s="719"/>
      <c r="AD174" s="719"/>
      <c r="AE174" s="719"/>
      <c r="AF174" s="719"/>
      <c r="AG174" s="789"/>
      <c r="AH174" s="719"/>
      <c r="AI174" s="719"/>
      <c r="AJ174" s="719"/>
      <c r="AK174" s="719"/>
      <c r="AL174" s="719"/>
      <c r="AM174" s="719"/>
      <c r="AN174" s="719"/>
      <c r="AO174" s="719"/>
      <c r="AP174" s="719"/>
      <c r="AQ174" s="724">
        <f>+FL_2($T$175,$T$173,$G$174,1200,9.28, 1*$F$175)</f>
        <v>-0.33477011200000001</v>
      </c>
      <c r="AR174" s="724"/>
      <c r="AS174" s="724"/>
      <c r="AT174" s="724"/>
      <c r="AU174" s="724"/>
      <c r="AV174" s="724"/>
      <c r="AW174" s="719"/>
      <c r="AX174" s="719"/>
      <c r="AY174" s="719"/>
      <c r="AZ174" s="532"/>
    </row>
    <row r="175" spans="1:52" ht="15.75" hidden="1" customHeight="1">
      <c r="A175" s="716" t="s">
        <v>677</v>
      </c>
      <c r="B175" s="717" t="s">
        <v>1748</v>
      </c>
      <c r="C175" s="789">
        <f>+$C$173+$G$174</f>
        <v>34662</v>
      </c>
      <c r="D175" s="719"/>
      <c r="E175" s="719"/>
      <c r="F175" s="720">
        <v>0</v>
      </c>
      <c r="G175" s="721"/>
      <c r="H175" s="726"/>
      <c r="I175" s="722"/>
      <c r="J175" s="718"/>
      <c r="K175" s="719"/>
      <c r="L175" s="719" t="s">
        <v>241</v>
      </c>
      <c r="M175" s="719"/>
      <c r="N175" s="726" t="s">
        <v>695</v>
      </c>
      <c r="O175" s="726"/>
      <c r="P175" s="726"/>
      <c r="Q175" s="719">
        <v>0</v>
      </c>
      <c r="R175" s="719">
        <v>0</v>
      </c>
      <c r="S175" s="719"/>
      <c r="T175" s="719">
        <v>-30</v>
      </c>
      <c r="U175" s="719"/>
      <c r="V175" s="719"/>
      <c r="W175" s="719">
        <v>1.1000000000000001</v>
      </c>
      <c r="X175" s="719"/>
      <c r="Y175" s="719"/>
      <c r="Z175" s="719"/>
      <c r="AA175" s="719"/>
      <c r="AB175" s="719"/>
      <c r="AC175" s="719" t="s">
        <v>2979</v>
      </c>
      <c r="AD175" s="719"/>
      <c r="AE175" s="719"/>
      <c r="AF175" s="719">
        <v>200</v>
      </c>
      <c r="AG175" s="789">
        <v>34660.9</v>
      </c>
      <c r="AH175" s="719">
        <v>1402</v>
      </c>
      <c r="AI175" s="719">
        <v>-5162</v>
      </c>
      <c r="AJ175" s="719"/>
      <c r="AK175" s="719"/>
      <c r="AL175" s="719"/>
      <c r="AM175" s="719" t="s">
        <v>2608</v>
      </c>
      <c r="AN175" s="719">
        <v>5.25</v>
      </c>
      <c r="AO175" s="719"/>
      <c r="AP175" s="719"/>
      <c r="AQ175" s="724"/>
      <c r="AR175" s="724"/>
      <c r="AS175" s="724"/>
      <c r="AT175" s="724">
        <f>+ab($T$175,$T$173,$T$177,$G$174,$G$176, 1*$F$175,1200)</f>
        <v>-7.9442410717051439</v>
      </c>
      <c r="AU175" s="724"/>
      <c r="AV175" s="724"/>
      <c r="AW175" s="719"/>
      <c r="AX175" s="719"/>
      <c r="AY175" s="719"/>
      <c r="AZ175" s="532"/>
    </row>
    <row r="176" spans="1:52" ht="15.75" hidden="1" customHeight="1">
      <c r="A176" s="716"/>
      <c r="B176" s="717"/>
      <c r="C176" s="789"/>
      <c r="D176" s="719"/>
      <c r="E176" s="719"/>
      <c r="F176" s="720"/>
      <c r="G176" s="721">
        <v>50</v>
      </c>
      <c r="H176" s="726"/>
      <c r="I176" s="722"/>
      <c r="J176" s="718"/>
      <c r="K176" s="719"/>
      <c r="L176" s="719"/>
      <c r="M176" s="719"/>
      <c r="N176" s="726"/>
      <c r="O176" s="726"/>
      <c r="P176" s="726"/>
      <c r="Q176" s="719"/>
      <c r="R176" s="719"/>
      <c r="S176" s="724">
        <f t="shared" ref="S176" si="68">AG177-AG175</f>
        <v>51.19999999999709</v>
      </c>
      <c r="T176" s="719"/>
      <c r="U176" s="719"/>
      <c r="V176" s="719"/>
      <c r="W176" s="719"/>
      <c r="X176" s="719"/>
      <c r="Y176" s="719"/>
      <c r="Z176" s="719"/>
      <c r="AA176" s="719"/>
      <c r="AB176" s="719"/>
      <c r="AC176" s="719"/>
      <c r="AD176" s="719"/>
      <c r="AE176" s="719"/>
      <c r="AF176" s="719"/>
      <c r="AG176" s="789"/>
      <c r="AH176" s="719"/>
      <c r="AI176" s="719"/>
      <c r="AJ176" s="719"/>
      <c r="AK176" s="719"/>
      <c r="AL176" s="719"/>
      <c r="AM176" s="719"/>
      <c r="AN176" s="719"/>
      <c r="AO176" s="719"/>
      <c r="AP176" s="719"/>
      <c r="AQ176" s="724">
        <f>+FL_1($T$177,$T$175,$G$176,1200,9.28, 1*$F$177)</f>
        <v>0.33477011200000001</v>
      </c>
      <c r="AR176" s="724"/>
      <c r="AS176" s="724"/>
      <c r="AT176" s="724"/>
      <c r="AU176" s="724"/>
      <c r="AV176" s="724"/>
      <c r="AW176" s="719"/>
      <c r="AX176" s="719"/>
      <c r="AY176" s="719"/>
      <c r="AZ176" s="532"/>
    </row>
    <row r="177" spans="1:52" ht="15.75" hidden="1" customHeight="1">
      <c r="A177" s="716" t="s">
        <v>677</v>
      </c>
      <c r="B177" s="717" t="s">
        <v>1749</v>
      </c>
      <c r="C177" s="789">
        <f>+$C$175+$G$176</f>
        <v>34712</v>
      </c>
      <c r="D177" s="719"/>
      <c r="E177" s="719"/>
      <c r="F177" s="720">
        <v>0</v>
      </c>
      <c r="G177" s="721"/>
      <c r="H177" s="726"/>
      <c r="I177" s="726"/>
      <c r="J177" s="718"/>
      <c r="K177" s="719"/>
      <c r="L177" s="719" t="s">
        <v>241</v>
      </c>
      <c r="M177" s="719"/>
      <c r="N177" s="726" t="s">
        <v>696</v>
      </c>
      <c r="O177" s="726"/>
      <c r="P177" s="726"/>
      <c r="Q177" s="719">
        <v>0</v>
      </c>
      <c r="R177" s="719">
        <v>0</v>
      </c>
      <c r="S177" s="719"/>
      <c r="T177" s="719">
        <v>30</v>
      </c>
      <c r="U177" s="719"/>
      <c r="V177" s="719"/>
      <c r="W177" s="719">
        <v>1.1000000000000001</v>
      </c>
      <c r="X177" s="719"/>
      <c r="Y177" s="719"/>
      <c r="Z177" s="719"/>
      <c r="AA177" s="719"/>
      <c r="AB177" s="719"/>
      <c r="AC177" s="719" t="s">
        <v>2977</v>
      </c>
      <c r="AD177" s="719"/>
      <c r="AE177" s="719"/>
      <c r="AF177" s="719">
        <v>200</v>
      </c>
      <c r="AG177" s="789">
        <v>34712.1</v>
      </c>
      <c r="AH177" s="719">
        <v>1414</v>
      </c>
      <c r="AI177" s="719">
        <v>-5183</v>
      </c>
      <c r="AJ177" s="719"/>
      <c r="AK177" s="719"/>
      <c r="AL177" s="719"/>
      <c r="AM177" s="719" t="s">
        <v>2608</v>
      </c>
      <c r="AN177" s="719">
        <v>5.25</v>
      </c>
      <c r="AO177" s="719"/>
      <c r="AP177" s="719"/>
      <c r="AQ177" s="724"/>
      <c r="AR177" s="724"/>
      <c r="AS177" s="724"/>
      <c r="AT177" s="724">
        <f>+ab($T$177,$T$175,$T$179,$G$176,$G$178, 1*$F$177,1200)</f>
        <v>7.9442083933778509</v>
      </c>
      <c r="AU177" s="724"/>
      <c r="AV177" s="724"/>
      <c r="AW177" s="719"/>
      <c r="AX177" s="719"/>
      <c r="AY177" s="719"/>
      <c r="AZ177" s="532"/>
    </row>
    <row r="178" spans="1:52" ht="15.75" hidden="1" customHeight="1">
      <c r="A178" s="716"/>
      <c r="B178" s="717"/>
      <c r="C178" s="789"/>
      <c r="D178" s="719"/>
      <c r="E178" s="719"/>
      <c r="F178" s="720"/>
      <c r="G178" s="721">
        <v>50</v>
      </c>
      <c r="H178" s="726"/>
      <c r="I178" s="726"/>
      <c r="J178" s="718"/>
      <c r="K178" s="719"/>
      <c r="L178" s="719"/>
      <c r="M178" s="719"/>
      <c r="N178" s="726"/>
      <c r="O178" s="726"/>
      <c r="P178" s="726"/>
      <c r="Q178" s="719"/>
      <c r="R178" s="719"/>
      <c r="S178" s="724">
        <f t="shared" ref="S178" si="69">AG179-AG177</f>
        <v>51.230000000003201</v>
      </c>
      <c r="T178" s="719"/>
      <c r="U178" s="719"/>
      <c r="V178" s="719"/>
      <c r="W178" s="719"/>
      <c r="X178" s="719"/>
      <c r="Y178" s="719"/>
      <c r="Z178" s="719"/>
      <c r="AA178" s="719"/>
      <c r="AB178" s="719"/>
      <c r="AC178" s="719"/>
      <c r="AD178" s="719"/>
      <c r="AE178" s="719"/>
      <c r="AF178" s="719"/>
      <c r="AG178" s="789"/>
      <c r="AH178" s="719"/>
      <c r="AI178" s="719"/>
      <c r="AJ178" s="719"/>
      <c r="AK178" s="719"/>
      <c r="AL178" s="719"/>
      <c r="AM178" s="719"/>
      <c r="AN178" s="719"/>
      <c r="AO178" s="719"/>
      <c r="AP178" s="719"/>
      <c r="AQ178" s="724">
        <f>+FL_2($T$179,$T$177,$G$178,1200,9.28, 1*$F$179)</f>
        <v>-0.33477011200000001</v>
      </c>
      <c r="AR178" s="724"/>
      <c r="AS178" s="724"/>
      <c r="AT178" s="724"/>
      <c r="AU178" s="724"/>
      <c r="AV178" s="724"/>
      <c r="AW178" s="719"/>
      <c r="AX178" s="719"/>
      <c r="AY178" s="719"/>
      <c r="AZ178" s="532"/>
    </row>
    <row r="179" spans="1:52" ht="15.75" hidden="1" customHeight="1">
      <c r="A179" s="716" t="s">
        <v>677</v>
      </c>
      <c r="B179" s="717" t="s">
        <v>1750</v>
      </c>
      <c r="C179" s="789">
        <f>+$C$177+$G$178</f>
        <v>34762</v>
      </c>
      <c r="D179" s="719"/>
      <c r="E179" s="719"/>
      <c r="F179" s="720">
        <v>0</v>
      </c>
      <c r="G179" s="721"/>
      <c r="H179" s="726"/>
      <c r="I179" s="726"/>
      <c r="J179" s="718"/>
      <c r="K179" s="719"/>
      <c r="L179" s="719" t="s">
        <v>241</v>
      </c>
      <c r="M179" s="719"/>
      <c r="N179" s="726" t="s">
        <v>695</v>
      </c>
      <c r="O179" s="726"/>
      <c r="P179" s="726"/>
      <c r="Q179" s="719">
        <v>0</v>
      </c>
      <c r="R179" s="719">
        <v>0</v>
      </c>
      <c r="S179" s="719"/>
      <c r="T179" s="719">
        <v>-30</v>
      </c>
      <c r="U179" s="719"/>
      <c r="V179" s="719"/>
      <c r="W179" s="719">
        <v>1.1000000000000001</v>
      </c>
      <c r="X179" s="719"/>
      <c r="Y179" s="719"/>
      <c r="Z179" s="719"/>
      <c r="AA179" s="719"/>
      <c r="AB179" s="719"/>
      <c r="AC179" s="719" t="s">
        <v>2979</v>
      </c>
      <c r="AD179" s="719"/>
      <c r="AE179" s="719"/>
      <c r="AF179" s="719">
        <v>200</v>
      </c>
      <c r="AG179" s="789">
        <v>34763.33</v>
      </c>
      <c r="AH179" s="719">
        <v>1395</v>
      </c>
      <c r="AI179" s="719">
        <v>-5166</v>
      </c>
      <c r="AJ179" s="719"/>
      <c r="AK179" s="719"/>
      <c r="AL179" s="719"/>
      <c r="AM179" s="719" t="s">
        <v>2608</v>
      </c>
      <c r="AN179" s="719">
        <v>5.25</v>
      </c>
      <c r="AO179" s="719"/>
      <c r="AP179" s="719"/>
      <c r="AQ179" s="724"/>
      <c r="AR179" s="724"/>
      <c r="AS179" s="724"/>
      <c r="AT179" s="724">
        <f>+ab($T$179,$T$177,$T$181,$G$178,$G$180, 1*$F$179,1200)</f>
        <v>-7.9442410717051439</v>
      </c>
      <c r="AU179" s="724"/>
      <c r="AV179" s="724"/>
      <c r="AW179" s="719"/>
      <c r="AX179" s="719"/>
      <c r="AY179" s="719"/>
      <c r="AZ179" s="532"/>
    </row>
    <row r="180" spans="1:52" ht="15.75" hidden="1" customHeight="1">
      <c r="A180" s="716"/>
      <c r="B180" s="717"/>
      <c r="C180" s="789"/>
      <c r="D180" s="719"/>
      <c r="E180" s="719"/>
      <c r="F180" s="720"/>
      <c r="G180" s="721">
        <v>50</v>
      </c>
      <c r="H180" s="726"/>
      <c r="I180" s="722"/>
      <c r="J180" s="718"/>
      <c r="K180" s="719"/>
      <c r="L180" s="719"/>
      <c r="M180" s="719"/>
      <c r="N180" s="726"/>
      <c r="O180" s="726"/>
      <c r="P180" s="726"/>
      <c r="Q180" s="719"/>
      <c r="R180" s="719"/>
      <c r="S180" s="724">
        <f t="shared" ref="S180" si="70">AG181-AG179</f>
        <v>48.119999999995343</v>
      </c>
      <c r="T180" s="719"/>
      <c r="U180" s="719"/>
      <c r="V180" s="719"/>
      <c r="W180" s="719"/>
      <c r="X180" s="719"/>
      <c r="Y180" s="719"/>
      <c r="Z180" s="719"/>
      <c r="AA180" s="719"/>
      <c r="AB180" s="719"/>
      <c r="AC180" s="719"/>
      <c r="AD180" s="719"/>
      <c r="AE180" s="719"/>
      <c r="AF180" s="719"/>
      <c r="AG180" s="789"/>
      <c r="AH180" s="719"/>
      <c r="AI180" s="719"/>
      <c r="AJ180" s="719"/>
      <c r="AK180" s="719"/>
      <c r="AL180" s="719"/>
      <c r="AM180" s="719"/>
      <c r="AN180" s="719"/>
      <c r="AO180" s="719"/>
      <c r="AP180" s="719"/>
      <c r="AQ180" s="724">
        <f>+FL_1($T$181,$T$179,$G$180,1200,9.28, 1*$F$181)</f>
        <v>0.33477011200000001</v>
      </c>
      <c r="AR180" s="724"/>
      <c r="AS180" s="724"/>
      <c r="AT180" s="724"/>
      <c r="AU180" s="724"/>
      <c r="AV180" s="724"/>
      <c r="AW180" s="719"/>
      <c r="AX180" s="719"/>
      <c r="AY180" s="719"/>
      <c r="AZ180" s="532"/>
    </row>
    <row r="181" spans="1:52" ht="15.75" hidden="1" customHeight="1">
      <c r="A181" s="716" t="s">
        <v>677</v>
      </c>
      <c r="B181" s="717" t="s">
        <v>1751</v>
      </c>
      <c r="C181" s="789">
        <f>+$C$179+$G$180</f>
        <v>34812</v>
      </c>
      <c r="D181" s="719"/>
      <c r="E181" s="719"/>
      <c r="F181" s="720">
        <v>0</v>
      </c>
      <c r="G181" s="721"/>
      <c r="H181" s="726"/>
      <c r="I181" s="729"/>
      <c r="J181" s="718"/>
      <c r="K181" s="719"/>
      <c r="L181" s="719" t="s">
        <v>241</v>
      </c>
      <c r="M181" s="719"/>
      <c r="N181" s="726" t="s">
        <v>696</v>
      </c>
      <c r="O181" s="726"/>
      <c r="P181" s="726"/>
      <c r="Q181" s="719">
        <v>0</v>
      </c>
      <c r="R181" s="719">
        <v>0</v>
      </c>
      <c r="S181" s="719"/>
      <c r="T181" s="719">
        <v>30</v>
      </c>
      <c r="U181" s="719"/>
      <c r="V181" s="719"/>
      <c r="W181" s="719">
        <v>1.1000000000000001</v>
      </c>
      <c r="X181" s="719"/>
      <c r="Y181" s="719"/>
      <c r="Z181" s="719"/>
      <c r="AA181" s="719"/>
      <c r="AB181" s="719"/>
      <c r="AC181" s="719" t="s">
        <v>2977</v>
      </c>
      <c r="AD181" s="719"/>
      <c r="AE181" s="719"/>
      <c r="AF181" s="719">
        <v>200</v>
      </c>
      <c r="AG181" s="789">
        <v>34811.449999999997</v>
      </c>
      <c r="AH181" s="719">
        <v>1418</v>
      </c>
      <c r="AI181" s="719">
        <v>-5160</v>
      </c>
      <c r="AJ181" s="719"/>
      <c r="AK181" s="719"/>
      <c r="AL181" s="719"/>
      <c r="AM181" s="719" t="s">
        <v>2608</v>
      </c>
      <c r="AN181" s="719">
        <v>5.25</v>
      </c>
      <c r="AO181" s="719"/>
      <c r="AP181" s="719"/>
      <c r="AQ181" s="724"/>
      <c r="AR181" s="724"/>
      <c r="AS181" s="724"/>
      <c r="AT181" s="724">
        <f>+ab($T$181,$T$179,$T$183,$G$180,$G$182, 1*$F$181,1200)</f>
        <v>7.9442083933778509</v>
      </c>
      <c r="AU181" s="724"/>
      <c r="AV181" s="724"/>
      <c r="AW181" s="719"/>
      <c r="AX181" s="719"/>
      <c r="AY181" s="719"/>
      <c r="AZ181" s="532"/>
    </row>
    <row r="182" spans="1:52" ht="15.75" hidden="1" customHeight="1">
      <c r="A182" s="716"/>
      <c r="B182" s="717"/>
      <c r="C182" s="789"/>
      <c r="D182" s="719"/>
      <c r="E182" s="719"/>
      <c r="F182" s="720"/>
      <c r="G182" s="721">
        <v>50</v>
      </c>
      <c r="H182" s="726"/>
      <c r="I182" s="722"/>
      <c r="J182" s="718"/>
      <c r="K182" s="719"/>
      <c r="L182" s="719"/>
      <c r="M182" s="719"/>
      <c r="N182" s="726"/>
      <c r="O182" s="726"/>
      <c r="P182" s="726"/>
      <c r="Q182" s="719"/>
      <c r="R182" s="719"/>
      <c r="S182" s="724">
        <f t="shared" ref="S182" si="71">AG183-AG181</f>
        <v>51.220000000001164</v>
      </c>
      <c r="T182" s="719"/>
      <c r="U182" s="719"/>
      <c r="V182" s="719"/>
      <c r="W182" s="719"/>
      <c r="X182" s="719"/>
      <c r="Y182" s="719"/>
      <c r="Z182" s="719"/>
      <c r="AA182" s="719"/>
      <c r="AB182" s="719"/>
      <c r="AC182" s="719"/>
      <c r="AD182" s="719"/>
      <c r="AE182" s="719"/>
      <c r="AF182" s="719"/>
      <c r="AG182" s="789"/>
      <c r="AH182" s="719"/>
      <c r="AI182" s="719"/>
      <c r="AJ182" s="719"/>
      <c r="AK182" s="719"/>
      <c r="AL182" s="719"/>
      <c r="AM182" s="719"/>
      <c r="AN182" s="719"/>
      <c r="AO182" s="719"/>
      <c r="AP182" s="719"/>
      <c r="AQ182" s="724">
        <f>+FL_2($T$183,$T$181,$G$182,1200,9.28, 1*$F$183)</f>
        <v>-0.33477011200000001</v>
      </c>
      <c r="AR182" s="724"/>
      <c r="AS182" s="724"/>
      <c r="AT182" s="724"/>
      <c r="AU182" s="724"/>
      <c r="AV182" s="724"/>
      <c r="AW182" s="719"/>
      <c r="AX182" s="719"/>
      <c r="AY182" s="719"/>
      <c r="AZ182" s="532"/>
    </row>
    <row r="183" spans="1:52" ht="15.75" hidden="1" customHeight="1">
      <c r="A183" s="716" t="s">
        <v>677</v>
      </c>
      <c r="B183" s="717" t="s">
        <v>1752</v>
      </c>
      <c r="C183" s="789">
        <f>+$C$181+$G$182</f>
        <v>34862</v>
      </c>
      <c r="D183" s="719"/>
      <c r="E183" s="719"/>
      <c r="F183" s="720">
        <v>0</v>
      </c>
      <c r="G183" s="721"/>
      <c r="H183" s="726"/>
      <c r="I183" s="722"/>
      <c r="J183" s="718"/>
      <c r="K183" s="719"/>
      <c r="L183" s="719" t="s">
        <v>241</v>
      </c>
      <c r="M183" s="719"/>
      <c r="N183" s="726" t="s">
        <v>695</v>
      </c>
      <c r="O183" s="726"/>
      <c r="P183" s="726"/>
      <c r="Q183" s="719">
        <v>0</v>
      </c>
      <c r="R183" s="719">
        <v>0</v>
      </c>
      <c r="S183" s="719"/>
      <c r="T183" s="719">
        <v>-30</v>
      </c>
      <c r="U183" s="719"/>
      <c r="V183" s="719"/>
      <c r="W183" s="719">
        <v>1.1000000000000001</v>
      </c>
      <c r="X183" s="719"/>
      <c r="Y183" s="719"/>
      <c r="Z183" s="719"/>
      <c r="AA183" s="719"/>
      <c r="AB183" s="719"/>
      <c r="AC183" s="719" t="s">
        <v>2979</v>
      </c>
      <c r="AD183" s="719"/>
      <c r="AE183" s="719"/>
      <c r="AF183" s="719">
        <v>200</v>
      </c>
      <c r="AG183" s="789">
        <v>34862.67</v>
      </c>
      <c r="AH183" s="719">
        <v>1409</v>
      </c>
      <c r="AI183" s="719">
        <v>-5192</v>
      </c>
      <c r="AJ183" s="719"/>
      <c r="AK183" s="719"/>
      <c r="AL183" s="719"/>
      <c r="AM183" s="719" t="s">
        <v>2608</v>
      </c>
      <c r="AN183" s="719">
        <v>5.25</v>
      </c>
      <c r="AO183" s="719"/>
      <c r="AP183" s="719"/>
      <c r="AQ183" s="724"/>
      <c r="AR183" s="724"/>
      <c r="AS183" s="724"/>
      <c r="AT183" s="724">
        <f>+ab($T$183,$T$181,$T$185,$G$182,$G$184, 1*$F$183,1200)</f>
        <v>-7.9442410717051439</v>
      </c>
      <c r="AU183" s="724"/>
      <c r="AV183" s="724"/>
      <c r="AW183" s="719"/>
      <c r="AX183" s="719"/>
      <c r="AY183" s="719"/>
      <c r="AZ183" s="532"/>
    </row>
    <row r="184" spans="1:52" ht="15.75" hidden="1" customHeight="1">
      <c r="A184" s="716"/>
      <c r="B184" s="717"/>
      <c r="C184" s="789"/>
      <c r="D184" s="719"/>
      <c r="E184" s="719"/>
      <c r="F184" s="720"/>
      <c r="G184" s="721">
        <v>50</v>
      </c>
      <c r="H184" s="726"/>
      <c r="I184" s="722"/>
      <c r="J184" s="718"/>
      <c r="K184" s="719"/>
      <c r="L184" s="719"/>
      <c r="M184" s="719"/>
      <c r="N184" s="726"/>
      <c r="O184" s="726"/>
      <c r="P184" s="726"/>
      <c r="Q184" s="719"/>
      <c r="R184" s="719"/>
      <c r="S184" s="724">
        <f t="shared" ref="S184" si="72">AG185-AG183</f>
        <v>48.029999999998836</v>
      </c>
      <c r="T184" s="719"/>
      <c r="U184" s="719"/>
      <c r="V184" s="719"/>
      <c r="W184" s="719"/>
      <c r="X184" s="719"/>
      <c r="Y184" s="719"/>
      <c r="Z184" s="719"/>
      <c r="AA184" s="719"/>
      <c r="AB184" s="719"/>
      <c r="AC184" s="719"/>
      <c r="AD184" s="719"/>
      <c r="AE184" s="719"/>
      <c r="AF184" s="719"/>
      <c r="AG184" s="789"/>
      <c r="AH184" s="719"/>
      <c r="AI184" s="719"/>
      <c r="AJ184" s="719"/>
      <c r="AK184" s="719"/>
      <c r="AL184" s="719"/>
      <c r="AM184" s="719"/>
      <c r="AN184" s="719"/>
      <c r="AO184" s="719"/>
      <c r="AP184" s="719"/>
      <c r="AQ184" s="724">
        <f>+FL_1($T$185,$T$183,$G$184,1200,9.28, 1*$F$185)</f>
        <v>0.33477011200000001</v>
      </c>
      <c r="AR184" s="724"/>
      <c r="AS184" s="724"/>
      <c r="AT184" s="724"/>
      <c r="AU184" s="724"/>
      <c r="AV184" s="724"/>
      <c r="AW184" s="719"/>
      <c r="AX184" s="719"/>
      <c r="AY184" s="719"/>
      <c r="AZ184" s="532"/>
    </row>
    <row r="185" spans="1:52" ht="15.75" hidden="1" customHeight="1">
      <c r="A185" s="716" t="s">
        <v>677</v>
      </c>
      <c r="B185" s="717" t="s">
        <v>1753</v>
      </c>
      <c r="C185" s="789">
        <f>+$C$183+$G$184</f>
        <v>34912</v>
      </c>
      <c r="D185" s="719"/>
      <c r="E185" s="719"/>
      <c r="F185" s="720">
        <v>0</v>
      </c>
      <c r="G185" s="721"/>
      <c r="H185" s="726" t="s">
        <v>138</v>
      </c>
      <c r="I185" s="726" t="s">
        <v>948</v>
      </c>
      <c r="J185" s="718"/>
      <c r="K185" s="719"/>
      <c r="L185" s="719" t="s">
        <v>241</v>
      </c>
      <c r="M185" s="719"/>
      <c r="N185" s="726" t="s">
        <v>696</v>
      </c>
      <c r="O185" s="726"/>
      <c r="P185" s="726"/>
      <c r="Q185" s="719">
        <v>0</v>
      </c>
      <c r="R185" s="719">
        <v>0</v>
      </c>
      <c r="S185" s="719"/>
      <c r="T185" s="719">
        <v>30</v>
      </c>
      <c r="U185" s="719"/>
      <c r="V185" s="719"/>
      <c r="W185" s="719">
        <v>1.1000000000000001</v>
      </c>
      <c r="X185" s="719"/>
      <c r="Y185" s="719"/>
      <c r="Z185" s="719"/>
      <c r="AA185" s="719"/>
      <c r="AB185" s="719"/>
      <c r="AC185" s="719" t="s">
        <v>2977</v>
      </c>
      <c r="AD185" s="719"/>
      <c r="AE185" s="719"/>
      <c r="AF185" s="719">
        <v>200</v>
      </c>
      <c r="AG185" s="789">
        <v>34910.699999999997</v>
      </c>
      <c r="AH185" s="719">
        <v>1413</v>
      </c>
      <c r="AI185" s="719">
        <v>-5155</v>
      </c>
      <c r="AJ185" s="719"/>
      <c r="AK185" s="719"/>
      <c r="AL185" s="719"/>
      <c r="AM185" s="719" t="s">
        <v>2608</v>
      </c>
      <c r="AN185" s="719">
        <v>5.25</v>
      </c>
      <c r="AO185" s="719"/>
      <c r="AP185" s="719"/>
      <c r="AQ185" s="724"/>
      <c r="AR185" s="724"/>
      <c r="AS185" s="724"/>
      <c r="AT185" s="724">
        <f>+ab($T$185,$T$183,$T$187,$G$184,$G$186, 1*$F$185,1200)</f>
        <v>9.9968917440918084</v>
      </c>
      <c r="AU185" s="724"/>
      <c r="AV185" s="724"/>
      <c r="AW185" s="719"/>
      <c r="AX185" s="719"/>
      <c r="AY185" s="719"/>
      <c r="AZ185" s="532"/>
    </row>
    <row r="186" spans="1:52" ht="15.75" hidden="1" customHeight="1">
      <c r="A186" s="716"/>
      <c r="B186" s="717"/>
      <c r="C186" s="789"/>
      <c r="D186" s="719"/>
      <c r="E186" s="719"/>
      <c r="F186" s="720"/>
      <c r="G186" s="721">
        <v>50</v>
      </c>
      <c r="H186" s="726"/>
      <c r="I186" s="722"/>
      <c r="J186" s="718">
        <f>C185+10</f>
        <v>34922</v>
      </c>
      <c r="K186" s="719" t="s">
        <v>1097</v>
      </c>
      <c r="L186" s="719"/>
      <c r="M186" s="719"/>
      <c r="N186" s="726"/>
      <c r="O186" s="726"/>
      <c r="P186" s="726"/>
      <c r="Q186" s="719"/>
      <c r="R186" s="719"/>
      <c r="S186" s="724">
        <f t="shared" ref="S186" si="73">AG187-AG185</f>
        <v>51.310000000004948</v>
      </c>
      <c r="T186" s="719"/>
      <c r="U186" s="719"/>
      <c r="V186" s="719"/>
      <c r="W186" s="719"/>
      <c r="X186" s="719"/>
      <c r="Y186" s="719"/>
      <c r="Z186" s="719"/>
      <c r="AA186" s="719"/>
      <c r="AB186" s="719"/>
      <c r="AC186" s="719"/>
      <c r="AD186" s="719"/>
      <c r="AE186" s="719"/>
      <c r="AF186" s="719"/>
      <c r="AG186" s="789"/>
      <c r="AH186" s="719"/>
      <c r="AI186" s="719"/>
      <c r="AJ186" s="719"/>
      <c r="AK186" s="719"/>
      <c r="AL186" s="719"/>
      <c r="AM186" s="719"/>
      <c r="AN186" s="719"/>
      <c r="AO186" s="719"/>
      <c r="AP186" s="719"/>
      <c r="AQ186" s="724">
        <f>+FL_2($U$187,$T$185,$G$186,1200,9.28, 1*$F$187)</f>
        <v>-0.29489941866666664</v>
      </c>
      <c r="AR186" s="724"/>
      <c r="AS186" s="724"/>
      <c r="AT186" s="724"/>
      <c r="AU186" s="724"/>
      <c r="AV186" s="724"/>
      <c r="AW186" s="719"/>
      <c r="AX186" s="719"/>
      <c r="AY186" s="719"/>
      <c r="AZ186" s="532"/>
    </row>
    <row r="187" spans="1:52" ht="15.75" hidden="1" customHeight="1">
      <c r="A187" s="716" t="s">
        <v>677</v>
      </c>
      <c r="B187" s="717" t="s">
        <v>1754</v>
      </c>
      <c r="C187" s="789">
        <f>+$C$185+$G$186</f>
        <v>34962</v>
      </c>
      <c r="D187" s="719"/>
      <c r="E187" s="719"/>
      <c r="F187" s="720">
        <v>0</v>
      </c>
      <c r="G187" s="721"/>
      <c r="H187" s="726" t="s">
        <v>668</v>
      </c>
      <c r="I187" s="726"/>
      <c r="J187" s="718"/>
      <c r="K187" s="719"/>
      <c r="L187" s="719" t="s">
        <v>465</v>
      </c>
      <c r="M187" s="719"/>
      <c r="N187" s="726" t="s">
        <v>697</v>
      </c>
      <c r="O187" s="726" t="s">
        <v>695</v>
      </c>
      <c r="P187" s="726"/>
      <c r="Q187" s="719">
        <v>0</v>
      </c>
      <c r="R187" s="719">
        <v>0</v>
      </c>
      <c r="S187" s="724">
        <f>AG188-AG187</f>
        <v>3.2299999999959255</v>
      </c>
      <c r="T187" s="719">
        <v>-5</v>
      </c>
      <c r="U187" s="719">
        <v>-25</v>
      </c>
      <c r="V187" s="719"/>
      <c r="W187" s="719">
        <v>1.1000000000000001</v>
      </c>
      <c r="X187" s="719">
        <v>1.2</v>
      </c>
      <c r="Y187" s="719"/>
      <c r="Z187" s="719">
        <v>0.45</v>
      </c>
      <c r="AA187" s="719"/>
      <c r="AB187" s="719"/>
      <c r="AC187" s="719"/>
      <c r="AD187" s="719" t="s">
        <v>2614</v>
      </c>
      <c r="AE187" s="719"/>
      <c r="AF187" s="719">
        <v>200</v>
      </c>
      <c r="AG187" s="789">
        <v>34962.01</v>
      </c>
      <c r="AH187" s="719">
        <v>1401</v>
      </c>
      <c r="AI187" s="719">
        <v>-5182</v>
      </c>
      <c r="AJ187" s="719"/>
      <c r="AK187" s="719"/>
      <c r="AL187" s="719"/>
      <c r="AM187" s="719" t="s">
        <v>2608</v>
      </c>
      <c r="AN187" s="719">
        <v>5.25</v>
      </c>
      <c r="AO187" s="719"/>
      <c r="AP187" s="719"/>
      <c r="AQ187" s="724"/>
      <c r="AR187" s="724"/>
      <c r="AS187" s="724"/>
      <c r="AT187" s="724">
        <f>+ab($U$187,$T$185,$U$189,$G$186,$G$188, 1*$F$187,1200)</f>
        <v>-11.145107873316856</v>
      </c>
      <c r="AU187" s="724"/>
      <c r="AV187" s="724"/>
      <c r="AW187" s="719"/>
      <c r="AX187" s="719"/>
      <c r="AY187" s="719"/>
      <c r="AZ187" s="532"/>
    </row>
    <row r="188" spans="1:52" ht="15.75" hidden="1" customHeight="1">
      <c r="A188" s="716"/>
      <c r="B188" s="717"/>
      <c r="C188" s="789"/>
      <c r="D188" s="719"/>
      <c r="E188" s="719"/>
      <c r="F188" s="720"/>
      <c r="G188" s="721">
        <v>50</v>
      </c>
      <c r="H188" s="726"/>
      <c r="I188" s="726"/>
      <c r="J188" s="718"/>
      <c r="K188" s="719"/>
      <c r="L188" s="719"/>
      <c r="M188" s="719"/>
      <c r="N188" s="726"/>
      <c r="O188" s="726"/>
      <c r="P188" s="726"/>
      <c r="Q188" s="719"/>
      <c r="R188" s="719"/>
      <c r="S188" s="724">
        <f t="shared" ref="S188:S190" si="74">AG189-AG188</f>
        <v>44.810000000004948</v>
      </c>
      <c r="T188" s="719"/>
      <c r="U188" s="719"/>
      <c r="V188" s="719"/>
      <c r="W188" s="719"/>
      <c r="X188" s="719"/>
      <c r="Y188" s="719"/>
      <c r="Z188" s="719"/>
      <c r="AA188" s="719"/>
      <c r="AB188" s="719"/>
      <c r="AC188" s="719"/>
      <c r="AD188" s="719"/>
      <c r="AE188" s="719"/>
      <c r="AF188" s="719"/>
      <c r="AG188" s="789">
        <v>34965.24</v>
      </c>
      <c r="AH188" s="719">
        <v>1401</v>
      </c>
      <c r="AI188" s="719">
        <v>-5186</v>
      </c>
      <c r="AJ188" s="719"/>
      <c r="AK188" s="719"/>
      <c r="AL188" s="719"/>
      <c r="AM188" s="719"/>
      <c r="AN188" s="719"/>
      <c r="AO188" s="719"/>
      <c r="AP188" s="719"/>
      <c r="AQ188" s="724">
        <f>+FL_1($T$189,$U$187,$G$188,1200,9.28, 1*$F$189)</f>
        <v>0.30632183866666668</v>
      </c>
      <c r="AR188" s="724"/>
      <c r="AS188" s="724"/>
      <c r="AT188" s="724"/>
      <c r="AU188" s="724"/>
      <c r="AV188" s="724"/>
      <c r="AW188" s="719"/>
      <c r="AX188" s="719"/>
      <c r="AY188" s="719"/>
      <c r="AZ188" s="532"/>
    </row>
    <row r="189" spans="1:52" ht="15.75" hidden="1" customHeight="1">
      <c r="A189" s="716" t="s">
        <v>677</v>
      </c>
      <c r="B189" s="717" t="s">
        <v>1755</v>
      </c>
      <c r="C189" s="789">
        <f>+$C$187+$G$188</f>
        <v>35012</v>
      </c>
      <c r="D189" s="719"/>
      <c r="E189" s="719"/>
      <c r="F189" s="720">
        <v>0</v>
      </c>
      <c r="G189" s="721"/>
      <c r="H189" s="726" t="s">
        <v>668</v>
      </c>
      <c r="I189" s="722"/>
      <c r="J189" s="718"/>
      <c r="K189" s="719"/>
      <c r="L189" s="719" t="s">
        <v>465</v>
      </c>
      <c r="M189" s="719"/>
      <c r="N189" s="726" t="s">
        <v>696</v>
      </c>
      <c r="O189" s="726" t="s">
        <v>697</v>
      </c>
      <c r="P189" s="726"/>
      <c r="Q189" s="719">
        <v>0</v>
      </c>
      <c r="R189" s="719">
        <v>0</v>
      </c>
      <c r="S189" s="724">
        <f t="shared" si="74"/>
        <v>3.1599999999962165</v>
      </c>
      <c r="T189" s="719">
        <v>25</v>
      </c>
      <c r="U189" s="719">
        <v>5</v>
      </c>
      <c r="V189" s="719"/>
      <c r="W189" s="719">
        <v>1.1000000000000001</v>
      </c>
      <c r="X189" s="719">
        <v>1.2</v>
      </c>
      <c r="Y189" s="719"/>
      <c r="Z189" s="719"/>
      <c r="AA189" s="719">
        <v>0.45</v>
      </c>
      <c r="AB189" s="719"/>
      <c r="AC189" s="719" t="s">
        <v>2616</v>
      </c>
      <c r="AD189" s="719"/>
      <c r="AE189" s="719"/>
      <c r="AF189" s="719">
        <v>200</v>
      </c>
      <c r="AG189" s="789">
        <v>35010.050000000003</v>
      </c>
      <c r="AH189" s="719">
        <v>1416</v>
      </c>
      <c r="AI189" s="719">
        <v>-5163</v>
      </c>
      <c r="AJ189" s="719"/>
      <c r="AK189" s="719"/>
      <c r="AL189" s="719"/>
      <c r="AM189" s="719" t="s">
        <v>2608</v>
      </c>
      <c r="AN189" s="719">
        <v>5.25</v>
      </c>
      <c r="AO189" s="719"/>
      <c r="AP189" s="719"/>
      <c r="AQ189" s="724"/>
      <c r="AR189" s="724"/>
      <c r="AS189" s="724"/>
      <c r="AT189" s="724">
        <f>+ab($T$189,$T$187,$T$191,$G$188,$G$190, 1*$F$189,1200)</f>
        <v>11.14504395531122</v>
      </c>
      <c r="AU189" s="724"/>
      <c r="AV189" s="724"/>
      <c r="AW189" s="719"/>
      <c r="AX189" s="719"/>
      <c r="AY189" s="719"/>
      <c r="AZ189" s="532"/>
    </row>
    <row r="190" spans="1:52" ht="15.75" hidden="1" customHeight="1">
      <c r="A190" s="716"/>
      <c r="B190" s="717"/>
      <c r="C190" s="789"/>
      <c r="D190" s="719"/>
      <c r="E190" s="719"/>
      <c r="F190" s="720"/>
      <c r="G190" s="721">
        <v>50</v>
      </c>
      <c r="H190" s="726"/>
      <c r="I190" s="726"/>
      <c r="J190" s="718">
        <f>C191-10</f>
        <v>35052</v>
      </c>
      <c r="K190" s="719" t="s">
        <v>1097</v>
      </c>
      <c r="L190" s="719"/>
      <c r="M190" s="719"/>
      <c r="N190" s="726"/>
      <c r="O190" s="726"/>
      <c r="P190" s="726"/>
      <c r="Q190" s="719"/>
      <c r="R190" s="719"/>
      <c r="S190" s="724">
        <f t="shared" si="74"/>
        <v>48.080000000001746</v>
      </c>
      <c r="T190" s="719"/>
      <c r="U190" s="719"/>
      <c r="V190" s="719"/>
      <c r="W190" s="719"/>
      <c r="X190" s="719"/>
      <c r="Y190" s="719"/>
      <c r="Z190" s="719"/>
      <c r="AA190" s="719"/>
      <c r="AB190" s="719"/>
      <c r="AC190" s="719"/>
      <c r="AD190" s="719"/>
      <c r="AE190" s="719"/>
      <c r="AF190" s="719"/>
      <c r="AG190" s="789">
        <v>35013.21</v>
      </c>
      <c r="AH190" s="719">
        <v>1423</v>
      </c>
      <c r="AI190" s="719">
        <v>-5152</v>
      </c>
      <c r="AJ190" s="719"/>
      <c r="AK190" s="719"/>
      <c r="AL190" s="719"/>
      <c r="AM190" s="719"/>
      <c r="AN190" s="719"/>
      <c r="AO190" s="719"/>
      <c r="AP190" s="719"/>
      <c r="AQ190" s="724">
        <f>+FL_1($T$191,$T$189,$G$190,1200,9.28, 1*$F$191)</f>
        <v>0.29489941866666669</v>
      </c>
      <c r="AR190" s="724"/>
      <c r="AS190" s="724"/>
      <c r="AT190" s="724"/>
      <c r="AU190" s="724"/>
      <c r="AV190" s="724"/>
      <c r="AW190" s="719"/>
      <c r="AX190" s="719"/>
      <c r="AY190" s="719"/>
      <c r="AZ190" s="532"/>
    </row>
    <row r="191" spans="1:52" ht="15.75" hidden="1" customHeight="1">
      <c r="A191" s="716" t="s">
        <v>677</v>
      </c>
      <c r="B191" s="717" t="s">
        <v>1756</v>
      </c>
      <c r="C191" s="789">
        <f>+$C$189+$G$190</f>
        <v>35062</v>
      </c>
      <c r="D191" s="719"/>
      <c r="E191" s="719"/>
      <c r="F191" s="720">
        <v>0</v>
      </c>
      <c r="G191" s="721"/>
      <c r="H191" s="726" t="s">
        <v>138</v>
      </c>
      <c r="I191" s="722" t="s">
        <v>948</v>
      </c>
      <c r="J191" s="718"/>
      <c r="K191" s="719"/>
      <c r="L191" s="719" t="s">
        <v>241</v>
      </c>
      <c r="M191" s="719"/>
      <c r="N191" s="726" t="s">
        <v>695</v>
      </c>
      <c r="O191" s="726"/>
      <c r="P191" s="726"/>
      <c r="Q191" s="719">
        <v>0</v>
      </c>
      <c r="R191" s="719">
        <v>0</v>
      </c>
      <c r="S191" s="719"/>
      <c r="T191" s="719">
        <v>-30</v>
      </c>
      <c r="U191" s="719"/>
      <c r="V191" s="719"/>
      <c r="W191" s="719">
        <v>1.1000000000000001</v>
      </c>
      <c r="X191" s="719"/>
      <c r="Y191" s="719"/>
      <c r="Z191" s="719"/>
      <c r="AA191" s="719"/>
      <c r="AB191" s="719"/>
      <c r="AC191" s="719" t="s">
        <v>2614</v>
      </c>
      <c r="AD191" s="719"/>
      <c r="AE191" s="719"/>
      <c r="AF191" s="719">
        <v>200</v>
      </c>
      <c r="AG191" s="789">
        <v>35061.29</v>
      </c>
      <c r="AH191" s="719">
        <v>1420</v>
      </c>
      <c r="AI191" s="719">
        <v>-5137</v>
      </c>
      <c r="AJ191" s="719"/>
      <c r="AK191" s="719"/>
      <c r="AL191" s="719"/>
      <c r="AM191" s="719" t="s">
        <v>2608</v>
      </c>
      <c r="AN191" s="719">
        <v>5.25</v>
      </c>
      <c r="AO191" s="719"/>
      <c r="AP191" s="719"/>
      <c r="AQ191" s="724"/>
      <c r="AR191" s="724"/>
      <c r="AS191" s="724"/>
      <c r="AT191" s="724">
        <f>+ab($T$191,$T$189,$T$193,$G$190,$G$192, 1*$F$191,1200)</f>
        <v>-8.2849467556123688</v>
      </c>
      <c r="AU191" s="724"/>
      <c r="AV191" s="724"/>
      <c r="AW191" s="719"/>
      <c r="AX191" s="719"/>
      <c r="AY191" s="719"/>
      <c r="AZ191" s="532"/>
    </row>
    <row r="192" spans="1:52" ht="15.75" hidden="1" customHeight="1">
      <c r="A192" s="716"/>
      <c r="B192" s="717"/>
      <c r="C192" s="789"/>
      <c r="D192" s="719"/>
      <c r="E192" s="719"/>
      <c r="F192" s="720"/>
      <c r="G192" s="721">
        <v>50</v>
      </c>
      <c r="H192" s="719"/>
      <c r="I192" s="726"/>
      <c r="J192" s="718"/>
      <c r="K192" s="719"/>
      <c r="L192" s="719"/>
      <c r="M192" s="719"/>
      <c r="N192" s="726"/>
      <c r="O192" s="726"/>
      <c r="P192" s="726"/>
      <c r="Q192" s="719"/>
      <c r="R192" s="719"/>
      <c r="S192" s="724">
        <f t="shared" ref="S192:S194" si="75">AG193-AG191</f>
        <v>51.339999999996508</v>
      </c>
      <c r="T192" s="719"/>
      <c r="U192" s="719"/>
      <c r="V192" s="719"/>
      <c r="W192" s="719"/>
      <c r="X192" s="719"/>
      <c r="Y192" s="719"/>
      <c r="Z192" s="719"/>
      <c r="AA192" s="719"/>
      <c r="AB192" s="719"/>
      <c r="AC192" s="719"/>
      <c r="AD192" s="719"/>
      <c r="AE192" s="719"/>
      <c r="AF192" s="719"/>
      <c r="AG192" s="789"/>
      <c r="AH192" s="719"/>
      <c r="AI192" s="719"/>
      <c r="AJ192" s="719"/>
      <c r="AK192" s="719"/>
      <c r="AL192" s="719"/>
      <c r="AM192" s="719"/>
      <c r="AN192" s="719"/>
      <c r="AO192" s="719"/>
      <c r="AP192" s="719"/>
      <c r="AQ192" s="724">
        <f>+FL_1($T$193,$T$191,$G$192,1200,9.28, 1*$F$193)</f>
        <v>0.33477011200000001</v>
      </c>
      <c r="AR192" s="724"/>
      <c r="AS192" s="724"/>
      <c r="AT192" s="724"/>
      <c r="AU192" s="724"/>
      <c r="AV192" s="724"/>
      <c r="AW192" s="719"/>
      <c r="AX192" s="719"/>
      <c r="AY192" s="719"/>
      <c r="AZ192" s="532"/>
    </row>
    <row r="193" spans="1:52" ht="15.75" hidden="1" customHeight="1">
      <c r="A193" s="716" t="s">
        <v>677</v>
      </c>
      <c r="B193" s="717" t="s">
        <v>1757</v>
      </c>
      <c r="C193" s="789">
        <f>+$C$191+$G$192</f>
        <v>35112</v>
      </c>
      <c r="D193" s="719"/>
      <c r="E193" s="719"/>
      <c r="F193" s="720">
        <v>0</v>
      </c>
      <c r="G193" s="721"/>
      <c r="H193" s="726"/>
      <c r="I193" s="722"/>
      <c r="J193" s="718"/>
      <c r="K193" s="719"/>
      <c r="L193" s="719" t="s">
        <v>241</v>
      </c>
      <c r="M193" s="719"/>
      <c r="N193" s="726" t="s">
        <v>696</v>
      </c>
      <c r="O193" s="726"/>
      <c r="P193" s="726"/>
      <c r="Q193" s="719">
        <v>0</v>
      </c>
      <c r="R193" s="719">
        <v>0</v>
      </c>
      <c r="S193" s="719"/>
      <c r="T193" s="719">
        <v>30</v>
      </c>
      <c r="U193" s="719"/>
      <c r="V193" s="719"/>
      <c r="W193" s="719">
        <v>1.1000000000000001</v>
      </c>
      <c r="X193" s="719"/>
      <c r="Y193" s="719"/>
      <c r="Z193" s="719"/>
      <c r="AA193" s="719"/>
      <c r="AB193" s="719"/>
      <c r="AC193" s="719" t="s">
        <v>2977</v>
      </c>
      <c r="AD193" s="719"/>
      <c r="AE193" s="719"/>
      <c r="AF193" s="719">
        <v>200</v>
      </c>
      <c r="AG193" s="789">
        <v>35112.629999999997</v>
      </c>
      <c r="AH193" s="719">
        <v>1406</v>
      </c>
      <c r="AI193" s="719">
        <v>-5127</v>
      </c>
      <c r="AJ193" s="719"/>
      <c r="AK193" s="719"/>
      <c r="AL193" s="719"/>
      <c r="AM193" s="719" t="s">
        <v>2608</v>
      </c>
      <c r="AN193" s="719">
        <v>5.25</v>
      </c>
      <c r="AO193" s="719"/>
      <c r="AP193" s="719"/>
      <c r="AQ193" s="724"/>
      <c r="AR193" s="724"/>
      <c r="AS193" s="724"/>
      <c r="AT193" s="724">
        <f>+ab($T$193,$T$191,$T$195,$G$192,$G$194, 1*$F$193,1200)</f>
        <v>7.9442083933778509</v>
      </c>
      <c r="AU193" s="724"/>
      <c r="AV193" s="724"/>
      <c r="AW193" s="719"/>
      <c r="AX193" s="719"/>
      <c r="AY193" s="719"/>
      <c r="AZ193" s="532"/>
    </row>
    <row r="194" spans="1:52" ht="15.75" hidden="1" customHeight="1">
      <c r="A194" s="716"/>
      <c r="B194" s="717"/>
      <c r="C194" s="789"/>
      <c r="D194" s="719"/>
      <c r="E194" s="719"/>
      <c r="F194" s="720"/>
      <c r="G194" s="721">
        <v>50</v>
      </c>
      <c r="H194" s="726"/>
      <c r="I194" s="726"/>
      <c r="J194" s="718"/>
      <c r="K194" s="719"/>
      <c r="L194" s="719"/>
      <c r="M194" s="719"/>
      <c r="N194" s="726"/>
      <c r="O194" s="726"/>
      <c r="P194" s="726"/>
      <c r="Q194" s="719"/>
      <c r="R194" s="719"/>
      <c r="S194" s="724">
        <f t="shared" si="75"/>
        <v>48.030000000006112</v>
      </c>
      <c r="T194" s="719"/>
      <c r="U194" s="719"/>
      <c r="V194" s="719"/>
      <c r="W194" s="719"/>
      <c r="X194" s="719"/>
      <c r="Y194" s="719"/>
      <c r="Z194" s="719"/>
      <c r="AA194" s="719"/>
      <c r="AB194" s="719"/>
      <c r="AC194" s="719"/>
      <c r="AD194" s="719"/>
      <c r="AE194" s="719"/>
      <c r="AF194" s="719"/>
      <c r="AG194" s="789"/>
      <c r="AH194" s="719"/>
      <c r="AI194" s="719"/>
      <c r="AJ194" s="719"/>
      <c r="AK194" s="719"/>
      <c r="AL194" s="719"/>
      <c r="AM194" s="719"/>
      <c r="AN194" s="719"/>
      <c r="AO194" s="719"/>
      <c r="AP194" s="719"/>
      <c r="AQ194" s="724">
        <f>+FL_2($T$195,$T$193,$G$194,1200,9.28, 1*$F$195)</f>
        <v>-0.33477011200000001</v>
      </c>
      <c r="AR194" s="724"/>
      <c r="AS194" s="724"/>
      <c r="AT194" s="724"/>
      <c r="AU194" s="724"/>
      <c r="AV194" s="724"/>
      <c r="AW194" s="719"/>
      <c r="AX194" s="719"/>
      <c r="AY194" s="719"/>
      <c r="AZ194" s="532"/>
    </row>
    <row r="195" spans="1:52" ht="15.75" hidden="1" customHeight="1">
      <c r="A195" s="716" t="s">
        <v>677</v>
      </c>
      <c r="B195" s="717" t="s">
        <v>1758</v>
      </c>
      <c r="C195" s="789">
        <f>+$C$193+$G$194</f>
        <v>35162</v>
      </c>
      <c r="D195" s="719"/>
      <c r="E195" s="719"/>
      <c r="F195" s="720">
        <v>0</v>
      </c>
      <c r="G195" s="721"/>
      <c r="H195" s="726"/>
      <c r="I195" s="722"/>
      <c r="J195" s="718"/>
      <c r="K195" s="719"/>
      <c r="L195" s="719" t="s">
        <v>241</v>
      </c>
      <c r="M195" s="719"/>
      <c r="N195" s="726" t="s">
        <v>695</v>
      </c>
      <c r="O195" s="726"/>
      <c r="P195" s="726"/>
      <c r="Q195" s="719">
        <v>0</v>
      </c>
      <c r="R195" s="719">
        <v>0</v>
      </c>
      <c r="S195" s="719"/>
      <c r="T195" s="719">
        <v>-30</v>
      </c>
      <c r="U195" s="719"/>
      <c r="V195" s="719"/>
      <c r="W195" s="719">
        <v>1.1000000000000001</v>
      </c>
      <c r="X195" s="719"/>
      <c r="Y195" s="719"/>
      <c r="Z195" s="719"/>
      <c r="AA195" s="719"/>
      <c r="AB195" s="719"/>
      <c r="AC195" s="719" t="s">
        <v>2979</v>
      </c>
      <c r="AD195" s="719"/>
      <c r="AE195" s="719"/>
      <c r="AF195" s="719">
        <v>200</v>
      </c>
      <c r="AG195" s="789">
        <v>35160.660000000003</v>
      </c>
      <c r="AH195" s="719">
        <v>1396</v>
      </c>
      <c r="AI195" s="719">
        <v>-5142</v>
      </c>
      <c r="AJ195" s="719"/>
      <c r="AK195" s="719"/>
      <c r="AL195" s="719"/>
      <c r="AM195" s="719" t="s">
        <v>2608</v>
      </c>
      <c r="AN195" s="719">
        <v>5.25</v>
      </c>
      <c r="AO195" s="719"/>
      <c r="AP195" s="719"/>
      <c r="AQ195" s="724"/>
      <c r="AR195" s="724"/>
      <c r="AS195" s="724"/>
      <c r="AT195" s="724">
        <f>+ab($T$195,$T$193,$T$197,$G$194,$G$196, 1*$F$195,1200)</f>
        <v>-7.9442410717051439</v>
      </c>
      <c r="AU195" s="724"/>
      <c r="AV195" s="724"/>
      <c r="AW195" s="719"/>
      <c r="AX195" s="719"/>
      <c r="AY195" s="719"/>
      <c r="AZ195" s="532"/>
    </row>
    <row r="196" spans="1:52" ht="15.75" hidden="1" customHeight="1">
      <c r="A196" s="716"/>
      <c r="B196" s="717"/>
      <c r="C196" s="789"/>
      <c r="D196" s="719"/>
      <c r="E196" s="719"/>
      <c r="F196" s="720"/>
      <c r="G196" s="721">
        <v>50</v>
      </c>
      <c r="H196" s="726"/>
      <c r="I196" s="726"/>
      <c r="J196" s="718"/>
      <c r="K196" s="719"/>
      <c r="L196" s="719"/>
      <c r="M196" s="719"/>
      <c r="N196" s="726"/>
      <c r="O196" s="726"/>
      <c r="P196" s="726"/>
      <c r="Q196" s="719"/>
      <c r="R196" s="719"/>
      <c r="S196" s="724">
        <f t="shared" ref="S196" si="76">AG197-AG195</f>
        <v>51.209999999999127</v>
      </c>
      <c r="T196" s="719"/>
      <c r="U196" s="719"/>
      <c r="V196" s="719"/>
      <c r="W196" s="719"/>
      <c r="X196" s="719"/>
      <c r="Y196" s="719"/>
      <c r="Z196" s="719"/>
      <c r="AA196" s="719"/>
      <c r="AB196" s="719"/>
      <c r="AC196" s="719"/>
      <c r="AD196" s="719"/>
      <c r="AE196" s="719"/>
      <c r="AF196" s="719"/>
      <c r="AG196" s="789"/>
      <c r="AH196" s="719"/>
      <c r="AI196" s="719"/>
      <c r="AJ196" s="719"/>
      <c r="AK196" s="719"/>
      <c r="AL196" s="719"/>
      <c r="AM196" s="719"/>
      <c r="AN196" s="719"/>
      <c r="AO196" s="719"/>
      <c r="AP196" s="719"/>
      <c r="AQ196" s="724">
        <f>+FL_1($T$197,$T$195,$G$196,1200,9.28, 1*$F$197)</f>
        <v>0.33477011200000001</v>
      </c>
      <c r="AR196" s="724"/>
      <c r="AS196" s="724"/>
      <c r="AT196" s="724"/>
      <c r="AU196" s="724"/>
      <c r="AV196" s="724"/>
      <c r="AW196" s="719"/>
      <c r="AX196" s="719"/>
      <c r="AY196" s="719"/>
      <c r="AZ196" s="532"/>
    </row>
    <row r="197" spans="1:52" ht="15.75" hidden="1" customHeight="1">
      <c r="A197" s="716" t="s">
        <v>677</v>
      </c>
      <c r="B197" s="717" t="s">
        <v>1759</v>
      </c>
      <c r="C197" s="789">
        <f>+$C$195+$G$196</f>
        <v>35212</v>
      </c>
      <c r="D197" s="719"/>
      <c r="E197" s="719"/>
      <c r="F197" s="720">
        <v>0</v>
      </c>
      <c r="G197" s="721"/>
      <c r="H197" s="726"/>
      <c r="I197" s="722"/>
      <c r="J197" s="718"/>
      <c r="K197" s="719"/>
      <c r="L197" s="719" t="s">
        <v>241</v>
      </c>
      <c r="M197" s="719"/>
      <c r="N197" s="726" t="s">
        <v>696</v>
      </c>
      <c r="O197" s="726"/>
      <c r="P197" s="726"/>
      <c r="Q197" s="719">
        <v>0</v>
      </c>
      <c r="R197" s="719">
        <v>0</v>
      </c>
      <c r="S197" s="719"/>
      <c r="T197" s="719">
        <v>30</v>
      </c>
      <c r="U197" s="719"/>
      <c r="V197" s="719"/>
      <c r="W197" s="719">
        <v>1.1000000000000001</v>
      </c>
      <c r="X197" s="719"/>
      <c r="Y197" s="719"/>
      <c r="Z197" s="719"/>
      <c r="AA197" s="719"/>
      <c r="AB197" s="719"/>
      <c r="AC197" s="719" t="s">
        <v>2977</v>
      </c>
      <c r="AD197" s="719"/>
      <c r="AE197" s="719"/>
      <c r="AF197" s="719">
        <v>200</v>
      </c>
      <c r="AG197" s="789">
        <v>35211.870000000003</v>
      </c>
      <c r="AH197" s="719">
        <v>1406</v>
      </c>
      <c r="AI197" s="719">
        <v>-5118</v>
      </c>
      <c r="AJ197" s="719"/>
      <c r="AK197" s="719"/>
      <c r="AL197" s="719"/>
      <c r="AM197" s="719" t="s">
        <v>2608</v>
      </c>
      <c r="AN197" s="719">
        <v>5.25</v>
      </c>
      <c r="AO197" s="719"/>
      <c r="AP197" s="719"/>
      <c r="AQ197" s="724"/>
      <c r="AR197" s="724"/>
      <c r="AS197" s="724"/>
      <c r="AT197" s="724">
        <f>+ab($T$197,$T$195,$T$199,$G$196,$G$198, 1*$F$197,1200)</f>
        <v>7.9442083933778509</v>
      </c>
      <c r="AU197" s="724"/>
      <c r="AV197" s="724"/>
      <c r="AW197" s="719"/>
      <c r="AX197" s="719"/>
      <c r="AY197" s="719"/>
      <c r="AZ197" s="532"/>
    </row>
    <row r="198" spans="1:52" ht="15.75" hidden="1" customHeight="1">
      <c r="A198" s="716"/>
      <c r="B198" s="717"/>
      <c r="C198" s="789"/>
      <c r="D198" s="719"/>
      <c r="E198" s="719"/>
      <c r="F198" s="720"/>
      <c r="G198" s="721">
        <v>50</v>
      </c>
      <c r="H198" s="719"/>
      <c r="I198" s="722"/>
      <c r="J198" s="718"/>
      <c r="K198" s="719"/>
      <c r="L198" s="719"/>
      <c r="M198" s="719"/>
      <c r="N198" s="726"/>
      <c r="O198" s="726"/>
      <c r="P198" s="726"/>
      <c r="Q198" s="719"/>
      <c r="R198" s="719"/>
      <c r="S198" s="724">
        <f t="shared" ref="S198" si="77">AG199-AG197</f>
        <v>51.269999999996799</v>
      </c>
      <c r="T198" s="719"/>
      <c r="U198" s="719"/>
      <c r="V198" s="719"/>
      <c r="W198" s="719"/>
      <c r="X198" s="719"/>
      <c r="Y198" s="719"/>
      <c r="Z198" s="719"/>
      <c r="AA198" s="719"/>
      <c r="AB198" s="719"/>
      <c r="AC198" s="719"/>
      <c r="AD198" s="719"/>
      <c r="AE198" s="719"/>
      <c r="AF198" s="719"/>
      <c r="AG198" s="789"/>
      <c r="AH198" s="719"/>
      <c r="AI198" s="719"/>
      <c r="AJ198" s="719"/>
      <c r="AK198" s="719"/>
      <c r="AL198" s="719"/>
      <c r="AM198" s="719"/>
      <c r="AN198" s="719"/>
      <c r="AO198" s="719"/>
      <c r="AP198" s="719"/>
      <c r="AQ198" s="724">
        <f>+FL_2($T$199,$T$197,$G$198,1200,9.28, 1*$F$199)</f>
        <v>-0.33477011200000001</v>
      </c>
      <c r="AR198" s="724"/>
      <c r="AS198" s="724"/>
      <c r="AT198" s="724"/>
      <c r="AU198" s="724"/>
      <c r="AV198" s="724"/>
      <c r="AW198" s="719"/>
      <c r="AX198" s="719"/>
      <c r="AY198" s="719"/>
      <c r="AZ198" s="532"/>
    </row>
    <row r="199" spans="1:52" ht="15.75" hidden="1" customHeight="1">
      <c r="A199" s="716" t="s">
        <v>677</v>
      </c>
      <c r="B199" s="717" t="s">
        <v>1760</v>
      </c>
      <c r="C199" s="789">
        <f>+$C$197+$G$198</f>
        <v>35262</v>
      </c>
      <c r="D199" s="719"/>
      <c r="E199" s="719"/>
      <c r="F199" s="720">
        <v>0</v>
      </c>
      <c r="G199" s="721"/>
      <c r="H199" s="726"/>
      <c r="I199" s="722" t="s">
        <v>2053</v>
      </c>
      <c r="J199" s="718">
        <f>C199+5</f>
        <v>35267</v>
      </c>
      <c r="K199" s="719" t="s">
        <v>1102</v>
      </c>
      <c r="L199" s="719" t="s">
        <v>241</v>
      </c>
      <c r="M199" s="719"/>
      <c r="N199" s="726" t="s">
        <v>695</v>
      </c>
      <c r="O199" s="726"/>
      <c r="P199" s="726"/>
      <c r="Q199" s="719">
        <v>0</v>
      </c>
      <c r="R199" s="719">
        <v>0</v>
      </c>
      <c r="S199" s="719"/>
      <c r="T199" s="719">
        <v>-30</v>
      </c>
      <c r="U199" s="719"/>
      <c r="V199" s="719"/>
      <c r="W199" s="719">
        <v>1.1000000000000001</v>
      </c>
      <c r="X199" s="719"/>
      <c r="Y199" s="719"/>
      <c r="Z199" s="719"/>
      <c r="AA199" s="719"/>
      <c r="AB199" s="719"/>
      <c r="AC199" s="719" t="s">
        <v>2979</v>
      </c>
      <c r="AD199" s="719"/>
      <c r="AE199" s="719"/>
      <c r="AF199" s="719">
        <v>200</v>
      </c>
      <c r="AG199" s="789">
        <v>35263.14</v>
      </c>
      <c r="AH199" s="719">
        <v>1396</v>
      </c>
      <c r="AI199" s="719">
        <v>-5108</v>
      </c>
      <c r="AJ199" s="719"/>
      <c r="AK199" s="719"/>
      <c r="AL199" s="719"/>
      <c r="AM199" s="719" t="s">
        <v>2608</v>
      </c>
      <c r="AN199" s="719">
        <v>5.25</v>
      </c>
      <c r="AO199" s="719"/>
      <c r="AP199" s="719"/>
      <c r="AQ199" s="724"/>
      <c r="AR199" s="724"/>
      <c r="AS199" s="724"/>
      <c r="AT199" s="724">
        <f>+ab($T$199,$T$197,$T$201,$G$198,$G$200, 1*$F$199,1200)</f>
        <v>-7.9442410717051439</v>
      </c>
      <c r="AU199" s="724"/>
      <c r="AV199" s="724"/>
      <c r="AW199" s="719"/>
      <c r="AX199" s="719"/>
      <c r="AY199" s="719"/>
      <c r="AZ199" s="532"/>
    </row>
    <row r="200" spans="1:52" ht="15.75" hidden="1" customHeight="1">
      <c r="A200" s="716"/>
      <c r="B200" s="717"/>
      <c r="C200" s="789"/>
      <c r="D200" s="719"/>
      <c r="E200" s="719"/>
      <c r="F200" s="720"/>
      <c r="G200" s="721">
        <v>50</v>
      </c>
      <c r="H200" s="726"/>
      <c r="I200" s="722" t="s">
        <v>2053</v>
      </c>
      <c r="J200" s="718"/>
      <c r="K200" s="719" t="s">
        <v>1102</v>
      </c>
      <c r="L200" s="719"/>
      <c r="M200" s="719"/>
      <c r="N200" s="726"/>
      <c r="O200" s="726"/>
      <c r="P200" s="726"/>
      <c r="Q200" s="719"/>
      <c r="R200" s="719"/>
      <c r="S200" s="724">
        <f t="shared" ref="S200" si="78">AG201-AG199</f>
        <v>48.120000000002619</v>
      </c>
      <c r="T200" s="719"/>
      <c r="U200" s="719"/>
      <c r="V200" s="719"/>
      <c r="W200" s="719"/>
      <c r="X200" s="719"/>
      <c r="Y200" s="719"/>
      <c r="Z200" s="719"/>
      <c r="AA200" s="719"/>
      <c r="AB200" s="719"/>
      <c r="AC200" s="719"/>
      <c r="AD200" s="719"/>
      <c r="AE200" s="719"/>
      <c r="AF200" s="719"/>
      <c r="AG200" s="789"/>
      <c r="AH200" s="719"/>
      <c r="AI200" s="719"/>
      <c r="AJ200" s="719"/>
      <c r="AK200" s="719"/>
      <c r="AL200" s="719"/>
      <c r="AM200" s="719"/>
      <c r="AN200" s="719"/>
      <c r="AO200" s="719"/>
      <c r="AP200" s="719"/>
      <c r="AQ200" s="724">
        <f>+FL_1($T$201,$T$199,$G$200,1200,9.28, 1*$F$201)</f>
        <v>0.33477011200000001</v>
      </c>
      <c r="AR200" s="724"/>
      <c r="AS200" s="724"/>
      <c r="AT200" s="724"/>
      <c r="AU200" s="724"/>
      <c r="AV200" s="724"/>
      <c r="AW200" s="719"/>
      <c r="AX200" s="719"/>
      <c r="AY200" s="719"/>
      <c r="AZ200" s="532"/>
    </row>
    <row r="201" spans="1:52" ht="15.75" hidden="1" customHeight="1">
      <c r="A201" s="716" t="s">
        <v>677</v>
      </c>
      <c r="B201" s="717" t="s">
        <v>1761</v>
      </c>
      <c r="C201" s="789">
        <f>+$C$199+$G$200</f>
        <v>35312</v>
      </c>
      <c r="D201" s="719"/>
      <c r="E201" s="719"/>
      <c r="F201" s="720">
        <v>0</v>
      </c>
      <c r="G201" s="721"/>
      <c r="H201" s="726"/>
      <c r="I201" s="722"/>
      <c r="J201" s="718"/>
      <c r="K201" s="719"/>
      <c r="L201" s="719" t="s">
        <v>241</v>
      </c>
      <c r="M201" s="719"/>
      <c r="N201" s="726" t="s">
        <v>696</v>
      </c>
      <c r="O201" s="726"/>
      <c r="P201" s="726"/>
      <c r="Q201" s="719">
        <v>0</v>
      </c>
      <c r="R201" s="719">
        <v>0</v>
      </c>
      <c r="S201" s="719"/>
      <c r="T201" s="719">
        <v>30</v>
      </c>
      <c r="U201" s="719"/>
      <c r="V201" s="719"/>
      <c r="W201" s="719">
        <v>1.1000000000000001</v>
      </c>
      <c r="X201" s="719"/>
      <c r="Y201" s="719"/>
      <c r="Z201" s="719"/>
      <c r="AA201" s="719"/>
      <c r="AB201" s="719"/>
      <c r="AC201" s="719" t="s">
        <v>2977</v>
      </c>
      <c r="AD201" s="719"/>
      <c r="AE201" s="719"/>
      <c r="AF201" s="719">
        <v>200</v>
      </c>
      <c r="AG201" s="789">
        <v>35311.26</v>
      </c>
      <c r="AH201" s="719">
        <v>1431</v>
      </c>
      <c r="AI201" s="719">
        <v>-5198</v>
      </c>
      <c r="AJ201" s="719"/>
      <c r="AK201" s="719"/>
      <c r="AL201" s="719"/>
      <c r="AM201" s="719" t="s">
        <v>2608</v>
      </c>
      <c r="AN201" s="719">
        <v>5.25</v>
      </c>
      <c r="AO201" s="719"/>
      <c r="AP201" s="719"/>
      <c r="AQ201" s="724"/>
      <c r="AR201" s="724"/>
      <c r="AS201" s="724"/>
      <c r="AT201" s="724">
        <f>+ab($T$201,$T$199,$T$203,$G$200,$G$202, 1*$F$201,1200)</f>
        <v>7.9442083933778509</v>
      </c>
      <c r="AU201" s="724"/>
      <c r="AV201" s="724"/>
      <c r="AW201" s="719"/>
      <c r="AX201" s="719"/>
      <c r="AY201" s="719"/>
      <c r="AZ201" s="532"/>
    </row>
    <row r="202" spans="1:52" ht="15.75" hidden="1" customHeight="1">
      <c r="A202" s="716"/>
      <c r="B202" s="717"/>
      <c r="C202" s="789"/>
      <c r="D202" s="719"/>
      <c r="E202" s="719"/>
      <c r="F202" s="720"/>
      <c r="G202" s="721">
        <v>50</v>
      </c>
      <c r="H202" s="726"/>
      <c r="I202" s="722"/>
      <c r="J202" s="718"/>
      <c r="K202" s="719"/>
      <c r="L202" s="719"/>
      <c r="M202" s="719"/>
      <c r="N202" s="726"/>
      <c r="O202" s="726"/>
      <c r="P202" s="726"/>
      <c r="Q202" s="719"/>
      <c r="R202" s="719"/>
      <c r="S202" s="724">
        <f t="shared" ref="S202" si="79">AG203-AG201</f>
        <v>51.220000000001164</v>
      </c>
      <c r="T202" s="719"/>
      <c r="U202" s="719"/>
      <c r="V202" s="719"/>
      <c r="W202" s="719"/>
      <c r="X202" s="719"/>
      <c r="Y202" s="719"/>
      <c r="Z202" s="719"/>
      <c r="AA202" s="719"/>
      <c r="AB202" s="719"/>
      <c r="AC202" s="719"/>
      <c r="AD202" s="719"/>
      <c r="AE202" s="719"/>
      <c r="AF202" s="719"/>
      <c r="AG202" s="789"/>
      <c r="AH202" s="719"/>
      <c r="AI202" s="719"/>
      <c r="AJ202" s="719"/>
      <c r="AK202" s="719"/>
      <c r="AL202" s="719"/>
      <c r="AM202" s="719"/>
      <c r="AN202" s="719"/>
      <c r="AO202" s="719"/>
      <c r="AP202" s="719"/>
      <c r="AQ202" s="724">
        <f>+FL_2($T$203,$T$201,$G$202,1200,9.28, 1*$F$203)</f>
        <v>-0.33477011200000001</v>
      </c>
      <c r="AR202" s="724"/>
      <c r="AS202" s="724"/>
      <c r="AT202" s="724"/>
      <c r="AU202" s="724"/>
      <c r="AV202" s="724"/>
      <c r="AW202" s="719"/>
      <c r="AX202" s="719"/>
      <c r="AY202" s="719"/>
      <c r="AZ202" s="532"/>
    </row>
    <row r="203" spans="1:52" ht="15.75" customHeight="1">
      <c r="A203" s="716" t="s">
        <v>677</v>
      </c>
      <c r="B203" s="717" t="s">
        <v>1762</v>
      </c>
      <c r="C203" s="789">
        <f>+$C$201+$G$202</f>
        <v>35362</v>
      </c>
      <c r="D203" s="719"/>
      <c r="E203" s="719"/>
      <c r="F203" s="720">
        <v>0</v>
      </c>
      <c r="G203" s="721"/>
      <c r="H203" s="726" t="s">
        <v>1101</v>
      </c>
      <c r="I203" s="722"/>
      <c r="J203" s="718"/>
      <c r="K203" s="719"/>
      <c r="L203" s="719" t="s">
        <v>241</v>
      </c>
      <c r="M203" s="719"/>
      <c r="N203" s="726" t="s">
        <v>695</v>
      </c>
      <c r="O203" s="726"/>
      <c r="P203" s="726"/>
      <c r="Q203" s="719">
        <v>0</v>
      </c>
      <c r="R203" s="719">
        <v>0</v>
      </c>
      <c r="S203" s="719"/>
      <c r="T203" s="719">
        <v>-30</v>
      </c>
      <c r="U203" s="719"/>
      <c r="V203" s="719"/>
      <c r="W203" s="719">
        <v>1.1000000000000001</v>
      </c>
      <c r="X203" s="719"/>
      <c r="Y203" s="719"/>
      <c r="Z203" s="719"/>
      <c r="AA203" s="719"/>
      <c r="AB203" s="719"/>
      <c r="AC203" s="719" t="s">
        <v>2979</v>
      </c>
      <c r="AD203" s="719"/>
      <c r="AE203" s="719"/>
      <c r="AF203" s="719">
        <v>200</v>
      </c>
      <c r="AG203" s="789">
        <v>35362.480000000003</v>
      </c>
      <c r="AH203" s="719">
        <v>1416</v>
      </c>
      <c r="AI203" s="719">
        <v>-5204</v>
      </c>
      <c r="AJ203" s="719"/>
      <c r="AK203" s="719"/>
      <c r="AL203" s="719"/>
      <c r="AM203" s="719" t="s">
        <v>2608</v>
      </c>
      <c r="AN203" s="719">
        <v>5.25</v>
      </c>
      <c r="AO203" s="719"/>
      <c r="AP203" s="719"/>
      <c r="AQ203" s="724"/>
      <c r="AR203" s="724"/>
      <c r="AS203" s="724"/>
      <c r="AT203" s="724">
        <f>+ab($T$203,$T$201,$T$205,$G$202,$G$204, 1*$F$203,1200)</f>
        <v>-7.9442410717051439</v>
      </c>
      <c r="AU203" s="724"/>
      <c r="AV203" s="724"/>
      <c r="AW203" s="719"/>
      <c r="AX203" s="719"/>
      <c r="AY203" s="719"/>
      <c r="AZ203" s="532"/>
    </row>
    <row r="204" spans="1:52" ht="15.75" hidden="1" customHeight="1">
      <c r="A204" s="716"/>
      <c r="B204" s="717"/>
      <c r="C204" s="789"/>
      <c r="D204" s="719"/>
      <c r="E204" s="719"/>
      <c r="F204" s="720"/>
      <c r="G204" s="721">
        <v>50</v>
      </c>
      <c r="H204" s="726"/>
      <c r="I204" s="722">
        <f>+SUM(G186:G204)</f>
        <v>500</v>
      </c>
      <c r="J204" s="718">
        <f>C203+1</f>
        <v>35363</v>
      </c>
      <c r="K204" s="719" t="s">
        <v>1102</v>
      </c>
      <c r="L204" s="719"/>
      <c r="M204" s="719"/>
      <c r="N204" s="726"/>
      <c r="O204" s="726"/>
      <c r="P204" s="726"/>
      <c r="Q204" s="719"/>
      <c r="R204" s="719"/>
      <c r="S204" s="724">
        <f t="shared" ref="S204" si="80">AG205-AG203</f>
        <v>49.649999999994179</v>
      </c>
      <c r="T204" s="719"/>
      <c r="U204" s="719"/>
      <c r="V204" s="719"/>
      <c r="W204" s="719"/>
      <c r="X204" s="719"/>
      <c r="Y204" s="719"/>
      <c r="Z204" s="719"/>
      <c r="AA204" s="719"/>
      <c r="AB204" s="719"/>
      <c r="AC204" s="719"/>
      <c r="AD204" s="719"/>
      <c r="AE204" s="719"/>
      <c r="AF204" s="719"/>
      <c r="AG204" s="789"/>
      <c r="AH204" s="719"/>
      <c r="AI204" s="719"/>
      <c r="AJ204" s="719"/>
      <c r="AK204" s="719"/>
      <c r="AL204" s="719"/>
      <c r="AM204" s="719"/>
      <c r="AN204" s="719"/>
      <c r="AO204" s="719"/>
      <c r="AP204" s="719"/>
      <c r="AQ204" s="724">
        <f>+FL_1($T$205,$T$203,$G$204,1200,9.28, 1*$F$205)</f>
        <v>0.33477011200000001</v>
      </c>
      <c r="AR204" s="724"/>
      <c r="AS204" s="724"/>
      <c r="AT204" s="724"/>
      <c r="AU204" s="724"/>
      <c r="AV204" s="724"/>
      <c r="AW204" s="719"/>
      <c r="AX204" s="719"/>
      <c r="AY204" s="719"/>
      <c r="AZ204" s="532"/>
    </row>
    <row r="205" spans="1:52" ht="15.75" customHeight="1">
      <c r="A205" s="716" t="s">
        <v>677</v>
      </c>
      <c r="B205" s="717" t="s">
        <v>1763</v>
      </c>
      <c r="C205" s="789">
        <f>+$C$203+$G$204</f>
        <v>35412</v>
      </c>
      <c r="D205" s="719"/>
      <c r="E205" s="719"/>
      <c r="F205" s="720">
        <v>0</v>
      </c>
      <c r="G205" s="721"/>
      <c r="H205" s="719" t="s">
        <v>997</v>
      </c>
      <c r="I205" s="722"/>
      <c r="J205" s="718"/>
      <c r="K205" s="719"/>
      <c r="L205" s="719" t="s">
        <v>241</v>
      </c>
      <c r="M205" s="719"/>
      <c r="N205" s="726" t="s">
        <v>696</v>
      </c>
      <c r="O205" s="726"/>
      <c r="P205" s="726"/>
      <c r="Q205" s="719">
        <v>0</v>
      </c>
      <c r="R205" s="719">
        <v>0</v>
      </c>
      <c r="S205" s="719"/>
      <c r="T205" s="719">
        <v>30</v>
      </c>
      <c r="U205" s="719"/>
      <c r="V205" s="719"/>
      <c r="W205" s="719">
        <v>1.1000000000000001</v>
      </c>
      <c r="X205" s="719"/>
      <c r="Y205" s="719"/>
      <c r="Z205" s="719"/>
      <c r="AA205" s="719"/>
      <c r="AB205" s="719"/>
      <c r="AC205" s="719" t="s">
        <v>2977</v>
      </c>
      <c r="AD205" s="719"/>
      <c r="AE205" s="719"/>
      <c r="AF205" s="719">
        <v>200</v>
      </c>
      <c r="AG205" s="789">
        <v>35412.129999999997</v>
      </c>
      <c r="AH205" s="719">
        <v>1386</v>
      </c>
      <c r="AI205" s="719">
        <v>-5244</v>
      </c>
      <c r="AJ205" s="719"/>
      <c r="AK205" s="719"/>
      <c r="AL205" s="719"/>
      <c r="AM205" s="719" t="s">
        <v>2608</v>
      </c>
      <c r="AN205" s="719">
        <v>5.25</v>
      </c>
      <c r="AO205" s="719"/>
      <c r="AP205" s="719"/>
      <c r="AQ205" s="724"/>
      <c r="AR205" s="724"/>
      <c r="AS205" s="724"/>
      <c r="AT205" s="724">
        <f>+ab($T$205,$T$203,$T$207,$G$204,$G$206, 1*$F$205,1200)</f>
        <v>7.5310236569509383</v>
      </c>
      <c r="AU205" s="724"/>
      <c r="AV205" s="724"/>
      <c r="AW205" s="719"/>
      <c r="AX205" s="719"/>
      <c r="AY205" s="719"/>
      <c r="AZ205" s="532"/>
    </row>
    <row r="206" spans="1:52" ht="15.75" hidden="1" customHeight="1">
      <c r="A206" s="716"/>
      <c r="B206" s="717"/>
      <c r="C206" s="789"/>
      <c r="D206" s="719"/>
      <c r="E206" s="719"/>
      <c r="F206" s="720"/>
      <c r="G206" s="721">
        <v>45</v>
      </c>
      <c r="H206" s="719"/>
      <c r="I206" s="722">
        <f>SUM(G206:G224)</f>
        <v>500</v>
      </c>
      <c r="J206" s="718">
        <f>C207-1</f>
        <v>35456</v>
      </c>
      <c r="K206" s="719" t="s">
        <v>1102</v>
      </c>
      <c r="L206" s="719"/>
      <c r="M206" s="719"/>
      <c r="N206" s="726"/>
      <c r="O206" s="726"/>
      <c r="P206" s="726"/>
      <c r="Q206" s="719"/>
      <c r="R206" s="719"/>
      <c r="S206" s="724">
        <f t="shared" ref="S206" si="81">AG207-AG205</f>
        <v>46.480000000003201</v>
      </c>
      <c r="T206" s="719"/>
      <c r="U206" s="719"/>
      <c r="V206" s="719"/>
      <c r="W206" s="719"/>
      <c r="X206" s="719"/>
      <c r="Y206" s="719"/>
      <c r="Z206" s="719"/>
      <c r="AA206" s="719"/>
      <c r="AB206" s="719"/>
      <c r="AC206" s="719"/>
      <c r="AD206" s="719"/>
      <c r="AE206" s="719"/>
      <c r="AF206" s="719"/>
      <c r="AG206" s="789"/>
      <c r="AH206" s="719"/>
      <c r="AI206" s="719"/>
      <c r="AJ206" s="719"/>
      <c r="AK206" s="719"/>
      <c r="AL206" s="719"/>
      <c r="AM206" s="719"/>
      <c r="AN206" s="719"/>
      <c r="AO206" s="719"/>
      <c r="AP206" s="719"/>
      <c r="AQ206" s="724">
        <f>+FL_2($T$207,$T$205,$G$206,1200,9.28, 1*$F$207)</f>
        <v>-0.31069252800000002</v>
      </c>
      <c r="AR206" s="724"/>
      <c r="AS206" s="724"/>
      <c r="AT206" s="724"/>
      <c r="AU206" s="724"/>
      <c r="AV206" s="724"/>
      <c r="AW206" s="719"/>
      <c r="AX206" s="719"/>
      <c r="AY206" s="719"/>
      <c r="AZ206" s="532"/>
    </row>
    <row r="207" spans="1:52" ht="15.75" customHeight="1">
      <c r="A207" s="716" t="s">
        <v>677</v>
      </c>
      <c r="B207" s="717" t="s">
        <v>1764</v>
      </c>
      <c r="C207" s="789">
        <f>+$C$205+$G$206</f>
        <v>35457</v>
      </c>
      <c r="D207" s="719"/>
      <c r="E207" s="719"/>
      <c r="F207" s="720">
        <v>0</v>
      </c>
      <c r="G207" s="721"/>
      <c r="H207" s="726" t="s">
        <v>1101</v>
      </c>
      <c r="I207" s="722"/>
      <c r="J207" s="718"/>
      <c r="K207" s="719"/>
      <c r="L207" s="719" t="s">
        <v>241</v>
      </c>
      <c r="M207" s="719"/>
      <c r="N207" s="726" t="s">
        <v>695</v>
      </c>
      <c r="O207" s="726"/>
      <c r="P207" s="726"/>
      <c r="Q207" s="719">
        <v>0</v>
      </c>
      <c r="R207" s="719">
        <v>0</v>
      </c>
      <c r="S207" s="719"/>
      <c r="T207" s="719">
        <v>-30</v>
      </c>
      <c r="U207" s="719"/>
      <c r="V207" s="719"/>
      <c r="W207" s="719">
        <v>1.1000000000000001</v>
      </c>
      <c r="X207" s="719"/>
      <c r="Y207" s="719"/>
      <c r="Z207" s="719"/>
      <c r="AA207" s="719"/>
      <c r="AB207" s="719"/>
      <c r="AC207" s="719" t="s">
        <v>2979</v>
      </c>
      <c r="AD207" s="719"/>
      <c r="AE207" s="719"/>
      <c r="AF207" s="719">
        <v>200</v>
      </c>
      <c r="AG207" s="789">
        <v>35458.61</v>
      </c>
      <c r="AH207" s="719">
        <v>1416</v>
      </c>
      <c r="AI207" s="719">
        <v>-5270</v>
      </c>
      <c r="AJ207" s="719"/>
      <c r="AK207" s="719"/>
      <c r="AL207" s="719"/>
      <c r="AM207" s="719" t="s">
        <v>2608</v>
      </c>
      <c r="AN207" s="719">
        <v>5.25</v>
      </c>
      <c r="AO207" s="719"/>
      <c r="AP207" s="719"/>
      <c r="AQ207" s="724"/>
      <c r="AR207" s="724"/>
      <c r="AS207" s="724"/>
      <c r="AT207" s="724">
        <f>+ab($T$207,$T$205,$T$209,$G$206,$G$208, 1*$F$207,1200)</f>
        <v>-7.1585051066449363</v>
      </c>
      <c r="AU207" s="724"/>
      <c r="AV207" s="724"/>
      <c r="AW207" s="719"/>
      <c r="AX207" s="719"/>
      <c r="AY207" s="719"/>
      <c r="AZ207" s="532"/>
    </row>
    <row r="208" spans="1:52" ht="15.75" hidden="1" customHeight="1">
      <c r="A208" s="716"/>
      <c r="B208" s="717"/>
      <c r="C208" s="789"/>
      <c r="D208" s="719"/>
      <c r="E208" s="719"/>
      <c r="F208" s="720"/>
      <c r="G208" s="721">
        <v>45</v>
      </c>
      <c r="H208" s="726"/>
      <c r="I208" s="722"/>
      <c r="J208" s="718"/>
      <c r="K208" s="719"/>
      <c r="L208" s="719"/>
      <c r="M208" s="719"/>
      <c r="N208" s="726"/>
      <c r="O208" s="726"/>
      <c r="P208" s="726"/>
      <c r="Q208" s="719"/>
      <c r="R208" s="719"/>
      <c r="S208" s="724">
        <f t="shared" ref="S208" si="82">AG209-AG207</f>
        <v>41.659999999996217</v>
      </c>
      <c r="T208" s="719"/>
      <c r="U208" s="719"/>
      <c r="V208" s="719"/>
      <c r="W208" s="719"/>
      <c r="X208" s="719"/>
      <c r="Y208" s="719"/>
      <c r="Z208" s="719"/>
      <c r="AA208" s="719"/>
      <c r="AB208" s="719"/>
      <c r="AC208" s="719"/>
      <c r="AD208" s="719"/>
      <c r="AE208" s="719"/>
      <c r="AF208" s="719"/>
      <c r="AG208" s="789"/>
      <c r="AH208" s="719"/>
      <c r="AI208" s="719"/>
      <c r="AJ208" s="719"/>
      <c r="AK208" s="719"/>
      <c r="AL208" s="719"/>
      <c r="AM208" s="719"/>
      <c r="AN208" s="719"/>
      <c r="AO208" s="719"/>
      <c r="AP208" s="719"/>
      <c r="AQ208" s="724">
        <f>+FL_1($T$209,$T$207,$G$208,1200,9.28, 1*$F$209)</f>
        <v>0.31069252800000002</v>
      </c>
      <c r="AR208" s="724"/>
      <c r="AS208" s="724"/>
      <c r="AT208" s="724"/>
      <c r="AU208" s="724"/>
      <c r="AV208" s="724"/>
      <c r="AW208" s="719"/>
      <c r="AX208" s="719"/>
      <c r="AY208" s="719"/>
      <c r="AZ208" s="532"/>
    </row>
    <row r="209" spans="1:52" ht="15.75" hidden="1" customHeight="1">
      <c r="A209" s="716" t="s">
        <v>677</v>
      </c>
      <c r="B209" s="717" t="s">
        <v>1765</v>
      </c>
      <c r="C209" s="789">
        <f>+$C$207+$G$208</f>
        <v>35502</v>
      </c>
      <c r="D209" s="719"/>
      <c r="E209" s="719"/>
      <c r="F209" s="720">
        <v>0</v>
      </c>
      <c r="G209" s="721"/>
      <c r="H209" s="726"/>
      <c r="I209" s="722"/>
      <c r="J209" s="718"/>
      <c r="K209" s="719"/>
      <c r="L209" s="719" t="s">
        <v>241</v>
      </c>
      <c r="M209" s="719"/>
      <c r="N209" s="726" t="s">
        <v>696</v>
      </c>
      <c r="O209" s="726"/>
      <c r="P209" s="726"/>
      <c r="Q209" s="719">
        <v>0</v>
      </c>
      <c r="R209" s="719">
        <v>0</v>
      </c>
      <c r="S209" s="719"/>
      <c r="T209" s="719">
        <v>30</v>
      </c>
      <c r="U209" s="719"/>
      <c r="V209" s="719"/>
      <c r="W209" s="719">
        <v>1.1000000000000001</v>
      </c>
      <c r="X209" s="719"/>
      <c r="Y209" s="719"/>
      <c r="Z209" s="719"/>
      <c r="AA209" s="719"/>
      <c r="AB209" s="719"/>
      <c r="AC209" s="719" t="s">
        <v>2977</v>
      </c>
      <c r="AD209" s="719"/>
      <c r="AE209" s="719"/>
      <c r="AF209" s="719">
        <v>200</v>
      </c>
      <c r="AG209" s="789">
        <v>35500.269999999997</v>
      </c>
      <c r="AH209" s="719">
        <v>1406</v>
      </c>
      <c r="AI209" s="719">
        <v>-5227</v>
      </c>
      <c r="AJ209" s="719"/>
      <c r="AK209" s="719"/>
      <c r="AL209" s="719"/>
      <c r="AM209" s="719" t="s">
        <v>2608</v>
      </c>
      <c r="AN209" s="719">
        <v>5.25</v>
      </c>
      <c r="AO209" s="719"/>
      <c r="AP209" s="719"/>
      <c r="AQ209" s="724"/>
      <c r="AR209" s="724"/>
      <c r="AS209" s="724"/>
      <c r="AT209" s="724">
        <f>+ab($T$209,$T$207,$T$211,$G$208,$G$210, 1*$F$209,1200)</f>
        <v>7.6691256684332183</v>
      </c>
      <c r="AU209" s="724"/>
      <c r="AV209" s="724"/>
      <c r="AW209" s="719"/>
      <c r="AX209" s="719"/>
      <c r="AY209" s="719"/>
      <c r="AZ209" s="532"/>
    </row>
    <row r="210" spans="1:52" ht="15.75" hidden="1" customHeight="1">
      <c r="A210" s="716"/>
      <c r="B210" s="717"/>
      <c r="C210" s="789"/>
      <c r="D210" s="719"/>
      <c r="E210" s="719"/>
      <c r="F210" s="720"/>
      <c r="G210" s="721">
        <v>52</v>
      </c>
      <c r="H210" s="726"/>
      <c r="I210" s="722"/>
      <c r="J210" s="718"/>
      <c r="K210" s="719"/>
      <c r="L210" s="719"/>
      <c r="M210" s="719"/>
      <c r="N210" s="726"/>
      <c r="O210" s="726"/>
      <c r="P210" s="726"/>
      <c r="Q210" s="719"/>
      <c r="R210" s="719"/>
      <c r="S210" s="724">
        <f t="shared" ref="S210" si="83">AG211-AG209</f>
        <v>54.450000000004366</v>
      </c>
      <c r="T210" s="719"/>
      <c r="U210" s="719"/>
      <c r="V210" s="719"/>
      <c r="W210" s="719"/>
      <c r="X210" s="719"/>
      <c r="Y210" s="719"/>
      <c r="Z210" s="719"/>
      <c r="AA210" s="719"/>
      <c r="AB210" s="719"/>
      <c r="AC210" s="719"/>
      <c r="AD210" s="719"/>
      <c r="AE210" s="719"/>
      <c r="AF210" s="719"/>
      <c r="AG210" s="789"/>
      <c r="AH210" s="719"/>
      <c r="AI210" s="719"/>
      <c r="AJ210" s="719"/>
      <c r="AK210" s="719"/>
      <c r="AL210" s="719"/>
      <c r="AM210" s="719"/>
      <c r="AN210" s="719"/>
      <c r="AO210" s="719"/>
      <c r="AP210" s="719"/>
      <c r="AQ210" s="724">
        <f>+FL_2($T$211,$T$209,$G$210,1200,9.28, 1*$F$211)</f>
        <v>-0.34746603815384614</v>
      </c>
      <c r="AR210" s="724"/>
      <c r="AS210" s="724"/>
      <c r="AT210" s="724"/>
      <c r="AU210" s="724"/>
      <c r="AV210" s="724"/>
      <c r="AW210" s="719"/>
      <c r="AX210" s="719"/>
      <c r="AY210" s="719"/>
      <c r="AZ210" s="532"/>
    </row>
    <row r="211" spans="1:52" ht="15.75" hidden="1" customHeight="1">
      <c r="A211" s="716" t="s">
        <v>677</v>
      </c>
      <c r="B211" s="717" t="s">
        <v>1766</v>
      </c>
      <c r="C211" s="789">
        <f>+$C$209+$G$210</f>
        <v>35554</v>
      </c>
      <c r="D211" s="719"/>
      <c r="E211" s="719"/>
      <c r="F211" s="720">
        <v>0</v>
      </c>
      <c r="G211" s="721"/>
      <c r="H211" s="726"/>
      <c r="I211" s="722"/>
      <c r="J211" s="718"/>
      <c r="K211" s="719"/>
      <c r="L211" s="719" t="s">
        <v>241</v>
      </c>
      <c r="M211" s="719"/>
      <c r="N211" s="726" t="s">
        <v>695</v>
      </c>
      <c r="O211" s="726"/>
      <c r="P211" s="726"/>
      <c r="Q211" s="719">
        <v>0</v>
      </c>
      <c r="R211" s="719">
        <v>0</v>
      </c>
      <c r="S211" s="719"/>
      <c r="T211" s="719">
        <v>-30</v>
      </c>
      <c r="U211" s="719"/>
      <c r="V211" s="719"/>
      <c r="W211" s="719">
        <v>1.1000000000000001</v>
      </c>
      <c r="X211" s="719"/>
      <c r="Y211" s="719"/>
      <c r="Z211" s="719"/>
      <c r="AA211" s="719"/>
      <c r="AB211" s="719"/>
      <c r="AC211" s="719" t="s">
        <v>2614</v>
      </c>
      <c r="AD211" s="719"/>
      <c r="AE211" s="719"/>
      <c r="AF211" s="719">
        <v>200</v>
      </c>
      <c r="AG211" s="789">
        <v>35554.720000000001</v>
      </c>
      <c r="AH211" s="719">
        <v>1396</v>
      </c>
      <c r="AI211" s="719">
        <v>-5273</v>
      </c>
      <c r="AJ211" s="719"/>
      <c r="AK211" s="719"/>
      <c r="AL211" s="719"/>
      <c r="AM211" s="719" t="s">
        <v>2608</v>
      </c>
      <c r="AN211" s="719">
        <v>5.25</v>
      </c>
      <c r="AO211" s="719"/>
      <c r="AP211" s="719"/>
      <c r="AQ211" s="724"/>
      <c r="AR211" s="724"/>
      <c r="AS211" s="724"/>
      <c r="AT211" s="724">
        <f>+ab($T$211,$T$209,$T$213,$G$210,$G$212, 1*$F$211,1200)</f>
        <v>-8.335257781944561</v>
      </c>
      <c r="AU211" s="724"/>
      <c r="AV211" s="724"/>
      <c r="AW211" s="719"/>
      <c r="AX211" s="719"/>
      <c r="AY211" s="719"/>
      <c r="AZ211" s="532"/>
    </row>
    <row r="212" spans="1:52" ht="15.75" hidden="1" customHeight="1">
      <c r="A212" s="716"/>
      <c r="B212" s="717"/>
      <c r="C212" s="789"/>
      <c r="D212" s="719"/>
      <c r="E212" s="719"/>
      <c r="F212" s="720"/>
      <c r="G212" s="721">
        <v>53</v>
      </c>
      <c r="H212" s="726"/>
      <c r="I212" s="722"/>
      <c r="J212" s="718"/>
      <c r="K212" s="719"/>
      <c r="L212" s="719"/>
      <c r="M212" s="719"/>
      <c r="N212" s="726"/>
      <c r="O212" s="726"/>
      <c r="P212" s="726"/>
      <c r="Q212" s="719"/>
      <c r="R212" s="719"/>
      <c r="S212" s="724">
        <f t="shared" ref="S212" si="84">AG213-AG211</f>
        <v>51.379999999997381</v>
      </c>
      <c r="T212" s="719"/>
      <c r="U212" s="719"/>
      <c r="V212" s="719"/>
      <c r="W212" s="719"/>
      <c r="X212" s="719"/>
      <c r="Y212" s="719"/>
      <c r="Z212" s="719"/>
      <c r="AA212" s="719"/>
      <c r="AB212" s="719"/>
      <c r="AC212" s="719"/>
      <c r="AD212" s="719"/>
      <c r="AE212" s="719"/>
      <c r="AF212" s="719"/>
      <c r="AG212" s="789"/>
      <c r="AH212" s="719"/>
      <c r="AI212" s="719"/>
      <c r="AJ212" s="719"/>
      <c r="AK212" s="719"/>
      <c r="AL212" s="719"/>
      <c r="AM212" s="719"/>
      <c r="AN212" s="719"/>
      <c r="AO212" s="719"/>
      <c r="AP212" s="719"/>
      <c r="AQ212" s="724">
        <f>+FL_2($T$213,$T$211,$G$212,1200,9.28, 1*$F$213)</f>
        <v>-0.35439840372327047</v>
      </c>
      <c r="AR212" s="724"/>
      <c r="AS212" s="724"/>
      <c r="AT212" s="724"/>
      <c r="AU212" s="724"/>
      <c r="AV212" s="724"/>
      <c r="AW212" s="719"/>
      <c r="AX212" s="719"/>
      <c r="AY212" s="719"/>
      <c r="AZ212" s="532"/>
    </row>
    <row r="213" spans="1:52" ht="15.75" hidden="1" customHeight="1">
      <c r="A213" s="716" t="s">
        <v>677</v>
      </c>
      <c r="B213" s="717" t="s">
        <v>1767</v>
      </c>
      <c r="C213" s="789">
        <f>+$C$211+$G$212</f>
        <v>35607</v>
      </c>
      <c r="D213" s="719"/>
      <c r="E213" s="719"/>
      <c r="F213" s="720">
        <v>0</v>
      </c>
      <c r="G213" s="721"/>
      <c r="H213" s="726"/>
      <c r="I213" s="726"/>
      <c r="J213" s="718"/>
      <c r="K213" s="719"/>
      <c r="L213" s="719" t="s">
        <v>241</v>
      </c>
      <c r="M213" s="719"/>
      <c r="N213" s="726" t="s">
        <v>696</v>
      </c>
      <c r="O213" s="726"/>
      <c r="P213" s="726"/>
      <c r="Q213" s="719">
        <v>0</v>
      </c>
      <c r="R213" s="719">
        <v>0</v>
      </c>
      <c r="S213" s="719"/>
      <c r="T213" s="719">
        <v>30</v>
      </c>
      <c r="U213" s="719"/>
      <c r="V213" s="719"/>
      <c r="W213" s="719">
        <v>1.1000000000000001</v>
      </c>
      <c r="X213" s="719"/>
      <c r="Y213" s="719"/>
      <c r="Z213" s="719"/>
      <c r="AA213" s="719"/>
      <c r="AB213" s="719"/>
      <c r="AC213" s="719" t="s">
        <v>2612</v>
      </c>
      <c r="AD213" s="719"/>
      <c r="AE213" s="719"/>
      <c r="AF213" s="719">
        <v>200</v>
      </c>
      <c r="AG213" s="789">
        <v>35606.1</v>
      </c>
      <c r="AH213" s="719">
        <v>1406</v>
      </c>
      <c r="AI213" s="719">
        <v>-5227</v>
      </c>
      <c r="AJ213" s="719"/>
      <c r="AK213" s="719"/>
      <c r="AL213" s="719"/>
      <c r="AM213" s="719" t="s">
        <v>2608</v>
      </c>
      <c r="AN213" s="719">
        <v>5.25</v>
      </c>
      <c r="AO213" s="719"/>
      <c r="AP213" s="719"/>
      <c r="AQ213" s="724"/>
      <c r="AR213" s="724"/>
      <c r="AS213" s="724"/>
      <c r="AT213" s="724">
        <f>+ab($T$213,$T$211,$T$215,$G$212,$G$214, 1*$F$213,1200)</f>
        <v>8.4142239824089167</v>
      </c>
      <c r="AU213" s="724"/>
      <c r="AV213" s="724"/>
      <c r="AW213" s="719"/>
      <c r="AX213" s="719"/>
      <c r="AY213" s="719"/>
      <c r="AZ213" s="532"/>
    </row>
    <row r="214" spans="1:52" ht="15.75" hidden="1" customHeight="1">
      <c r="A214" s="716"/>
      <c r="B214" s="717"/>
      <c r="C214" s="789"/>
      <c r="D214" s="719"/>
      <c r="E214" s="719"/>
      <c r="F214" s="720"/>
      <c r="G214" s="721">
        <v>53</v>
      </c>
      <c r="H214" s="726"/>
      <c r="I214" s="726"/>
      <c r="J214" s="718"/>
      <c r="K214" s="719"/>
      <c r="L214" s="719"/>
      <c r="M214" s="719"/>
      <c r="N214" s="726"/>
      <c r="O214" s="726"/>
      <c r="P214" s="726"/>
      <c r="Q214" s="719"/>
      <c r="R214" s="719"/>
      <c r="S214" s="724">
        <f t="shared" ref="S214" si="85">AG215-AG213</f>
        <v>54.520000000004075</v>
      </c>
      <c r="T214" s="719"/>
      <c r="U214" s="719"/>
      <c r="V214" s="719"/>
      <c r="W214" s="719"/>
      <c r="X214" s="719"/>
      <c r="Y214" s="719"/>
      <c r="Z214" s="719"/>
      <c r="AA214" s="719"/>
      <c r="AB214" s="719"/>
      <c r="AC214" s="719"/>
      <c r="AD214" s="719"/>
      <c r="AE214" s="719"/>
      <c r="AF214" s="719"/>
      <c r="AG214" s="789"/>
      <c r="AH214" s="719"/>
      <c r="AI214" s="719"/>
      <c r="AJ214" s="719"/>
      <c r="AK214" s="719"/>
      <c r="AL214" s="719"/>
      <c r="AM214" s="719"/>
      <c r="AN214" s="719"/>
      <c r="AO214" s="719"/>
      <c r="AP214" s="719"/>
      <c r="AQ214" s="724">
        <f>+FL_1($T$215,$T$213,$G$214,1200,9.28, 1*$F$215)</f>
        <v>0.35439840372327047</v>
      </c>
      <c r="AR214" s="724"/>
      <c r="AS214" s="724"/>
      <c r="AT214" s="724"/>
      <c r="AU214" s="724"/>
      <c r="AV214" s="724"/>
      <c r="AW214" s="719"/>
      <c r="AX214" s="719"/>
      <c r="AY214" s="719"/>
      <c r="AZ214" s="532"/>
    </row>
    <row r="215" spans="1:52" ht="15.75" hidden="1" customHeight="1">
      <c r="A215" s="716" t="s">
        <v>677</v>
      </c>
      <c r="B215" s="717" t="s">
        <v>1768</v>
      </c>
      <c r="C215" s="789">
        <f>+$C$213+$G$214</f>
        <v>35660</v>
      </c>
      <c r="D215" s="719"/>
      <c r="E215" s="719"/>
      <c r="F215" s="720">
        <v>0</v>
      </c>
      <c r="G215" s="721"/>
      <c r="H215" s="726"/>
      <c r="I215" s="726"/>
      <c r="J215" s="718"/>
      <c r="K215" s="719"/>
      <c r="L215" s="719" t="s">
        <v>241</v>
      </c>
      <c r="M215" s="719"/>
      <c r="N215" s="726" t="s">
        <v>695</v>
      </c>
      <c r="O215" s="726"/>
      <c r="P215" s="726"/>
      <c r="Q215" s="719">
        <v>0</v>
      </c>
      <c r="R215" s="719">
        <v>0</v>
      </c>
      <c r="S215" s="719"/>
      <c r="T215" s="719">
        <v>-30</v>
      </c>
      <c r="U215" s="719"/>
      <c r="V215" s="719"/>
      <c r="W215" s="719">
        <v>1.1000000000000001</v>
      </c>
      <c r="X215" s="719"/>
      <c r="Y215" s="719"/>
      <c r="Z215" s="719"/>
      <c r="AA215" s="719"/>
      <c r="AB215" s="719"/>
      <c r="AC215" s="719" t="s">
        <v>2614</v>
      </c>
      <c r="AD215" s="719"/>
      <c r="AE215" s="719"/>
      <c r="AF215" s="719">
        <v>200</v>
      </c>
      <c r="AG215" s="789">
        <v>35660.620000000003</v>
      </c>
      <c r="AH215" s="719">
        <v>1420</v>
      </c>
      <c r="AI215" s="719">
        <v>-5232</v>
      </c>
      <c r="AJ215" s="719"/>
      <c r="AK215" s="719"/>
      <c r="AL215" s="719"/>
      <c r="AM215" s="719" t="s">
        <v>2608</v>
      </c>
      <c r="AN215" s="719">
        <v>5.25</v>
      </c>
      <c r="AO215" s="719"/>
      <c r="AP215" s="719"/>
      <c r="AQ215" s="724"/>
      <c r="AR215" s="724"/>
      <c r="AS215" s="724"/>
      <c r="AT215" s="724">
        <f>+ab($T$215,$T$213,$T$217,$G$214,$G$216, 1*$F$215,1200)</f>
        <v>-8.335257781944561</v>
      </c>
      <c r="AU215" s="724"/>
      <c r="AV215" s="724"/>
      <c r="AW215" s="719"/>
      <c r="AX215" s="719"/>
      <c r="AY215" s="719"/>
      <c r="AZ215" s="532"/>
    </row>
    <row r="216" spans="1:52" ht="15.75" hidden="1" customHeight="1">
      <c r="A216" s="716"/>
      <c r="B216" s="717"/>
      <c r="C216" s="789"/>
      <c r="D216" s="719"/>
      <c r="E216" s="719"/>
      <c r="F216" s="720"/>
      <c r="G216" s="721">
        <v>52</v>
      </c>
      <c r="H216" s="726"/>
      <c r="I216" s="726"/>
      <c r="J216" s="718"/>
      <c r="K216" s="719"/>
      <c r="L216" s="719"/>
      <c r="M216" s="719"/>
      <c r="N216" s="726"/>
      <c r="O216" s="726"/>
      <c r="P216" s="726"/>
      <c r="Q216" s="719"/>
      <c r="R216" s="719"/>
      <c r="S216" s="724">
        <f t="shared" ref="S216" si="86">AG217-AG215</f>
        <v>51.180000000000291</v>
      </c>
      <c r="T216" s="719"/>
      <c r="U216" s="719"/>
      <c r="V216" s="719"/>
      <c r="W216" s="719"/>
      <c r="X216" s="719"/>
      <c r="Y216" s="719"/>
      <c r="Z216" s="719"/>
      <c r="AA216" s="719"/>
      <c r="AB216" s="719"/>
      <c r="AC216" s="719"/>
      <c r="AD216" s="719"/>
      <c r="AE216" s="719"/>
      <c r="AF216" s="719"/>
      <c r="AG216" s="789"/>
      <c r="AH216" s="719"/>
      <c r="AI216" s="719"/>
      <c r="AJ216" s="719"/>
      <c r="AK216" s="719"/>
      <c r="AL216" s="719"/>
      <c r="AM216" s="719"/>
      <c r="AN216" s="719"/>
      <c r="AO216" s="719"/>
      <c r="AP216" s="719"/>
      <c r="AQ216" s="724">
        <f>+FL_1($T$217,$T$215,$G$216,1200,9.28, 1*$F$217)</f>
        <v>0.34746603815384614</v>
      </c>
      <c r="AR216" s="724"/>
      <c r="AS216" s="724"/>
      <c r="AT216" s="724"/>
      <c r="AU216" s="724"/>
      <c r="AV216" s="724"/>
      <c r="AW216" s="719"/>
      <c r="AX216" s="719"/>
      <c r="AY216" s="719"/>
      <c r="AZ216" s="532"/>
    </row>
    <row r="217" spans="1:52" ht="15.75" hidden="1" customHeight="1">
      <c r="A217" s="716" t="s">
        <v>677</v>
      </c>
      <c r="B217" s="717" t="s">
        <v>1769</v>
      </c>
      <c r="C217" s="789">
        <f>+$C$215+$G$216</f>
        <v>35712</v>
      </c>
      <c r="D217" s="719"/>
      <c r="E217" s="719"/>
      <c r="F217" s="720">
        <v>0</v>
      </c>
      <c r="G217" s="721"/>
      <c r="H217" s="726"/>
      <c r="I217" s="726"/>
      <c r="J217" s="718"/>
      <c r="K217" s="719"/>
      <c r="L217" s="719" t="s">
        <v>241</v>
      </c>
      <c r="M217" s="719"/>
      <c r="N217" s="726" t="s">
        <v>696</v>
      </c>
      <c r="O217" s="726"/>
      <c r="P217" s="726"/>
      <c r="Q217" s="719">
        <v>0</v>
      </c>
      <c r="R217" s="719">
        <v>0</v>
      </c>
      <c r="S217" s="719"/>
      <c r="T217" s="719">
        <v>30</v>
      </c>
      <c r="U217" s="719"/>
      <c r="V217" s="719"/>
      <c r="W217" s="719">
        <v>1.1000000000000001</v>
      </c>
      <c r="X217" s="719"/>
      <c r="Y217" s="719"/>
      <c r="Z217" s="719"/>
      <c r="AA217" s="719"/>
      <c r="AB217" s="719"/>
      <c r="AC217" s="719" t="s">
        <v>2979</v>
      </c>
      <c r="AD217" s="719"/>
      <c r="AE217" s="719"/>
      <c r="AF217" s="719">
        <v>200</v>
      </c>
      <c r="AG217" s="789">
        <v>35711.800000000003</v>
      </c>
      <c r="AH217" s="719">
        <v>1430</v>
      </c>
      <c r="AI217" s="719">
        <v>-5235</v>
      </c>
      <c r="AJ217" s="719"/>
      <c r="AK217" s="719"/>
      <c r="AL217" s="719"/>
      <c r="AM217" s="719" t="s">
        <v>2608</v>
      </c>
      <c r="AN217" s="719">
        <v>5.25</v>
      </c>
      <c r="AO217" s="719"/>
      <c r="AP217" s="719"/>
      <c r="AQ217" s="724"/>
      <c r="AR217" s="724"/>
      <c r="AS217" s="724"/>
      <c r="AT217" s="724">
        <f>+ab($T$217,$T$215,$T$219,$G$216,$G$218, 1*$F$217,1200)</f>
        <v>8.0979298383835943</v>
      </c>
      <c r="AU217" s="724"/>
      <c r="AV217" s="724"/>
      <c r="AW217" s="719"/>
      <c r="AX217" s="719"/>
      <c r="AY217" s="719"/>
      <c r="AZ217" s="532"/>
    </row>
    <row r="218" spans="1:52" ht="15.75" hidden="1" customHeight="1">
      <c r="A218" s="716"/>
      <c r="B218" s="717"/>
      <c r="C218" s="789"/>
      <c r="D218" s="719"/>
      <c r="E218" s="719"/>
      <c r="F218" s="720"/>
      <c r="G218" s="721">
        <v>50</v>
      </c>
      <c r="H218" s="726"/>
      <c r="I218" s="726"/>
      <c r="J218" s="718"/>
      <c r="K218" s="719"/>
      <c r="L218" s="719"/>
      <c r="M218" s="719"/>
      <c r="N218" s="726"/>
      <c r="O218" s="726"/>
      <c r="P218" s="726"/>
      <c r="Q218" s="719"/>
      <c r="R218" s="719"/>
      <c r="S218" s="724">
        <f t="shared" ref="S218" si="87">AG219-AG217</f>
        <v>51.309999999997672</v>
      </c>
      <c r="T218" s="719"/>
      <c r="U218" s="719"/>
      <c r="V218" s="719"/>
      <c r="W218" s="719"/>
      <c r="X218" s="719"/>
      <c r="Y218" s="719"/>
      <c r="Z218" s="719"/>
      <c r="AA218" s="719"/>
      <c r="AB218" s="719"/>
      <c r="AC218" s="719"/>
      <c r="AD218" s="719"/>
      <c r="AE218" s="719"/>
      <c r="AF218" s="719"/>
      <c r="AG218" s="789"/>
      <c r="AH218" s="719"/>
      <c r="AI218" s="719"/>
      <c r="AJ218" s="719"/>
      <c r="AK218" s="719"/>
      <c r="AL218" s="719"/>
      <c r="AM218" s="719"/>
      <c r="AN218" s="719"/>
      <c r="AO218" s="719"/>
      <c r="AP218" s="719"/>
      <c r="AQ218" s="724">
        <f>+FL_1($T$219,$T$217,$G$218,1200,9.28, 1*$F$219)</f>
        <v>0.33477011200000012</v>
      </c>
      <c r="AR218" s="724"/>
      <c r="AS218" s="724"/>
      <c r="AT218" s="724"/>
      <c r="AU218" s="724"/>
      <c r="AV218" s="724"/>
      <c r="AW218" s="719"/>
      <c r="AX218" s="719"/>
      <c r="AY218" s="719"/>
      <c r="AZ218" s="532"/>
    </row>
    <row r="219" spans="1:52" ht="15.75" hidden="1" customHeight="1">
      <c r="A219" s="716" t="s">
        <v>677</v>
      </c>
      <c r="B219" s="717" t="s">
        <v>1770</v>
      </c>
      <c r="C219" s="789">
        <f>+$C$217+$G$218</f>
        <v>35762</v>
      </c>
      <c r="D219" s="719"/>
      <c r="E219" s="719"/>
      <c r="F219" s="720">
        <v>0</v>
      </c>
      <c r="G219" s="721"/>
      <c r="H219" s="726" t="s">
        <v>138</v>
      </c>
      <c r="I219" s="726" t="s">
        <v>948</v>
      </c>
      <c r="J219" s="718"/>
      <c r="K219" s="719"/>
      <c r="L219" s="719" t="s">
        <v>241</v>
      </c>
      <c r="M219" s="719"/>
      <c r="N219" s="726" t="s">
        <v>695</v>
      </c>
      <c r="O219" s="726"/>
      <c r="P219" s="726"/>
      <c r="Q219" s="719">
        <v>0</v>
      </c>
      <c r="R219" s="719">
        <v>0</v>
      </c>
      <c r="S219" s="719"/>
      <c r="T219" s="719">
        <v>-30</v>
      </c>
      <c r="U219" s="719"/>
      <c r="V219" s="719"/>
      <c r="W219" s="719">
        <v>1.1000000000000001</v>
      </c>
      <c r="X219" s="719"/>
      <c r="Y219" s="719"/>
      <c r="Z219" s="719"/>
      <c r="AA219" s="719"/>
      <c r="AB219" s="719"/>
      <c r="AC219" s="719" t="s">
        <v>2614</v>
      </c>
      <c r="AD219" s="719"/>
      <c r="AE219" s="719"/>
      <c r="AF219" s="719">
        <v>200</v>
      </c>
      <c r="AG219" s="789">
        <v>35763.11</v>
      </c>
      <c r="AH219" s="719">
        <v>1406</v>
      </c>
      <c r="AI219" s="719">
        <v>-5197</v>
      </c>
      <c r="AJ219" s="719"/>
      <c r="AK219" s="719"/>
      <c r="AL219" s="719"/>
      <c r="AM219" s="719" t="s">
        <v>2608</v>
      </c>
      <c r="AN219" s="719">
        <v>5.25</v>
      </c>
      <c r="AO219" s="719"/>
      <c r="AP219" s="719"/>
      <c r="AQ219" s="724"/>
      <c r="AR219" s="724"/>
      <c r="AS219" s="724"/>
      <c r="AT219" s="724">
        <f>+ab($T$219,$T$217,$T$221,$G$218,$G$220, 1*$F$219,1200)</f>
        <v>-6.8209152065487553</v>
      </c>
      <c r="AU219" s="724"/>
      <c r="AV219" s="724"/>
      <c r="AW219" s="719"/>
      <c r="AX219" s="719"/>
      <c r="AY219" s="719"/>
      <c r="AZ219" s="532"/>
    </row>
    <row r="220" spans="1:52" ht="15.75" hidden="1" customHeight="1">
      <c r="A220" s="716"/>
      <c r="B220" s="717"/>
      <c r="C220" s="789"/>
      <c r="D220" s="719"/>
      <c r="E220" s="719"/>
      <c r="F220" s="720"/>
      <c r="G220" s="721">
        <v>50</v>
      </c>
      <c r="H220" s="726"/>
      <c r="I220" s="726"/>
      <c r="J220" s="718">
        <f>C219+10</f>
        <v>35772</v>
      </c>
      <c r="K220" s="719" t="s">
        <v>1097</v>
      </c>
      <c r="L220" s="719"/>
      <c r="M220" s="719"/>
      <c r="N220" s="726"/>
      <c r="O220" s="726"/>
      <c r="P220" s="726"/>
      <c r="Q220" s="719"/>
      <c r="R220" s="719"/>
      <c r="S220" s="724">
        <f t="shared" ref="S220" si="88">AG221-AG219</f>
        <v>48.169999999998254</v>
      </c>
      <c r="T220" s="719"/>
      <c r="U220" s="719"/>
      <c r="V220" s="719"/>
      <c r="W220" s="719"/>
      <c r="X220" s="719"/>
      <c r="Y220" s="719"/>
      <c r="Z220" s="719"/>
      <c r="AA220" s="719"/>
      <c r="AB220" s="719"/>
      <c r="AC220" s="719"/>
      <c r="AD220" s="719"/>
      <c r="AE220" s="719"/>
      <c r="AF220" s="719"/>
      <c r="AG220" s="789"/>
      <c r="AH220" s="719"/>
      <c r="AI220" s="719"/>
      <c r="AJ220" s="719"/>
      <c r="AK220" s="719"/>
      <c r="AL220" s="719"/>
      <c r="AM220" s="719"/>
      <c r="AN220" s="719"/>
      <c r="AO220" s="719"/>
      <c r="AP220" s="719"/>
      <c r="AQ220" s="724">
        <f>+FL_2($U$221,$T$219,$G$220,1200,9.28, 1*$F$221)</f>
        <v>-0.39834769999999992</v>
      </c>
      <c r="AR220" s="724"/>
      <c r="AS220" s="724"/>
      <c r="AT220" s="724"/>
      <c r="AU220" s="724"/>
      <c r="AV220" s="724"/>
      <c r="AW220" s="719"/>
      <c r="AX220" s="719"/>
      <c r="AY220" s="719"/>
      <c r="AZ220" s="532"/>
    </row>
    <row r="221" spans="1:52" ht="15.75" hidden="1" customHeight="1">
      <c r="A221" s="716" t="s">
        <v>677</v>
      </c>
      <c r="B221" s="717" t="s">
        <v>1771</v>
      </c>
      <c r="C221" s="789">
        <f>+$C$219+$G$220</f>
        <v>35812</v>
      </c>
      <c r="D221" s="719"/>
      <c r="E221" s="719"/>
      <c r="F221" s="720">
        <v>0</v>
      </c>
      <c r="G221" s="721"/>
      <c r="H221" s="726" t="s">
        <v>668</v>
      </c>
      <c r="I221" s="722"/>
      <c r="J221" s="718"/>
      <c r="K221" s="719"/>
      <c r="L221" s="719" t="s">
        <v>465</v>
      </c>
      <c r="M221" s="719"/>
      <c r="N221" s="726" t="s">
        <v>697</v>
      </c>
      <c r="O221" s="726" t="s">
        <v>696</v>
      </c>
      <c r="P221" s="726"/>
      <c r="Q221" s="719">
        <v>0</v>
      </c>
      <c r="R221" s="719">
        <v>0</v>
      </c>
      <c r="S221" s="724">
        <f>AG222-AG221</f>
        <v>3.1900000000023283</v>
      </c>
      <c r="T221" s="719">
        <v>50</v>
      </c>
      <c r="U221" s="719">
        <v>5</v>
      </c>
      <c r="V221" s="719"/>
      <c r="W221" s="719">
        <v>1.1000000000000001</v>
      </c>
      <c r="X221" s="719">
        <v>1.2</v>
      </c>
      <c r="Y221" s="719"/>
      <c r="Z221" s="719">
        <v>0.45</v>
      </c>
      <c r="AA221" s="719"/>
      <c r="AB221" s="719"/>
      <c r="AC221" s="719"/>
      <c r="AD221" s="719" t="s">
        <v>2616</v>
      </c>
      <c r="AE221" s="719"/>
      <c r="AF221" s="719">
        <v>200</v>
      </c>
      <c r="AG221" s="789">
        <v>35811.279999999999</v>
      </c>
      <c r="AH221" s="719">
        <v>1406</v>
      </c>
      <c r="AI221" s="719">
        <v>-5207</v>
      </c>
      <c r="AJ221" s="719"/>
      <c r="AK221" s="719"/>
      <c r="AL221" s="719"/>
      <c r="AM221" s="719" t="s">
        <v>2608</v>
      </c>
      <c r="AN221" s="719">
        <v>5.25</v>
      </c>
      <c r="AO221" s="719"/>
      <c r="AP221" s="719"/>
      <c r="AQ221" s="724"/>
      <c r="AR221" s="724"/>
      <c r="AS221" s="724"/>
      <c r="AT221" s="724">
        <f>+ab($U$221,$T$219,$U$223,$G$220,$G$222, 1*$F$221,1200)</f>
        <v>10.540144066634443</v>
      </c>
      <c r="AU221" s="724"/>
      <c r="AV221" s="724"/>
      <c r="AW221" s="719"/>
      <c r="AX221" s="719"/>
      <c r="AY221" s="719"/>
      <c r="AZ221" s="532"/>
    </row>
    <row r="222" spans="1:52" ht="15.75" hidden="1" customHeight="1">
      <c r="A222" s="716"/>
      <c r="B222" s="717"/>
      <c r="C222" s="789"/>
      <c r="D222" s="719"/>
      <c r="E222" s="719"/>
      <c r="F222" s="720"/>
      <c r="G222" s="721">
        <v>50</v>
      </c>
      <c r="H222" s="726"/>
      <c r="I222" s="726"/>
      <c r="J222" s="718"/>
      <c r="K222" s="719"/>
      <c r="L222" s="719"/>
      <c r="M222" s="719"/>
      <c r="N222" s="726"/>
      <c r="O222" s="726"/>
      <c r="P222" s="726"/>
      <c r="Q222" s="719"/>
      <c r="R222" s="719"/>
      <c r="S222" s="724">
        <f t="shared" ref="S222:S224" si="89">AG223-AG222</f>
        <v>49.690000000002328</v>
      </c>
      <c r="T222" s="719"/>
      <c r="U222" s="719"/>
      <c r="V222" s="719"/>
      <c r="W222" s="719"/>
      <c r="X222" s="719"/>
      <c r="Y222" s="719"/>
      <c r="Z222" s="719"/>
      <c r="AA222" s="719"/>
      <c r="AB222" s="719"/>
      <c r="AC222" s="719"/>
      <c r="AD222" s="719"/>
      <c r="AE222" s="719"/>
      <c r="AF222" s="719"/>
      <c r="AG222" s="789">
        <v>35814.47</v>
      </c>
      <c r="AH222" s="719">
        <v>1432</v>
      </c>
      <c r="AI222" s="719">
        <v>-5206</v>
      </c>
      <c r="AJ222" s="719"/>
      <c r="AK222" s="719"/>
      <c r="AL222" s="719"/>
      <c r="AM222" s="719"/>
      <c r="AN222" s="719"/>
      <c r="AO222" s="719"/>
      <c r="AP222" s="719"/>
      <c r="AQ222" s="724">
        <f>+FL_2($T$223,$U$221,$G$222,1200,9.28, 1*$F$223)</f>
        <v>-0.24425286799999996</v>
      </c>
      <c r="AR222" s="724"/>
      <c r="AS222" s="724"/>
      <c r="AT222" s="724"/>
      <c r="AU222" s="724"/>
      <c r="AV222" s="724"/>
      <c r="AW222" s="719"/>
      <c r="AX222" s="719"/>
      <c r="AY222" s="719"/>
      <c r="AZ222" s="532"/>
    </row>
    <row r="223" spans="1:52" ht="15.75" hidden="1" customHeight="1">
      <c r="A223" s="716" t="s">
        <v>2946</v>
      </c>
      <c r="B223" s="717" t="s">
        <v>1772</v>
      </c>
      <c r="C223" s="789">
        <f>+$C$221+$G$222</f>
        <v>35862</v>
      </c>
      <c r="D223" s="719"/>
      <c r="E223" s="719"/>
      <c r="F223" s="720">
        <v>0</v>
      </c>
      <c r="G223" s="721"/>
      <c r="H223" s="726" t="s">
        <v>668</v>
      </c>
      <c r="I223" s="722" t="s">
        <v>2645</v>
      </c>
      <c r="J223" s="718"/>
      <c r="K223" s="719"/>
      <c r="L223" s="719" t="s">
        <v>465</v>
      </c>
      <c r="M223" s="719"/>
      <c r="N223" s="726" t="s">
        <v>695</v>
      </c>
      <c r="O223" s="726" t="s">
        <v>697</v>
      </c>
      <c r="P223" s="726"/>
      <c r="Q223" s="719">
        <v>0</v>
      </c>
      <c r="R223" s="719">
        <v>0</v>
      </c>
      <c r="S223" s="724">
        <f t="shared" si="89"/>
        <v>3.2099999999991269</v>
      </c>
      <c r="T223" s="719">
        <v>-5</v>
      </c>
      <c r="U223" s="719">
        <v>-50</v>
      </c>
      <c r="V223" s="719"/>
      <c r="W223" s="719">
        <v>1.1000000000000001</v>
      </c>
      <c r="X223" s="719">
        <v>1.2</v>
      </c>
      <c r="Y223" s="719"/>
      <c r="Z223" s="719"/>
      <c r="AA223" s="719">
        <v>0.45</v>
      </c>
      <c r="AB223" s="719"/>
      <c r="AC223" s="719" t="s">
        <v>2614</v>
      </c>
      <c r="AD223" s="719"/>
      <c r="AE223" s="719"/>
      <c r="AF223" s="719">
        <v>200</v>
      </c>
      <c r="AG223" s="789">
        <v>35864.160000000003</v>
      </c>
      <c r="AH223" s="719">
        <v>1398</v>
      </c>
      <c r="AI223" s="719">
        <v>-5219</v>
      </c>
      <c r="AJ223" s="719" t="s">
        <v>2943</v>
      </c>
      <c r="AK223" s="719"/>
      <c r="AL223" s="719"/>
      <c r="AM223" s="719" t="s">
        <v>2608</v>
      </c>
      <c r="AN223" s="719">
        <v>5.25</v>
      </c>
      <c r="AO223" s="719"/>
      <c r="AP223" s="719"/>
      <c r="AQ223" s="724"/>
      <c r="AR223" s="724"/>
      <c r="AS223" s="724"/>
      <c r="AT223" s="724">
        <f>+ab($T$223,$T$221,$T$225,$G$222,$G$224, 1*$F$223,1200)</f>
        <v>-10.540201310960795</v>
      </c>
      <c r="AU223" s="724"/>
      <c r="AV223" s="724"/>
      <c r="AW223" s="719"/>
      <c r="AX223" s="719"/>
      <c r="AY223" s="719"/>
      <c r="AZ223" s="532"/>
    </row>
    <row r="224" spans="1:52" ht="15.75" hidden="1" customHeight="1">
      <c r="A224" s="716"/>
      <c r="B224" s="717"/>
      <c r="C224" s="789"/>
      <c r="D224" s="719"/>
      <c r="E224" s="719"/>
      <c r="F224" s="720"/>
      <c r="G224" s="721">
        <v>50</v>
      </c>
      <c r="H224" s="719"/>
      <c r="I224" s="726"/>
      <c r="J224" s="718">
        <f>C225-10</f>
        <v>35902</v>
      </c>
      <c r="K224" s="719" t="s">
        <v>1097</v>
      </c>
      <c r="L224" s="719"/>
      <c r="M224" s="719"/>
      <c r="N224" s="726"/>
      <c r="O224" s="726"/>
      <c r="P224" s="726"/>
      <c r="Q224" s="719"/>
      <c r="R224" s="719"/>
      <c r="S224" s="724">
        <f t="shared" si="89"/>
        <v>44.799999999995634</v>
      </c>
      <c r="T224" s="719"/>
      <c r="U224" s="719"/>
      <c r="V224" s="719"/>
      <c r="W224" s="719"/>
      <c r="X224" s="719"/>
      <c r="Y224" s="719"/>
      <c r="Z224" s="719"/>
      <c r="AA224" s="719"/>
      <c r="AB224" s="719"/>
      <c r="AC224" s="719"/>
      <c r="AD224" s="719"/>
      <c r="AE224" s="719"/>
      <c r="AF224" s="719"/>
      <c r="AG224" s="789">
        <v>35867.370000000003</v>
      </c>
      <c r="AH224" s="719">
        <v>1402</v>
      </c>
      <c r="AI224" s="719">
        <v>-5217</v>
      </c>
      <c r="AJ224" s="719"/>
      <c r="AK224" s="719"/>
      <c r="AL224" s="719"/>
      <c r="AM224" s="719"/>
      <c r="AN224" s="719"/>
      <c r="AO224" s="719"/>
      <c r="AP224" s="719"/>
      <c r="AQ224" s="724">
        <f>+FL_1($T$225,$T$223,$G$224,1200,9.28, 1*$F$225)</f>
        <v>0.39834769999999997</v>
      </c>
      <c r="AR224" s="724"/>
      <c r="AS224" s="724"/>
      <c r="AT224" s="724"/>
      <c r="AU224" s="724"/>
      <c r="AV224" s="724"/>
      <c r="AW224" s="719"/>
      <c r="AX224" s="719"/>
      <c r="AY224" s="719"/>
      <c r="AZ224" s="532"/>
    </row>
    <row r="225" spans="1:52" ht="15.75" hidden="1" customHeight="1">
      <c r="A225" s="716" t="s">
        <v>677</v>
      </c>
      <c r="B225" s="717" t="s">
        <v>1773</v>
      </c>
      <c r="C225" s="789">
        <f>+$C$223+$G$224</f>
        <v>35912</v>
      </c>
      <c r="D225" s="719"/>
      <c r="E225" s="719"/>
      <c r="F225" s="720">
        <v>0</v>
      </c>
      <c r="G225" s="721"/>
      <c r="H225" s="726" t="s">
        <v>138</v>
      </c>
      <c r="I225" s="722" t="s">
        <v>948</v>
      </c>
      <c r="J225" s="718"/>
      <c r="K225" s="719"/>
      <c r="L225" s="719" t="s">
        <v>241</v>
      </c>
      <c r="M225" s="719"/>
      <c r="N225" s="726" t="s">
        <v>696</v>
      </c>
      <c r="O225" s="726"/>
      <c r="P225" s="726"/>
      <c r="Q225" s="719">
        <v>0</v>
      </c>
      <c r="R225" s="719">
        <v>0</v>
      </c>
      <c r="S225" s="719"/>
      <c r="T225" s="719">
        <v>30</v>
      </c>
      <c r="U225" s="719"/>
      <c r="V225" s="719"/>
      <c r="W225" s="719">
        <v>1.1000000000000001</v>
      </c>
      <c r="X225" s="719"/>
      <c r="Y225" s="719"/>
      <c r="Z225" s="719"/>
      <c r="AA225" s="719"/>
      <c r="AB225" s="719"/>
      <c r="AC225" s="719" t="s">
        <v>2612</v>
      </c>
      <c r="AD225" s="719"/>
      <c r="AE225" s="719"/>
      <c r="AF225" s="719">
        <v>200</v>
      </c>
      <c r="AG225" s="789">
        <v>35912.17</v>
      </c>
      <c r="AH225" s="719">
        <v>1418</v>
      </c>
      <c r="AI225" s="719">
        <v>-5215</v>
      </c>
      <c r="AJ225" s="719"/>
      <c r="AK225" s="719"/>
      <c r="AL225" s="719"/>
      <c r="AM225" s="719" t="s">
        <v>2608</v>
      </c>
      <c r="AN225" s="719">
        <v>5.25</v>
      </c>
      <c r="AO225" s="719"/>
      <c r="AP225" s="719"/>
      <c r="AQ225" s="724"/>
      <c r="AR225" s="724"/>
      <c r="AS225" s="724"/>
      <c r="AT225" s="724">
        <f>+ab($T$225,$T$223,$T$227,$G$224,$G$226, 1*$F$225,1200)</f>
        <v>9.9968917440918084</v>
      </c>
      <c r="AU225" s="724"/>
      <c r="AV225" s="724"/>
      <c r="AW225" s="719"/>
      <c r="AX225" s="719"/>
      <c r="AY225" s="719"/>
      <c r="AZ225" s="532"/>
    </row>
    <row r="226" spans="1:52" ht="15.75" hidden="1" customHeight="1">
      <c r="A226" s="716"/>
      <c r="B226" s="717"/>
      <c r="C226" s="789"/>
      <c r="D226" s="719"/>
      <c r="E226" s="719"/>
      <c r="F226" s="720"/>
      <c r="G226" s="721">
        <v>50</v>
      </c>
      <c r="H226" s="726"/>
      <c r="I226" s="726"/>
      <c r="J226" s="729"/>
      <c r="K226" s="719"/>
      <c r="L226" s="719"/>
      <c r="M226" s="719"/>
      <c r="N226" s="726"/>
      <c r="O226" s="726"/>
      <c r="P226" s="726"/>
      <c r="Q226" s="719"/>
      <c r="R226" s="719"/>
      <c r="S226" s="724">
        <f t="shared" ref="S226" si="90">AG227-AG225</f>
        <v>51.290000000000873</v>
      </c>
      <c r="T226" s="719"/>
      <c r="U226" s="719"/>
      <c r="V226" s="719"/>
      <c r="W226" s="719"/>
      <c r="X226" s="719"/>
      <c r="Y226" s="719"/>
      <c r="Z226" s="719"/>
      <c r="AA226" s="719"/>
      <c r="AB226" s="719"/>
      <c r="AC226" s="719"/>
      <c r="AD226" s="719"/>
      <c r="AE226" s="719"/>
      <c r="AF226" s="719"/>
      <c r="AG226" s="789"/>
      <c r="AH226" s="719"/>
      <c r="AI226" s="719"/>
      <c r="AJ226" s="719"/>
      <c r="AK226" s="719"/>
      <c r="AL226" s="719"/>
      <c r="AM226" s="719"/>
      <c r="AN226" s="719"/>
      <c r="AO226" s="719"/>
      <c r="AP226" s="719"/>
      <c r="AQ226" s="724">
        <f>+FL_2($T$227,$T$225,$G$226,1200,9.28, 1*$F$227)</f>
        <v>-0.33477011200000001</v>
      </c>
      <c r="AR226" s="724"/>
      <c r="AS226" s="724"/>
      <c r="AT226" s="724"/>
      <c r="AU226" s="724"/>
      <c r="AV226" s="724"/>
      <c r="AW226" s="719"/>
      <c r="AX226" s="719"/>
      <c r="AY226" s="719"/>
      <c r="AZ226" s="532"/>
    </row>
    <row r="227" spans="1:52" ht="15.75" hidden="1" customHeight="1">
      <c r="A227" s="716"/>
      <c r="B227" s="717" t="s">
        <v>1774</v>
      </c>
      <c r="C227" s="789">
        <f>+$C$225+$G$226</f>
        <v>35962</v>
      </c>
      <c r="D227" s="719"/>
      <c r="E227" s="719"/>
      <c r="F227" s="720">
        <v>0</v>
      </c>
      <c r="G227" s="721"/>
      <c r="H227" s="726"/>
      <c r="I227" s="726"/>
      <c r="J227" s="729"/>
      <c r="K227" s="719"/>
      <c r="L227" s="719" t="s">
        <v>241</v>
      </c>
      <c r="M227" s="719"/>
      <c r="N227" s="726" t="s">
        <v>695</v>
      </c>
      <c r="O227" s="726"/>
      <c r="P227" s="726"/>
      <c r="Q227" s="719">
        <v>0</v>
      </c>
      <c r="R227" s="719">
        <v>0</v>
      </c>
      <c r="S227" s="719"/>
      <c r="T227" s="719">
        <v>-30</v>
      </c>
      <c r="U227" s="719"/>
      <c r="V227" s="719"/>
      <c r="W227" s="719">
        <v>1.1000000000000001</v>
      </c>
      <c r="X227" s="719"/>
      <c r="Y227" s="719"/>
      <c r="Z227" s="719"/>
      <c r="AA227" s="719"/>
      <c r="AB227" s="719"/>
      <c r="AC227" s="719" t="s">
        <v>2979</v>
      </c>
      <c r="AD227" s="719"/>
      <c r="AE227" s="719"/>
      <c r="AF227" s="719">
        <v>200</v>
      </c>
      <c r="AG227" s="789">
        <v>35963.46</v>
      </c>
      <c r="AH227" s="719">
        <v>1383</v>
      </c>
      <c r="AI227" s="719">
        <v>-5163</v>
      </c>
      <c r="AJ227" s="719" t="s">
        <v>2665</v>
      </c>
      <c r="AK227" s="719"/>
      <c r="AL227" s="719"/>
      <c r="AM227" s="719" t="s">
        <v>2608</v>
      </c>
      <c r="AN227" s="719">
        <v>5.25</v>
      </c>
      <c r="AO227" s="719"/>
      <c r="AP227" s="719"/>
      <c r="AQ227" s="724"/>
      <c r="AR227" s="724"/>
      <c r="AS227" s="724"/>
      <c r="AT227" s="724">
        <f>+ab($T$227,$T$225,$T$229,$G$226,$G$228, 1*$F$227,1200)</f>
        <v>-7.9442410717051439</v>
      </c>
      <c r="AU227" s="724"/>
      <c r="AV227" s="724"/>
      <c r="AW227" s="719"/>
      <c r="AX227" s="719"/>
      <c r="AY227" s="719"/>
      <c r="AZ227" s="532"/>
    </row>
    <row r="228" spans="1:52" ht="15.75" hidden="1" customHeight="1">
      <c r="A228" s="716"/>
      <c r="B228" s="717"/>
      <c r="C228" s="789"/>
      <c r="D228" s="719"/>
      <c r="E228" s="719"/>
      <c r="F228" s="720"/>
      <c r="G228" s="721">
        <v>50</v>
      </c>
      <c r="H228" s="726"/>
      <c r="I228" s="726"/>
      <c r="J228" s="729"/>
      <c r="K228" s="719"/>
      <c r="L228" s="719"/>
      <c r="M228" s="719"/>
      <c r="N228" s="726"/>
      <c r="O228" s="726"/>
      <c r="P228" s="726"/>
      <c r="Q228" s="719"/>
      <c r="R228" s="719"/>
      <c r="S228" s="724">
        <f t="shared" ref="S228" si="91">AG229-AG227</f>
        <v>48.110000000000582</v>
      </c>
      <c r="T228" s="719"/>
      <c r="U228" s="719"/>
      <c r="V228" s="719"/>
      <c r="W228" s="719"/>
      <c r="X228" s="719"/>
      <c r="Y228" s="719"/>
      <c r="Z228" s="719"/>
      <c r="AA228" s="719"/>
      <c r="AB228" s="719"/>
      <c r="AC228" s="719"/>
      <c r="AD228" s="719"/>
      <c r="AE228" s="719"/>
      <c r="AF228" s="719"/>
      <c r="AG228" s="789"/>
      <c r="AH228" s="719"/>
      <c r="AI228" s="719"/>
      <c r="AJ228" s="719" t="s">
        <v>2976</v>
      </c>
      <c r="AK228" s="719"/>
      <c r="AL228" s="719"/>
      <c r="AM228" s="719"/>
      <c r="AN228" s="719"/>
      <c r="AO228" s="719"/>
      <c r="AP228" s="719"/>
      <c r="AQ228" s="724">
        <f>+FL_1($T$229,$T$227,$G$228,1200,9.28, 1*$F$229)</f>
        <v>0.33477011200000001</v>
      </c>
      <c r="AR228" s="724"/>
      <c r="AS228" s="724"/>
      <c r="AT228" s="724"/>
      <c r="AU228" s="724"/>
      <c r="AV228" s="724"/>
      <c r="AW228" s="719"/>
      <c r="AX228" s="719"/>
      <c r="AY228" s="719"/>
      <c r="AZ228" s="532"/>
    </row>
    <row r="229" spans="1:52" ht="15.75" hidden="1" customHeight="1">
      <c r="A229" s="716" t="s">
        <v>677</v>
      </c>
      <c r="B229" s="717" t="s">
        <v>1775</v>
      </c>
      <c r="C229" s="789">
        <f>+$C$227+$G$228</f>
        <v>36012</v>
      </c>
      <c r="D229" s="719"/>
      <c r="E229" s="719"/>
      <c r="F229" s="720">
        <v>0</v>
      </c>
      <c r="G229" s="721"/>
      <c r="H229" s="726"/>
      <c r="I229" s="722"/>
      <c r="J229" s="718"/>
      <c r="K229" s="719"/>
      <c r="L229" s="719" t="s">
        <v>241</v>
      </c>
      <c r="M229" s="719"/>
      <c r="N229" s="726" t="s">
        <v>696</v>
      </c>
      <c r="O229" s="726"/>
      <c r="P229" s="726"/>
      <c r="Q229" s="719">
        <v>0</v>
      </c>
      <c r="R229" s="719">
        <v>0</v>
      </c>
      <c r="S229" s="719"/>
      <c r="T229" s="719">
        <v>30</v>
      </c>
      <c r="U229" s="719"/>
      <c r="V229" s="719"/>
      <c r="W229" s="719">
        <v>1.1000000000000001</v>
      </c>
      <c r="X229" s="719"/>
      <c r="Y229" s="719"/>
      <c r="Z229" s="719"/>
      <c r="AA229" s="719"/>
      <c r="AB229" s="719"/>
      <c r="AC229" s="719" t="s">
        <v>2977</v>
      </c>
      <c r="AD229" s="719"/>
      <c r="AE229" s="719"/>
      <c r="AF229" s="719">
        <v>200</v>
      </c>
      <c r="AG229" s="789">
        <v>36011.57</v>
      </c>
      <c r="AH229" s="719">
        <v>1384</v>
      </c>
      <c r="AI229" s="719">
        <v>-5197</v>
      </c>
      <c r="AJ229" s="719"/>
      <c r="AK229" s="719"/>
      <c r="AL229" s="719"/>
      <c r="AM229" s="719" t="s">
        <v>2608</v>
      </c>
      <c r="AN229" s="719">
        <v>5.25</v>
      </c>
      <c r="AO229" s="719"/>
      <c r="AP229" s="719"/>
      <c r="AQ229" s="724"/>
      <c r="AR229" s="724"/>
      <c r="AS229" s="724"/>
      <c r="AT229" s="724">
        <f>+ab($T$229,$T$227,$T$231,$G$228,$G$230, 1*$F$229,1200)</f>
        <v>7.9442083933778509</v>
      </c>
      <c r="AU229" s="724"/>
      <c r="AV229" s="724"/>
      <c r="AW229" s="719"/>
      <c r="AX229" s="719"/>
      <c r="AY229" s="719"/>
      <c r="AZ229" s="532"/>
    </row>
    <row r="230" spans="1:52" ht="15.75" hidden="1" customHeight="1">
      <c r="A230" s="716"/>
      <c r="B230" s="717"/>
      <c r="C230" s="789"/>
      <c r="D230" s="719"/>
      <c r="E230" s="719"/>
      <c r="F230" s="720"/>
      <c r="G230" s="721">
        <v>50</v>
      </c>
      <c r="H230" s="719"/>
      <c r="I230" s="722"/>
      <c r="J230" s="718"/>
      <c r="K230" s="719"/>
      <c r="L230" s="719"/>
      <c r="M230" s="719"/>
      <c r="N230" s="726"/>
      <c r="O230" s="726"/>
      <c r="P230" s="726"/>
      <c r="Q230" s="719"/>
      <c r="R230" s="719"/>
      <c r="S230" s="724">
        <f t="shared" ref="S230" si="92">AG231-AG229</f>
        <v>51.25</v>
      </c>
      <c r="T230" s="719"/>
      <c r="U230" s="719"/>
      <c r="V230" s="719"/>
      <c r="W230" s="719"/>
      <c r="X230" s="719"/>
      <c r="Y230" s="719"/>
      <c r="Z230" s="719"/>
      <c r="AA230" s="719"/>
      <c r="AB230" s="719"/>
      <c r="AC230" s="719"/>
      <c r="AD230" s="719"/>
      <c r="AE230" s="719"/>
      <c r="AF230" s="719"/>
      <c r="AG230" s="789"/>
      <c r="AH230" s="719"/>
      <c r="AI230" s="719"/>
      <c r="AJ230" s="719"/>
      <c r="AK230" s="719"/>
      <c r="AL230" s="719"/>
      <c r="AM230" s="719"/>
      <c r="AN230" s="719"/>
      <c r="AO230" s="719"/>
      <c r="AP230" s="719"/>
      <c r="AQ230" s="724">
        <f>+FL_2($T$231,$T$229,$G$230,1200,9.28, 1*$F$231)</f>
        <v>-0.33477011200000001</v>
      </c>
      <c r="AR230" s="724"/>
      <c r="AS230" s="724"/>
      <c r="AT230" s="724"/>
      <c r="AU230" s="724"/>
      <c r="AV230" s="724"/>
      <c r="AW230" s="719"/>
      <c r="AX230" s="719"/>
      <c r="AY230" s="719"/>
      <c r="AZ230" s="532"/>
    </row>
    <row r="231" spans="1:52" ht="15.75" hidden="1" customHeight="1">
      <c r="A231" s="716" t="s">
        <v>677</v>
      </c>
      <c r="B231" s="717" t="s">
        <v>1776</v>
      </c>
      <c r="C231" s="789">
        <f>+$C$229+$G$230</f>
        <v>36062</v>
      </c>
      <c r="D231" s="719"/>
      <c r="E231" s="719"/>
      <c r="F231" s="720">
        <v>0</v>
      </c>
      <c r="G231" s="721"/>
      <c r="H231" s="726"/>
      <c r="I231" s="722"/>
      <c r="J231" s="718"/>
      <c r="K231" s="719"/>
      <c r="L231" s="719" t="s">
        <v>241</v>
      </c>
      <c r="M231" s="719"/>
      <c r="N231" s="726" t="s">
        <v>695</v>
      </c>
      <c r="O231" s="726"/>
      <c r="P231" s="726"/>
      <c r="Q231" s="719">
        <v>0</v>
      </c>
      <c r="R231" s="719">
        <v>0</v>
      </c>
      <c r="S231" s="719"/>
      <c r="T231" s="719">
        <v>-30</v>
      </c>
      <c r="U231" s="719"/>
      <c r="V231" s="719"/>
      <c r="W231" s="719">
        <v>1.1000000000000001</v>
      </c>
      <c r="X231" s="719"/>
      <c r="Y231" s="719"/>
      <c r="Z231" s="719"/>
      <c r="AA231" s="719"/>
      <c r="AB231" s="719"/>
      <c r="AC231" s="719" t="s">
        <v>2979</v>
      </c>
      <c r="AD231" s="719"/>
      <c r="AE231" s="719"/>
      <c r="AF231" s="719">
        <v>200</v>
      </c>
      <c r="AG231" s="789">
        <v>36062.82</v>
      </c>
      <c r="AH231" s="719">
        <v>1416</v>
      </c>
      <c r="AI231" s="719">
        <v>-5153</v>
      </c>
      <c r="AJ231" s="719"/>
      <c r="AK231" s="719"/>
      <c r="AL231" s="719"/>
      <c r="AM231" s="719" t="s">
        <v>2608</v>
      </c>
      <c r="AN231" s="719">
        <v>5.25</v>
      </c>
      <c r="AO231" s="719"/>
      <c r="AP231" s="719"/>
      <c r="AQ231" s="724"/>
      <c r="AR231" s="724"/>
      <c r="AS231" s="724"/>
      <c r="AT231" s="724">
        <f>+ab($T$231,$T$229,$T$233,$G$230,$G$232, 1*$F$231,1200)</f>
        <v>-7.9442410717051439</v>
      </c>
      <c r="AU231" s="724"/>
      <c r="AV231" s="724"/>
      <c r="AW231" s="719"/>
      <c r="AX231" s="719"/>
      <c r="AY231" s="719"/>
      <c r="AZ231" s="532"/>
    </row>
    <row r="232" spans="1:52" ht="15.75" hidden="1" customHeight="1">
      <c r="A232" s="716"/>
      <c r="B232" s="717"/>
      <c r="C232" s="789"/>
      <c r="D232" s="719"/>
      <c r="E232" s="719"/>
      <c r="F232" s="720"/>
      <c r="G232" s="721">
        <v>50</v>
      </c>
      <c r="H232" s="726"/>
      <c r="I232" s="722"/>
      <c r="J232" s="718"/>
      <c r="K232" s="719"/>
      <c r="L232" s="719"/>
      <c r="M232" s="719"/>
      <c r="N232" s="726"/>
      <c r="O232" s="726"/>
      <c r="P232" s="731"/>
      <c r="Q232" s="719"/>
      <c r="R232" s="719"/>
      <c r="S232" s="724">
        <f t="shared" ref="S232" si="93">AG233-AG231</f>
        <v>49.639999999999418</v>
      </c>
      <c r="T232" s="719"/>
      <c r="U232" s="719"/>
      <c r="V232" s="719"/>
      <c r="W232" s="719"/>
      <c r="X232" s="719"/>
      <c r="Y232" s="719"/>
      <c r="Z232" s="719"/>
      <c r="AA232" s="719"/>
      <c r="AB232" s="719"/>
      <c r="AC232" s="719"/>
      <c r="AD232" s="719"/>
      <c r="AE232" s="719"/>
      <c r="AF232" s="719"/>
      <c r="AG232" s="789"/>
      <c r="AH232" s="719"/>
      <c r="AI232" s="719"/>
      <c r="AJ232" s="719"/>
      <c r="AK232" s="719"/>
      <c r="AL232" s="719"/>
      <c r="AM232" s="719"/>
      <c r="AN232" s="719"/>
      <c r="AO232" s="719"/>
      <c r="AP232" s="719"/>
      <c r="AQ232" s="724">
        <f>+FL_1($T$233,$T$231,$G$232,1200,9.28, 1*$F$233)</f>
        <v>0.33477011200000001</v>
      </c>
      <c r="AR232" s="724"/>
      <c r="AS232" s="724"/>
      <c r="AT232" s="724"/>
      <c r="AU232" s="724"/>
      <c r="AV232" s="724"/>
      <c r="AW232" s="719"/>
      <c r="AX232" s="719"/>
      <c r="AY232" s="719"/>
      <c r="AZ232" s="532"/>
    </row>
    <row r="233" spans="1:52" ht="15.75" hidden="1" customHeight="1">
      <c r="A233" s="716" t="s">
        <v>677</v>
      </c>
      <c r="B233" s="717" t="s">
        <v>1777</v>
      </c>
      <c r="C233" s="789">
        <f>+$C$231+$G$232</f>
        <v>36112</v>
      </c>
      <c r="D233" s="719"/>
      <c r="E233" s="719"/>
      <c r="F233" s="720">
        <v>0</v>
      </c>
      <c r="G233" s="721"/>
      <c r="H233" s="726"/>
      <c r="I233" s="722"/>
      <c r="J233" s="718"/>
      <c r="K233" s="719"/>
      <c r="L233" s="719" t="s">
        <v>241</v>
      </c>
      <c r="M233" s="719"/>
      <c r="N233" s="726" t="s">
        <v>696</v>
      </c>
      <c r="O233" s="726"/>
      <c r="P233" s="731"/>
      <c r="Q233" s="719">
        <v>0</v>
      </c>
      <c r="R233" s="719">
        <v>0</v>
      </c>
      <c r="S233" s="719"/>
      <c r="T233" s="719">
        <v>30</v>
      </c>
      <c r="U233" s="719"/>
      <c r="V233" s="719"/>
      <c r="W233" s="719">
        <v>1.1000000000000001</v>
      </c>
      <c r="X233" s="719"/>
      <c r="Y233" s="719"/>
      <c r="Z233" s="719"/>
      <c r="AA233" s="719"/>
      <c r="AB233" s="719"/>
      <c r="AC233" s="719" t="s">
        <v>2977</v>
      </c>
      <c r="AD233" s="719"/>
      <c r="AE233" s="719"/>
      <c r="AF233" s="719">
        <v>200</v>
      </c>
      <c r="AG233" s="789">
        <v>36112.46</v>
      </c>
      <c r="AH233" s="719">
        <v>1422</v>
      </c>
      <c r="AI233" s="719">
        <v>-5172</v>
      </c>
      <c r="AJ233" s="719"/>
      <c r="AK233" s="719"/>
      <c r="AL233" s="719"/>
      <c r="AM233" s="719" t="s">
        <v>2608</v>
      </c>
      <c r="AN233" s="719">
        <v>5.25</v>
      </c>
      <c r="AO233" s="719"/>
      <c r="AP233" s="719"/>
      <c r="AQ233" s="724"/>
      <c r="AR233" s="724"/>
      <c r="AS233" s="724"/>
      <c r="AT233" s="724">
        <f>+ab($T$233,$T$231,$T$235,$G$232,$G$234, 1*$F$233,1200)</f>
        <v>7.9442083933778509</v>
      </c>
      <c r="AU233" s="724"/>
      <c r="AV233" s="724"/>
      <c r="AW233" s="719"/>
      <c r="AX233" s="719"/>
      <c r="AY233" s="719"/>
      <c r="AZ233" s="532"/>
    </row>
    <row r="234" spans="1:52" ht="15.75" hidden="1" customHeight="1">
      <c r="A234" s="716"/>
      <c r="B234" s="717"/>
      <c r="C234" s="789"/>
      <c r="D234" s="719"/>
      <c r="E234" s="719"/>
      <c r="F234" s="720"/>
      <c r="G234" s="721">
        <v>50</v>
      </c>
      <c r="H234" s="726"/>
      <c r="I234" s="722"/>
      <c r="J234" s="718"/>
      <c r="K234" s="719"/>
      <c r="L234" s="719"/>
      <c r="M234" s="719"/>
      <c r="N234" s="726"/>
      <c r="O234" s="726"/>
      <c r="P234" s="731"/>
      <c r="Q234" s="719"/>
      <c r="R234" s="719"/>
      <c r="S234" s="724">
        <f t="shared" ref="S234" si="94">AG235-AG233</f>
        <v>48.020000000004075</v>
      </c>
      <c r="T234" s="719"/>
      <c r="U234" s="719"/>
      <c r="V234" s="719"/>
      <c r="W234" s="719"/>
      <c r="X234" s="719"/>
      <c r="Y234" s="719"/>
      <c r="Z234" s="719"/>
      <c r="AA234" s="719"/>
      <c r="AB234" s="719"/>
      <c r="AC234" s="719"/>
      <c r="AD234" s="719"/>
      <c r="AE234" s="719"/>
      <c r="AF234" s="719"/>
      <c r="AG234" s="789"/>
      <c r="AH234" s="719"/>
      <c r="AI234" s="719"/>
      <c r="AJ234" s="719"/>
      <c r="AK234" s="719"/>
      <c r="AL234" s="719"/>
      <c r="AM234" s="719"/>
      <c r="AN234" s="719"/>
      <c r="AO234" s="719"/>
      <c r="AP234" s="719"/>
      <c r="AQ234" s="724">
        <f>+FL_2($T$235,$T$233,$G$234,1200,9.28, 1*$F$235)</f>
        <v>-0.33477011200000001</v>
      </c>
      <c r="AR234" s="724"/>
      <c r="AS234" s="724"/>
      <c r="AT234" s="724"/>
      <c r="AU234" s="724"/>
      <c r="AV234" s="724"/>
      <c r="AW234" s="719"/>
      <c r="AX234" s="719"/>
      <c r="AY234" s="719"/>
      <c r="AZ234" s="532"/>
    </row>
    <row r="235" spans="1:52" ht="15.75" customHeight="1">
      <c r="A235" s="716" t="s">
        <v>677</v>
      </c>
      <c r="B235" s="717" t="s">
        <v>1778</v>
      </c>
      <c r="C235" s="789">
        <f>+$C$233+$G$234</f>
        <v>36162</v>
      </c>
      <c r="D235" s="719"/>
      <c r="E235" s="719"/>
      <c r="F235" s="720">
        <v>0</v>
      </c>
      <c r="G235" s="721"/>
      <c r="H235" s="726" t="s">
        <v>1101</v>
      </c>
      <c r="I235" s="722"/>
      <c r="J235" s="718"/>
      <c r="K235" s="719"/>
      <c r="L235" s="719" t="s">
        <v>241</v>
      </c>
      <c r="M235" s="719"/>
      <c r="N235" s="726" t="s">
        <v>695</v>
      </c>
      <c r="O235" s="726"/>
      <c r="P235" s="731"/>
      <c r="Q235" s="719">
        <v>0</v>
      </c>
      <c r="R235" s="719">
        <v>0</v>
      </c>
      <c r="S235" s="719"/>
      <c r="T235" s="719">
        <v>-30</v>
      </c>
      <c r="U235" s="719"/>
      <c r="V235" s="719"/>
      <c r="W235" s="719">
        <v>1.1000000000000001</v>
      </c>
      <c r="X235" s="719"/>
      <c r="Y235" s="719"/>
      <c r="Z235" s="719"/>
      <c r="AA235" s="719"/>
      <c r="AB235" s="719"/>
      <c r="AC235" s="719" t="s">
        <v>2979</v>
      </c>
      <c r="AD235" s="719"/>
      <c r="AE235" s="719"/>
      <c r="AF235" s="719">
        <v>200</v>
      </c>
      <c r="AG235" s="789">
        <v>36160.480000000003</v>
      </c>
      <c r="AH235" s="719">
        <v>1406</v>
      </c>
      <c r="AI235" s="719">
        <v>-5135</v>
      </c>
      <c r="AJ235" s="719"/>
      <c r="AK235" s="719"/>
      <c r="AL235" s="719"/>
      <c r="AM235" s="719" t="s">
        <v>2608</v>
      </c>
      <c r="AN235" s="719">
        <v>5.25</v>
      </c>
      <c r="AO235" s="719"/>
      <c r="AP235" s="719"/>
      <c r="AQ235" s="724"/>
      <c r="AR235" s="724"/>
      <c r="AS235" s="724"/>
      <c r="AT235" s="724">
        <f>+ab($T$235,$T$233,$T$237,$G$234,$G$236, 1*$F$235,1200)</f>
        <v>-7.9442410717051439</v>
      </c>
      <c r="AU235" s="724"/>
      <c r="AV235" s="724"/>
      <c r="AW235" s="719"/>
      <c r="AX235" s="719"/>
      <c r="AY235" s="719"/>
      <c r="AZ235" s="532"/>
    </row>
    <row r="236" spans="1:52" ht="15.75" hidden="1" customHeight="1">
      <c r="A236" s="716"/>
      <c r="B236" s="717"/>
      <c r="C236" s="789"/>
      <c r="D236" s="719"/>
      <c r="E236" s="719"/>
      <c r="F236" s="720"/>
      <c r="G236" s="721">
        <v>50</v>
      </c>
      <c r="H236" s="726"/>
      <c r="I236" s="722">
        <f>+SUM(G220:G236)</f>
        <v>450</v>
      </c>
      <c r="J236" s="718">
        <f>C235+1</f>
        <v>36163</v>
      </c>
      <c r="K236" s="719" t="s">
        <v>1102</v>
      </c>
      <c r="L236" s="719"/>
      <c r="M236" s="719"/>
      <c r="N236" s="726"/>
      <c r="O236" s="726"/>
      <c r="P236" s="731"/>
      <c r="Q236" s="719"/>
      <c r="R236" s="719"/>
      <c r="S236" s="724">
        <f t="shared" ref="S236" si="95">AG237-AG235</f>
        <v>51.349999999998545</v>
      </c>
      <c r="T236" s="719"/>
      <c r="U236" s="719"/>
      <c r="V236" s="719"/>
      <c r="W236" s="719"/>
      <c r="X236" s="719"/>
      <c r="Y236" s="719"/>
      <c r="Z236" s="719"/>
      <c r="AA236" s="719"/>
      <c r="AB236" s="719"/>
      <c r="AC236" s="719"/>
      <c r="AD236" s="719"/>
      <c r="AE236" s="719"/>
      <c r="AF236" s="719"/>
      <c r="AG236" s="789"/>
      <c r="AH236" s="719"/>
      <c r="AI236" s="719"/>
      <c r="AJ236" s="719"/>
      <c r="AK236" s="719"/>
      <c r="AL236" s="719"/>
      <c r="AM236" s="719"/>
      <c r="AN236" s="719"/>
      <c r="AO236" s="719"/>
      <c r="AP236" s="719"/>
      <c r="AQ236" s="724">
        <f>+FL_1($T$237,$T$235,$G$236,1200,9.28, 1*$F$237)</f>
        <v>0.33477011200000001</v>
      </c>
      <c r="AR236" s="724"/>
      <c r="AS236" s="724"/>
      <c r="AT236" s="724"/>
      <c r="AU236" s="724"/>
      <c r="AV236" s="724"/>
      <c r="AW236" s="719"/>
      <c r="AX236" s="719"/>
      <c r="AY236" s="719"/>
      <c r="AZ236" s="532"/>
    </row>
    <row r="237" spans="1:52" ht="15.75" customHeight="1">
      <c r="A237" s="716" t="s">
        <v>677</v>
      </c>
      <c r="B237" s="718" t="s">
        <v>1779</v>
      </c>
      <c r="C237" s="789">
        <f>+$C$235+$G$236</f>
        <v>36212</v>
      </c>
      <c r="D237" s="719"/>
      <c r="E237" s="719"/>
      <c r="F237" s="720">
        <v>0</v>
      </c>
      <c r="G237" s="721"/>
      <c r="H237" s="726" t="s">
        <v>997</v>
      </c>
      <c r="I237" s="726"/>
      <c r="J237" s="718"/>
      <c r="K237" s="719"/>
      <c r="L237" s="719" t="s">
        <v>241</v>
      </c>
      <c r="M237" s="719"/>
      <c r="N237" s="726" t="s">
        <v>696</v>
      </c>
      <c r="O237" s="726"/>
      <c r="P237" s="731"/>
      <c r="Q237" s="719">
        <v>0</v>
      </c>
      <c r="R237" s="719">
        <v>0</v>
      </c>
      <c r="S237" s="719"/>
      <c r="T237" s="719">
        <v>30</v>
      </c>
      <c r="U237" s="719"/>
      <c r="V237" s="719"/>
      <c r="W237" s="719">
        <v>1.1000000000000001</v>
      </c>
      <c r="X237" s="719"/>
      <c r="Y237" s="719"/>
      <c r="Z237" s="719"/>
      <c r="AA237" s="719"/>
      <c r="AB237" s="719"/>
      <c r="AC237" s="719" t="s">
        <v>2977</v>
      </c>
      <c r="AD237" s="719"/>
      <c r="AE237" s="719"/>
      <c r="AF237" s="719">
        <v>200</v>
      </c>
      <c r="AG237" s="789">
        <v>36211.83</v>
      </c>
      <c r="AH237" s="719">
        <v>1396</v>
      </c>
      <c r="AI237" s="719">
        <v>-5071</v>
      </c>
      <c r="AJ237" s="719"/>
      <c r="AK237" s="719"/>
      <c r="AL237" s="719"/>
      <c r="AM237" s="719" t="s">
        <v>2608</v>
      </c>
      <c r="AN237" s="719">
        <v>5.25</v>
      </c>
      <c r="AO237" s="719"/>
      <c r="AP237" s="719"/>
      <c r="AQ237" s="724"/>
      <c r="AR237" s="724"/>
      <c r="AS237" s="724"/>
      <c r="AT237" s="724">
        <f>+ab($T$237,$T$235,$T$239,$G$236,$G$238, 1*$F$237,1200)</f>
        <v>7.9442083933778509</v>
      </c>
      <c r="AU237" s="724"/>
      <c r="AV237" s="724"/>
      <c r="AW237" s="719"/>
      <c r="AX237" s="719"/>
      <c r="AY237" s="719"/>
      <c r="AZ237" s="532"/>
    </row>
    <row r="238" spans="1:52" ht="15.75" hidden="1" customHeight="1">
      <c r="A238" s="716"/>
      <c r="B238" s="718"/>
      <c r="C238" s="789"/>
      <c r="D238" s="719"/>
      <c r="E238" s="719"/>
      <c r="F238" s="720"/>
      <c r="G238" s="721">
        <v>50</v>
      </c>
      <c r="H238" s="726"/>
      <c r="I238" s="726">
        <f>SUM(G238:G254)</f>
        <v>450</v>
      </c>
      <c r="J238" s="762">
        <f>C239-1</f>
        <v>36261</v>
      </c>
      <c r="K238" s="719" t="s">
        <v>1102</v>
      </c>
      <c r="L238" s="719"/>
      <c r="M238" s="719"/>
      <c r="N238" s="726"/>
      <c r="O238" s="726"/>
      <c r="P238" s="731"/>
      <c r="Q238" s="719"/>
      <c r="R238" s="719"/>
      <c r="S238" s="724">
        <f t="shared" ref="S238" si="96">AG239-AG237</f>
        <v>49.709999999999127</v>
      </c>
      <c r="T238" s="719"/>
      <c r="U238" s="719"/>
      <c r="V238" s="719"/>
      <c r="W238" s="719"/>
      <c r="X238" s="719"/>
      <c r="Y238" s="719"/>
      <c r="Z238" s="719"/>
      <c r="AA238" s="719"/>
      <c r="AB238" s="719"/>
      <c r="AC238" s="719"/>
      <c r="AD238" s="719"/>
      <c r="AE238" s="719"/>
      <c r="AF238" s="719"/>
      <c r="AG238" s="789"/>
      <c r="AH238" s="719"/>
      <c r="AI238" s="719"/>
      <c r="AJ238" s="719"/>
      <c r="AK238" s="719"/>
      <c r="AL238" s="719"/>
      <c r="AM238" s="719"/>
      <c r="AN238" s="719"/>
      <c r="AO238" s="719"/>
      <c r="AP238" s="719"/>
      <c r="AQ238" s="724">
        <f>+FL_2($T$239,$T$237,$G$238,1200,9.28, 1*$F$239)</f>
        <v>-0.33477011200000001</v>
      </c>
      <c r="AR238" s="724"/>
      <c r="AS238" s="724"/>
      <c r="AT238" s="724"/>
      <c r="AU238" s="724"/>
      <c r="AV238" s="724"/>
      <c r="AW238" s="719"/>
      <c r="AX238" s="719"/>
      <c r="AY238" s="719"/>
      <c r="AZ238" s="532"/>
    </row>
    <row r="239" spans="1:52" ht="15.75" customHeight="1">
      <c r="A239" s="716" t="s">
        <v>677</v>
      </c>
      <c r="B239" s="718" t="s">
        <v>1780</v>
      </c>
      <c r="C239" s="789">
        <f>+$C$237+$G$238</f>
        <v>36262</v>
      </c>
      <c r="D239" s="719"/>
      <c r="E239" s="719"/>
      <c r="F239" s="720">
        <v>0</v>
      </c>
      <c r="G239" s="721"/>
      <c r="H239" s="726" t="s">
        <v>1101</v>
      </c>
      <c r="I239" s="726"/>
      <c r="J239" s="762"/>
      <c r="K239" s="719"/>
      <c r="L239" s="719" t="s">
        <v>241</v>
      </c>
      <c r="M239" s="719"/>
      <c r="N239" s="726" t="s">
        <v>695</v>
      </c>
      <c r="O239" s="726"/>
      <c r="P239" s="731"/>
      <c r="Q239" s="719">
        <v>0</v>
      </c>
      <c r="R239" s="719">
        <v>0</v>
      </c>
      <c r="S239" s="719"/>
      <c r="T239" s="719">
        <v>-30</v>
      </c>
      <c r="U239" s="719"/>
      <c r="V239" s="719"/>
      <c r="W239" s="719">
        <v>1.1000000000000001</v>
      </c>
      <c r="X239" s="719"/>
      <c r="Y239" s="719"/>
      <c r="Z239" s="719"/>
      <c r="AA239" s="719"/>
      <c r="AB239" s="719"/>
      <c r="AC239" s="719" t="s">
        <v>2979</v>
      </c>
      <c r="AD239" s="719"/>
      <c r="AE239" s="719"/>
      <c r="AF239" s="719">
        <v>200</v>
      </c>
      <c r="AG239" s="789">
        <v>36261.54</v>
      </c>
      <c r="AH239" s="719">
        <v>1406</v>
      </c>
      <c r="AI239" s="719">
        <v>-5130</v>
      </c>
      <c r="AJ239" s="719"/>
      <c r="AK239" s="719"/>
      <c r="AL239" s="719"/>
      <c r="AM239" s="719" t="s">
        <v>2608</v>
      </c>
      <c r="AN239" s="719">
        <v>5.25</v>
      </c>
      <c r="AO239" s="719"/>
      <c r="AP239" s="719"/>
      <c r="AQ239" s="724"/>
      <c r="AR239" s="724"/>
      <c r="AS239" s="724"/>
      <c r="AT239" s="724">
        <f>+ab($T$239,$T$237,$T$241,$G$238,$G$240, 1*$F$239,1200)</f>
        <v>-7.9442410717051439</v>
      </c>
      <c r="AU239" s="724"/>
      <c r="AV239" s="724"/>
      <c r="AW239" s="719"/>
      <c r="AX239" s="719"/>
      <c r="AY239" s="719"/>
      <c r="AZ239" s="532"/>
    </row>
    <row r="240" spans="1:52" ht="15.75" hidden="1" customHeight="1">
      <c r="A240" s="716"/>
      <c r="B240" s="718"/>
      <c r="C240" s="789"/>
      <c r="D240" s="719"/>
      <c r="E240" s="719"/>
      <c r="F240" s="720"/>
      <c r="G240" s="721">
        <v>50</v>
      </c>
      <c r="H240" s="726"/>
      <c r="I240" s="726"/>
      <c r="J240" s="762"/>
      <c r="K240" s="719"/>
      <c r="L240" s="719"/>
      <c r="M240" s="719"/>
      <c r="N240" s="726"/>
      <c r="O240" s="726"/>
      <c r="P240" s="731"/>
      <c r="Q240" s="719"/>
      <c r="R240" s="719"/>
      <c r="S240" s="724">
        <f t="shared" ref="S240" si="97">AG241-AG239</f>
        <v>51.229999999995925</v>
      </c>
      <c r="T240" s="719"/>
      <c r="U240" s="719"/>
      <c r="V240" s="719"/>
      <c r="W240" s="719"/>
      <c r="X240" s="719"/>
      <c r="Y240" s="719"/>
      <c r="Z240" s="719"/>
      <c r="AA240" s="719"/>
      <c r="AB240" s="719"/>
      <c r="AC240" s="719"/>
      <c r="AD240" s="719"/>
      <c r="AE240" s="719"/>
      <c r="AF240" s="719"/>
      <c r="AG240" s="789"/>
      <c r="AH240" s="719"/>
      <c r="AI240" s="719"/>
      <c r="AJ240" s="719"/>
      <c r="AK240" s="719"/>
      <c r="AL240" s="719"/>
      <c r="AM240" s="719"/>
      <c r="AN240" s="719"/>
      <c r="AO240" s="719"/>
      <c r="AP240" s="719"/>
      <c r="AQ240" s="724">
        <f>+FL_1($T$241,$T$239,$G$240,1200,9.28, 1*$F$241)</f>
        <v>0.33477011200000001</v>
      </c>
      <c r="AR240" s="724"/>
      <c r="AS240" s="724"/>
      <c r="AT240" s="724"/>
      <c r="AU240" s="724"/>
      <c r="AV240" s="724"/>
      <c r="AW240" s="719"/>
      <c r="AX240" s="719"/>
      <c r="AY240" s="719"/>
      <c r="AZ240" s="532"/>
    </row>
    <row r="241" spans="1:52" ht="15.75" hidden="1" customHeight="1">
      <c r="A241" s="716" t="s">
        <v>677</v>
      </c>
      <c r="B241" s="718" t="s">
        <v>1781</v>
      </c>
      <c r="C241" s="789">
        <f>+$C$239+$G$240</f>
        <v>36312</v>
      </c>
      <c r="D241" s="719"/>
      <c r="E241" s="719"/>
      <c r="F241" s="720">
        <v>0</v>
      </c>
      <c r="G241" s="721"/>
      <c r="H241" s="726"/>
      <c r="I241" s="726"/>
      <c r="J241" s="762"/>
      <c r="K241" s="719"/>
      <c r="L241" s="719" t="s">
        <v>241</v>
      </c>
      <c r="M241" s="719"/>
      <c r="N241" s="726" t="s">
        <v>696</v>
      </c>
      <c r="O241" s="726"/>
      <c r="P241" s="731"/>
      <c r="Q241" s="719">
        <v>0</v>
      </c>
      <c r="R241" s="719">
        <v>0</v>
      </c>
      <c r="S241" s="719"/>
      <c r="T241" s="719">
        <v>30</v>
      </c>
      <c r="U241" s="719"/>
      <c r="V241" s="719"/>
      <c r="W241" s="719">
        <v>1.1000000000000001</v>
      </c>
      <c r="X241" s="719"/>
      <c r="Y241" s="719"/>
      <c r="Z241" s="719"/>
      <c r="AA241" s="719"/>
      <c r="AB241" s="719"/>
      <c r="AC241" s="719" t="s">
        <v>2977</v>
      </c>
      <c r="AD241" s="719"/>
      <c r="AE241" s="719"/>
      <c r="AF241" s="719">
        <v>200</v>
      </c>
      <c r="AG241" s="789">
        <v>36312.769999999997</v>
      </c>
      <c r="AH241" s="719">
        <v>1406</v>
      </c>
      <c r="AI241" s="719">
        <v>-5154</v>
      </c>
      <c r="AJ241" s="719"/>
      <c r="AK241" s="719"/>
      <c r="AL241" s="719"/>
      <c r="AM241" s="719" t="s">
        <v>2608</v>
      </c>
      <c r="AN241" s="719">
        <v>5.25</v>
      </c>
      <c r="AO241" s="719"/>
      <c r="AP241" s="719"/>
      <c r="AQ241" s="724"/>
      <c r="AR241" s="724"/>
      <c r="AS241" s="724"/>
      <c r="AT241" s="724">
        <f>+ab($T$241,$T$239,$T$243,$G$240,$G$242, 1*$F$241,1200)</f>
        <v>7.9442083933778509</v>
      </c>
      <c r="AU241" s="724"/>
      <c r="AV241" s="724"/>
      <c r="AW241" s="719"/>
      <c r="AX241" s="719"/>
      <c r="AY241" s="719"/>
      <c r="AZ241" s="532"/>
    </row>
    <row r="242" spans="1:52" ht="15.75" hidden="1" customHeight="1">
      <c r="A242" s="716"/>
      <c r="B242" s="718"/>
      <c r="C242" s="789"/>
      <c r="D242" s="719"/>
      <c r="E242" s="719"/>
      <c r="F242" s="720"/>
      <c r="G242" s="721">
        <v>50</v>
      </c>
      <c r="H242" s="726"/>
      <c r="I242" s="726"/>
      <c r="J242" s="762"/>
      <c r="K242" s="719"/>
      <c r="L242" s="719"/>
      <c r="M242" s="719"/>
      <c r="N242" s="726"/>
      <c r="O242" s="726"/>
      <c r="P242" s="731"/>
      <c r="Q242" s="719"/>
      <c r="R242" s="719"/>
      <c r="S242" s="724">
        <f t="shared" ref="S242" si="98">AG243-AG241</f>
        <v>48.110000000000582</v>
      </c>
      <c r="T242" s="719"/>
      <c r="U242" s="719"/>
      <c r="V242" s="719"/>
      <c r="W242" s="719"/>
      <c r="X242" s="719"/>
      <c r="Y242" s="719"/>
      <c r="Z242" s="719"/>
      <c r="AA242" s="719"/>
      <c r="AB242" s="719"/>
      <c r="AC242" s="719"/>
      <c r="AD242" s="719"/>
      <c r="AE242" s="719"/>
      <c r="AF242" s="719"/>
      <c r="AG242" s="789"/>
      <c r="AH242" s="719"/>
      <c r="AI242" s="719"/>
      <c r="AJ242" s="719"/>
      <c r="AK242" s="719"/>
      <c r="AL242" s="719"/>
      <c r="AM242" s="719"/>
      <c r="AN242" s="719"/>
      <c r="AO242" s="719"/>
      <c r="AP242" s="719"/>
      <c r="AQ242" s="724">
        <f>+FL_2($T$243,$T$241,$G$242,1200,9.28, 1*$F$243)</f>
        <v>-0.33477011200000001</v>
      </c>
      <c r="AR242" s="724"/>
      <c r="AS242" s="724"/>
      <c r="AT242" s="724"/>
      <c r="AU242" s="724"/>
      <c r="AV242" s="724"/>
      <c r="AW242" s="719"/>
      <c r="AX242" s="719"/>
      <c r="AY242" s="719"/>
      <c r="AZ242" s="532"/>
    </row>
    <row r="243" spans="1:52" ht="15.75" hidden="1" customHeight="1">
      <c r="A243" s="716" t="s">
        <v>677</v>
      </c>
      <c r="B243" s="718" t="s">
        <v>1782</v>
      </c>
      <c r="C243" s="789">
        <f>+$C$241+$G$242</f>
        <v>36362</v>
      </c>
      <c r="D243" s="719"/>
      <c r="E243" s="719"/>
      <c r="F243" s="720">
        <v>0</v>
      </c>
      <c r="G243" s="721"/>
      <c r="H243" s="726"/>
      <c r="I243" s="726"/>
      <c r="J243" s="718"/>
      <c r="K243" s="719"/>
      <c r="L243" s="719" t="s">
        <v>241</v>
      </c>
      <c r="M243" s="719"/>
      <c r="N243" s="726" t="s">
        <v>695</v>
      </c>
      <c r="O243" s="726"/>
      <c r="P243" s="731"/>
      <c r="Q243" s="719">
        <v>0</v>
      </c>
      <c r="R243" s="719">
        <v>0</v>
      </c>
      <c r="S243" s="719"/>
      <c r="T243" s="719">
        <v>-30</v>
      </c>
      <c r="U243" s="719"/>
      <c r="V243" s="719"/>
      <c r="W243" s="719">
        <v>1.1000000000000001</v>
      </c>
      <c r="X243" s="719"/>
      <c r="Y243" s="719"/>
      <c r="Z243" s="719"/>
      <c r="AA243" s="719"/>
      <c r="AB243" s="719"/>
      <c r="AC243" s="719" t="s">
        <v>2979</v>
      </c>
      <c r="AD243" s="719"/>
      <c r="AE243" s="719"/>
      <c r="AF243" s="719">
        <v>200</v>
      </c>
      <c r="AG243" s="789">
        <v>36360.879999999997</v>
      </c>
      <c r="AH243" s="719">
        <v>1396</v>
      </c>
      <c r="AI243" s="719">
        <v>-5109</v>
      </c>
      <c r="AJ243" s="719"/>
      <c r="AK243" s="719"/>
      <c r="AL243" s="719"/>
      <c r="AM243" s="719" t="s">
        <v>2608</v>
      </c>
      <c r="AN243" s="719">
        <v>5.25</v>
      </c>
      <c r="AO243" s="719"/>
      <c r="AP243" s="719"/>
      <c r="AQ243" s="724"/>
      <c r="AR243" s="724"/>
      <c r="AS243" s="724"/>
      <c r="AT243" s="724">
        <f>+ab($T$243,$T$241,$T$245,$G$242,$G$244, 1*$F$243,1200)</f>
        <v>-7.9442410717051439</v>
      </c>
      <c r="AU243" s="724"/>
      <c r="AV243" s="724"/>
      <c r="AW243" s="719"/>
      <c r="AX243" s="719"/>
      <c r="AY243" s="719"/>
      <c r="AZ243" s="532"/>
    </row>
    <row r="244" spans="1:52" ht="15.75" hidden="1" customHeight="1">
      <c r="A244" s="716"/>
      <c r="B244" s="718"/>
      <c r="C244" s="789"/>
      <c r="D244" s="719"/>
      <c r="E244" s="719"/>
      <c r="F244" s="720"/>
      <c r="G244" s="721">
        <v>50</v>
      </c>
      <c r="H244" s="719"/>
      <c r="I244" s="722"/>
      <c r="J244" s="763"/>
      <c r="K244" s="719"/>
      <c r="L244" s="719"/>
      <c r="M244" s="719"/>
      <c r="N244" s="726"/>
      <c r="O244" s="726"/>
      <c r="P244" s="731"/>
      <c r="Q244" s="719"/>
      <c r="R244" s="719"/>
      <c r="S244" s="724">
        <f t="shared" ref="S244" si="99">AG245-AG243</f>
        <v>51.370000000002619</v>
      </c>
      <c r="T244" s="719"/>
      <c r="U244" s="719"/>
      <c r="V244" s="719"/>
      <c r="W244" s="719"/>
      <c r="X244" s="719"/>
      <c r="Y244" s="719"/>
      <c r="Z244" s="719"/>
      <c r="AA244" s="719"/>
      <c r="AB244" s="719"/>
      <c r="AC244" s="719"/>
      <c r="AD244" s="719"/>
      <c r="AE244" s="719"/>
      <c r="AF244" s="719"/>
      <c r="AG244" s="789"/>
      <c r="AH244" s="719"/>
      <c r="AI244" s="719"/>
      <c r="AJ244" s="719"/>
      <c r="AK244" s="719"/>
      <c r="AL244" s="719"/>
      <c r="AM244" s="719"/>
      <c r="AN244" s="719"/>
      <c r="AO244" s="719"/>
      <c r="AP244" s="719"/>
      <c r="AQ244" s="724">
        <f>+FL_1($T$245,$T$243,$G$244,1200,9.28, 1*$F$245)</f>
        <v>0.33477011200000001</v>
      </c>
      <c r="AR244" s="724"/>
      <c r="AS244" s="724"/>
      <c r="AT244" s="724"/>
      <c r="AU244" s="724"/>
      <c r="AV244" s="724"/>
      <c r="AW244" s="719"/>
      <c r="AX244" s="719"/>
      <c r="AY244" s="719"/>
      <c r="AZ244" s="532"/>
    </row>
    <row r="245" spans="1:52" ht="15.75" hidden="1" customHeight="1">
      <c r="A245" s="716" t="s">
        <v>677</v>
      </c>
      <c r="B245" s="718" t="s">
        <v>1783</v>
      </c>
      <c r="C245" s="789">
        <f>+$C$243+$G$244</f>
        <v>36412</v>
      </c>
      <c r="D245" s="719"/>
      <c r="E245" s="719"/>
      <c r="F245" s="720">
        <v>0</v>
      </c>
      <c r="G245" s="721"/>
      <c r="H245" s="726"/>
      <c r="I245" s="722"/>
      <c r="J245" s="762"/>
      <c r="K245" s="719"/>
      <c r="L245" s="719" t="s">
        <v>241</v>
      </c>
      <c r="M245" s="719"/>
      <c r="N245" s="726" t="s">
        <v>696</v>
      </c>
      <c r="O245" s="726"/>
      <c r="P245" s="731"/>
      <c r="Q245" s="719">
        <v>0</v>
      </c>
      <c r="R245" s="719">
        <v>0</v>
      </c>
      <c r="S245" s="719"/>
      <c r="T245" s="719">
        <v>30</v>
      </c>
      <c r="U245" s="719"/>
      <c r="V245" s="719"/>
      <c r="W245" s="719">
        <v>1.1000000000000001</v>
      </c>
      <c r="X245" s="719"/>
      <c r="Y245" s="719"/>
      <c r="Z245" s="719"/>
      <c r="AA245" s="719"/>
      <c r="AB245" s="719"/>
      <c r="AC245" s="719" t="s">
        <v>2977</v>
      </c>
      <c r="AD245" s="719"/>
      <c r="AE245" s="719"/>
      <c r="AF245" s="719">
        <v>200</v>
      </c>
      <c r="AG245" s="789">
        <v>36412.25</v>
      </c>
      <c r="AH245" s="719">
        <v>1396</v>
      </c>
      <c r="AI245" s="719">
        <v>-5181</v>
      </c>
      <c r="AJ245" s="719"/>
      <c r="AK245" s="719"/>
      <c r="AL245" s="719"/>
      <c r="AM245" s="719" t="s">
        <v>2608</v>
      </c>
      <c r="AN245" s="719">
        <v>5.25</v>
      </c>
      <c r="AO245" s="719"/>
      <c r="AP245" s="719"/>
      <c r="AQ245" s="724"/>
      <c r="AR245" s="724"/>
      <c r="AS245" s="724"/>
      <c r="AT245" s="724">
        <f>+ab($T$245,$T$243,$T$247,$G$244,$G$246, 1*$F$245,1200)</f>
        <v>7.9442083933778509</v>
      </c>
      <c r="AU245" s="724"/>
      <c r="AV245" s="724"/>
      <c r="AW245" s="719"/>
      <c r="AX245" s="719"/>
      <c r="AY245" s="719"/>
      <c r="AZ245" s="532"/>
    </row>
    <row r="246" spans="1:52" ht="15.75" hidden="1" customHeight="1">
      <c r="A246" s="716"/>
      <c r="B246" s="718"/>
      <c r="C246" s="789"/>
      <c r="D246" s="719"/>
      <c r="E246" s="719"/>
      <c r="F246" s="720"/>
      <c r="G246" s="721">
        <v>50</v>
      </c>
      <c r="H246" s="726"/>
      <c r="I246" s="726"/>
      <c r="J246" s="762"/>
      <c r="K246" s="719"/>
      <c r="L246" s="719"/>
      <c r="M246" s="719"/>
      <c r="N246" s="726"/>
      <c r="O246" s="726"/>
      <c r="P246" s="731"/>
      <c r="Q246" s="719"/>
      <c r="R246" s="719"/>
      <c r="S246" s="724">
        <f t="shared" ref="S246" si="100">AG247-AG245</f>
        <v>48.080000000001746</v>
      </c>
      <c r="T246" s="719"/>
      <c r="U246" s="719"/>
      <c r="V246" s="719"/>
      <c r="W246" s="719"/>
      <c r="X246" s="719"/>
      <c r="Y246" s="719"/>
      <c r="Z246" s="719"/>
      <c r="AA246" s="719"/>
      <c r="AB246" s="719"/>
      <c r="AC246" s="719"/>
      <c r="AD246" s="719"/>
      <c r="AE246" s="719"/>
      <c r="AF246" s="719"/>
      <c r="AG246" s="789"/>
      <c r="AH246" s="719"/>
      <c r="AI246" s="719"/>
      <c r="AJ246" s="719"/>
      <c r="AK246" s="719"/>
      <c r="AL246" s="719"/>
      <c r="AM246" s="719"/>
      <c r="AN246" s="719"/>
      <c r="AO246" s="719"/>
      <c r="AP246" s="719"/>
      <c r="AQ246" s="724">
        <f>+FL_2($T$247,$T$245,$G$246,1200,9.28, 1*$F$247)</f>
        <v>-0.33477011200000001</v>
      </c>
      <c r="AR246" s="724"/>
      <c r="AS246" s="724"/>
      <c r="AT246" s="724"/>
      <c r="AU246" s="724"/>
      <c r="AV246" s="724"/>
      <c r="AW246" s="719"/>
      <c r="AX246" s="719"/>
      <c r="AY246" s="719"/>
      <c r="AZ246" s="532"/>
    </row>
    <row r="247" spans="1:52" ht="15.75" hidden="1" customHeight="1">
      <c r="A247" s="716" t="s">
        <v>677</v>
      </c>
      <c r="B247" s="717" t="s">
        <v>1784</v>
      </c>
      <c r="C247" s="789">
        <f>+$C$245+$G$246</f>
        <v>36462</v>
      </c>
      <c r="D247" s="719"/>
      <c r="E247" s="719"/>
      <c r="F247" s="720">
        <v>0</v>
      </c>
      <c r="G247" s="721"/>
      <c r="H247" s="726"/>
      <c r="I247" s="722"/>
      <c r="J247" s="718"/>
      <c r="K247" s="719"/>
      <c r="L247" s="719" t="s">
        <v>241</v>
      </c>
      <c r="M247" s="719"/>
      <c r="N247" s="726" t="s">
        <v>695</v>
      </c>
      <c r="O247" s="726"/>
      <c r="P247" s="731"/>
      <c r="Q247" s="719">
        <v>0</v>
      </c>
      <c r="R247" s="719">
        <v>0</v>
      </c>
      <c r="S247" s="719"/>
      <c r="T247" s="719">
        <v>-30</v>
      </c>
      <c r="U247" s="719"/>
      <c r="V247" s="719"/>
      <c r="W247" s="719">
        <v>1.1000000000000001</v>
      </c>
      <c r="X247" s="719"/>
      <c r="Y247" s="719"/>
      <c r="Z247" s="719"/>
      <c r="AA247" s="719"/>
      <c r="AB247" s="719"/>
      <c r="AC247" s="719" t="s">
        <v>2979</v>
      </c>
      <c r="AD247" s="719"/>
      <c r="AE247" s="719"/>
      <c r="AF247" s="719">
        <v>200</v>
      </c>
      <c r="AG247" s="789">
        <v>36460.33</v>
      </c>
      <c r="AH247" s="719">
        <v>1422</v>
      </c>
      <c r="AI247" s="719">
        <v>-5124</v>
      </c>
      <c r="AJ247" s="719"/>
      <c r="AK247" s="719"/>
      <c r="AL247" s="719"/>
      <c r="AM247" s="719" t="s">
        <v>2608</v>
      </c>
      <c r="AN247" s="719">
        <v>5.25</v>
      </c>
      <c r="AO247" s="719"/>
      <c r="AP247" s="719"/>
      <c r="AQ247" s="724"/>
      <c r="AR247" s="724"/>
      <c r="AS247" s="724"/>
      <c r="AT247" s="724">
        <f>+ab($T$247,$T$245,$T$249,$G$246,$G$248, 1*$F$247,1200)</f>
        <v>-7.9442410717051439</v>
      </c>
      <c r="AU247" s="724"/>
      <c r="AV247" s="724"/>
      <c r="AW247" s="719"/>
      <c r="AX247" s="719"/>
      <c r="AY247" s="719"/>
      <c r="AZ247" s="532"/>
    </row>
    <row r="248" spans="1:52" ht="15.75" hidden="1" customHeight="1">
      <c r="A248" s="716"/>
      <c r="B248" s="717"/>
      <c r="C248" s="789"/>
      <c r="D248" s="719"/>
      <c r="E248" s="719"/>
      <c r="F248" s="720"/>
      <c r="G248" s="721">
        <v>50</v>
      </c>
      <c r="H248" s="726"/>
      <c r="I248" s="722"/>
      <c r="J248" s="718"/>
      <c r="K248" s="719"/>
      <c r="L248" s="719"/>
      <c r="M248" s="719"/>
      <c r="N248" s="726"/>
      <c r="O248" s="726"/>
      <c r="P248" s="731"/>
      <c r="Q248" s="719"/>
      <c r="R248" s="719"/>
      <c r="S248" s="724">
        <f t="shared" ref="S248" si="101">AG249-AG247</f>
        <v>51.209999999999127</v>
      </c>
      <c r="T248" s="719"/>
      <c r="U248" s="719"/>
      <c r="V248" s="719"/>
      <c r="W248" s="719"/>
      <c r="X248" s="719"/>
      <c r="Y248" s="719"/>
      <c r="Z248" s="719"/>
      <c r="AA248" s="719"/>
      <c r="AB248" s="719"/>
      <c r="AC248" s="719"/>
      <c r="AD248" s="719"/>
      <c r="AE248" s="719"/>
      <c r="AF248" s="719"/>
      <c r="AG248" s="789"/>
      <c r="AH248" s="719"/>
      <c r="AI248" s="719"/>
      <c r="AJ248" s="719"/>
      <c r="AK248" s="719"/>
      <c r="AL248" s="719"/>
      <c r="AM248" s="719"/>
      <c r="AN248" s="719"/>
      <c r="AO248" s="719"/>
      <c r="AP248" s="719"/>
      <c r="AQ248" s="724">
        <f>+FL_1($T$249,$T$247,$G$248,1200,9.28, 1*$F$249)</f>
        <v>0.33477011200000001</v>
      </c>
      <c r="AR248" s="724"/>
      <c r="AS248" s="724"/>
      <c r="AT248" s="724"/>
      <c r="AU248" s="724"/>
      <c r="AV248" s="724"/>
      <c r="AW248" s="719"/>
      <c r="AX248" s="719"/>
      <c r="AY248" s="719"/>
      <c r="AZ248" s="532"/>
    </row>
    <row r="249" spans="1:52" ht="15.75" hidden="1" customHeight="1">
      <c r="A249" s="716" t="s">
        <v>677</v>
      </c>
      <c r="B249" s="717" t="s">
        <v>1785</v>
      </c>
      <c r="C249" s="789">
        <f>+$C$247+$G$248</f>
        <v>36512</v>
      </c>
      <c r="D249" s="719"/>
      <c r="E249" s="719"/>
      <c r="F249" s="720">
        <v>0</v>
      </c>
      <c r="G249" s="721"/>
      <c r="H249" s="726" t="s">
        <v>138</v>
      </c>
      <c r="I249" s="722" t="s">
        <v>948</v>
      </c>
      <c r="J249" s="718"/>
      <c r="K249" s="719"/>
      <c r="L249" s="719" t="s">
        <v>241</v>
      </c>
      <c r="M249" s="719"/>
      <c r="N249" s="726" t="s">
        <v>696</v>
      </c>
      <c r="O249" s="726"/>
      <c r="P249" s="731"/>
      <c r="Q249" s="719">
        <v>0</v>
      </c>
      <c r="R249" s="719">
        <v>0</v>
      </c>
      <c r="S249" s="719"/>
      <c r="T249" s="719">
        <v>30</v>
      </c>
      <c r="U249" s="719"/>
      <c r="V249" s="719"/>
      <c r="W249" s="719">
        <v>1.1000000000000001</v>
      </c>
      <c r="X249" s="719"/>
      <c r="Y249" s="719"/>
      <c r="Z249" s="719"/>
      <c r="AA249" s="719"/>
      <c r="AB249" s="719"/>
      <c r="AC249" s="719" t="s">
        <v>2612</v>
      </c>
      <c r="AD249" s="719"/>
      <c r="AE249" s="719"/>
      <c r="AF249" s="719">
        <v>200</v>
      </c>
      <c r="AG249" s="789">
        <v>36511.54</v>
      </c>
      <c r="AH249" s="719">
        <v>1416</v>
      </c>
      <c r="AI249" s="719">
        <v>-5101</v>
      </c>
      <c r="AJ249" s="719"/>
      <c r="AK249" s="719"/>
      <c r="AL249" s="719"/>
      <c r="AM249" s="719" t="s">
        <v>2608</v>
      </c>
      <c r="AN249" s="719">
        <v>5.25</v>
      </c>
      <c r="AO249" s="719"/>
      <c r="AP249" s="719"/>
      <c r="AQ249" s="724"/>
      <c r="AR249" s="724"/>
      <c r="AS249" s="724"/>
      <c r="AT249" s="724">
        <f>+ab($T$249,$T$247,$T$251,$G$248,$G$250, 1*$F$249,1200)</f>
        <v>9.9968917440918084</v>
      </c>
      <c r="AU249" s="724"/>
      <c r="AV249" s="724"/>
      <c r="AW249" s="719"/>
      <c r="AX249" s="719"/>
      <c r="AY249" s="719"/>
      <c r="AZ249" s="532"/>
    </row>
    <row r="250" spans="1:52" ht="15.75" hidden="1" customHeight="1">
      <c r="A250" s="716"/>
      <c r="B250" s="717"/>
      <c r="C250" s="789"/>
      <c r="D250" s="719"/>
      <c r="E250" s="719"/>
      <c r="F250" s="720"/>
      <c r="G250" s="721">
        <v>50</v>
      </c>
      <c r="H250" s="726"/>
      <c r="I250" s="722"/>
      <c r="J250" s="718">
        <f>C249+10</f>
        <v>36522</v>
      </c>
      <c r="K250" s="719" t="s">
        <v>1097</v>
      </c>
      <c r="L250" s="719"/>
      <c r="M250" s="719"/>
      <c r="N250" s="726"/>
      <c r="O250" s="726"/>
      <c r="P250" s="731"/>
      <c r="Q250" s="719"/>
      <c r="R250" s="719"/>
      <c r="S250" s="724">
        <f t="shared" ref="S250" si="102">AG251-AG249</f>
        <v>48.110000000000582</v>
      </c>
      <c r="T250" s="719"/>
      <c r="U250" s="719"/>
      <c r="V250" s="719"/>
      <c r="W250" s="719"/>
      <c r="X250" s="719"/>
      <c r="Y250" s="719"/>
      <c r="Z250" s="719"/>
      <c r="AA250" s="719"/>
      <c r="AB250" s="719"/>
      <c r="AC250" s="719"/>
      <c r="AD250" s="719"/>
      <c r="AE250" s="719"/>
      <c r="AF250" s="719"/>
      <c r="AG250" s="789"/>
      <c r="AH250" s="719"/>
      <c r="AI250" s="719"/>
      <c r="AJ250" s="719"/>
      <c r="AK250" s="719"/>
      <c r="AL250" s="719"/>
      <c r="AM250" s="719"/>
      <c r="AN250" s="719"/>
      <c r="AO250" s="719"/>
      <c r="AP250" s="719"/>
      <c r="AQ250" s="724">
        <f>+FL_2($U$251,$T$249,$G$250,1200,9.28, 1*$F$251)</f>
        <v>-0.29489941866666664</v>
      </c>
      <c r="AR250" s="724"/>
      <c r="AS250" s="724"/>
      <c r="AT250" s="724"/>
      <c r="AU250" s="724"/>
      <c r="AV250" s="724"/>
      <c r="AW250" s="719"/>
      <c r="AX250" s="719"/>
      <c r="AY250" s="719"/>
      <c r="AZ250" s="532"/>
    </row>
    <row r="251" spans="1:52" ht="15.75" hidden="1" customHeight="1">
      <c r="A251" s="716" t="s">
        <v>677</v>
      </c>
      <c r="B251" s="717" t="s">
        <v>1786</v>
      </c>
      <c r="C251" s="789">
        <f>+$C$249+$G$250</f>
        <v>36562</v>
      </c>
      <c r="D251" s="719"/>
      <c r="E251" s="719"/>
      <c r="F251" s="720">
        <v>0</v>
      </c>
      <c r="G251" s="721"/>
      <c r="H251" s="726" t="s">
        <v>668</v>
      </c>
      <c r="I251" s="722"/>
      <c r="J251" s="718"/>
      <c r="K251" s="719"/>
      <c r="L251" s="719" t="s">
        <v>465</v>
      </c>
      <c r="M251" s="719"/>
      <c r="N251" s="726" t="s">
        <v>697</v>
      </c>
      <c r="O251" s="726" t="s">
        <v>695</v>
      </c>
      <c r="P251" s="731"/>
      <c r="Q251" s="719">
        <v>0</v>
      </c>
      <c r="R251" s="719">
        <v>0</v>
      </c>
      <c r="S251" s="724">
        <f>AG252-AG251</f>
        <v>3.2200000000011642</v>
      </c>
      <c r="T251" s="719">
        <v>-5</v>
      </c>
      <c r="U251" s="719">
        <v>-25</v>
      </c>
      <c r="V251" s="719"/>
      <c r="W251" s="719">
        <v>1.1000000000000001</v>
      </c>
      <c r="X251" s="719">
        <v>1.2</v>
      </c>
      <c r="Y251" s="719"/>
      <c r="Z251" s="719">
        <v>0.45</v>
      </c>
      <c r="AA251" s="719"/>
      <c r="AB251" s="719"/>
      <c r="AC251" s="719"/>
      <c r="AD251" s="719" t="s">
        <v>2614</v>
      </c>
      <c r="AE251" s="719"/>
      <c r="AF251" s="719">
        <v>200</v>
      </c>
      <c r="AG251" s="789">
        <v>36559.65</v>
      </c>
      <c r="AH251" s="719">
        <v>1396</v>
      </c>
      <c r="AI251" s="719">
        <v>-5127</v>
      </c>
      <c r="AJ251" s="719"/>
      <c r="AK251" s="719"/>
      <c r="AL251" s="719"/>
      <c r="AM251" s="719" t="s">
        <v>2608</v>
      </c>
      <c r="AN251" s="719">
        <v>5.25</v>
      </c>
      <c r="AO251" s="719"/>
      <c r="AP251" s="719"/>
      <c r="AQ251" s="724"/>
      <c r="AR251" s="724"/>
      <c r="AS251" s="724"/>
      <c r="AT251" s="724">
        <f>+ab($U$251,$T$249,$U$253,$G$250,$G$252, 1*$F$251,1200)</f>
        <v>-11.145107873316856</v>
      </c>
      <c r="AU251" s="724"/>
      <c r="AV251" s="724"/>
      <c r="AW251" s="719"/>
      <c r="AX251" s="719"/>
      <c r="AY251" s="719"/>
      <c r="AZ251" s="532"/>
    </row>
    <row r="252" spans="1:52" ht="15.75" hidden="1" customHeight="1">
      <c r="A252" s="716"/>
      <c r="B252" s="717"/>
      <c r="C252" s="789"/>
      <c r="D252" s="719"/>
      <c r="E252" s="719"/>
      <c r="F252" s="720"/>
      <c r="G252" s="721">
        <v>50</v>
      </c>
      <c r="H252" s="726"/>
      <c r="I252" s="722"/>
      <c r="J252" s="718"/>
      <c r="K252" s="719"/>
      <c r="L252" s="719"/>
      <c r="M252" s="719"/>
      <c r="N252" s="726"/>
      <c r="O252" s="726"/>
      <c r="P252" s="731"/>
      <c r="Q252" s="719"/>
      <c r="R252" s="719"/>
      <c r="S252" s="724">
        <f t="shared" ref="S252:S254" si="103">AG253-AG252</f>
        <v>48.159999999996217</v>
      </c>
      <c r="T252" s="719"/>
      <c r="U252" s="719"/>
      <c r="V252" s="719"/>
      <c r="W252" s="719"/>
      <c r="X252" s="719"/>
      <c r="Y252" s="719"/>
      <c r="Z252" s="719"/>
      <c r="AA252" s="719"/>
      <c r="AB252" s="719"/>
      <c r="AC252" s="719"/>
      <c r="AD252" s="719"/>
      <c r="AE252" s="719"/>
      <c r="AF252" s="719"/>
      <c r="AG252" s="789">
        <v>36562.870000000003</v>
      </c>
      <c r="AH252" s="719">
        <v>1406</v>
      </c>
      <c r="AI252" s="719">
        <v>-5123</v>
      </c>
      <c r="AJ252" s="719"/>
      <c r="AK252" s="719"/>
      <c r="AL252" s="719"/>
      <c r="AM252" s="719"/>
      <c r="AN252" s="719"/>
      <c r="AO252" s="719"/>
      <c r="AP252" s="719"/>
      <c r="AQ252" s="724">
        <f>+FL_1($T$253,$U$251,$G$252,1200,9.28, 1*$F$253)</f>
        <v>0.30632183866666668</v>
      </c>
      <c r="AR252" s="724"/>
      <c r="AS252" s="724"/>
      <c r="AT252" s="724"/>
      <c r="AU252" s="724"/>
      <c r="AV252" s="724"/>
      <c r="AW252" s="719"/>
      <c r="AX252" s="719"/>
      <c r="AY252" s="719"/>
      <c r="AZ252" s="532"/>
    </row>
    <row r="253" spans="1:52" ht="15.75" hidden="1" customHeight="1">
      <c r="A253" s="716" t="s">
        <v>677</v>
      </c>
      <c r="B253" s="717" t="s">
        <v>1787</v>
      </c>
      <c r="C253" s="789">
        <f>+$C$251+$G$252</f>
        <v>36612</v>
      </c>
      <c r="D253" s="719"/>
      <c r="E253" s="719"/>
      <c r="F253" s="720">
        <v>0</v>
      </c>
      <c r="G253" s="721"/>
      <c r="H253" s="726" t="s">
        <v>668</v>
      </c>
      <c r="I253" s="722"/>
      <c r="J253" s="718"/>
      <c r="K253" s="719"/>
      <c r="L253" s="719" t="s">
        <v>465</v>
      </c>
      <c r="M253" s="719"/>
      <c r="N253" s="726" t="s">
        <v>696</v>
      </c>
      <c r="O253" s="726" t="s">
        <v>697</v>
      </c>
      <c r="P253" s="731"/>
      <c r="Q253" s="719">
        <v>0</v>
      </c>
      <c r="R253" s="719">
        <v>0</v>
      </c>
      <c r="S253" s="724">
        <f t="shared" si="103"/>
        <v>3.2399999999979627</v>
      </c>
      <c r="T253" s="719">
        <v>25</v>
      </c>
      <c r="U253" s="719">
        <v>5</v>
      </c>
      <c r="V253" s="719"/>
      <c r="W253" s="719">
        <v>1.1000000000000001</v>
      </c>
      <c r="X253" s="719">
        <v>1.2</v>
      </c>
      <c r="Y253" s="719"/>
      <c r="Z253" s="719"/>
      <c r="AA253" s="719">
        <v>0.45</v>
      </c>
      <c r="AB253" s="719"/>
      <c r="AC253" s="719" t="s">
        <v>2616</v>
      </c>
      <c r="AD253" s="719"/>
      <c r="AE253" s="719"/>
      <c r="AF253" s="719">
        <v>200</v>
      </c>
      <c r="AG253" s="789">
        <v>36611.03</v>
      </c>
      <c r="AH253" s="719">
        <v>1396</v>
      </c>
      <c r="AI253" s="719">
        <v>-5200</v>
      </c>
      <c r="AJ253" s="719"/>
      <c r="AK253" s="719"/>
      <c r="AL253" s="719"/>
      <c r="AM253" s="719" t="s">
        <v>2608</v>
      </c>
      <c r="AN253" s="719">
        <v>5.25</v>
      </c>
      <c r="AO253" s="719"/>
      <c r="AP253" s="719"/>
      <c r="AQ253" s="724"/>
      <c r="AR253" s="724"/>
      <c r="AS253" s="724"/>
      <c r="AT253" s="724">
        <f>+ab($T$253,$T$251,$T$255,$G$252,$G$254, 1*$F$253,1200)</f>
        <v>11.14504395531122</v>
      </c>
      <c r="AU253" s="724"/>
      <c r="AV253" s="724"/>
      <c r="AW253" s="719"/>
      <c r="AX253" s="719"/>
      <c r="AY253" s="719"/>
      <c r="AZ253" s="532"/>
    </row>
    <row r="254" spans="1:52" ht="15.75" hidden="1" customHeight="1">
      <c r="A254" s="716"/>
      <c r="B254" s="717"/>
      <c r="C254" s="789"/>
      <c r="D254" s="719"/>
      <c r="E254" s="719"/>
      <c r="F254" s="720"/>
      <c r="G254" s="721">
        <v>50</v>
      </c>
      <c r="H254" s="719"/>
      <c r="I254" s="722"/>
      <c r="J254" s="718">
        <f>C255-10</f>
        <v>36652</v>
      </c>
      <c r="K254" s="719" t="s">
        <v>1097</v>
      </c>
      <c r="L254" s="719"/>
      <c r="M254" s="719"/>
      <c r="N254" s="726"/>
      <c r="O254" s="726"/>
      <c r="P254" s="731"/>
      <c r="Q254" s="719"/>
      <c r="R254" s="719"/>
      <c r="S254" s="724">
        <f t="shared" si="103"/>
        <v>48.110000000000582</v>
      </c>
      <c r="T254" s="719"/>
      <c r="U254" s="719"/>
      <c r="V254" s="719"/>
      <c r="W254" s="719"/>
      <c r="X254" s="719"/>
      <c r="Y254" s="719"/>
      <c r="Z254" s="719"/>
      <c r="AA254" s="719"/>
      <c r="AB254" s="719"/>
      <c r="AC254" s="719"/>
      <c r="AD254" s="719"/>
      <c r="AE254" s="719"/>
      <c r="AF254" s="719"/>
      <c r="AG254" s="789">
        <v>36614.269999999997</v>
      </c>
      <c r="AH254" s="719">
        <v>1426</v>
      </c>
      <c r="AI254" s="719">
        <v>-5202</v>
      </c>
      <c r="AJ254" s="719"/>
      <c r="AK254" s="719"/>
      <c r="AL254" s="719"/>
      <c r="AM254" s="719"/>
      <c r="AN254" s="719"/>
      <c r="AO254" s="719"/>
      <c r="AP254" s="719"/>
      <c r="AQ254" s="724">
        <f>+FL_1($T$255,$T$253,$G$254,1200,9.28, 1*$F$255)</f>
        <v>0.31891455140040764</v>
      </c>
      <c r="AR254" s="724"/>
      <c r="AS254" s="724"/>
      <c r="AT254" s="724"/>
      <c r="AU254" s="724"/>
      <c r="AV254" s="724"/>
      <c r="AW254" s="719"/>
      <c r="AX254" s="719"/>
      <c r="AY254" s="719"/>
      <c r="AZ254" s="532"/>
    </row>
    <row r="255" spans="1:52" ht="15.75" hidden="1" customHeight="1">
      <c r="A255" s="716" t="s">
        <v>677</v>
      </c>
      <c r="B255" s="717" t="s">
        <v>1788</v>
      </c>
      <c r="C255" s="789">
        <f>+$C$253+$G$254</f>
        <v>36662</v>
      </c>
      <c r="D255" s="719"/>
      <c r="E255" s="719"/>
      <c r="F255" s="720">
        <f>-475000/(C255-36611)</f>
        <v>-9313.7254901960787</v>
      </c>
      <c r="G255" s="721"/>
      <c r="H255" s="726" t="s">
        <v>138</v>
      </c>
      <c r="I255" s="722" t="s">
        <v>948</v>
      </c>
      <c r="J255" s="718"/>
      <c r="K255" s="719"/>
      <c r="L255" s="719" t="s">
        <v>241</v>
      </c>
      <c r="M255" s="719"/>
      <c r="N255" s="726" t="s">
        <v>695</v>
      </c>
      <c r="O255" s="726"/>
      <c r="P255" s="731"/>
      <c r="Q255" s="719">
        <v>-17</v>
      </c>
      <c r="R255" s="719">
        <v>-9405.8700000000008</v>
      </c>
      <c r="S255" s="719"/>
      <c r="T255" s="719">
        <v>-30</v>
      </c>
      <c r="U255" s="719"/>
      <c r="V255" s="719"/>
      <c r="W255" s="719">
        <v>1.1000000000000001</v>
      </c>
      <c r="X255" s="719"/>
      <c r="Y255" s="719"/>
      <c r="Z255" s="719"/>
      <c r="AA255" s="719"/>
      <c r="AB255" s="719"/>
      <c r="AC255" s="719" t="s">
        <v>2614</v>
      </c>
      <c r="AD255" s="719"/>
      <c r="AE255" s="719"/>
      <c r="AF255" s="719">
        <v>200</v>
      </c>
      <c r="AG255" s="789">
        <v>36662.379999999997</v>
      </c>
      <c r="AH255" s="719">
        <v>1432</v>
      </c>
      <c r="AI255" s="719">
        <v>-5192</v>
      </c>
      <c r="AJ255" s="719"/>
      <c r="AK255" s="719"/>
      <c r="AL255" s="719"/>
      <c r="AM255" s="719" t="s">
        <v>2608</v>
      </c>
      <c r="AN255" s="719">
        <v>5.25</v>
      </c>
      <c r="AO255" s="719"/>
      <c r="AP255" s="719"/>
      <c r="AQ255" s="724"/>
      <c r="AR255" s="724"/>
      <c r="AS255" s="724"/>
      <c r="AT255" s="724">
        <f>+ab($T$255,$T$253,$T$257,$G$254,$G$256, 1*$F$255,1200)</f>
        <v>-10.914402138697712</v>
      </c>
      <c r="AU255" s="724"/>
      <c r="AV255" s="724"/>
      <c r="AW255" s="719"/>
      <c r="AX255" s="719"/>
      <c r="AY255" s="719"/>
      <c r="AZ255" s="532"/>
    </row>
    <row r="256" spans="1:52" ht="15.75" hidden="1" customHeight="1">
      <c r="A256" s="716"/>
      <c r="B256" s="717"/>
      <c r="C256" s="789"/>
      <c r="D256" s="719"/>
      <c r="E256" s="719"/>
      <c r="F256" s="720"/>
      <c r="G256" s="721">
        <v>50</v>
      </c>
      <c r="H256" s="726"/>
      <c r="I256" s="722"/>
      <c r="J256" s="718"/>
      <c r="K256" s="719"/>
      <c r="L256" s="719"/>
      <c r="M256" s="719"/>
      <c r="N256" s="726"/>
      <c r="O256" s="726"/>
      <c r="P256" s="731"/>
      <c r="Q256" s="719"/>
      <c r="R256" s="719"/>
      <c r="S256" s="724">
        <f t="shared" ref="S256" si="104">AG257-AG255</f>
        <v>48.030000000006112</v>
      </c>
      <c r="T256" s="719"/>
      <c r="U256" s="719"/>
      <c r="V256" s="719"/>
      <c r="W256" s="719"/>
      <c r="X256" s="719"/>
      <c r="Y256" s="719"/>
      <c r="Z256" s="719"/>
      <c r="AA256" s="719"/>
      <c r="AB256" s="719"/>
      <c r="AC256" s="719"/>
      <c r="AD256" s="719"/>
      <c r="AE256" s="719"/>
      <c r="AF256" s="719"/>
      <c r="AG256" s="789"/>
      <c r="AH256" s="719"/>
      <c r="AI256" s="719"/>
      <c r="AJ256" s="719"/>
      <c r="AK256" s="719"/>
      <c r="AL256" s="719"/>
      <c r="AM256" s="719"/>
      <c r="AN256" s="719"/>
      <c r="AO256" s="719"/>
      <c r="AP256" s="719"/>
      <c r="AQ256" s="724">
        <f>+FL_2($T$257,$T$255,$G$256,1200,9.28, 1*$F$257)</f>
        <v>-0.45111056985601716</v>
      </c>
      <c r="AR256" s="724"/>
      <c r="AS256" s="724"/>
      <c r="AT256" s="724"/>
      <c r="AU256" s="724"/>
      <c r="AV256" s="724"/>
      <c r="AW256" s="719"/>
      <c r="AX256" s="719"/>
      <c r="AY256" s="719"/>
      <c r="AZ256" s="532"/>
    </row>
    <row r="257" spans="1:52" ht="15.75" hidden="1" customHeight="1">
      <c r="A257" s="716" t="s">
        <v>677</v>
      </c>
      <c r="B257" s="717" t="s">
        <v>1789</v>
      </c>
      <c r="C257" s="789">
        <f>+$C$255+$G$256</f>
        <v>36712</v>
      </c>
      <c r="D257" s="719"/>
      <c r="E257" s="719"/>
      <c r="F257" s="720">
        <f>-475000/(C257-36611)</f>
        <v>-4702.970297029703</v>
      </c>
      <c r="G257" s="721"/>
      <c r="H257" s="726"/>
      <c r="I257" s="722"/>
      <c r="J257" s="718"/>
      <c r="K257" s="719"/>
      <c r="L257" s="719" t="s">
        <v>241</v>
      </c>
      <c r="M257" s="719"/>
      <c r="N257" s="726" t="s">
        <v>695</v>
      </c>
      <c r="O257" s="726"/>
      <c r="P257" s="731"/>
      <c r="Q257" s="719">
        <v>-40</v>
      </c>
      <c r="R257" s="719">
        <v>-4789.72</v>
      </c>
      <c r="S257" s="719"/>
      <c r="T257" s="719">
        <v>-25</v>
      </c>
      <c r="U257" s="719"/>
      <c r="V257" s="719"/>
      <c r="W257" s="719">
        <v>1.1000000000000001</v>
      </c>
      <c r="X257" s="719"/>
      <c r="Y257" s="719"/>
      <c r="Z257" s="719"/>
      <c r="AA257" s="719"/>
      <c r="AB257" s="719"/>
      <c r="AC257" s="719" t="s">
        <v>2612</v>
      </c>
      <c r="AD257" s="719"/>
      <c r="AE257" s="719"/>
      <c r="AF257" s="719">
        <v>200</v>
      </c>
      <c r="AG257" s="789">
        <v>36710.410000000003</v>
      </c>
      <c r="AH257" s="719">
        <v>1395</v>
      </c>
      <c r="AI257" s="719">
        <v>-5183</v>
      </c>
      <c r="AJ257" s="719"/>
      <c r="AK257" s="719"/>
      <c r="AL257" s="719"/>
      <c r="AM257" s="719" t="s">
        <v>2608</v>
      </c>
      <c r="AN257" s="719">
        <v>5.25</v>
      </c>
      <c r="AO257" s="719"/>
      <c r="AP257" s="719"/>
      <c r="AQ257" s="724"/>
      <c r="AR257" s="724"/>
      <c r="AS257" s="724"/>
      <c r="AT257" s="724">
        <f>+ab($T$257,$T$255,$T$259,$G$256,$G$258, 1*$F$257,1200)</f>
        <v>-17.485461589055877</v>
      </c>
      <c r="AU257" s="724"/>
      <c r="AV257" s="724"/>
      <c r="AW257" s="719"/>
      <c r="AX257" s="719"/>
      <c r="AY257" s="719"/>
      <c r="AZ257" s="532"/>
    </row>
    <row r="258" spans="1:52" ht="15.75" hidden="1" customHeight="1">
      <c r="A258" s="716"/>
      <c r="B258" s="717"/>
      <c r="C258" s="789"/>
      <c r="D258" s="719"/>
      <c r="E258" s="719"/>
      <c r="F258" s="720"/>
      <c r="G258" s="721">
        <v>50</v>
      </c>
      <c r="H258" s="726"/>
      <c r="I258" s="722"/>
      <c r="J258" s="718"/>
      <c r="K258" s="719"/>
      <c r="L258" s="719"/>
      <c r="M258" s="719"/>
      <c r="N258" s="726"/>
      <c r="O258" s="726"/>
      <c r="P258" s="731"/>
      <c r="Q258" s="719"/>
      <c r="R258" s="719"/>
      <c r="S258" s="724">
        <f t="shared" ref="S258" si="105">AG259-AG257</f>
        <v>52.979999999995925</v>
      </c>
      <c r="T258" s="719"/>
      <c r="U258" s="719"/>
      <c r="V258" s="719"/>
      <c r="W258" s="719"/>
      <c r="X258" s="719"/>
      <c r="Y258" s="719"/>
      <c r="Z258" s="719"/>
      <c r="AA258" s="719"/>
      <c r="AB258" s="719"/>
      <c r="AC258" s="719"/>
      <c r="AD258" s="719"/>
      <c r="AE258" s="719"/>
      <c r="AF258" s="719"/>
      <c r="AG258" s="789"/>
      <c r="AH258" s="719"/>
      <c r="AI258" s="719"/>
      <c r="AJ258" s="719"/>
      <c r="AK258" s="719"/>
      <c r="AL258" s="719"/>
      <c r="AM258" s="719"/>
      <c r="AN258" s="719"/>
      <c r="AO258" s="719"/>
      <c r="AP258" s="719"/>
      <c r="AQ258" s="724">
        <f>+FL_2($T$259,$T$257,$G$258,1200,9.28, 1*$F$259)</f>
        <v>-0.36842085552377968</v>
      </c>
      <c r="AR258" s="724"/>
      <c r="AS258" s="724"/>
      <c r="AT258" s="724"/>
      <c r="AU258" s="724"/>
      <c r="AV258" s="724"/>
      <c r="AW258" s="719"/>
      <c r="AX258" s="719"/>
      <c r="AY258" s="719"/>
      <c r="AZ258" s="532"/>
    </row>
    <row r="259" spans="1:52" ht="15.75" hidden="1" customHeight="1">
      <c r="A259" s="716" t="s">
        <v>677</v>
      </c>
      <c r="B259" s="717" t="s">
        <v>1790</v>
      </c>
      <c r="C259" s="789">
        <f>+$C$257+$G$258</f>
        <v>36762</v>
      </c>
      <c r="D259" s="719"/>
      <c r="E259" s="719"/>
      <c r="F259" s="720">
        <f>-475000/(C259-36611)</f>
        <v>-3145.6953642384105</v>
      </c>
      <c r="G259" s="721"/>
      <c r="H259" s="726"/>
      <c r="I259" s="722"/>
      <c r="J259" s="718"/>
      <c r="K259" s="719"/>
      <c r="L259" s="719" t="s">
        <v>241</v>
      </c>
      <c r="M259" s="719"/>
      <c r="N259" s="726" t="s">
        <v>695</v>
      </c>
      <c r="O259" s="726"/>
      <c r="P259" s="731"/>
      <c r="Q259" s="719">
        <v>-62</v>
      </c>
      <c r="R259" s="719">
        <v>-3120.9</v>
      </c>
      <c r="S259" s="719"/>
      <c r="T259" s="719">
        <v>-20</v>
      </c>
      <c r="U259" s="719"/>
      <c r="V259" s="719"/>
      <c r="W259" s="719">
        <v>1.1000000000000001</v>
      </c>
      <c r="X259" s="719"/>
      <c r="Y259" s="719"/>
      <c r="Z259" s="719"/>
      <c r="AA259" s="719"/>
      <c r="AB259" s="719"/>
      <c r="AC259" s="719" t="s">
        <v>2614</v>
      </c>
      <c r="AD259" s="719"/>
      <c r="AE259" s="719"/>
      <c r="AF259" s="719">
        <v>200</v>
      </c>
      <c r="AG259" s="789">
        <v>36763.39</v>
      </c>
      <c r="AH259" s="719">
        <v>1431</v>
      </c>
      <c r="AI259" s="719">
        <v>-5171</v>
      </c>
      <c r="AJ259" s="719"/>
      <c r="AK259" s="719"/>
      <c r="AL259" s="719"/>
      <c r="AM259" s="719" t="s">
        <v>2608</v>
      </c>
      <c r="AN259" s="719">
        <v>5.25</v>
      </c>
      <c r="AO259" s="719"/>
      <c r="AP259" s="719"/>
      <c r="AQ259" s="724"/>
      <c r="AR259" s="724"/>
      <c r="AS259" s="724"/>
      <c r="AT259" s="724">
        <f>+ab($T$259,$T$257,$T$261,$G$258,$G$260, 1*$F$259,1200)</f>
        <v>-14.559760258943623</v>
      </c>
      <c r="AU259" s="724"/>
      <c r="AV259" s="724"/>
      <c r="AW259" s="719"/>
      <c r="AX259" s="719"/>
      <c r="AY259" s="719"/>
      <c r="AZ259" s="532"/>
    </row>
    <row r="260" spans="1:52" ht="15.75" hidden="1" customHeight="1">
      <c r="A260" s="716"/>
      <c r="B260" s="717"/>
      <c r="C260" s="789"/>
      <c r="D260" s="719"/>
      <c r="E260" s="719"/>
      <c r="F260" s="720"/>
      <c r="G260" s="721">
        <v>50</v>
      </c>
      <c r="H260" s="726"/>
      <c r="I260" s="722"/>
      <c r="J260" s="718"/>
      <c r="K260" s="719"/>
      <c r="L260" s="719"/>
      <c r="M260" s="719"/>
      <c r="N260" s="726"/>
      <c r="O260" s="726"/>
      <c r="P260" s="731"/>
      <c r="Q260" s="719"/>
      <c r="R260" s="719"/>
      <c r="S260" s="724">
        <f t="shared" ref="S260:S316" si="106">AG261-AG259</f>
        <v>48.110000000000582</v>
      </c>
      <c r="T260" s="719"/>
      <c r="U260" s="719"/>
      <c r="V260" s="719"/>
      <c r="W260" s="719"/>
      <c r="X260" s="719"/>
      <c r="Y260" s="719"/>
      <c r="Z260" s="719"/>
      <c r="AA260" s="719"/>
      <c r="AB260" s="719"/>
      <c r="AC260" s="719"/>
      <c r="AD260" s="719"/>
      <c r="AE260" s="719"/>
      <c r="AF260" s="719"/>
      <c r="AG260" s="789"/>
      <c r="AH260" s="719"/>
      <c r="AI260" s="719"/>
      <c r="AJ260" s="719"/>
      <c r="AK260" s="719"/>
      <c r="AL260" s="719"/>
      <c r="AM260" s="719"/>
      <c r="AN260" s="719"/>
      <c r="AO260" s="719"/>
      <c r="AP260" s="719"/>
      <c r="AQ260" s="724">
        <f>+FL_2($T$261,$T$259,$G$260,1200,9.28, 1*$F$261)</f>
        <v>-0.37202096355734837</v>
      </c>
      <c r="AR260" s="724"/>
      <c r="AS260" s="724"/>
      <c r="AT260" s="724"/>
      <c r="AU260" s="724"/>
      <c r="AV260" s="724"/>
      <c r="AW260" s="719"/>
      <c r="AX260" s="719"/>
      <c r="AY260" s="719"/>
      <c r="AZ260" s="532"/>
    </row>
    <row r="261" spans="1:52" ht="15.75" hidden="1" customHeight="1">
      <c r="A261" s="716" t="s">
        <v>677</v>
      </c>
      <c r="B261" s="717" t="s">
        <v>1791</v>
      </c>
      <c r="C261" s="789">
        <f>+$C$259+$G$260</f>
        <v>36812</v>
      </c>
      <c r="D261" s="719"/>
      <c r="E261" s="719">
        <v>-70</v>
      </c>
      <c r="F261" s="720">
        <v>-2500</v>
      </c>
      <c r="G261" s="721"/>
      <c r="H261" s="726"/>
      <c r="I261" s="722"/>
      <c r="J261" s="718"/>
      <c r="K261" s="719"/>
      <c r="L261" s="719" t="s">
        <v>241</v>
      </c>
      <c r="M261" s="719"/>
      <c r="N261" s="726" t="s">
        <v>695</v>
      </c>
      <c r="O261" s="726"/>
      <c r="P261" s="731"/>
      <c r="Q261" s="719">
        <v>-73</v>
      </c>
      <c r="R261" s="719">
        <v>-2500</v>
      </c>
      <c r="S261" s="719"/>
      <c r="T261" s="719">
        <v>-30</v>
      </c>
      <c r="U261" s="719"/>
      <c r="V261" s="719"/>
      <c r="W261" s="719">
        <v>1.1000000000000001</v>
      </c>
      <c r="X261" s="719"/>
      <c r="Y261" s="719"/>
      <c r="Z261" s="719"/>
      <c r="AA261" s="719"/>
      <c r="AB261" s="719"/>
      <c r="AC261" s="719" t="s">
        <v>2614</v>
      </c>
      <c r="AD261" s="719"/>
      <c r="AE261" s="719"/>
      <c r="AF261" s="719">
        <v>200</v>
      </c>
      <c r="AG261" s="789">
        <v>36811.5</v>
      </c>
      <c r="AH261" s="719">
        <v>1408</v>
      </c>
      <c r="AI261" s="719">
        <v>-5169</v>
      </c>
      <c r="AJ261" s="719"/>
      <c r="AK261" s="719"/>
      <c r="AL261" s="719"/>
      <c r="AM261" s="719" t="s">
        <v>2608</v>
      </c>
      <c r="AN261" s="719">
        <v>5.25</v>
      </c>
      <c r="AO261" s="719"/>
      <c r="AP261" s="719"/>
      <c r="AQ261" s="724"/>
      <c r="AR261" s="724"/>
      <c r="AS261" s="724"/>
      <c r="AT261" s="724">
        <f>+ab($T$261,$T$259,$T$263,$G$260,$G$262, 1*$F$261,1200)</f>
        <v>-8.6559338435976301</v>
      </c>
      <c r="AU261" s="724"/>
      <c r="AV261" s="724"/>
      <c r="AW261" s="719"/>
      <c r="AX261" s="719"/>
      <c r="AY261" s="719"/>
      <c r="AZ261" s="532"/>
    </row>
    <row r="262" spans="1:52" ht="15.75" hidden="1" customHeight="1">
      <c r="A262" s="716"/>
      <c r="B262" s="717"/>
      <c r="C262" s="789"/>
      <c r="D262" s="719"/>
      <c r="E262" s="719"/>
      <c r="F262" s="720"/>
      <c r="G262" s="721">
        <v>50</v>
      </c>
      <c r="H262" s="726"/>
      <c r="I262" s="722"/>
      <c r="J262" s="718"/>
      <c r="K262" s="719"/>
      <c r="L262" s="719"/>
      <c r="M262" s="719"/>
      <c r="N262" s="726"/>
      <c r="O262" s="726"/>
      <c r="P262" s="731"/>
      <c r="Q262" s="719"/>
      <c r="R262" s="719"/>
      <c r="S262" s="724">
        <f t="shared" si="106"/>
        <v>51.349999999998545</v>
      </c>
      <c r="T262" s="719"/>
      <c r="U262" s="719"/>
      <c r="V262" s="719"/>
      <c r="W262" s="719"/>
      <c r="X262" s="719"/>
      <c r="Y262" s="719"/>
      <c r="Z262" s="719"/>
      <c r="AA262" s="719"/>
      <c r="AB262" s="719"/>
      <c r="AC262" s="719"/>
      <c r="AD262" s="719"/>
      <c r="AE262" s="719"/>
      <c r="AF262" s="719"/>
      <c r="AG262" s="789"/>
      <c r="AH262" s="719"/>
      <c r="AI262" s="719"/>
      <c r="AJ262" s="719"/>
      <c r="AK262" s="719"/>
      <c r="AL262" s="719"/>
      <c r="AM262" s="719"/>
      <c r="AN262" s="719"/>
      <c r="AO262" s="719"/>
      <c r="AP262" s="719"/>
      <c r="AQ262" s="724">
        <f>+FL_2($T$263,$T$261,$G$262,1200,9.28, 1*$F$263)</f>
        <v>-0.41666354151053986</v>
      </c>
      <c r="AR262" s="724"/>
      <c r="AS262" s="724"/>
      <c r="AT262" s="724"/>
      <c r="AU262" s="724"/>
      <c r="AV262" s="724"/>
      <c r="AW262" s="719"/>
      <c r="AX262" s="719"/>
      <c r="AY262" s="719"/>
      <c r="AZ262" s="532"/>
    </row>
    <row r="263" spans="1:52" ht="15.75" hidden="1" customHeight="1">
      <c r="A263" s="716" t="s">
        <v>677</v>
      </c>
      <c r="B263" s="717" t="s">
        <v>1792</v>
      </c>
      <c r="C263" s="789">
        <f>+$C$261+$G$262</f>
        <v>36862</v>
      </c>
      <c r="D263" s="719"/>
      <c r="E263" s="719">
        <v>-70</v>
      </c>
      <c r="F263" s="720">
        <v>-2500</v>
      </c>
      <c r="G263" s="721"/>
      <c r="H263" s="726"/>
      <c r="I263" s="722"/>
      <c r="J263" s="718"/>
      <c r="K263" s="719"/>
      <c r="L263" s="719" t="s">
        <v>241</v>
      </c>
      <c r="M263" s="719"/>
      <c r="N263" s="726" t="s">
        <v>695</v>
      </c>
      <c r="O263" s="726"/>
      <c r="P263" s="731"/>
      <c r="Q263" s="719">
        <v>-70</v>
      </c>
      <c r="R263" s="719">
        <v>-2567.5</v>
      </c>
      <c r="S263" s="719"/>
      <c r="T263" s="719">
        <v>-30</v>
      </c>
      <c r="U263" s="719"/>
      <c r="V263" s="719"/>
      <c r="W263" s="719">
        <v>1.1000000000000001</v>
      </c>
      <c r="X263" s="719"/>
      <c r="Y263" s="719"/>
      <c r="Z263" s="719"/>
      <c r="AA263" s="719"/>
      <c r="AB263" s="719"/>
      <c r="AC263" s="719" t="s">
        <v>2614</v>
      </c>
      <c r="AD263" s="719"/>
      <c r="AE263" s="719"/>
      <c r="AF263" s="719">
        <v>200</v>
      </c>
      <c r="AG263" s="789">
        <v>36862.85</v>
      </c>
      <c r="AH263" s="719">
        <v>1402</v>
      </c>
      <c r="AI263" s="719">
        <v>-5191</v>
      </c>
      <c r="AJ263" s="719"/>
      <c r="AK263" s="719"/>
      <c r="AL263" s="719"/>
      <c r="AM263" s="719" t="s">
        <v>2608</v>
      </c>
      <c r="AN263" s="719">
        <v>5.25</v>
      </c>
      <c r="AO263" s="719"/>
      <c r="AP263" s="719"/>
      <c r="AQ263" s="724"/>
      <c r="AR263" s="724"/>
      <c r="AS263" s="724"/>
      <c r="AT263" s="724">
        <f>+ab($T$263,$T$261,$T$265,$G$262,$G$264, 1*$F$263,1200)</f>
        <v>-8.6559338435976301</v>
      </c>
      <c r="AU263" s="724"/>
      <c r="AV263" s="724"/>
      <c r="AW263" s="719"/>
      <c r="AX263" s="719"/>
      <c r="AY263" s="719"/>
      <c r="AZ263" s="532"/>
    </row>
    <row r="264" spans="1:52" ht="15.75" hidden="1" customHeight="1">
      <c r="A264" s="716"/>
      <c r="B264" s="717"/>
      <c r="C264" s="789"/>
      <c r="D264" s="719"/>
      <c r="E264" s="719"/>
      <c r="F264" s="720"/>
      <c r="G264" s="721">
        <v>50</v>
      </c>
      <c r="H264" s="726"/>
      <c r="I264" s="722" t="s">
        <v>2053</v>
      </c>
      <c r="J264" s="718">
        <f>C265-5</f>
        <v>36907</v>
      </c>
      <c r="K264" s="719" t="s">
        <v>1102</v>
      </c>
      <c r="L264" s="719"/>
      <c r="M264" s="719"/>
      <c r="N264" s="726"/>
      <c r="O264" s="726"/>
      <c r="P264" s="731"/>
      <c r="Q264" s="719"/>
      <c r="R264" s="719"/>
      <c r="S264" s="724">
        <f t="shared" si="106"/>
        <v>49.630000000004657</v>
      </c>
      <c r="T264" s="719"/>
      <c r="U264" s="719"/>
      <c r="V264" s="719"/>
      <c r="W264" s="719"/>
      <c r="X264" s="719"/>
      <c r="Y264" s="719"/>
      <c r="Z264" s="719"/>
      <c r="AA264" s="719"/>
      <c r="AB264" s="719"/>
      <c r="AC264" s="719"/>
      <c r="AD264" s="719"/>
      <c r="AE264" s="719"/>
      <c r="AF264" s="719"/>
      <c r="AG264" s="789"/>
      <c r="AH264" s="719"/>
      <c r="AI264" s="719"/>
      <c r="AJ264" s="719"/>
      <c r="AK264" s="719"/>
      <c r="AL264" s="719"/>
      <c r="AM264" s="719"/>
      <c r="AN264" s="719"/>
      <c r="AO264" s="719"/>
      <c r="AP264" s="719"/>
      <c r="AQ264" s="724">
        <f>+FL_2($T$265,$T$263,$G$264,1200,9.28, 1*$F$265)</f>
        <v>-0.40757916107891562</v>
      </c>
      <c r="AR264" s="724"/>
      <c r="AS264" s="724"/>
      <c r="AT264" s="724"/>
      <c r="AU264" s="724"/>
      <c r="AV264" s="724"/>
      <c r="AW264" s="719"/>
      <c r="AX264" s="719"/>
      <c r="AY264" s="719"/>
      <c r="AZ264" s="532"/>
    </row>
    <row r="265" spans="1:52" ht="15.75" hidden="1" customHeight="1">
      <c r="A265" s="716" t="s">
        <v>677</v>
      </c>
      <c r="B265" s="717" t="s">
        <v>1793</v>
      </c>
      <c r="C265" s="789">
        <f>+$C$263+$G$264</f>
        <v>36912</v>
      </c>
      <c r="D265" s="719"/>
      <c r="E265" s="719"/>
      <c r="F265" s="720">
        <f>-475000/(37046-C265)</f>
        <v>-3544.7761194029849</v>
      </c>
      <c r="G265" s="721"/>
      <c r="H265" s="726"/>
      <c r="I265" s="722"/>
      <c r="J265" s="718"/>
      <c r="K265" s="719"/>
      <c r="L265" s="719" t="s">
        <v>241</v>
      </c>
      <c r="M265" s="719"/>
      <c r="N265" s="726" t="s">
        <v>695</v>
      </c>
      <c r="O265" s="726"/>
      <c r="P265" s="731"/>
      <c r="Q265" s="719">
        <v>-50</v>
      </c>
      <c r="R265" s="719">
        <v>-3544.75</v>
      </c>
      <c r="S265" s="719"/>
      <c r="T265" s="719">
        <v>-20</v>
      </c>
      <c r="U265" s="719"/>
      <c r="V265" s="719"/>
      <c r="W265" s="719">
        <v>1.1000000000000001</v>
      </c>
      <c r="X265" s="719"/>
      <c r="Y265" s="719"/>
      <c r="Z265" s="719"/>
      <c r="AA265" s="719"/>
      <c r="AB265" s="719"/>
      <c r="AC265" s="719" t="s">
        <v>2614</v>
      </c>
      <c r="AD265" s="719"/>
      <c r="AE265" s="719"/>
      <c r="AF265" s="719">
        <v>200</v>
      </c>
      <c r="AG265" s="789">
        <v>36912.480000000003</v>
      </c>
      <c r="AH265" s="719">
        <v>1415</v>
      </c>
      <c r="AI265" s="719">
        <v>-5170</v>
      </c>
      <c r="AJ265" s="719"/>
      <c r="AK265" s="719"/>
      <c r="AL265" s="719"/>
      <c r="AM265" s="719" t="s">
        <v>2609</v>
      </c>
      <c r="AN265" s="719">
        <v>5.25</v>
      </c>
      <c r="AO265" s="719"/>
      <c r="AP265" s="719"/>
      <c r="AQ265" s="724"/>
      <c r="AR265" s="724"/>
      <c r="AS265" s="724"/>
      <c r="AT265" s="724">
        <f>+ab($T$265,$T$263,$T$267,$G$264,$G$266, 1*$F$265,1200)</f>
        <v>-8.6153350561039428</v>
      </c>
      <c r="AU265" s="724"/>
      <c r="AV265" s="724"/>
      <c r="AW265" s="719"/>
      <c r="AX265" s="719"/>
      <c r="AY265" s="719"/>
      <c r="AZ265" s="532"/>
    </row>
    <row r="266" spans="1:52" ht="15.75" hidden="1" customHeight="1">
      <c r="A266" s="716"/>
      <c r="B266" s="717"/>
      <c r="C266" s="789"/>
      <c r="D266" s="719"/>
      <c r="E266" s="719"/>
      <c r="F266" s="720"/>
      <c r="G266" s="721">
        <v>50</v>
      </c>
      <c r="H266" s="726"/>
      <c r="I266" s="722"/>
      <c r="J266" s="718"/>
      <c r="K266" s="719"/>
      <c r="L266" s="719"/>
      <c r="M266" s="719"/>
      <c r="N266" s="726"/>
      <c r="O266" s="726"/>
      <c r="P266" s="731"/>
      <c r="Q266" s="719"/>
      <c r="R266" s="719"/>
      <c r="S266" s="724">
        <f t="shared" si="106"/>
        <v>51.339999999996508</v>
      </c>
      <c r="T266" s="719"/>
      <c r="U266" s="719"/>
      <c r="V266" s="719"/>
      <c r="W266" s="719"/>
      <c r="X266" s="719"/>
      <c r="Y266" s="719"/>
      <c r="Z266" s="719"/>
      <c r="AA266" s="719"/>
      <c r="AB266" s="719"/>
      <c r="AC266" s="719"/>
      <c r="AD266" s="719"/>
      <c r="AE266" s="719"/>
      <c r="AF266" s="719"/>
      <c r="AG266" s="789"/>
      <c r="AH266" s="719"/>
      <c r="AI266" s="719"/>
      <c r="AJ266" s="719"/>
      <c r="AK266" s="719"/>
      <c r="AL266" s="719"/>
      <c r="AM266" s="719"/>
      <c r="AN266" s="719"/>
      <c r="AO266" s="719"/>
      <c r="AP266" s="719"/>
      <c r="AQ266" s="724">
        <f>+FL_1($T$267,$T$265,$G$266,1200,9.28, 1*$F$267)</f>
        <v>0.39955185950608418</v>
      </c>
      <c r="AR266" s="724"/>
      <c r="AS266" s="724"/>
      <c r="AT266" s="724"/>
      <c r="AU266" s="724"/>
      <c r="AV266" s="724"/>
      <c r="AW266" s="719"/>
      <c r="AX266" s="719"/>
      <c r="AY266" s="719"/>
      <c r="AZ266" s="532"/>
    </row>
    <row r="267" spans="1:52" ht="15.75" customHeight="1">
      <c r="A267" s="716" t="s">
        <v>677</v>
      </c>
      <c r="B267" s="717" t="s">
        <v>1794</v>
      </c>
      <c r="C267" s="789">
        <f>+$C$265+$G$266</f>
        <v>36962</v>
      </c>
      <c r="D267" s="719"/>
      <c r="E267" s="719"/>
      <c r="F267" s="720">
        <f>-475000/(37046-C267)</f>
        <v>-5654.7619047619046</v>
      </c>
      <c r="G267" s="721"/>
      <c r="H267" s="726" t="s">
        <v>1101</v>
      </c>
      <c r="I267" s="722"/>
      <c r="J267" s="718"/>
      <c r="K267" s="719"/>
      <c r="L267" s="719" t="s">
        <v>241</v>
      </c>
      <c r="M267" s="719"/>
      <c r="N267" s="726" t="s">
        <v>696</v>
      </c>
      <c r="O267" s="726"/>
      <c r="P267" s="731"/>
      <c r="Q267" s="719">
        <v>-32</v>
      </c>
      <c r="R267" s="719">
        <v>-5722.85</v>
      </c>
      <c r="S267" s="719"/>
      <c r="T267" s="719">
        <v>30</v>
      </c>
      <c r="U267" s="719"/>
      <c r="V267" s="719"/>
      <c r="W267" s="719">
        <v>1.1000000000000001</v>
      </c>
      <c r="X267" s="719"/>
      <c r="Y267" s="719"/>
      <c r="Z267" s="719"/>
      <c r="AA267" s="719"/>
      <c r="AB267" s="719"/>
      <c r="AC267" s="719" t="s">
        <v>2612</v>
      </c>
      <c r="AD267" s="719"/>
      <c r="AE267" s="719"/>
      <c r="AF267" s="719">
        <v>200</v>
      </c>
      <c r="AG267" s="789">
        <v>36963.82</v>
      </c>
      <c r="AH267" s="719">
        <v>1420</v>
      </c>
      <c r="AI267" s="719">
        <v>-5122</v>
      </c>
      <c r="AJ267" s="719"/>
      <c r="AK267" s="719"/>
      <c r="AL267" s="719"/>
      <c r="AM267" s="719" t="s">
        <v>2609</v>
      </c>
      <c r="AN267" s="719">
        <v>5.25</v>
      </c>
      <c r="AO267" s="719"/>
      <c r="AP267" s="719"/>
      <c r="AQ267" s="724"/>
      <c r="AR267" s="724"/>
      <c r="AS267" s="724"/>
      <c r="AT267" s="724">
        <f>+ab($T$267,$T$265,$T$269,$G$266,$G$268, 1*$F$267,1200)</f>
        <v>14.280589471201939</v>
      </c>
      <c r="AU267" s="724"/>
      <c r="AV267" s="724"/>
      <c r="AW267" s="719"/>
      <c r="AX267" s="719"/>
      <c r="AY267" s="719"/>
      <c r="AZ267" s="532"/>
    </row>
    <row r="268" spans="1:52" ht="15.75" hidden="1" customHeight="1">
      <c r="A268" s="716"/>
      <c r="B268" s="717"/>
      <c r="C268" s="789"/>
      <c r="D268" s="719"/>
      <c r="E268" s="719"/>
      <c r="F268" s="720"/>
      <c r="G268" s="721">
        <v>50</v>
      </c>
      <c r="H268" s="726"/>
      <c r="I268" s="722">
        <f>+SUM(G250:G268)</f>
        <v>500</v>
      </c>
      <c r="J268" s="718">
        <f>C267+1</f>
        <v>36963</v>
      </c>
      <c r="K268" s="719" t="s">
        <v>1102</v>
      </c>
      <c r="L268" s="719"/>
      <c r="M268" s="719"/>
      <c r="N268" s="726"/>
      <c r="O268" s="726"/>
      <c r="P268" s="731"/>
      <c r="Q268" s="719"/>
      <c r="R268" s="719"/>
      <c r="S268" s="724">
        <f t="shared" si="106"/>
        <v>49.599999999998545</v>
      </c>
      <c r="T268" s="719"/>
      <c r="U268" s="719"/>
      <c r="V268" s="719"/>
      <c r="W268" s="719"/>
      <c r="X268" s="719"/>
      <c r="Y268" s="719"/>
      <c r="Z268" s="719"/>
      <c r="AA268" s="719"/>
      <c r="AB268" s="719"/>
      <c r="AC268" s="719"/>
      <c r="AD268" s="719"/>
      <c r="AE268" s="719"/>
      <c r="AF268" s="719"/>
      <c r="AG268" s="789"/>
      <c r="AH268" s="719"/>
      <c r="AI268" s="719"/>
      <c r="AJ268" s="719"/>
      <c r="AK268" s="719"/>
      <c r="AL268" s="719"/>
      <c r="AM268" s="719"/>
      <c r="AN268" s="719"/>
      <c r="AO268" s="719"/>
      <c r="AP268" s="719"/>
      <c r="AQ268" s="724">
        <f>+FL_1($T$269,$T$267,$G$268,1200,9.28, 1*$F$269)</f>
        <v>0.3492510397942718</v>
      </c>
      <c r="AR268" s="724"/>
      <c r="AS268" s="724"/>
      <c r="AT268" s="724"/>
      <c r="AU268" s="724"/>
      <c r="AV268" s="724"/>
      <c r="AW268" s="719"/>
      <c r="AX268" s="719"/>
      <c r="AY268" s="719"/>
      <c r="AZ268" s="532"/>
    </row>
    <row r="269" spans="1:52" ht="15.75" customHeight="1">
      <c r="A269" s="716" t="s">
        <v>677</v>
      </c>
      <c r="B269" s="717" t="s">
        <v>1795</v>
      </c>
      <c r="C269" s="789">
        <f>+$C$267+$G$268</f>
        <v>37012</v>
      </c>
      <c r="D269" s="719"/>
      <c r="E269" s="719"/>
      <c r="F269" s="720">
        <f>-475000/(37046-C269)</f>
        <v>-13970.588235294117</v>
      </c>
      <c r="G269" s="721"/>
      <c r="H269" s="726" t="s">
        <v>997</v>
      </c>
      <c r="I269" s="726"/>
      <c r="J269" s="718"/>
      <c r="K269" s="719"/>
      <c r="L269" s="719" t="s">
        <v>241</v>
      </c>
      <c r="M269" s="719"/>
      <c r="N269" s="726" t="s">
        <v>695</v>
      </c>
      <c r="O269" s="726"/>
      <c r="P269" s="731"/>
      <c r="Q269" s="719">
        <v>-13</v>
      </c>
      <c r="R269" s="719">
        <v>-14393.84</v>
      </c>
      <c r="S269" s="719"/>
      <c r="T269" s="719">
        <v>-30</v>
      </c>
      <c r="U269" s="719"/>
      <c r="V269" s="719"/>
      <c r="W269" s="719">
        <v>1.1000000000000001</v>
      </c>
      <c r="X269" s="719"/>
      <c r="Y269" s="719"/>
      <c r="Z269" s="719"/>
      <c r="AA269" s="719"/>
      <c r="AB269" s="719"/>
      <c r="AC269" s="719" t="s">
        <v>2979</v>
      </c>
      <c r="AD269" s="719"/>
      <c r="AE269" s="719"/>
      <c r="AF269" s="719">
        <v>200</v>
      </c>
      <c r="AG269" s="789">
        <v>37013.42</v>
      </c>
      <c r="AH269" s="719">
        <v>1411</v>
      </c>
      <c r="AI269" s="719">
        <v>-5198</v>
      </c>
      <c r="AJ269" s="719"/>
      <c r="AK269" s="719"/>
      <c r="AL269" s="719"/>
      <c r="AM269" s="719" t="s">
        <v>2609</v>
      </c>
      <c r="AN269" s="719">
        <v>5.25</v>
      </c>
      <c r="AO269" s="719"/>
      <c r="AP269" s="719"/>
      <c r="AQ269" s="724"/>
      <c r="AR269" s="724"/>
      <c r="AS269" s="724"/>
      <c r="AT269" s="724">
        <f>+ab($T$269,$T$267,$T$271,$G$268,$G$270, 1*$F$269,1200)</f>
        <v>-6.9240356334015134</v>
      </c>
      <c r="AU269" s="724"/>
      <c r="AV269" s="724"/>
      <c r="AW269" s="719"/>
      <c r="AX269" s="719"/>
      <c r="AY269" s="719"/>
      <c r="AZ269" s="532"/>
    </row>
    <row r="270" spans="1:52" ht="15.75" hidden="1" customHeight="1">
      <c r="A270" s="716"/>
      <c r="B270" s="717"/>
      <c r="C270" s="789"/>
      <c r="D270" s="719"/>
      <c r="E270" s="719"/>
      <c r="F270" s="720"/>
      <c r="G270" s="721">
        <v>50</v>
      </c>
      <c r="H270" s="726"/>
      <c r="I270" s="722">
        <f>SUM(G270:G288)</f>
        <v>500</v>
      </c>
      <c r="J270" s="718">
        <f>C271-1</f>
        <v>37061</v>
      </c>
      <c r="K270" s="719" t="s">
        <v>1102</v>
      </c>
      <c r="L270" s="719"/>
      <c r="M270" s="719"/>
      <c r="N270" s="726"/>
      <c r="O270" s="726"/>
      <c r="P270" s="731"/>
      <c r="Q270" s="719"/>
      <c r="R270" s="719"/>
      <c r="S270" s="724">
        <f>AG271-AG269</f>
        <v>48.05000000000291</v>
      </c>
      <c r="T270" s="719"/>
      <c r="U270" s="719"/>
      <c r="V270" s="719"/>
      <c r="W270" s="719"/>
      <c r="X270" s="719"/>
      <c r="Y270" s="719"/>
      <c r="Z270" s="719"/>
      <c r="AA270" s="719"/>
      <c r="AB270" s="719"/>
      <c r="AC270" s="719"/>
      <c r="AD270" s="719"/>
      <c r="AE270" s="719"/>
      <c r="AF270" s="719"/>
      <c r="AG270" s="789"/>
      <c r="AH270" s="719"/>
      <c r="AI270" s="719"/>
      <c r="AJ270" s="719"/>
      <c r="AK270" s="719"/>
      <c r="AL270" s="719"/>
      <c r="AM270" s="719"/>
      <c r="AN270" s="719"/>
      <c r="AO270" s="719"/>
      <c r="AP270" s="719"/>
      <c r="AQ270" s="724">
        <f>+FL_1($T$271,$T$269,$G$270,1200,9.28, 1*$F$271)</f>
        <v>0.33477011200000001</v>
      </c>
      <c r="AR270" s="724"/>
      <c r="AS270" s="724"/>
      <c r="AT270" s="724"/>
      <c r="AU270" s="724"/>
      <c r="AV270" s="724"/>
      <c r="AW270" s="719"/>
      <c r="AX270" s="719"/>
      <c r="AY270" s="719"/>
      <c r="AZ270" s="532"/>
    </row>
    <row r="271" spans="1:52" ht="15.75" customHeight="1">
      <c r="A271" s="716" t="s">
        <v>677</v>
      </c>
      <c r="B271" s="717" t="s">
        <v>1796</v>
      </c>
      <c r="C271" s="789">
        <f>+$C$269+$G$270</f>
        <v>37062</v>
      </c>
      <c r="D271" s="719"/>
      <c r="E271" s="719"/>
      <c r="F271" s="720">
        <v>0</v>
      </c>
      <c r="G271" s="721"/>
      <c r="H271" s="726" t="s">
        <v>1101</v>
      </c>
      <c r="I271" s="722"/>
      <c r="J271" s="718"/>
      <c r="K271" s="719"/>
      <c r="L271" s="719" t="s">
        <v>241</v>
      </c>
      <c r="M271" s="719"/>
      <c r="N271" s="726" t="s">
        <v>696</v>
      </c>
      <c r="O271" s="726"/>
      <c r="P271" s="731"/>
      <c r="Q271" s="719">
        <v>0</v>
      </c>
      <c r="R271" s="719">
        <v>0</v>
      </c>
      <c r="S271" s="719"/>
      <c r="T271" s="719">
        <v>30</v>
      </c>
      <c r="U271" s="719"/>
      <c r="V271" s="719"/>
      <c r="W271" s="719">
        <v>1.1000000000000001</v>
      </c>
      <c r="X271" s="719"/>
      <c r="Y271" s="719"/>
      <c r="Z271" s="719"/>
      <c r="AA271" s="719"/>
      <c r="AB271" s="719"/>
      <c r="AC271" s="719" t="s">
        <v>2977</v>
      </c>
      <c r="AD271" s="719"/>
      <c r="AE271" s="719"/>
      <c r="AF271" s="719">
        <v>200</v>
      </c>
      <c r="AG271" s="789">
        <v>37061.47</v>
      </c>
      <c r="AH271" s="719">
        <v>1431</v>
      </c>
      <c r="AI271" s="719">
        <v>-5191</v>
      </c>
      <c r="AJ271" s="719"/>
      <c r="AK271" s="719"/>
      <c r="AL271" s="719"/>
      <c r="AM271" s="719" t="s">
        <v>2609</v>
      </c>
      <c r="AN271" s="719">
        <v>5.25</v>
      </c>
      <c r="AO271" s="719"/>
      <c r="AP271" s="719"/>
      <c r="AQ271" s="724"/>
      <c r="AR271" s="724"/>
      <c r="AS271" s="724"/>
      <c r="AT271" s="724">
        <f>+ab($T$271,$T$269,$T$273,$G$270,$G$272, 1*$F$271,1200)</f>
        <v>7.9442083933778509</v>
      </c>
      <c r="AU271" s="724"/>
      <c r="AV271" s="724"/>
      <c r="AW271" s="719"/>
      <c r="AX271" s="719"/>
      <c r="AY271" s="719"/>
      <c r="AZ271" s="532"/>
    </row>
    <row r="272" spans="1:52" ht="15.75" hidden="1" customHeight="1">
      <c r="A272" s="716"/>
      <c r="B272" s="717"/>
      <c r="C272" s="789"/>
      <c r="D272" s="719"/>
      <c r="E272" s="719"/>
      <c r="F272" s="720"/>
      <c r="G272" s="721">
        <v>50</v>
      </c>
      <c r="H272" s="726"/>
      <c r="I272" s="722"/>
      <c r="J272" s="718"/>
      <c r="K272" s="719"/>
      <c r="L272" s="719"/>
      <c r="M272" s="719"/>
      <c r="N272" s="726"/>
      <c r="O272" s="726"/>
      <c r="P272" s="731"/>
      <c r="Q272" s="719"/>
      <c r="R272" s="719"/>
      <c r="S272" s="724">
        <f t="shared" si="106"/>
        <v>51.309999999997672</v>
      </c>
      <c r="T272" s="719"/>
      <c r="U272" s="719"/>
      <c r="V272" s="719"/>
      <c r="W272" s="719"/>
      <c r="X272" s="719"/>
      <c r="Y272" s="719"/>
      <c r="Z272" s="719"/>
      <c r="AA272" s="719"/>
      <c r="AB272" s="719"/>
      <c r="AC272" s="719"/>
      <c r="AD272" s="719"/>
      <c r="AE272" s="719"/>
      <c r="AF272" s="719"/>
      <c r="AG272" s="789"/>
      <c r="AH272" s="719"/>
      <c r="AI272" s="719"/>
      <c r="AJ272" s="719"/>
      <c r="AK272" s="719"/>
      <c r="AL272" s="719"/>
      <c r="AM272" s="719"/>
      <c r="AN272" s="719"/>
      <c r="AO272" s="719"/>
      <c r="AP272" s="719"/>
      <c r="AQ272" s="724">
        <f>+FL_2($T$273,$T$271,$G$272,1200,9.28, 1*$F$273)</f>
        <v>-0.33477011200000001</v>
      </c>
      <c r="AR272" s="724"/>
      <c r="AS272" s="724"/>
      <c r="AT272" s="724"/>
      <c r="AU272" s="724"/>
      <c r="AV272" s="724"/>
      <c r="AW272" s="719"/>
      <c r="AX272" s="719"/>
      <c r="AY272" s="719"/>
      <c r="AZ272" s="532"/>
    </row>
    <row r="273" spans="1:52" ht="15.75" hidden="1" customHeight="1">
      <c r="A273" s="716" t="s">
        <v>677</v>
      </c>
      <c r="B273" s="717" t="s">
        <v>1797</v>
      </c>
      <c r="C273" s="789">
        <f>+$C$271+$G$272</f>
        <v>37112</v>
      </c>
      <c r="D273" s="719"/>
      <c r="E273" s="719"/>
      <c r="F273" s="720">
        <v>0</v>
      </c>
      <c r="G273" s="721"/>
      <c r="H273" s="726"/>
      <c r="I273" s="722"/>
      <c r="J273" s="718"/>
      <c r="K273" s="719"/>
      <c r="L273" s="719" t="s">
        <v>241</v>
      </c>
      <c r="M273" s="719"/>
      <c r="N273" s="726" t="s">
        <v>695</v>
      </c>
      <c r="O273" s="726"/>
      <c r="P273" s="731"/>
      <c r="Q273" s="719">
        <v>0</v>
      </c>
      <c r="R273" s="719">
        <v>0</v>
      </c>
      <c r="S273" s="719"/>
      <c r="T273" s="719">
        <v>-30</v>
      </c>
      <c r="U273" s="719"/>
      <c r="V273" s="719"/>
      <c r="W273" s="719">
        <v>1.1000000000000001</v>
      </c>
      <c r="X273" s="719"/>
      <c r="Y273" s="719"/>
      <c r="Z273" s="719"/>
      <c r="AA273" s="719"/>
      <c r="AB273" s="719"/>
      <c r="AC273" s="719" t="s">
        <v>2979</v>
      </c>
      <c r="AD273" s="719"/>
      <c r="AE273" s="719"/>
      <c r="AF273" s="719">
        <v>200</v>
      </c>
      <c r="AG273" s="789">
        <v>37112.78</v>
      </c>
      <c r="AH273" s="719">
        <v>1422</v>
      </c>
      <c r="AI273" s="719">
        <v>-5170</v>
      </c>
      <c r="AJ273" s="719"/>
      <c r="AK273" s="719"/>
      <c r="AL273" s="719"/>
      <c r="AM273" s="719" t="s">
        <v>2609</v>
      </c>
      <c r="AN273" s="719">
        <v>5.25</v>
      </c>
      <c r="AO273" s="719"/>
      <c r="AP273" s="719"/>
      <c r="AQ273" s="724"/>
      <c r="AR273" s="724"/>
      <c r="AS273" s="724"/>
      <c r="AT273" s="724">
        <f>+ab($T$273,$T$271,$T$275,$G$272,$G$274, 1*$F$273,1200)</f>
        <v>-7.9442410717051439</v>
      </c>
      <c r="AU273" s="724"/>
      <c r="AV273" s="724"/>
      <c r="AW273" s="719"/>
      <c r="AX273" s="719"/>
      <c r="AY273" s="719"/>
      <c r="AZ273" s="532"/>
    </row>
    <row r="274" spans="1:52" ht="15.75" hidden="1" customHeight="1">
      <c r="A274" s="716"/>
      <c r="B274" s="717"/>
      <c r="C274" s="789"/>
      <c r="D274" s="719"/>
      <c r="E274" s="719"/>
      <c r="F274" s="720"/>
      <c r="G274" s="721">
        <v>50</v>
      </c>
      <c r="H274" s="726"/>
      <c r="I274" s="722"/>
      <c r="J274" s="718"/>
      <c r="K274" s="719"/>
      <c r="L274" s="719"/>
      <c r="M274" s="719"/>
      <c r="N274" s="726"/>
      <c r="O274" s="726"/>
      <c r="P274" s="731"/>
      <c r="Q274" s="719"/>
      <c r="R274" s="719"/>
      <c r="S274" s="724">
        <f t="shared" si="106"/>
        <v>48</v>
      </c>
      <c r="T274" s="719"/>
      <c r="U274" s="719"/>
      <c r="V274" s="719"/>
      <c r="W274" s="719"/>
      <c r="X274" s="719"/>
      <c r="Y274" s="719"/>
      <c r="Z274" s="719"/>
      <c r="AA274" s="719"/>
      <c r="AB274" s="719"/>
      <c r="AC274" s="719"/>
      <c r="AD274" s="719"/>
      <c r="AE274" s="719"/>
      <c r="AF274" s="719"/>
      <c r="AG274" s="789"/>
      <c r="AH274" s="719"/>
      <c r="AI274" s="719"/>
      <c r="AJ274" s="719"/>
      <c r="AK274" s="719"/>
      <c r="AL274" s="719"/>
      <c r="AM274" s="719"/>
      <c r="AN274" s="719"/>
      <c r="AO274" s="719"/>
      <c r="AP274" s="719"/>
      <c r="AQ274" s="724">
        <f>+FL_1($T$275,$T$273,$G$274,1200,9.28, 1*$F$275)</f>
        <v>0.33477011200000001</v>
      </c>
      <c r="AR274" s="724"/>
      <c r="AS274" s="724"/>
      <c r="AT274" s="724"/>
      <c r="AU274" s="724"/>
      <c r="AV274" s="724"/>
      <c r="AW274" s="719"/>
      <c r="AX274" s="719"/>
      <c r="AY274" s="719"/>
      <c r="AZ274" s="532"/>
    </row>
    <row r="275" spans="1:52" ht="15.75" hidden="1" customHeight="1">
      <c r="A275" s="716" t="s">
        <v>677</v>
      </c>
      <c r="B275" s="717" t="s">
        <v>1798</v>
      </c>
      <c r="C275" s="789">
        <f>+$C$273+$G$274</f>
        <v>37162</v>
      </c>
      <c r="D275" s="719"/>
      <c r="E275" s="719"/>
      <c r="F275" s="720">
        <v>0</v>
      </c>
      <c r="G275" s="721"/>
      <c r="H275" s="726"/>
      <c r="I275" s="722"/>
      <c r="J275" s="718"/>
      <c r="K275" s="719"/>
      <c r="L275" s="719" t="s">
        <v>241</v>
      </c>
      <c r="M275" s="719"/>
      <c r="N275" s="726" t="s">
        <v>696</v>
      </c>
      <c r="O275" s="726"/>
      <c r="P275" s="731"/>
      <c r="Q275" s="719">
        <v>0</v>
      </c>
      <c r="R275" s="719">
        <v>0</v>
      </c>
      <c r="S275" s="719"/>
      <c r="T275" s="719">
        <v>30</v>
      </c>
      <c r="U275" s="719"/>
      <c r="V275" s="719"/>
      <c r="W275" s="719">
        <v>1.1000000000000001</v>
      </c>
      <c r="X275" s="719"/>
      <c r="Y275" s="719"/>
      <c r="Z275" s="719"/>
      <c r="AA275" s="719"/>
      <c r="AB275" s="719"/>
      <c r="AC275" s="719" t="s">
        <v>2977</v>
      </c>
      <c r="AD275" s="719"/>
      <c r="AE275" s="719"/>
      <c r="AF275" s="719">
        <v>200</v>
      </c>
      <c r="AG275" s="789">
        <v>37160.78</v>
      </c>
      <c r="AH275" s="719">
        <v>1411</v>
      </c>
      <c r="AI275" s="719">
        <v>-5179</v>
      </c>
      <c r="AJ275" s="719"/>
      <c r="AK275" s="719"/>
      <c r="AL275" s="719"/>
      <c r="AM275" s="719" t="s">
        <v>2609</v>
      </c>
      <c r="AN275" s="719">
        <v>5.25</v>
      </c>
      <c r="AO275" s="719"/>
      <c r="AP275" s="719"/>
      <c r="AQ275" s="724"/>
      <c r="AR275" s="724"/>
      <c r="AS275" s="724"/>
      <c r="AT275" s="724">
        <f>+ab($T$275,$T$273,$T$277,$G$274,$G$276, 1*$F$275,1200)</f>
        <v>7.9442083933778509</v>
      </c>
      <c r="AU275" s="724"/>
      <c r="AV275" s="724"/>
      <c r="AW275" s="719"/>
      <c r="AX275" s="719"/>
      <c r="AY275" s="719"/>
      <c r="AZ275" s="532"/>
    </row>
    <row r="276" spans="1:52" ht="15.75" hidden="1" customHeight="1">
      <c r="A276" s="716"/>
      <c r="B276" s="717"/>
      <c r="C276" s="789"/>
      <c r="D276" s="719"/>
      <c r="E276" s="719"/>
      <c r="F276" s="720"/>
      <c r="G276" s="721">
        <v>50</v>
      </c>
      <c r="H276" s="726"/>
      <c r="I276" s="722"/>
      <c r="J276" s="762"/>
      <c r="K276" s="719"/>
      <c r="L276" s="719"/>
      <c r="M276" s="719"/>
      <c r="N276" s="726"/>
      <c r="O276" s="719"/>
      <c r="P276" s="719"/>
      <c r="Q276" s="719"/>
      <c r="R276" s="719"/>
      <c r="S276" s="724">
        <f t="shared" si="106"/>
        <v>51.200000000004366</v>
      </c>
      <c r="T276" s="719"/>
      <c r="U276" s="719"/>
      <c r="V276" s="719"/>
      <c r="W276" s="719"/>
      <c r="X276" s="719"/>
      <c r="Y276" s="719"/>
      <c r="Z276" s="719"/>
      <c r="AA276" s="719"/>
      <c r="AB276" s="719"/>
      <c r="AC276" s="719"/>
      <c r="AD276" s="719"/>
      <c r="AE276" s="719"/>
      <c r="AF276" s="719"/>
      <c r="AG276" s="789"/>
      <c r="AH276" s="719"/>
      <c r="AI276" s="719"/>
      <c r="AJ276" s="719"/>
      <c r="AK276" s="719"/>
      <c r="AL276" s="719"/>
      <c r="AM276" s="719"/>
      <c r="AN276" s="719"/>
      <c r="AO276" s="719"/>
      <c r="AP276" s="719"/>
      <c r="AQ276" s="724">
        <f>+FL_2($T$277,$T$275,$G$276,1200,9.28, 1*$F$277)</f>
        <v>-0.33477011200000001</v>
      </c>
      <c r="AR276" s="724"/>
      <c r="AS276" s="724"/>
      <c r="AT276" s="724"/>
      <c r="AU276" s="724"/>
      <c r="AV276" s="724"/>
      <c r="AW276" s="719"/>
      <c r="AX276" s="719"/>
      <c r="AY276" s="719"/>
      <c r="AZ276" s="532"/>
    </row>
    <row r="277" spans="1:52" ht="15.75" hidden="1" customHeight="1">
      <c r="A277" s="716" t="s">
        <v>677</v>
      </c>
      <c r="B277" s="717" t="s">
        <v>1799</v>
      </c>
      <c r="C277" s="789">
        <f>+$C$275+$G$276</f>
        <v>37212</v>
      </c>
      <c r="D277" s="719"/>
      <c r="E277" s="719"/>
      <c r="F277" s="720">
        <v>0</v>
      </c>
      <c r="G277" s="721"/>
      <c r="H277" s="726"/>
      <c r="I277" s="722"/>
      <c r="J277" s="762"/>
      <c r="K277" s="719"/>
      <c r="L277" s="719" t="s">
        <v>241</v>
      </c>
      <c r="M277" s="719"/>
      <c r="N277" s="726" t="s">
        <v>695</v>
      </c>
      <c r="O277" s="719"/>
      <c r="P277" s="719"/>
      <c r="Q277" s="719">
        <v>0</v>
      </c>
      <c r="R277" s="719">
        <v>0</v>
      </c>
      <c r="S277" s="719"/>
      <c r="T277" s="719">
        <v>-30</v>
      </c>
      <c r="U277" s="719"/>
      <c r="V277" s="719"/>
      <c r="W277" s="719">
        <v>1.1000000000000001</v>
      </c>
      <c r="X277" s="719"/>
      <c r="Y277" s="719"/>
      <c r="Z277" s="719"/>
      <c r="AA277" s="719"/>
      <c r="AB277" s="719"/>
      <c r="AC277" s="719" t="s">
        <v>2979</v>
      </c>
      <c r="AD277" s="719"/>
      <c r="AE277" s="719"/>
      <c r="AF277" s="719">
        <v>200</v>
      </c>
      <c r="AG277" s="789">
        <v>37211.980000000003</v>
      </c>
      <c r="AH277" s="719">
        <v>1423</v>
      </c>
      <c r="AI277" s="719">
        <v>-5169</v>
      </c>
      <c r="AJ277" s="719"/>
      <c r="AK277" s="719"/>
      <c r="AL277" s="719"/>
      <c r="AM277" s="719" t="s">
        <v>2609</v>
      </c>
      <c r="AN277" s="719">
        <v>5.25</v>
      </c>
      <c r="AO277" s="719"/>
      <c r="AP277" s="719"/>
      <c r="AQ277" s="724"/>
      <c r="AR277" s="724"/>
      <c r="AS277" s="724"/>
      <c r="AT277" s="724">
        <f>+ab($T$277,$T$275,$T$279,$G$276,$G$278, 1*$F$277,1200)</f>
        <v>-7.9442410717051439</v>
      </c>
      <c r="AU277" s="724"/>
      <c r="AV277" s="724"/>
      <c r="AW277" s="719"/>
      <c r="AX277" s="719"/>
      <c r="AY277" s="719"/>
      <c r="AZ277" s="532"/>
    </row>
    <row r="278" spans="1:52" ht="15.75" hidden="1" customHeight="1">
      <c r="A278" s="716"/>
      <c r="B278" s="717"/>
      <c r="C278" s="789"/>
      <c r="D278" s="719"/>
      <c r="E278" s="719"/>
      <c r="F278" s="720"/>
      <c r="G278" s="721">
        <v>50</v>
      </c>
      <c r="H278" s="726"/>
      <c r="I278" s="722"/>
      <c r="J278" s="762"/>
      <c r="K278" s="719"/>
      <c r="L278" s="719"/>
      <c r="M278" s="719"/>
      <c r="N278" s="726"/>
      <c r="O278" s="719"/>
      <c r="P278" s="719"/>
      <c r="Q278" s="719"/>
      <c r="R278" s="719"/>
      <c r="S278" s="724">
        <f t="shared" si="106"/>
        <v>51.319999999999709</v>
      </c>
      <c r="T278" s="719"/>
      <c r="U278" s="719"/>
      <c r="V278" s="719"/>
      <c r="W278" s="719"/>
      <c r="X278" s="719"/>
      <c r="Y278" s="719"/>
      <c r="Z278" s="719"/>
      <c r="AA278" s="719"/>
      <c r="AB278" s="719"/>
      <c r="AC278" s="719"/>
      <c r="AD278" s="719"/>
      <c r="AE278" s="719"/>
      <c r="AF278" s="719"/>
      <c r="AG278" s="789"/>
      <c r="AH278" s="719"/>
      <c r="AI278" s="719"/>
      <c r="AJ278" s="719"/>
      <c r="AK278" s="719"/>
      <c r="AL278" s="719"/>
      <c r="AM278" s="719"/>
      <c r="AN278" s="719"/>
      <c r="AO278" s="719"/>
      <c r="AP278" s="719"/>
      <c r="AQ278" s="724">
        <f>+FL_1($T$279,$T$277,$G$278,1200,9.28, 1*$F$279)</f>
        <v>0.33477011200000001</v>
      </c>
      <c r="AR278" s="724"/>
      <c r="AS278" s="724"/>
      <c r="AT278" s="724"/>
      <c r="AU278" s="724"/>
      <c r="AV278" s="724"/>
      <c r="AW278" s="719"/>
      <c r="AX278" s="719"/>
      <c r="AY278" s="719"/>
      <c r="AZ278" s="532"/>
    </row>
    <row r="279" spans="1:52" ht="15.75" hidden="1" customHeight="1">
      <c r="A279" s="716" t="s">
        <v>677</v>
      </c>
      <c r="B279" s="717" t="s">
        <v>1800</v>
      </c>
      <c r="C279" s="789">
        <f>+$C$277+$G$278</f>
        <v>37262</v>
      </c>
      <c r="D279" s="719"/>
      <c r="E279" s="719"/>
      <c r="F279" s="720">
        <v>0</v>
      </c>
      <c r="G279" s="721"/>
      <c r="H279" s="726"/>
      <c r="I279" s="726"/>
      <c r="J279" s="718"/>
      <c r="K279" s="719"/>
      <c r="L279" s="719" t="s">
        <v>241</v>
      </c>
      <c r="M279" s="719"/>
      <c r="N279" s="726" t="s">
        <v>696</v>
      </c>
      <c r="O279" s="719"/>
      <c r="P279" s="719"/>
      <c r="Q279" s="719">
        <v>0</v>
      </c>
      <c r="R279" s="719">
        <v>0</v>
      </c>
      <c r="S279" s="719"/>
      <c r="T279" s="719">
        <v>30</v>
      </c>
      <c r="U279" s="719"/>
      <c r="V279" s="719"/>
      <c r="W279" s="719">
        <v>1.1000000000000001</v>
      </c>
      <c r="X279" s="719"/>
      <c r="Y279" s="719"/>
      <c r="Z279" s="719"/>
      <c r="AA279" s="719"/>
      <c r="AB279" s="719"/>
      <c r="AC279" s="719" t="s">
        <v>2977</v>
      </c>
      <c r="AD279" s="719"/>
      <c r="AE279" s="719"/>
      <c r="AF279" s="719">
        <v>200</v>
      </c>
      <c r="AG279" s="789">
        <v>37263.300000000003</v>
      </c>
      <c r="AH279" s="719">
        <v>1417</v>
      </c>
      <c r="AI279" s="719">
        <v>-5176</v>
      </c>
      <c r="AJ279" s="719"/>
      <c r="AK279" s="719"/>
      <c r="AL279" s="719"/>
      <c r="AM279" s="719" t="s">
        <v>2609</v>
      </c>
      <c r="AN279" s="719">
        <v>5.25</v>
      </c>
      <c r="AO279" s="719"/>
      <c r="AP279" s="719"/>
      <c r="AQ279" s="724"/>
      <c r="AR279" s="724"/>
      <c r="AS279" s="724"/>
      <c r="AT279" s="724">
        <f>+ab($T$279,$T$277,$T$281,$G$278,$G$280, 1*$F$279,1200)</f>
        <v>7.9442083933778509</v>
      </c>
      <c r="AU279" s="724"/>
      <c r="AV279" s="724"/>
      <c r="AW279" s="719"/>
      <c r="AX279" s="719"/>
      <c r="AY279" s="719"/>
      <c r="AZ279" s="532"/>
    </row>
    <row r="280" spans="1:52" ht="15.75" hidden="1" customHeight="1">
      <c r="A280" s="716"/>
      <c r="B280" s="717"/>
      <c r="C280" s="789"/>
      <c r="D280" s="719"/>
      <c r="E280" s="719"/>
      <c r="F280" s="720"/>
      <c r="G280" s="721">
        <v>50</v>
      </c>
      <c r="H280" s="726"/>
      <c r="I280" s="726"/>
      <c r="J280" s="718"/>
      <c r="K280" s="719"/>
      <c r="L280" s="719"/>
      <c r="M280" s="719"/>
      <c r="N280" s="726"/>
      <c r="O280" s="719"/>
      <c r="P280" s="719"/>
      <c r="Q280" s="719"/>
      <c r="R280" s="719"/>
      <c r="S280" s="724">
        <f t="shared" si="106"/>
        <v>48.009999999994761</v>
      </c>
      <c r="T280" s="719"/>
      <c r="U280" s="719"/>
      <c r="V280" s="719"/>
      <c r="W280" s="719"/>
      <c r="X280" s="719"/>
      <c r="Y280" s="719"/>
      <c r="Z280" s="719"/>
      <c r="AA280" s="719"/>
      <c r="AB280" s="719"/>
      <c r="AC280" s="719"/>
      <c r="AD280" s="719"/>
      <c r="AE280" s="719"/>
      <c r="AF280" s="719"/>
      <c r="AG280" s="789"/>
      <c r="AH280" s="719"/>
      <c r="AI280" s="719"/>
      <c r="AJ280" s="719"/>
      <c r="AK280" s="719"/>
      <c r="AL280" s="719"/>
      <c r="AM280" s="719"/>
      <c r="AN280" s="719"/>
      <c r="AO280" s="719"/>
      <c r="AP280" s="719"/>
      <c r="AQ280" s="724">
        <f>+FL_2($T$281,$T$279,$G$280,1200,9.28, 1*$F$281)</f>
        <v>-0.33477011200000001</v>
      </c>
      <c r="AR280" s="724"/>
      <c r="AS280" s="724"/>
      <c r="AT280" s="724"/>
      <c r="AU280" s="724"/>
      <c r="AV280" s="724"/>
      <c r="AW280" s="719"/>
      <c r="AX280" s="719"/>
      <c r="AY280" s="719"/>
      <c r="AZ280" s="532"/>
    </row>
    <row r="281" spans="1:52" ht="15.75" hidden="1" customHeight="1">
      <c r="A281" s="716" t="s">
        <v>677</v>
      </c>
      <c r="B281" s="717" t="s">
        <v>1801</v>
      </c>
      <c r="C281" s="789">
        <f>+$C$279+$G$280</f>
        <v>37312</v>
      </c>
      <c r="D281" s="719"/>
      <c r="E281" s="719"/>
      <c r="F281" s="720">
        <v>0</v>
      </c>
      <c r="G281" s="721"/>
      <c r="H281" s="726"/>
      <c r="I281" s="722"/>
      <c r="J281" s="718"/>
      <c r="K281" s="719"/>
      <c r="L281" s="719" t="s">
        <v>241</v>
      </c>
      <c r="M281" s="719"/>
      <c r="N281" s="726" t="s">
        <v>695</v>
      </c>
      <c r="O281" s="719"/>
      <c r="P281" s="719"/>
      <c r="Q281" s="719">
        <v>0</v>
      </c>
      <c r="R281" s="719">
        <v>0</v>
      </c>
      <c r="S281" s="719"/>
      <c r="T281" s="719">
        <v>-30</v>
      </c>
      <c r="U281" s="719"/>
      <c r="V281" s="719"/>
      <c r="W281" s="719">
        <v>1.1000000000000001</v>
      </c>
      <c r="X281" s="719"/>
      <c r="Y281" s="719"/>
      <c r="Z281" s="719"/>
      <c r="AA281" s="719"/>
      <c r="AB281" s="719"/>
      <c r="AC281" s="719" t="s">
        <v>2979</v>
      </c>
      <c r="AD281" s="719"/>
      <c r="AE281" s="719"/>
      <c r="AF281" s="719">
        <v>200</v>
      </c>
      <c r="AG281" s="789">
        <v>37311.31</v>
      </c>
      <c r="AH281" s="719">
        <v>1407</v>
      </c>
      <c r="AI281" s="719">
        <v>-5164</v>
      </c>
      <c r="AJ281" s="719"/>
      <c r="AK281" s="719"/>
      <c r="AL281" s="719"/>
      <c r="AM281" s="719" t="s">
        <v>2609</v>
      </c>
      <c r="AN281" s="719">
        <v>5.25</v>
      </c>
      <c r="AO281" s="719"/>
      <c r="AP281" s="719"/>
      <c r="AQ281" s="724"/>
      <c r="AR281" s="724"/>
      <c r="AS281" s="724"/>
      <c r="AT281" s="724">
        <f>+ab($T$281,$T$279,$T$283,$G$280,$G$282, 1*$F$281,1200)</f>
        <v>-7.9442410717051439</v>
      </c>
      <c r="AU281" s="724"/>
      <c r="AV281" s="724"/>
      <c r="AW281" s="719"/>
      <c r="AX281" s="719"/>
      <c r="AY281" s="719"/>
      <c r="AZ281" s="532"/>
    </row>
    <row r="282" spans="1:52" ht="15.75" hidden="1" customHeight="1">
      <c r="A282" s="716"/>
      <c r="B282" s="717"/>
      <c r="C282" s="789"/>
      <c r="D282" s="719"/>
      <c r="E282" s="719"/>
      <c r="F282" s="720"/>
      <c r="G282" s="721">
        <v>50</v>
      </c>
      <c r="H282" s="726"/>
      <c r="I282" s="722"/>
      <c r="J282" s="764"/>
      <c r="K282" s="719"/>
      <c r="L282" s="719"/>
      <c r="M282" s="719"/>
      <c r="N282" s="726"/>
      <c r="O282" s="719"/>
      <c r="P282" s="719"/>
      <c r="Q282" s="719"/>
      <c r="R282" s="719"/>
      <c r="S282" s="724">
        <f t="shared" si="106"/>
        <v>51.240000000005239</v>
      </c>
      <c r="T282" s="719"/>
      <c r="U282" s="719"/>
      <c r="V282" s="719"/>
      <c r="W282" s="719"/>
      <c r="X282" s="719"/>
      <c r="Y282" s="719"/>
      <c r="Z282" s="719"/>
      <c r="AA282" s="719"/>
      <c r="AB282" s="719"/>
      <c r="AC282" s="719"/>
      <c r="AD282" s="719"/>
      <c r="AE282" s="719"/>
      <c r="AF282" s="719"/>
      <c r="AG282" s="789"/>
      <c r="AH282" s="719"/>
      <c r="AI282" s="719"/>
      <c r="AJ282" s="719"/>
      <c r="AK282" s="719"/>
      <c r="AL282" s="719"/>
      <c r="AM282" s="719"/>
      <c r="AN282" s="719"/>
      <c r="AO282" s="719"/>
      <c r="AP282" s="719"/>
      <c r="AQ282" s="724">
        <f>+FL_1($T$283,$T$281,$G$282,1200,9.28, 1*$F$283)</f>
        <v>0.33477011200000001</v>
      </c>
      <c r="AR282" s="724"/>
      <c r="AS282" s="724"/>
      <c r="AT282" s="724"/>
      <c r="AU282" s="724"/>
      <c r="AV282" s="724"/>
      <c r="AW282" s="719"/>
      <c r="AX282" s="719"/>
      <c r="AY282" s="719"/>
      <c r="AZ282" s="532"/>
    </row>
    <row r="283" spans="1:52" ht="15.75" hidden="1" customHeight="1">
      <c r="A283" s="716" t="s">
        <v>677</v>
      </c>
      <c r="B283" s="717" t="s">
        <v>1802</v>
      </c>
      <c r="C283" s="789">
        <f>+$C$281+$G$282</f>
        <v>37362</v>
      </c>
      <c r="D283" s="719"/>
      <c r="E283" s="719"/>
      <c r="F283" s="720">
        <v>0</v>
      </c>
      <c r="G283" s="721"/>
      <c r="H283" s="726" t="s">
        <v>138</v>
      </c>
      <c r="I283" s="729" t="s">
        <v>948</v>
      </c>
      <c r="J283" s="718"/>
      <c r="K283" s="719"/>
      <c r="L283" s="719" t="s">
        <v>241</v>
      </c>
      <c r="M283" s="719"/>
      <c r="N283" s="726" t="s">
        <v>696</v>
      </c>
      <c r="O283" s="719"/>
      <c r="P283" s="719"/>
      <c r="Q283" s="719">
        <v>0</v>
      </c>
      <c r="R283" s="719">
        <v>0</v>
      </c>
      <c r="S283" s="719"/>
      <c r="T283" s="719">
        <v>30</v>
      </c>
      <c r="U283" s="719"/>
      <c r="V283" s="719"/>
      <c r="W283" s="719">
        <v>1.1000000000000001</v>
      </c>
      <c r="X283" s="719"/>
      <c r="Y283" s="719"/>
      <c r="Z283" s="719"/>
      <c r="AA283" s="719"/>
      <c r="AB283" s="719"/>
      <c r="AC283" s="719" t="s">
        <v>2612</v>
      </c>
      <c r="AD283" s="719"/>
      <c r="AE283" s="719"/>
      <c r="AF283" s="719">
        <v>200</v>
      </c>
      <c r="AG283" s="789">
        <v>37362.550000000003</v>
      </c>
      <c r="AH283" s="719">
        <v>1405</v>
      </c>
      <c r="AI283" s="719">
        <v>-5179</v>
      </c>
      <c r="AJ283" s="719"/>
      <c r="AK283" s="719"/>
      <c r="AL283" s="719"/>
      <c r="AM283" s="719" t="s">
        <v>2609</v>
      </c>
      <c r="AN283" s="719">
        <v>5.25</v>
      </c>
      <c r="AO283" s="719"/>
      <c r="AP283" s="719"/>
      <c r="AQ283" s="724"/>
      <c r="AR283" s="724"/>
      <c r="AS283" s="724"/>
      <c r="AT283" s="724">
        <f>+ab($T$283,$T$281,$T$285,$G$282,$G$284, 1*$F$283,1200)</f>
        <v>9.9968917440918084</v>
      </c>
      <c r="AU283" s="724"/>
      <c r="AV283" s="724"/>
      <c r="AW283" s="719"/>
      <c r="AX283" s="719"/>
      <c r="AY283" s="719"/>
      <c r="AZ283" s="532"/>
    </row>
    <row r="284" spans="1:52" ht="15.75" hidden="1" customHeight="1">
      <c r="A284" s="716"/>
      <c r="B284" s="717"/>
      <c r="C284" s="789"/>
      <c r="D284" s="719"/>
      <c r="E284" s="719"/>
      <c r="F284" s="720"/>
      <c r="G284" s="721">
        <v>50</v>
      </c>
      <c r="H284" s="719"/>
      <c r="I284" s="726"/>
      <c r="J284" s="718">
        <f>C283+10</f>
        <v>37372</v>
      </c>
      <c r="K284" s="719" t="s">
        <v>1097</v>
      </c>
      <c r="L284" s="719"/>
      <c r="M284" s="719"/>
      <c r="N284" s="726"/>
      <c r="O284" s="719"/>
      <c r="P284" s="719"/>
      <c r="Q284" s="719"/>
      <c r="R284" s="719"/>
      <c r="S284" s="724">
        <f>AG285-AG283</f>
        <v>49.709999999999127</v>
      </c>
      <c r="T284" s="719"/>
      <c r="U284" s="719"/>
      <c r="V284" s="719"/>
      <c r="W284" s="719"/>
      <c r="X284" s="719"/>
      <c r="Y284" s="719"/>
      <c r="Z284" s="719"/>
      <c r="AA284" s="719"/>
      <c r="AB284" s="719"/>
      <c r="AC284" s="719"/>
      <c r="AD284" s="719"/>
      <c r="AE284" s="719"/>
      <c r="AF284" s="719"/>
      <c r="AG284" s="789"/>
      <c r="AH284" s="719"/>
      <c r="AI284" s="719"/>
      <c r="AJ284" s="719"/>
      <c r="AK284" s="719"/>
      <c r="AL284" s="719"/>
      <c r="AM284" s="719"/>
      <c r="AN284" s="719"/>
      <c r="AO284" s="719"/>
      <c r="AP284" s="719"/>
      <c r="AQ284" s="724">
        <f>+FL_2($U$285,$T$283,$G$284,1200,9.28, 1*$F$285)</f>
        <v>-0.29489941866666664</v>
      </c>
      <c r="AR284" s="724"/>
      <c r="AS284" s="724"/>
      <c r="AT284" s="724"/>
      <c r="AU284" s="724"/>
      <c r="AV284" s="724"/>
      <c r="AW284" s="719"/>
      <c r="AX284" s="719"/>
      <c r="AY284" s="719"/>
      <c r="AZ284" s="532"/>
    </row>
    <row r="285" spans="1:52" ht="15.75" hidden="1" customHeight="1">
      <c r="A285" s="716" t="s">
        <v>677</v>
      </c>
      <c r="B285" s="717" t="s">
        <v>1803</v>
      </c>
      <c r="C285" s="789">
        <f>+$C$283+$G$284</f>
        <v>37412</v>
      </c>
      <c r="D285" s="719"/>
      <c r="E285" s="719"/>
      <c r="F285" s="720">
        <v>0</v>
      </c>
      <c r="G285" s="721"/>
      <c r="H285" s="719" t="s">
        <v>668</v>
      </c>
      <c r="I285" s="765"/>
      <c r="J285" s="718"/>
      <c r="K285" s="719"/>
      <c r="L285" s="719" t="s">
        <v>465</v>
      </c>
      <c r="M285" s="719"/>
      <c r="N285" s="726" t="s">
        <v>697</v>
      </c>
      <c r="O285" s="719" t="s">
        <v>695</v>
      </c>
      <c r="P285" s="719"/>
      <c r="Q285" s="719">
        <v>0</v>
      </c>
      <c r="R285" s="719">
        <v>0</v>
      </c>
      <c r="S285" s="724">
        <f>AG286-AG285</f>
        <v>3.1500000000014552</v>
      </c>
      <c r="T285" s="719">
        <v>-5</v>
      </c>
      <c r="U285" s="719">
        <v>-25</v>
      </c>
      <c r="V285" s="719"/>
      <c r="W285" s="719">
        <v>1.1000000000000001</v>
      </c>
      <c r="X285" s="719">
        <v>1.2</v>
      </c>
      <c r="Y285" s="719"/>
      <c r="Z285" s="719">
        <v>0.45</v>
      </c>
      <c r="AA285" s="719"/>
      <c r="AB285" s="719"/>
      <c r="AC285" s="719"/>
      <c r="AD285" s="719" t="s">
        <v>2614</v>
      </c>
      <c r="AE285" s="719"/>
      <c r="AF285" s="719">
        <v>200</v>
      </c>
      <c r="AG285" s="789">
        <v>37412.26</v>
      </c>
      <c r="AH285" s="719">
        <v>1408</v>
      </c>
      <c r="AI285" s="719">
        <v>-5172</v>
      </c>
      <c r="AJ285" s="719"/>
      <c r="AK285" s="719"/>
      <c r="AL285" s="719"/>
      <c r="AM285" s="719" t="s">
        <v>2609</v>
      </c>
      <c r="AN285" s="719">
        <v>5.25</v>
      </c>
      <c r="AO285" s="719"/>
      <c r="AP285" s="719"/>
      <c r="AQ285" s="724"/>
      <c r="AR285" s="724"/>
      <c r="AS285" s="724"/>
      <c r="AT285" s="724">
        <f>+ab($U$285,$T$283,$U$287,$G$284,$G$286, 1*$F$285,1200)</f>
        <v>-11.145107873316856</v>
      </c>
      <c r="AU285" s="724"/>
      <c r="AV285" s="724"/>
      <c r="AW285" s="719"/>
      <c r="AX285" s="719"/>
      <c r="AY285" s="719"/>
      <c r="AZ285" s="532"/>
    </row>
    <row r="286" spans="1:52" ht="15.75" hidden="1" customHeight="1">
      <c r="A286" s="716"/>
      <c r="B286" s="717"/>
      <c r="C286" s="789"/>
      <c r="D286" s="719"/>
      <c r="E286" s="719"/>
      <c r="F286" s="720"/>
      <c r="G286" s="721">
        <v>50</v>
      </c>
      <c r="H286" s="719"/>
      <c r="I286" s="726"/>
      <c r="J286" s="718"/>
      <c r="K286" s="719"/>
      <c r="L286" s="719"/>
      <c r="M286" s="719"/>
      <c r="N286" s="726"/>
      <c r="O286" s="719"/>
      <c r="P286" s="719"/>
      <c r="Q286" s="719">
        <v>0</v>
      </c>
      <c r="R286" s="719">
        <v>0</v>
      </c>
      <c r="S286" s="724">
        <f>AG287-AG286</f>
        <v>44.839999999996508</v>
      </c>
      <c r="T286" s="719"/>
      <c r="U286" s="719"/>
      <c r="V286" s="719"/>
      <c r="W286" s="719"/>
      <c r="X286" s="719"/>
      <c r="Y286" s="719"/>
      <c r="Z286" s="719"/>
      <c r="AA286" s="719"/>
      <c r="AB286" s="719"/>
      <c r="AC286" s="719"/>
      <c r="AD286" s="719"/>
      <c r="AE286" s="719"/>
      <c r="AF286" s="719"/>
      <c r="AG286" s="789">
        <v>37415.410000000003</v>
      </c>
      <c r="AH286" s="719">
        <v>1416</v>
      </c>
      <c r="AI286" s="719">
        <v>-5153</v>
      </c>
      <c r="AJ286" s="719"/>
      <c r="AK286" s="719"/>
      <c r="AL286" s="719"/>
      <c r="AM286" s="719"/>
      <c r="AN286" s="719"/>
      <c r="AO286" s="719"/>
      <c r="AP286" s="719"/>
      <c r="AQ286" s="724">
        <f>+FL_1($T$287,$U$285,$G$286,1200,9.28, 1*$F$287)</f>
        <v>0.30632183866666668</v>
      </c>
      <c r="AR286" s="724"/>
      <c r="AS286" s="724"/>
      <c r="AT286" s="724"/>
      <c r="AU286" s="724"/>
      <c r="AV286" s="724"/>
      <c r="AW286" s="719"/>
      <c r="AX286" s="719"/>
      <c r="AY286" s="719"/>
      <c r="AZ286" s="532"/>
    </row>
    <row r="287" spans="1:52" ht="15.75" hidden="1" customHeight="1">
      <c r="A287" s="716" t="s">
        <v>677</v>
      </c>
      <c r="B287" s="718" t="s">
        <v>1804</v>
      </c>
      <c r="C287" s="789">
        <f>+$C$285+$G$286</f>
        <v>37462</v>
      </c>
      <c r="D287" s="719"/>
      <c r="E287" s="719"/>
      <c r="F287" s="720">
        <v>0</v>
      </c>
      <c r="G287" s="721"/>
      <c r="H287" s="726" t="s">
        <v>668</v>
      </c>
      <c r="I287" s="722"/>
      <c r="J287" s="762"/>
      <c r="K287" s="719"/>
      <c r="L287" s="719" t="s">
        <v>465</v>
      </c>
      <c r="M287" s="719"/>
      <c r="N287" s="726" t="s">
        <v>696</v>
      </c>
      <c r="O287" s="726" t="s">
        <v>697</v>
      </c>
      <c r="P287" s="726"/>
      <c r="Q287" s="719">
        <v>0</v>
      </c>
      <c r="R287" s="719">
        <v>0</v>
      </c>
      <c r="S287" s="724">
        <f>AG288-AG287</f>
        <v>3.1999999999970896</v>
      </c>
      <c r="T287" s="719">
        <v>25</v>
      </c>
      <c r="U287" s="719">
        <v>5</v>
      </c>
      <c r="V287" s="719"/>
      <c r="W287" s="719">
        <v>1.1000000000000001</v>
      </c>
      <c r="X287" s="719">
        <v>1.2</v>
      </c>
      <c r="Y287" s="719"/>
      <c r="Z287" s="719"/>
      <c r="AA287" s="719">
        <v>0.45</v>
      </c>
      <c r="AB287" s="719"/>
      <c r="AC287" s="719" t="s">
        <v>2616</v>
      </c>
      <c r="AD287" s="719"/>
      <c r="AE287" s="719"/>
      <c r="AF287" s="719">
        <v>200</v>
      </c>
      <c r="AG287" s="789">
        <v>37460.25</v>
      </c>
      <c r="AH287" s="719">
        <v>1420</v>
      </c>
      <c r="AI287" s="719">
        <v>-5177</v>
      </c>
      <c r="AJ287" s="719"/>
      <c r="AK287" s="719"/>
      <c r="AL287" s="719"/>
      <c r="AM287" s="719" t="s">
        <v>2609</v>
      </c>
      <c r="AN287" s="719">
        <v>5.25</v>
      </c>
      <c r="AO287" s="719"/>
      <c r="AP287" s="719"/>
      <c r="AQ287" s="724"/>
      <c r="AR287" s="724"/>
      <c r="AS287" s="724"/>
      <c r="AT287" s="724">
        <f>+ab($T$287,$T$285,$T$289,$G$286,$G$288, 1*$F$287,1200)</f>
        <v>11.14504395531122</v>
      </c>
      <c r="AU287" s="724"/>
      <c r="AV287" s="724"/>
      <c r="AW287" s="719"/>
      <c r="AX287" s="719"/>
      <c r="AY287" s="719"/>
      <c r="AZ287" s="532"/>
    </row>
    <row r="288" spans="1:52" ht="15.75" hidden="1" customHeight="1">
      <c r="A288" s="716"/>
      <c r="B288" s="718"/>
      <c r="C288" s="789"/>
      <c r="D288" s="719"/>
      <c r="E288" s="719"/>
      <c r="F288" s="720"/>
      <c r="G288" s="721">
        <v>50</v>
      </c>
      <c r="H288" s="726"/>
      <c r="I288" s="726"/>
      <c r="J288" s="762">
        <f>C289-10</f>
        <v>37502</v>
      </c>
      <c r="K288" s="719" t="s">
        <v>1097</v>
      </c>
      <c r="L288" s="719"/>
      <c r="M288" s="719"/>
      <c r="N288" s="726"/>
      <c r="O288" s="726"/>
      <c r="P288" s="726"/>
      <c r="Q288" s="719">
        <v>0</v>
      </c>
      <c r="R288" s="719">
        <v>0</v>
      </c>
      <c r="S288" s="724">
        <f>AG289-AG288</f>
        <v>49.660000000003492</v>
      </c>
      <c r="T288" s="719"/>
      <c r="U288" s="719"/>
      <c r="V288" s="719"/>
      <c r="W288" s="719"/>
      <c r="X288" s="719"/>
      <c r="Y288" s="719"/>
      <c r="Z288" s="719"/>
      <c r="AA288" s="719"/>
      <c r="AB288" s="719"/>
      <c r="AC288" s="719"/>
      <c r="AD288" s="719"/>
      <c r="AE288" s="719"/>
      <c r="AF288" s="719"/>
      <c r="AG288" s="789">
        <v>37463.449999999997</v>
      </c>
      <c r="AH288" s="719">
        <v>1397</v>
      </c>
      <c r="AI288" s="719">
        <v>-5190</v>
      </c>
      <c r="AJ288" s="719"/>
      <c r="AK288" s="719"/>
      <c r="AL288" s="719"/>
      <c r="AM288" s="719"/>
      <c r="AN288" s="719"/>
      <c r="AO288" s="719"/>
      <c r="AP288" s="719"/>
      <c r="AQ288" s="724">
        <f>+FL_1($T$289,$T$287,$G$288,1200,9.28, 1*$F$289)</f>
        <v>0.29489941866666669</v>
      </c>
      <c r="AR288" s="724"/>
      <c r="AS288" s="724"/>
      <c r="AT288" s="724"/>
      <c r="AU288" s="724"/>
      <c r="AV288" s="724"/>
      <c r="AW288" s="719"/>
      <c r="AX288" s="719"/>
      <c r="AY288" s="719"/>
      <c r="AZ288" s="532"/>
    </row>
    <row r="289" spans="1:52" ht="15.75" hidden="1" customHeight="1">
      <c r="A289" s="716" t="s">
        <v>677</v>
      </c>
      <c r="B289" s="718" t="s">
        <v>1805</v>
      </c>
      <c r="C289" s="789">
        <f>+$C$287+$G$288</f>
        <v>37512</v>
      </c>
      <c r="D289" s="719"/>
      <c r="E289" s="719"/>
      <c r="F289" s="720">
        <v>0</v>
      </c>
      <c r="G289" s="721"/>
      <c r="H289" s="726" t="s">
        <v>138</v>
      </c>
      <c r="I289" s="726" t="s">
        <v>948</v>
      </c>
      <c r="J289" s="762"/>
      <c r="K289" s="719"/>
      <c r="L289" s="719" t="s">
        <v>241</v>
      </c>
      <c r="M289" s="719"/>
      <c r="N289" s="726" t="s">
        <v>695</v>
      </c>
      <c r="O289" s="726"/>
      <c r="P289" s="726"/>
      <c r="Q289" s="719">
        <v>0</v>
      </c>
      <c r="R289" s="719">
        <v>0</v>
      </c>
      <c r="S289" s="719"/>
      <c r="T289" s="719">
        <v>-30</v>
      </c>
      <c r="U289" s="719"/>
      <c r="V289" s="719"/>
      <c r="W289" s="719">
        <v>1.1000000000000001</v>
      </c>
      <c r="X289" s="719"/>
      <c r="Y289" s="719"/>
      <c r="Z289" s="719"/>
      <c r="AA289" s="719"/>
      <c r="AB289" s="719"/>
      <c r="AC289" s="719" t="s">
        <v>2614</v>
      </c>
      <c r="AD289" s="719"/>
      <c r="AE289" s="719"/>
      <c r="AF289" s="719">
        <v>200</v>
      </c>
      <c r="AG289" s="789">
        <v>37513.11</v>
      </c>
      <c r="AH289" s="719">
        <v>1369</v>
      </c>
      <c r="AI289" s="719">
        <v>-5211</v>
      </c>
      <c r="AJ289" s="719"/>
      <c r="AK289" s="719"/>
      <c r="AL289" s="719"/>
      <c r="AM289" s="719" t="s">
        <v>2609</v>
      </c>
      <c r="AN289" s="719">
        <v>5.25</v>
      </c>
      <c r="AO289" s="719"/>
      <c r="AP289" s="719"/>
      <c r="AQ289" s="724"/>
      <c r="AR289" s="724"/>
      <c r="AS289" s="724"/>
      <c r="AT289" s="724">
        <f>+ab($T$289,$T$287,$T$291,$G$288,$G$290, 1*$F$289,1200)</f>
        <v>-8.2849467556123688</v>
      </c>
      <c r="AU289" s="724"/>
      <c r="AV289" s="724"/>
      <c r="AW289" s="719"/>
      <c r="AX289" s="719"/>
      <c r="AY289" s="719"/>
      <c r="AZ289" s="532"/>
    </row>
    <row r="290" spans="1:52" ht="15.75" hidden="1" customHeight="1">
      <c r="A290" s="716"/>
      <c r="B290" s="718"/>
      <c r="C290" s="789"/>
      <c r="D290" s="719"/>
      <c r="E290" s="719"/>
      <c r="F290" s="720"/>
      <c r="G290" s="721">
        <v>50</v>
      </c>
      <c r="H290" s="726"/>
      <c r="I290" s="726"/>
      <c r="J290" s="762"/>
      <c r="K290" s="719"/>
      <c r="L290" s="719"/>
      <c r="M290" s="719"/>
      <c r="N290" s="726"/>
      <c r="O290" s="726"/>
      <c r="P290" s="726"/>
      <c r="Q290" s="719"/>
      <c r="R290" s="719"/>
      <c r="S290" s="724">
        <f t="shared" si="106"/>
        <v>47.94999999999709</v>
      </c>
      <c r="T290" s="719"/>
      <c r="U290" s="719"/>
      <c r="V290" s="719"/>
      <c r="W290" s="719"/>
      <c r="X290" s="719"/>
      <c r="Y290" s="719"/>
      <c r="Z290" s="719"/>
      <c r="AA290" s="719"/>
      <c r="AB290" s="719"/>
      <c r="AC290" s="719"/>
      <c r="AD290" s="719"/>
      <c r="AE290" s="719"/>
      <c r="AF290" s="719"/>
      <c r="AG290" s="789"/>
      <c r="AH290" s="719"/>
      <c r="AI290" s="719"/>
      <c r="AJ290" s="719"/>
      <c r="AK290" s="719"/>
      <c r="AL290" s="719"/>
      <c r="AM290" s="719"/>
      <c r="AN290" s="719"/>
      <c r="AO290" s="719"/>
      <c r="AP290" s="719"/>
      <c r="AQ290" s="724">
        <f>+FL_1($T$291,$T$289,$G$290,1200,9.28, 1*$F$291)</f>
        <v>0.33477011200000001</v>
      </c>
      <c r="AR290" s="724"/>
      <c r="AS290" s="724"/>
      <c r="AT290" s="724"/>
      <c r="AU290" s="724"/>
      <c r="AV290" s="724"/>
      <c r="AW290" s="719"/>
      <c r="AX290" s="719"/>
      <c r="AY290" s="719"/>
      <c r="AZ290" s="532"/>
    </row>
    <row r="291" spans="1:52" ht="15.75" hidden="1" customHeight="1">
      <c r="A291" s="716" t="s">
        <v>677</v>
      </c>
      <c r="B291" s="718" t="s">
        <v>1806</v>
      </c>
      <c r="C291" s="789">
        <f>+$C$289+$G$290</f>
        <v>37562</v>
      </c>
      <c r="D291" s="719"/>
      <c r="E291" s="719"/>
      <c r="F291" s="720">
        <v>0</v>
      </c>
      <c r="G291" s="721"/>
      <c r="H291" s="726"/>
      <c r="I291" s="726"/>
      <c r="J291" s="762"/>
      <c r="K291" s="719"/>
      <c r="L291" s="719" t="s">
        <v>241</v>
      </c>
      <c r="M291" s="719"/>
      <c r="N291" s="726" t="s">
        <v>696</v>
      </c>
      <c r="O291" s="726"/>
      <c r="P291" s="726"/>
      <c r="Q291" s="719">
        <v>0</v>
      </c>
      <c r="R291" s="719">
        <v>0</v>
      </c>
      <c r="S291" s="719"/>
      <c r="T291" s="719">
        <v>30</v>
      </c>
      <c r="U291" s="719"/>
      <c r="V291" s="719"/>
      <c r="W291" s="719">
        <v>1.1000000000000001</v>
      </c>
      <c r="X291" s="719"/>
      <c r="Y291" s="719"/>
      <c r="Z291" s="719"/>
      <c r="AA291" s="719"/>
      <c r="AB291" s="719"/>
      <c r="AC291" s="719" t="s">
        <v>2977</v>
      </c>
      <c r="AD291" s="719"/>
      <c r="AE291" s="719"/>
      <c r="AF291" s="719">
        <v>200</v>
      </c>
      <c r="AG291" s="789">
        <v>37561.06</v>
      </c>
      <c r="AH291" s="719">
        <v>1504</v>
      </c>
      <c r="AI291" s="719">
        <v>-5184</v>
      </c>
      <c r="AJ291" s="719"/>
      <c r="AK291" s="719"/>
      <c r="AL291" s="719"/>
      <c r="AM291" s="719" t="s">
        <v>2609</v>
      </c>
      <c r="AN291" s="719">
        <v>5.25</v>
      </c>
      <c r="AO291" s="719"/>
      <c r="AP291" s="719"/>
      <c r="AQ291" s="724"/>
      <c r="AR291" s="724"/>
      <c r="AS291" s="724"/>
      <c r="AT291" s="724">
        <f>+ab($T$291,$T$289,$T$293,$G$290,$G$292, 1*$F$291,1200)</f>
        <v>7.9442083933778509</v>
      </c>
      <c r="AU291" s="724"/>
      <c r="AV291" s="724"/>
      <c r="AW291" s="719"/>
      <c r="AX291" s="719"/>
      <c r="AY291" s="719"/>
      <c r="AZ291" s="532"/>
    </row>
    <row r="292" spans="1:52" ht="15.75" hidden="1" customHeight="1">
      <c r="A292" s="716"/>
      <c r="B292" s="718"/>
      <c r="C292" s="789"/>
      <c r="D292" s="719"/>
      <c r="E292" s="719"/>
      <c r="F292" s="720"/>
      <c r="G292" s="721">
        <v>50</v>
      </c>
      <c r="H292" s="726"/>
      <c r="I292" s="726"/>
      <c r="J292" s="762"/>
      <c r="K292" s="719"/>
      <c r="L292" s="719"/>
      <c r="M292" s="719"/>
      <c r="N292" s="726"/>
      <c r="O292" s="726"/>
      <c r="P292" s="726"/>
      <c r="Q292" s="719"/>
      <c r="R292" s="719"/>
      <c r="S292" s="724">
        <f t="shared" si="106"/>
        <v>51.290000000000873</v>
      </c>
      <c r="T292" s="719"/>
      <c r="U292" s="719"/>
      <c r="V292" s="719"/>
      <c r="W292" s="719"/>
      <c r="X292" s="719"/>
      <c r="Y292" s="719"/>
      <c r="Z292" s="719"/>
      <c r="AA292" s="719"/>
      <c r="AB292" s="719"/>
      <c r="AC292" s="719"/>
      <c r="AD292" s="719"/>
      <c r="AE292" s="719"/>
      <c r="AF292" s="719"/>
      <c r="AG292" s="789"/>
      <c r="AH292" s="719"/>
      <c r="AI292" s="719"/>
      <c r="AJ292" s="719"/>
      <c r="AK292" s="719"/>
      <c r="AL292" s="719"/>
      <c r="AM292" s="719"/>
      <c r="AN292" s="719"/>
      <c r="AO292" s="719"/>
      <c r="AP292" s="719"/>
      <c r="AQ292" s="724">
        <f>+FL_2($T$293,$T$291,$G$292,1200,9.28, 1*$F$293)</f>
        <v>-0.33477011200000001</v>
      </c>
      <c r="AR292" s="724"/>
      <c r="AS292" s="724"/>
      <c r="AT292" s="724"/>
      <c r="AU292" s="724"/>
      <c r="AV292" s="724"/>
      <c r="AW292" s="719"/>
      <c r="AX292" s="719"/>
      <c r="AY292" s="719"/>
      <c r="AZ292" s="532"/>
    </row>
    <row r="293" spans="1:52" ht="15.75" hidden="1" customHeight="1">
      <c r="A293" s="716" t="s">
        <v>677</v>
      </c>
      <c r="B293" s="718" t="s">
        <v>1807</v>
      </c>
      <c r="C293" s="789">
        <f>+$C$291+$G$292</f>
        <v>37612</v>
      </c>
      <c r="D293" s="719"/>
      <c r="E293" s="719"/>
      <c r="F293" s="720">
        <v>0</v>
      </c>
      <c r="G293" s="721"/>
      <c r="H293" s="726"/>
      <c r="I293" s="726"/>
      <c r="J293" s="762"/>
      <c r="K293" s="719"/>
      <c r="L293" s="719" t="s">
        <v>241</v>
      </c>
      <c r="M293" s="719"/>
      <c r="N293" s="726" t="s">
        <v>695</v>
      </c>
      <c r="O293" s="726"/>
      <c r="P293" s="726"/>
      <c r="Q293" s="719">
        <v>0</v>
      </c>
      <c r="R293" s="719">
        <v>0</v>
      </c>
      <c r="S293" s="719"/>
      <c r="T293" s="719">
        <v>-30</v>
      </c>
      <c r="U293" s="719"/>
      <c r="V293" s="719"/>
      <c r="W293" s="719">
        <v>1.1000000000000001</v>
      </c>
      <c r="X293" s="719"/>
      <c r="Y293" s="719"/>
      <c r="Z293" s="719"/>
      <c r="AA293" s="719"/>
      <c r="AB293" s="719"/>
      <c r="AC293" s="719" t="s">
        <v>2979</v>
      </c>
      <c r="AD293" s="719"/>
      <c r="AE293" s="719"/>
      <c r="AF293" s="719">
        <v>200</v>
      </c>
      <c r="AG293" s="789">
        <v>37612.35</v>
      </c>
      <c r="AH293" s="719">
        <v>1452</v>
      </c>
      <c r="AI293" s="719">
        <v>-5138</v>
      </c>
      <c r="AJ293" s="719"/>
      <c r="AK293" s="719"/>
      <c r="AL293" s="719"/>
      <c r="AM293" s="719" t="s">
        <v>2609</v>
      </c>
      <c r="AN293" s="719">
        <v>5.25</v>
      </c>
      <c r="AO293" s="719"/>
      <c r="AP293" s="719"/>
      <c r="AQ293" s="724"/>
      <c r="AR293" s="724"/>
      <c r="AS293" s="724"/>
      <c r="AT293" s="724">
        <f>+ab($T$293,$T$291,$T$295,$G$292,$G$294, 1*$F$293,1200)</f>
        <v>-7.9442410717051439</v>
      </c>
      <c r="AU293" s="724"/>
      <c r="AV293" s="724"/>
      <c r="AW293" s="719"/>
      <c r="AX293" s="719"/>
      <c r="AY293" s="719"/>
      <c r="AZ293" s="532"/>
    </row>
    <row r="294" spans="1:52" ht="15.75" hidden="1" customHeight="1">
      <c r="A294" s="716"/>
      <c r="B294" s="718"/>
      <c r="C294" s="789"/>
      <c r="D294" s="719"/>
      <c r="E294" s="719"/>
      <c r="F294" s="720"/>
      <c r="G294" s="721">
        <v>50</v>
      </c>
      <c r="H294" s="726"/>
      <c r="I294" s="722"/>
      <c r="J294" s="763"/>
      <c r="K294" s="719"/>
      <c r="L294" s="719"/>
      <c r="M294" s="719"/>
      <c r="N294" s="726"/>
      <c r="O294" s="726"/>
      <c r="P294" s="726"/>
      <c r="Q294" s="719"/>
      <c r="R294" s="719"/>
      <c r="S294" s="724">
        <f t="shared" si="106"/>
        <v>48.010000000002037</v>
      </c>
      <c r="T294" s="719"/>
      <c r="U294" s="719"/>
      <c r="V294" s="719"/>
      <c r="W294" s="719"/>
      <c r="X294" s="719"/>
      <c r="Y294" s="719"/>
      <c r="Z294" s="719"/>
      <c r="AA294" s="719"/>
      <c r="AB294" s="719"/>
      <c r="AC294" s="719"/>
      <c r="AD294" s="719"/>
      <c r="AE294" s="719"/>
      <c r="AF294" s="719"/>
      <c r="AG294" s="789"/>
      <c r="AH294" s="719"/>
      <c r="AI294" s="719"/>
      <c r="AJ294" s="719"/>
      <c r="AK294" s="719"/>
      <c r="AL294" s="719"/>
      <c r="AM294" s="719"/>
      <c r="AN294" s="719"/>
      <c r="AO294" s="719"/>
      <c r="AP294" s="719"/>
      <c r="AQ294" s="724">
        <f>+FL_1($T$295,$T$293,$G$294,1200,9.28, 1*$F$295)</f>
        <v>0.33477011200000001</v>
      </c>
      <c r="AR294" s="724"/>
      <c r="AS294" s="724"/>
      <c r="AT294" s="724"/>
      <c r="AU294" s="724"/>
      <c r="AV294" s="724"/>
      <c r="AW294" s="719"/>
      <c r="AX294" s="719"/>
      <c r="AY294" s="719"/>
      <c r="AZ294" s="532"/>
    </row>
    <row r="295" spans="1:52" ht="15.75" hidden="1" customHeight="1">
      <c r="A295" s="716" t="s">
        <v>677</v>
      </c>
      <c r="B295" s="718" t="s">
        <v>1808</v>
      </c>
      <c r="C295" s="789">
        <f>+$C$293+$G$294</f>
        <v>37662</v>
      </c>
      <c r="D295" s="719"/>
      <c r="E295" s="719"/>
      <c r="F295" s="720">
        <v>0</v>
      </c>
      <c r="G295" s="721"/>
      <c r="H295" s="726"/>
      <c r="I295" s="726"/>
      <c r="J295" s="762"/>
      <c r="K295" s="719"/>
      <c r="L295" s="719" t="s">
        <v>241</v>
      </c>
      <c r="M295" s="719"/>
      <c r="N295" s="726" t="s">
        <v>696</v>
      </c>
      <c r="O295" s="726"/>
      <c r="P295" s="726"/>
      <c r="Q295" s="719">
        <v>0</v>
      </c>
      <c r="R295" s="719">
        <v>0</v>
      </c>
      <c r="S295" s="719"/>
      <c r="T295" s="719">
        <v>30</v>
      </c>
      <c r="U295" s="719"/>
      <c r="V295" s="719"/>
      <c r="W295" s="719">
        <v>1.1000000000000001</v>
      </c>
      <c r="X295" s="719"/>
      <c r="Y295" s="719"/>
      <c r="Z295" s="719"/>
      <c r="AA295" s="719"/>
      <c r="AB295" s="719"/>
      <c r="AC295" s="719" t="s">
        <v>2977</v>
      </c>
      <c r="AD295" s="719"/>
      <c r="AE295" s="719"/>
      <c r="AF295" s="719">
        <v>200</v>
      </c>
      <c r="AG295" s="789">
        <v>37660.36</v>
      </c>
      <c r="AH295" s="719">
        <v>1503</v>
      </c>
      <c r="AI295" s="719">
        <v>-5142</v>
      </c>
      <c r="AJ295" s="719"/>
      <c r="AK295" s="719"/>
      <c r="AL295" s="719"/>
      <c r="AM295" s="719" t="s">
        <v>2609</v>
      </c>
      <c r="AN295" s="719">
        <v>5.25</v>
      </c>
      <c r="AO295" s="719"/>
      <c r="AP295" s="719"/>
      <c r="AQ295" s="724"/>
      <c r="AR295" s="724"/>
      <c r="AS295" s="724"/>
      <c r="AT295" s="724">
        <f>+ab($T$295,$T$293,$T$297,$G$294,$G$296, 1*$F$295,1200)</f>
        <v>7.9442083933778509</v>
      </c>
      <c r="AU295" s="724"/>
      <c r="AV295" s="724"/>
      <c r="AW295" s="719"/>
      <c r="AX295" s="719"/>
      <c r="AY295" s="719"/>
      <c r="AZ295" s="532"/>
    </row>
    <row r="296" spans="1:52" ht="15.75" hidden="1" customHeight="1">
      <c r="A296" s="716"/>
      <c r="B296" s="718"/>
      <c r="C296" s="789"/>
      <c r="D296" s="719"/>
      <c r="E296" s="719"/>
      <c r="F296" s="720"/>
      <c r="G296" s="721">
        <v>50</v>
      </c>
      <c r="H296" s="726"/>
      <c r="I296" s="722"/>
      <c r="J296" s="763"/>
      <c r="K296" s="719"/>
      <c r="L296" s="719"/>
      <c r="M296" s="719"/>
      <c r="N296" s="726"/>
      <c r="O296" s="726"/>
      <c r="P296" s="726"/>
      <c r="Q296" s="719"/>
      <c r="R296" s="719"/>
      <c r="S296" s="724">
        <f t="shared" si="106"/>
        <v>51.309999999997672</v>
      </c>
      <c r="T296" s="719"/>
      <c r="U296" s="719"/>
      <c r="V296" s="719"/>
      <c r="W296" s="719"/>
      <c r="X296" s="719"/>
      <c r="Y296" s="719"/>
      <c r="Z296" s="719"/>
      <c r="AA296" s="719"/>
      <c r="AB296" s="719"/>
      <c r="AC296" s="719"/>
      <c r="AD296" s="719"/>
      <c r="AE296" s="719"/>
      <c r="AF296" s="719"/>
      <c r="AG296" s="789"/>
      <c r="AH296" s="719"/>
      <c r="AI296" s="719"/>
      <c r="AJ296" s="719"/>
      <c r="AK296" s="719"/>
      <c r="AL296" s="719"/>
      <c r="AM296" s="719"/>
      <c r="AN296" s="719"/>
      <c r="AO296" s="719"/>
      <c r="AP296" s="719"/>
      <c r="AQ296" s="724">
        <f>+FL_2($T$297,$T$295,$G$296,1200,9.28, 1*$F$297)</f>
        <v>-0.33477011200000001</v>
      </c>
      <c r="AR296" s="724"/>
      <c r="AS296" s="724"/>
      <c r="AT296" s="724"/>
      <c r="AU296" s="724"/>
      <c r="AV296" s="724"/>
      <c r="AW296" s="719"/>
      <c r="AX296" s="719"/>
      <c r="AY296" s="719"/>
      <c r="AZ296" s="532"/>
    </row>
    <row r="297" spans="1:52" ht="15.75" hidden="1" customHeight="1">
      <c r="A297" s="716" t="s">
        <v>677</v>
      </c>
      <c r="B297" s="717" t="s">
        <v>1809</v>
      </c>
      <c r="C297" s="789">
        <f>+$C$295+$G$296</f>
        <v>37712</v>
      </c>
      <c r="D297" s="719"/>
      <c r="E297" s="719"/>
      <c r="F297" s="720">
        <v>0</v>
      </c>
      <c r="G297" s="721"/>
      <c r="H297" s="726"/>
      <c r="I297" s="726"/>
      <c r="J297" s="762"/>
      <c r="K297" s="719"/>
      <c r="L297" s="719" t="s">
        <v>241</v>
      </c>
      <c r="M297" s="719"/>
      <c r="N297" s="726" t="s">
        <v>695</v>
      </c>
      <c r="O297" s="726"/>
      <c r="P297" s="726"/>
      <c r="Q297" s="719">
        <v>0</v>
      </c>
      <c r="R297" s="719">
        <v>0</v>
      </c>
      <c r="S297" s="719"/>
      <c r="T297" s="719">
        <v>-30</v>
      </c>
      <c r="U297" s="719"/>
      <c r="V297" s="719"/>
      <c r="W297" s="719">
        <v>1.1000000000000001</v>
      </c>
      <c r="X297" s="719"/>
      <c r="Y297" s="719"/>
      <c r="Z297" s="719"/>
      <c r="AA297" s="719"/>
      <c r="AB297" s="719"/>
      <c r="AC297" s="719" t="s">
        <v>2979</v>
      </c>
      <c r="AD297" s="719"/>
      <c r="AE297" s="719"/>
      <c r="AF297" s="719">
        <v>200</v>
      </c>
      <c r="AG297" s="789">
        <v>37711.67</v>
      </c>
      <c r="AH297" s="719">
        <v>1515</v>
      </c>
      <c r="AI297" s="719">
        <v>-5164</v>
      </c>
      <c r="AJ297" s="719"/>
      <c r="AK297" s="719"/>
      <c r="AL297" s="719"/>
      <c r="AM297" s="719" t="s">
        <v>2609</v>
      </c>
      <c r="AN297" s="719">
        <v>5.25</v>
      </c>
      <c r="AO297" s="719"/>
      <c r="AP297" s="719"/>
      <c r="AQ297" s="724"/>
      <c r="AR297" s="724"/>
      <c r="AS297" s="724"/>
      <c r="AT297" s="724">
        <f>+ab($T$297,$T$295,$T$299,$G$296,$G$298, 1*$F$297,1200)</f>
        <v>-7.9442410717051439</v>
      </c>
      <c r="AU297" s="724"/>
      <c r="AV297" s="724"/>
      <c r="AW297" s="719"/>
      <c r="AX297" s="719"/>
      <c r="AY297" s="719"/>
      <c r="AZ297" s="532"/>
    </row>
    <row r="298" spans="1:52" ht="15.75" hidden="1" customHeight="1">
      <c r="A298" s="716"/>
      <c r="B298" s="717"/>
      <c r="C298" s="789"/>
      <c r="D298" s="719"/>
      <c r="E298" s="719"/>
      <c r="F298" s="720"/>
      <c r="G298" s="721">
        <v>50</v>
      </c>
      <c r="H298" s="726"/>
      <c r="I298" s="722"/>
      <c r="J298" s="762"/>
      <c r="K298" s="719"/>
      <c r="L298" s="719"/>
      <c r="M298" s="719"/>
      <c r="N298" s="726"/>
      <c r="O298" s="726"/>
      <c r="P298" s="726"/>
      <c r="Q298" s="719"/>
      <c r="R298" s="719"/>
      <c r="S298" s="724">
        <f t="shared" si="106"/>
        <v>51.209999999999127</v>
      </c>
      <c r="T298" s="719"/>
      <c r="U298" s="719"/>
      <c r="V298" s="719"/>
      <c r="W298" s="719"/>
      <c r="X298" s="719"/>
      <c r="Y298" s="719"/>
      <c r="Z298" s="719"/>
      <c r="AA298" s="719"/>
      <c r="AB298" s="719"/>
      <c r="AC298" s="719"/>
      <c r="AD298" s="719"/>
      <c r="AE298" s="719"/>
      <c r="AF298" s="719"/>
      <c r="AG298" s="789"/>
      <c r="AH298" s="719"/>
      <c r="AI298" s="719"/>
      <c r="AJ298" s="719"/>
      <c r="AK298" s="719"/>
      <c r="AL298" s="719"/>
      <c r="AM298" s="719"/>
      <c r="AN298" s="719"/>
      <c r="AO298" s="719"/>
      <c r="AP298" s="719"/>
      <c r="AQ298" s="724">
        <f>+FL_1($T$299,$T$297,$G$298,1200,9.28, 1*$F$299)</f>
        <v>0.33477011200000001</v>
      </c>
      <c r="AR298" s="724"/>
      <c r="AS298" s="724"/>
      <c r="AT298" s="724"/>
      <c r="AU298" s="724"/>
      <c r="AV298" s="724"/>
      <c r="AW298" s="719"/>
      <c r="AX298" s="719"/>
      <c r="AY298" s="719"/>
      <c r="AZ298" s="532"/>
    </row>
    <row r="299" spans="1:52" ht="15.75" hidden="1" customHeight="1">
      <c r="A299" s="716" t="s">
        <v>677</v>
      </c>
      <c r="B299" s="717" t="s">
        <v>1810</v>
      </c>
      <c r="C299" s="789">
        <f>+$C$297+$G$298</f>
        <v>37762</v>
      </c>
      <c r="D299" s="719"/>
      <c r="E299" s="719"/>
      <c r="F299" s="720">
        <v>0</v>
      </c>
      <c r="G299" s="721"/>
      <c r="H299" s="726"/>
      <c r="I299" s="722"/>
      <c r="J299" s="762"/>
      <c r="K299" s="719"/>
      <c r="L299" s="719" t="s">
        <v>241</v>
      </c>
      <c r="M299" s="719"/>
      <c r="N299" s="726" t="s">
        <v>696</v>
      </c>
      <c r="O299" s="726"/>
      <c r="P299" s="726"/>
      <c r="Q299" s="719">
        <v>0</v>
      </c>
      <c r="R299" s="719">
        <v>0</v>
      </c>
      <c r="S299" s="719"/>
      <c r="T299" s="719">
        <v>30</v>
      </c>
      <c r="U299" s="719"/>
      <c r="V299" s="719"/>
      <c r="W299" s="719">
        <v>1.1000000000000001</v>
      </c>
      <c r="X299" s="719"/>
      <c r="Y299" s="719"/>
      <c r="Z299" s="719"/>
      <c r="AA299" s="719"/>
      <c r="AB299" s="719"/>
      <c r="AC299" s="719" t="s">
        <v>2977</v>
      </c>
      <c r="AD299" s="719"/>
      <c r="AE299" s="719"/>
      <c r="AF299" s="719">
        <v>200</v>
      </c>
      <c r="AG299" s="789">
        <v>37762.879999999997</v>
      </c>
      <c r="AH299" s="719">
        <v>1495</v>
      </c>
      <c r="AI299" s="719">
        <v>-5148</v>
      </c>
      <c r="AJ299" s="719"/>
      <c r="AK299" s="719"/>
      <c r="AL299" s="719"/>
      <c r="AM299" s="719" t="s">
        <v>2609</v>
      </c>
      <c r="AN299" s="719">
        <v>5.25</v>
      </c>
      <c r="AO299" s="719"/>
      <c r="AP299" s="719"/>
      <c r="AQ299" s="724"/>
      <c r="AR299" s="724"/>
      <c r="AS299" s="724"/>
      <c r="AT299" s="724">
        <f>+ab($T$299,$T$297,$T$301,$G$298,$G$300, 1*$F$299,1200)</f>
        <v>7.9442083933778509</v>
      </c>
      <c r="AU299" s="724"/>
      <c r="AV299" s="724"/>
      <c r="AW299" s="719"/>
      <c r="AX299" s="719"/>
      <c r="AY299" s="719"/>
      <c r="AZ299" s="532"/>
    </row>
    <row r="300" spans="1:52" ht="15.75" hidden="1" customHeight="1">
      <c r="A300" s="716"/>
      <c r="B300" s="717"/>
      <c r="C300" s="789"/>
      <c r="D300" s="719"/>
      <c r="E300" s="719"/>
      <c r="F300" s="720"/>
      <c r="G300" s="721">
        <v>50</v>
      </c>
      <c r="H300" s="726"/>
      <c r="I300" s="726"/>
      <c r="J300" s="762"/>
      <c r="K300" s="719"/>
      <c r="L300" s="719"/>
      <c r="M300" s="719"/>
      <c r="N300" s="726"/>
      <c r="O300" s="726"/>
      <c r="P300" s="726"/>
      <c r="Q300" s="719"/>
      <c r="R300" s="719"/>
      <c r="S300" s="724">
        <f t="shared" si="106"/>
        <v>48.010000000002037</v>
      </c>
      <c r="T300" s="719"/>
      <c r="U300" s="719"/>
      <c r="V300" s="719"/>
      <c r="W300" s="719"/>
      <c r="X300" s="719"/>
      <c r="Y300" s="719"/>
      <c r="Z300" s="719"/>
      <c r="AA300" s="719"/>
      <c r="AB300" s="719"/>
      <c r="AC300" s="719"/>
      <c r="AD300" s="719"/>
      <c r="AE300" s="719"/>
      <c r="AF300" s="719"/>
      <c r="AG300" s="789"/>
      <c r="AH300" s="719"/>
      <c r="AI300" s="719"/>
      <c r="AJ300" s="719"/>
      <c r="AK300" s="719"/>
      <c r="AL300" s="719"/>
      <c r="AM300" s="719"/>
      <c r="AN300" s="719"/>
      <c r="AO300" s="719"/>
      <c r="AP300" s="719"/>
      <c r="AQ300" s="724">
        <f>+FL_2($T$301,$T$299,$G$300,1200,9.28, 1*$F$301)</f>
        <v>-0.33477011200000001</v>
      </c>
      <c r="AR300" s="724"/>
      <c r="AS300" s="724"/>
      <c r="AT300" s="724"/>
      <c r="AU300" s="724"/>
      <c r="AV300" s="724"/>
      <c r="AW300" s="719"/>
      <c r="AX300" s="719"/>
      <c r="AY300" s="719"/>
      <c r="AZ300" s="532"/>
    </row>
    <row r="301" spans="1:52" ht="15.75" customHeight="1">
      <c r="A301" s="716" t="s">
        <v>677</v>
      </c>
      <c r="B301" s="717" t="s">
        <v>1811</v>
      </c>
      <c r="C301" s="789">
        <f>+$C$299+$G$300</f>
        <v>37812</v>
      </c>
      <c r="D301" s="719"/>
      <c r="E301" s="719"/>
      <c r="F301" s="720">
        <v>0</v>
      </c>
      <c r="G301" s="721"/>
      <c r="H301" s="726" t="s">
        <v>1101</v>
      </c>
      <c r="I301" s="726"/>
      <c r="J301" s="762"/>
      <c r="K301" s="719"/>
      <c r="L301" s="719" t="s">
        <v>241</v>
      </c>
      <c r="M301" s="719"/>
      <c r="N301" s="726" t="s">
        <v>695</v>
      </c>
      <c r="O301" s="726"/>
      <c r="P301" s="726"/>
      <c r="Q301" s="719">
        <v>0</v>
      </c>
      <c r="R301" s="719">
        <v>0</v>
      </c>
      <c r="S301" s="719"/>
      <c r="T301" s="719">
        <v>-30</v>
      </c>
      <c r="U301" s="719"/>
      <c r="V301" s="719"/>
      <c r="W301" s="719">
        <v>1.1000000000000001</v>
      </c>
      <c r="X301" s="719"/>
      <c r="Y301" s="719"/>
      <c r="Z301" s="719"/>
      <c r="AA301" s="719"/>
      <c r="AB301" s="719"/>
      <c r="AC301" s="719" t="s">
        <v>2979</v>
      </c>
      <c r="AD301" s="719"/>
      <c r="AE301" s="719"/>
      <c r="AF301" s="719">
        <v>200</v>
      </c>
      <c r="AG301" s="789">
        <v>37810.89</v>
      </c>
      <c r="AH301" s="719">
        <v>1500</v>
      </c>
      <c r="AI301" s="719">
        <v>-5099</v>
      </c>
      <c r="AJ301" s="719"/>
      <c r="AK301" s="719"/>
      <c r="AL301" s="719"/>
      <c r="AM301" s="719" t="s">
        <v>2609</v>
      </c>
      <c r="AN301" s="719">
        <v>5.25</v>
      </c>
      <c r="AO301" s="719"/>
      <c r="AP301" s="719"/>
      <c r="AQ301" s="724"/>
      <c r="AR301" s="724"/>
      <c r="AS301" s="724"/>
      <c r="AT301" s="724">
        <f>+ab($T$301,$T$299,$T$303,$G$300,$G$302, 1*$F$301,1200)</f>
        <v>-7.9442410717051439</v>
      </c>
      <c r="AU301" s="724"/>
      <c r="AV301" s="724"/>
      <c r="AW301" s="719"/>
      <c r="AX301" s="719"/>
      <c r="AY301" s="719"/>
      <c r="AZ301" s="532"/>
    </row>
    <row r="302" spans="1:52" ht="15.75" hidden="1" customHeight="1">
      <c r="A302" s="716"/>
      <c r="B302" s="717"/>
      <c r="C302" s="789"/>
      <c r="D302" s="719"/>
      <c r="E302" s="719"/>
      <c r="F302" s="720"/>
      <c r="G302" s="721">
        <v>50</v>
      </c>
      <c r="H302" s="726"/>
      <c r="I302" s="726">
        <f>+SUM(G284:G302)</f>
        <v>500</v>
      </c>
      <c r="J302" s="762">
        <f>C301+1</f>
        <v>37813</v>
      </c>
      <c r="K302" s="719" t="s">
        <v>1102</v>
      </c>
      <c r="L302" s="719"/>
      <c r="M302" s="719"/>
      <c r="N302" s="726"/>
      <c r="O302" s="726"/>
      <c r="P302" s="726"/>
      <c r="Q302" s="719"/>
      <c r="R302" s="719"/>
      <c r="S302" s="724">
        <f t="shared" si="106"/>
        <v>51.279999999998836</v>
      </c>
      <c r="T302" s="719"/>
      <c r="U302" s="719"/>
      <c r="V302" s="719"/>
      <c r="W302" s="719"/>
      <c r="X302" s="719"/>
      <c r="Y302" s="719"/>
      <c r="Z302" s="719"/>
      <c r="AA302" s="719"/>
      <c r="AB302" s="719"/>
      <c r="AC302" s="719"/>
      <c r="AD302" s="719"/>
      <c r="AE302" s="719"/>
      <c r="AF302" s="719"/>
      <c r="AG302" s="789"/>
      <c r="AH302" s="719"/>
      <c r="AI302" s="719"/>
      <c r="AJ302" s="719"/>
      <c r="AK302" s="719"/>
      <c r="AL302" s="719"/>
      <c r="AM302" s="719"/>
      <c r="AN302" s="719"/>
      <c r="AO302" s="719"/>
      <c r="AP302" s="719"/>
      <c r="AQ302" s="724">
        <f>+FL_1($T$303,$T$301,$G$302,1200,9.28, 1*$F$303)</f>
        <v>0.33477011200000001</v>
      </c>
      <c r="AR302" s="724"/>
      <c r="AS302" s="724"/>
      <c r="AT302" s="724"/>
      <c r="AU302" s="724"/>
      <c r="AV302" s="724"/>
      <c r="AW302" s="719"/>
      <c r="AX302" s="719"/>
      <c r="AY302" s="719"/>
      <c r="AZ302" s="532"/>
    </row>
    <row r="303" spans="1:52" ht="15.75" customHeight="1">
      <c r="A303" s="716" t="s">
        <v>677</v>
      </c>
      <c r="B303" s="717" t="s">
        <v>1812</v>
      </c>
      <c r="C303" s="789">
        <f>+$C$301+$G$302</f>
        <v>37862</v>
      </c>
      <c r="D303" s="719"/>
      <c r="E303" s="719"/>
      <c r="F303" s="720">
        <v>0</v>
      </c>
      <c r="G303" s="721"/>
      <c r="H303" s="726" t="s">
        <v>997</v>
      </c>
      <c r="I303" s="726"/>
      <c r="J303" s="762"/>
      <c r="K303" s="719"/>
      <c r="L303" s="719" t="s">
        <v>241</v>
      </c>
      <c r="M303" s="719"/>
      <c r="N303" s="726" t="s">
        <v>696</v>
      </c>
      <c r="O303" s="726"/>
      <c r="P303" s="726"/>
      <c r="Q303" s="719">
        <v>0</v>
      </c>
      <c r="R303" s="719">
        <v>0</v>
      </c>
      <c r="S303" s="719"/>
      <c r="T303" s="719">
        <v>30</v>
      </c>
      <c r="U303" s="719"/>
      <c r="V303" s="719"/>
      <c r="W303" s="719">
        <v>1.1000000000000001</v>
      </c>
      <c r="X303" s="719"/>
      <c r="Y303" s="719"/>
      <c r="Z303" s="719"/>
      <c r="AA303" s="719"/>
      <c r="AB303" s="719"/>
      <c r="AC303" s="719" t="s">
        <v>2977</v>
      </c>
      <c r="AD303" s="719"/>
      <c r="AE303" s="719"/>
      <c r="AF303" s="719">
        <v>200</v>
      </c>
      <c r="AG303" s="789">
        <v>37862.17</v>
      </c>
      <c r="AH303" s="719">
        <v>1528</v>
      </c>
      <c r="AI303" s="719">
        <v>-5116</v>
      </c>
      <c r="AJ303" s="719"/>
      <c r="AK303" s="719"/>
      <c r="AL303" s="719"/>
      <c r="AM303" s="719" t="s">
        <v>2609</v>
      </c>
      <c r="AN303" s="719">
        <v>5.25</v>
      </c>
      <c r="AO303" s="719"/>
      <c r="AP303" s="719"/>
      <c r="AQ303" s="724"/>
      <c r="AR303" s="724"/>
      <c r="AS303" s="724"/>
      <c r="AT303" s="724">
        <f>+ab($T$303,$T$301,$T$305,$G$302,$G$304, 1*$F$303,1200)</f>
        <v>7.9442083933778509</v>
      </c>
      <c r="AU303" s="724"/>
      <c r="AV303" s="724"/>
      <c r="AW303" s="719"/>
      <c r="AX303" s="719"/>
      <c r="AY303" s="719"/>
      <c r="AZ303" s="532"/>
    </row>
    <row r="304" spans="1:52" ht="15.75" hidden="1" customHeight="1">
      <c r="A304" s="716"/>
      <c r="B304" s="717"/>
      <c r="C304" s="789"/>
      <c r="D304" s="719"/>
      <c r="E304" s="719"/>
      <c r="F304" s="720"/>
      <c r="G304" s="721">
        <v>50</v>
      </c>
      <c r="H304" s="726"/>
      <c r="I304" s="722">
        <f>SUM(G304:G322)</f>
        <v>500</v>
      </c>
      <c r="J304" s="762">
        <f>C305-1</f>
        <v>37911</v>
      </c>
      <c r="K304" s="719" t="s">
        <v>1102</v>
      </c>
      <c r="L304" s="719"/>
      <c r="M304" s="719"/>
      <c r="N304" s="726"/>
      <c r="O304" s="726"/>
      <c r="P304" s="726"/>
      <c r="Q304" s="719"/>
      <c r="R304" s="719"/>
      <c r="S304" s="724">
        <f t="shared" si="106"/>
        <v>48.060000000004948</v>
      </c>
      <c r="T304" s="719"/>
      <c r="U304" s="719"/>
      <c r="V304" s="719"/>
      <c r="W304" s="719"/>
      <c r="X304" s="719"/>
      <c r="Y304" s="719"/>
      <c r="Z304" s="719"/>
      <c r="AA304" s="719"/>
      <c r="AB304" s="719"/>
      <c r="AC304" s="719"/>
      <c r="AD304" s="719"/>
      <c r="AE304" s="719"/>
      <c r="AF304" s="719"/>
      <c r="AG304" s="789"/>
      <c r="AH304" s="719"/>
      <c r="AI304" s="719"/>
      <c r="AJ304" s="719"/>
      <c r="AK304" s="719"/>
      <c r="AL304" s="719"/>
      <c r="AM304" s="719"/>
      <c r="AN304" s="719"/>
      <c r="AO304" s="719"/>
      <c r="AP304" s="719"/>
      <c r="AQ304" s="724">
        <f>+FL_2($T$305,$T$303,$G$304,1200,9.28, 1*$F$305)</f>
        <v>-0.33477011200000001</v>
      </c>
      <c r="AR304" s="724"/>
      <c r="AS304" s="724"/>
      <c r="AT304" s="724"/>
      <c r="AU304" s="724"/>
      <c r="AV304" s="724"/>
      <c r="AW304" s="719"/>
      <c r="AX304" s="719"/>
      <c r="AY304" s="719"/>
      <c r="AZ304" s="532"/>
    </row>
    <row r="305" spans="1:52" ht="15.75" customHeight="1">
      <c r="A305" s="716" t="s">
        <v>677</v>
      </c>
      <c r="B305" s="717" t="s">
        <v>1813</v>
      </c>
      <c r="C305" s="789">
        <f>+$C$303+$G$304</f>
        <v>37912</v>
      </c>
      <c r="D305" s="719"/>
      <c r="E305" s="719"/>
      <c r="F305" s="720">
        <v>0</v>
      </c>
      <c r="G305" s="721"/>
      <c r="H305" s="726" t="s">
        <v>1101</v>
      </c>
      <c r="I305" s="726"/>
      <c r="J305" s="762"/>
      <c r="K305" s="719"/>
      <c r="L305" s="719" t="s">
        <v>241</v>
      </c>
      <c r="M305" s="719"/>
      <c r="N305" s="726" t="s">
        <v>695</v>
      </c>
      <c r="O305" s="726"/>
      <c r="P305" s="726"/>
      <c r="Q305" s="719">
        <v>0</v>
      </c>
      <c r="R305" s="719">
        <v>0</v>
      </c>
      <c r="S305" s="719"/>
      <c r="T305" s="719">
        <v>-30</v>
      </c>
      <c r="U305" s="719"/>
      <c r="V305" s="719"/>
      <c r="W305" s="719">
        <v>1.1000000000000001</v>
      </c>
      <c r="X305" s="719"/>
      <c r="Y305" s="719"/>
      <c r="Z305" s="719"/>
      <c r="AA305" s="719"/>
      <c r="AB305" s="719"/>
      <c r="AC305" s="719" t="s">
        <v>2979</v>
      </c>
      <c r="AD305" s="719"/>
      <c r="AE305" s="719"/>
      <c r="AF305" s="719">
        <v>200</v>
      </c>
      <c r="AG305" s="789">
        <v>37910.230000000003</v>
      </c>
      <c r="AH305" s="719">
        <v>1494</v>
      </c>
      <c r="AI305" s="719">
        <v>-5106</v>
      </c>
      <c r="AJ305" s="719"/>
      <c r="AK305" s="719"/>
      <c r="AL305" s="719"/>
      <c r="AM305" s="719" t="s">
        <v>2609</v>
      </c>
      <c r="AN305" s="719">
        <v>5.25</v>
      </c>
      <c r="AO305" s="719"/>
      <c r="AP305" s="719"/>
      <c r="AQ305" s="724"/>
      <c r="AR305" s="724"/>
      <c r="AS305" s="724"/>
      <c r="AT305" s="724">
        <f>+ab($T$305,$T$303,$T$307,$G$304,$G$306, 1*$F$305,1200)</f>
        <v>-7.9442410717051439</v>
      </c>
      <c r="AU305" s="724"/>
      <c r="AV305" s="724"/>
      <c r="AW305" s="719"/>
      <c r="AX305" s="719"/>
      <c r="AY305" s="719"/>
      <c r="AZ305" s="532"/>
    </row>
    <row r="306" spans="1:52" ht="15.75" hidden="1" customHeight="1">
      <c r="A306" s="716"/>
      <c r="B306" s="717"/>
      <c r="C306" s="789"/>
      <c r="D306" s="719"/>
      <c r="E306" s="719"/>
      <c r="F306" s="720"/>
      <c r="G306" s="721">
        <v>50</v>
      </c>
      <c r="H306" s="726"/>
      <c r="I306" s="726"/>
      <c r="J306" s="762"/>
      <c r="K306" s="719"/>
      <c r="L306" s="719"/>
      <c r="M306" s="719"/>
      <c r="N306" s="726"/>
      <c r="O306" s="726"/>
      <c r="P306" s="726"/>
      <c r="Q306" s="719"/>
      <c r="R306" s="719"/>
      <c r="S306" s="724">
        <f t="shared" si="106"/>
        <v>51.169999999998254</v>
      </c>
      <c r="T306" s="719"/>
      <c r="U306" s="719"/>
      <c r="V306" s="719"/>
      <c r="W306" s="719"/>
      <c r="X306" s="719"/>
      <c r="Y306" s="719"/>
      <c r="Z306" s="719"/>
      <c r="AA306" s="719"/>
      <c r="AB306" s="719"/>
      <c r="AC306" s="719"/>
      <c r="AD306" s="719"/>
      <c r="AE306" s="719"/>
      <c r="AF306" s="719"/>
      <c r="AG306" s="789"/>
      <c r="AH306" s="719"/>
      <c r="AI306" s="719"/>
      <c r="AJ306" s="719"/>
      <c r="AK306" s="719"/>
      <c r="AL306" s="719"/>
      <c r="AM306" s="719"/>
      <c r="AN306" s="719"/>
      <c r="AO306" s="719"/>
      <c r="AP306" s="719"/>
      <c r="AQ306" s="724">
        <f>+FL_1($T$307,$T$305,$G$306,1200,9.28, 1*$F$307)</f>
        <v>0.33477011200000001</v>
      </c>
      <c r="AR306" s="724"/>
      <c r="AS306" s="724"/>
      <c r="AT306" s="724"/>
      <c r="AU306" s="724"/>
      <c r="AV306" s="724"/>
      <c r="AW306" s="719"/>
      <c r="AX306" s="719"/>
      <c r="AY306" s="719"/>
      <c r="AZ306" s="532"/>
    </row>
    <row r="307" spans="1:52" ht="15.75" hidden="1" customHeight="1">
      <c r="A307" s="716" t="s">
        <v>677</v>
      </c>
      <c r="B307" s="717" t="s">
        <v>1814</v>
      </c>
      <c r="C307" s="789">
        <f>+$C$305+$G$306</f>
        <v>37962</v>
      </c>
      <c r="D307" s="719"/>
      <c r="E307" s="719"/>
      <c r="F307" s="720">
        <v>0</v>
      </c>
      <c r="G307" s="721"/>
      <c r="H307" s="726"/>
      <c r="I307" s="726"/>
      <c r="J307" s="762"/>
      <c r="K307" s="719"/>
      <c r="L307" s="719" t="s">
        <v>241</v>
      </c>
      <c r="M307" s="719"/>
      <c r="N307" s="726" t="s">
        <v>696</v>
      </c>
      <c r="O307" s="726"/>
      <c r="P307" s="726"/>
      <c r="Q307" s="719">
        <v>0</v>
      </c>
      <c r="R307" s="719">
        <v>0</v>
      </c>
      <c r="S307" s="719"/>
      <c r="T307" s="719">
        <v>30</v>
      </c>
      <c r="U307" s="719"/>
      <c r="V307" s="719"/>
      <c r="W307" s="719">
        <v>1.1000000000000001</v>
      </c>
      <c r="X307" s="719"/>
      <c r="Y307" s="719"/>
      <c r="Z307" s="719"/>
      <c r="AA307" s="719"/>
      <c r="AB307" s="719"/>
      <c r="AC307" s="719" t="s">
        <v>2977</v>
      </c>
      <c r="AD307" s="719"/>
      <c r="AE307" s="719"/>
      <c r="AF307" s="719">
        <v>200</v>
      </c>
      <c r="AG307" s="789">
        <v>37961.4</v>
      </c>
      <c r="AH307" s="719">
        <v>1494</v>
      </c>
      <c r="AI307" s="719">
        <v>-5117</v>
      </c>
      <c r="AJ307" s="719"/>
      <c r="AK307" s="719"/>
      <c r="AL307" s="719"/>
      <c r="AM307" s="719" t="s">
        <v>2609</v>
      </c>
      <c r="AN307" s="719">
        <v>5.25</v>
      </c>
      <c r="AO307" s="719"/>
      <c r="AP307" s="719"/>
      <c r="AQ307" s="724"/>
      <c r="AR307" s="724"/>
      <c r="AS307" s="724"/>
      <c r="AT307" s="724">
        <f>+ab($T$307,$T$305,$T$309,$G$306,$G$308, 1*$F$307,1200)</f>
        <v>7.9442083933778509</v>
      </c>
      <c r="AU307" s="724"/>
      <c r="AV307" s="724"/>
      <c r="AW307" s="719"/>
      <c r="AX307" s="719"/>
      <c r="AY307" s="719"/>
      <c r="AZ307" s="532"/>
    </row>
    <row r="308" spans="1:52" ht="15.75" hidden="1" customHeight="1">
      <c r="A308" s="716"/>
      <c r="B308" s="717"/>
      <c r="C308" s="789"/>
      <c r="D308" s="719"/>
      <c r="E308" s="719"/>
      <c r="F308" s="720"/>
      <c r="G308" s="721">
        <v>50</v>
      </c>
      <c r="H308" s="726"/>
      <c r="I308" s="726"/>
      <c r="J308" s="762"/>
      <c r="K308" s="719"/>
      <c r="L308" s="719"/>
      <c r="M308" s="719"/>
      <c r="N308" s="726"/>
      <c r="O308" s="726"/>
      <c r="P308" s="726"/>
      <c r="Q308" s="719"/>
      <c r="R308" s="719"/>
      <c r="S308" s="724">
        <f t="shared" si="106"/>
        <v>51.309999999997672</v>
      </c>
      <c r="T308" s="719"/>
      <c r="U308" s="719"/>
      <c r="V308" s="719"/>
      <c r="W308" s="719"/>
      <c r="X308" s="719"/>
      <c r="Y308" s="719"/>
      <c r="Z308" s="719"/>
      <c r="AA308" s="719"/>
      <c r="AB308" s="719"/>
      <c r="AC308" s="719"/>
      <c r="AD308" s="719"/>
      <c r="AE308" s="719"/>
      <c r="AF308" s="719"/>
      <c r="AG308" s="789"/>
      <c r="AH308" s="719"/>
      <c r="AI308" s="719"/>
      <c r="AJ308" s="719"/>
      <c r="AK308" s="719"/>
      <c r="AL308" s="719"/>
      <c r="AM308" s="719"/>
      <c r="AN308" s="719"/>
      <c r="AO308" s="719"/>
      <c r="AP308" s="719"/>
      <c r="AQ308" s="724">
        <f>+FL_2($T$309,$T$307,$G$308,1200,9.28, 1*$F$309)</f>
        <v>-0.33477011200000001</v>
      </c>
      <c r="AR308" s="724"/>
      <c r="AS308" s="724"/>
      <c r="AT308" s="724"/>
      <c r="AU308" s="724"/>
      <c r="AV308" s="724"/>
      <c r="AW308" s="719"/>
      <c r="AX308" s="719"/>
      <c r="AY308" s="719"/>
      <c r="AZ308" s="532"/>
    </row>
    <row r="309" spans="1:52" ht="15.75" hidden="1" customHeight="1">
      <c r="A309" s="716" t="s">
        <v>677</v>
      </c>
      <c r="B309" s="717" t="s">
        <v>1815</v>
      </c>
      <c r="C309" s="789">
        <f>+$C$307+$G$308</f>
        <v>38012</v>
      </c>
      <c r="D309" s="719"/>
      <c r="E309" s="719"/>
      <c r="F309" s="720">
        <v>0</v>
      </c>
      <c r="G309" s="721"/>
      <c r="H309" s="726"/>
      <c r="I309" s="726"/>
      <c r="J309" s="762"/>
      <c r="K309" s="719"/>
      <c r="L309" s="719" t="s">
        <v>241</v>
      </c>
      <c r="M309" s="719"/>
      <c r="N309" s="726" t="s">
        <v>695</v>
      </c>
      <c r="O309" s="726"/>
      <c r="P309" s="726"/>
      <c r="Q309" s="719">
        <v>0</v>
      </c>
      <c r="R309" s="719">
        <v>0</v>
      </c>
      <c r="S309" s="719"/>
      <c r="T309" s="719">
        <v>-30</v>
      </c>
      <c r="U309" s="719"/>
      <c r="V309" s="719"/>
      <c r="W309" s="719">
        <v>1.1000000000000001</v>
      </c>
      <c r="X309" s="719"/>
      <c r="Y309" s="719"/>
      <c r="Z309" s="719"/>
      <c r="AA309" s="719"/>
      <c r="AB309" s="719"/>
      <c r="AC309" s="719" t="s">
        <v>2979</v>
      </c>
      <c r="AD309" s="719"/>
      <c r="AE309" s="719"/>
      <c r="AF309" s="719">
        <v>200</v>
      </c>
      <c r="AG309" s="789">
        <v>38012.71</v>
      </c>
      <c r="AH309" s="719">
        <v>1479</v>
      </c>
      <c r="AI309" s="719">
        <v>-5135</v>
      </c>
      <c r="AJ309" s="719"/>
      <c r="AK309" s="719"/>
      <c r="AL309" s="719"/>
      <c r="AM309" s="719" t="s">
        <v>2609</v>
      </c>
      <c r="AN309" s="719">
        <v>5.25</v>
      </c>
      <c r="AO309" s="719"/>
      <c r="AP309" s="719"/>
      <c r="AQ309" s="724"/>
      <c r="AR309" s="724"/>
      <c r="AS309" s="724"/>
      <c r="AT309" s="724">
        <f>+ab($T$309,$T$307,$T$311,$G$308,$G$310, 1*$F$309,1200)</f>
        <v>-7.9442410717051439</v>
      </c>
      <c r="AU309" s="724"/>
      <c r="AV309" s="724"/>
      <c r="AW309" s="719"/>
      <c r="AX309" s="719"/>
      <c r="AY309" s="719"/>
      <c r="AZ309" s="532"/>
    </row>
    <row r="310" spans="1:52" ht="15.75" hidden="1" customHeight="1">
      <c r="A310" s="716"/>
      <c r="B310" s="717"/>
      <c r="C310" s="789"/>
      <c r="D310" s="719"/>
      <c r="E310" s="719"/>
      <c r="F310" s="720"/>
      <c r="G310" s="721">
        <v>50</v>
      </c>
      <c r="H310" s="726"/>
      <c r="I310" s="726"/>
      <c r="J310" s="762"/>
      <c r="K310" s="719"/>
      <c r="L310" s="719"/>
      <c r="M310" s="719"/>
      <c r="N310" s="726"/>
      <c r="O310" s="726"/>
      <c r="P310" s="726"/>
      <c r="Q310" s="719"/>
      <c r="R310" s="719"/>
      <c r="S310" s="724">
        <f t="shared" si="106"/>
        <v>49.620000000002619</v>
      </c>
      <c r="T310" s="719"/>
      <c r="U310" s="719"/>
      <c r="V310" s="719"/>
      <c r="W310" s="719"/>
      <c r="X310" s="719"/>
      <c r="Y310" s="719"/>
      <c r="Z310" s="719"/>
      <c r="AA310" s="719"/>
      <c r="AB310" s="719"/>
      <c r="AC310" s="719"/>
      <c r="AD310" s="719"/>
      <c r="AE310" s="719"/>
      <c r="AF310" s="719"/>
      <c r="AG310" s="789"/>
      <c r="AH310" s="719"/>
      <c r="AI310" s="719"/>
      <c r="AJ310" s="719"/>
      <c r="AK310" s="719"/>
      <c r="AL310" s="719"/>
      <c r="AM310" s="719"/>
      <c r="AN310" s="719"/>
      <c r="AO310" s="719"/>
      <c r="AP310" s="719"/>
      <c r="AQ310" s="724">
        <f>+FL_1($T$311,$T$309,$G$310,1200,9.28, 1*$F$311)</f>
        <v>0.33477011200000001</v>
      </c>
      <c r="AR310" s="724"/>
      <c r="AS310" s="724"/>
      <c r="AT310" s="724"/>
      <c r="AU310" s="724"/>
      <c r="AV310" s="724"/>
      <c r="AW310" s="719"/>
      <c r="AX310" s="719"/>
      <c r="AY310" s="719"/>
      <c r="AZ310" s="532"/>
    </row>
    <row r="311" spans="1:52" ht="15.75" hidden="1" customHeight="1">
      <c r="A311" s="716" t="s">
        <v>677</v>
      </c>
      <c r="B311" s="717" t="s">
        <v>1816</v>
      </c>
      <c r="C311" s="789">
        <f>+$C$309+$G$310</f>
        <v>38062</v>
      </c>
      <c r="D311" s="719"/>
      <c r="E311" s="719"/>
      <c r="F311" s="720">
        <v>0</v>
      </c>
      <c r="G311" s="721"/>
      <c r="H311" s="726"/>
      <c r="I311" s="726"/>
      <c r="J311" s="762"/>
      <c r="K311" s="719"/>
      <c r="L311" s="719" t="s">
        <v>241</v>
      </c>
      <c r="M311" s="719"/>
      <c r="N311" s="726" t="s">
        <v>696</v>
      </c>
      <c r="O311" s="726"/>
      <c r="P311" s="726"/>
      <c r="Q311" s="719">
        <v>0</v>
      </c>
      <c r="R311" s="719">
        <v>0</v>
      </c>
      <c r="S311" s="719"/>
      <c r="T311" s="719">
        <v>30</v>
      </c>
      <c r="U311" s="719"/>
      <c r="V311" s="719"/>
      <c r="W311" s="719">
        <v>1.1000000000000001</v>
      </c>
      <c r="X311" s="719"/>
      <c r="Y311" s="719"/>
      <c r="Z311" s="719"/>
      <c r="AA311" s="719"/>
      <c r="AB311" s="719"/>
      <c r="AC311" s="719" t="s">
        <v>2977</v>
      </c>
      <c r="AD311" s="719"/>
      <c r="AE311" s="719"/>
      <c r="AF311" s="719">
        <v>200</v>
      </c>
      <c r="AG311" s="789">
        <v>38062.33</v>
      </c>
      <c r="AH311" s="719">
        <v>1501</v>
      </c>
      <c r="AI311" s="719">
        <v>-5132</v>
      </c>
      <c r="AJ311" s="719"/>
      <c r="AK311" s="719"/>
      <c r="AL311" s="719"/>
      <c r="AM311" s="719" t="s">
        <v>2609</v>
      </c>
      <c r="AN311" s="719">
        <v>5.25</v>
      </c>
      <c r="AO311" s="719"/>
      <c r="AP311" s="719"/>
      <c r="AQ311" s="724"/>
      <c r="AR311" s="724"/>
      <c r="AS311" s="724"/>
      <c r="AT311" s="724">
        <f>+ab($T$311,$T$309,$T$313,$G$310,$G$312, 1*$F$311,1200)</f>
        <v>7.9442083933778509</v>
      </c>
      <c r="AU311" s="724"/>
      <c r="AV311" s="724"/>
      <c r="AW311" s="719"/>
      <c r="AX311" s="719"/>
      <c r="AY311" s="719"/>
      <c r="AZ311" s="532"/>
    </row>
    <row r="312" spans="1:52" ht="15.75" hidden="1" customHeight="1">
      <c r="A312" s="716"/>
      <c r="B312" s="717"/>
      <c r="C312" s="789"/>
      <c r="D312" s="719"/>
      <c r="E312" s="719"/>
      <c r="F312" s="720"/>
      <c r="G312" s="721">
        <v>50</v>
      </c>
      <c r="H312" s="726"/>
      <c r="I312" s="726"/>
      <c r="J312" s="762"/>
      <c r="K312" s="719"/>
      <c r="L312" s="719"/>
      <c r="M312" s="719"/>
      <c r="N312" s="726"/>
      <c r="O312" s="726"/>
      <c r="P312" s="726"/>
      <c r="Q312" s="719"/>
      <c r="R312" s="719"/>
      <c r="S312" s="724">
        <f t="shared" si="106"/>
        <v>48.009999999994761</v>
      </c>
      <c r="T312" s="719"/>
      <c r="U312" s="719"/>
      <c r="V312" s="719"/>
      <c r="W312" s="719"/>
      <c r="X312" s="719"/>
      <c r="Y312" s="719"/>
      <c r="Z312" s="719"/>
      <c r="AA312" s="719"/>
      <c r="AB312" s="719"/>
      <c r="AC312" s="719"/>
      <c r="AD312" s="719"/>
      <c r="AE312" s="719"/>
      <c r="AF312" s="719"/>
      <c r="AG312" s="789"/>
      <c r="AH312" s="719"/>
      <c r="AI312" s="719"/>
      <c r="AJ312" s="719"/>
      <c r="AK312" s="719"/>
      <c r="AL312" s="719"/>
      <c r="AM312" s="719"/>
      <c r="AN312" s="719"/>
      <c r="AO312" s="719"/>
      <c r="AP312" s="719"/>
      <c r="AQ312" s="724">
        <f>+FL_2($T$313,$T$311,$G$312,1200,9.28, 1*$F$313)</f>
        <v>-0.33477011200000001</v>
      </c>
      <c r="AR312" s="724"/>
      <c r="AS312" s="724"/>
      <c r="AT312" s="724"/>
      <c r="AU312" s="724"/>
      <c r="AV312" s="724"/>
      <c r="AW312" s="719"/>
      <c r="AX312" s="719"/>
      <c r="AY312" s="719"/>
      <c r="AZ312" s="532"/>
    </row>
    <row r="313" spans="1:52" ht="15.75" hidden="1" customHeight="1">
      <c r="A313" s="716" t="s">
        <v>677</v>
      </c>
      <c r="B313" s="717" t="s">
        <v>1817</v>
      </c>
      <c r="C313" s="789">
        <f>+$C$311+$G$312</f>
        <v>38112</v>
      </c>
      <c r="D313" s="719"/>
      <c r="E313" s="719"/>
      <c r="F313" s="720">
        <v>0</v>
      </c>
      <c r="G313" s="721"/>
      <c r="H313" s="726"/>
      <c r="I313" s="726"/>
      <c r="J313" s="762"/>
      <c r="K313" s="719"/>
      <c r="L313" s="719" t="s">
        <v>241</v>
      </c>
      <c r="M313" s="719"/>
      <c r="N313" s="726" t="s">
        <v>695</v>
      </c>
      <c r="O313" s="726"/>
      <c r="P313" s="726"/>
      <c r="Q313" s="719">
        <v>0</v>
      </c>
      <c r="R313" s="719">
        <v>0</v>
      </c>
      <c r="S313" s="719"/>
      <c r="T313" s="719">
        <v>-30</v>
      </c>
      <c r="U313" s="719"/>
      <c r="V313" s="719"/>
      <c r="W313" s="719">
        <v>1.1000000000000001</v>
      </c>
      <c r="X313" s="719"/>
      <c r="Y313" s="719"/>
      <c r="Z313" s="719"/>
      <c r="AA313" s="719"/>
      <c r="AB313" s="719"/>
      <c r="AC313" s="719" t="s">
        <v>2979</v>
      </c>
      <c r="AD313" s="719"/>
      <c r="AE313" s="719"/>
      <c r="AF313" s="719">
        <v>200</v>
      </c>
      <c r="AG313" s="789">
        <v>38110.339999999997</v>
      </c>
      <c r="AH313" s="719">
        <v>1515</v>
      </c>
      <c r="AI313" s="719">
        <v>-5151</v>
      </c>
      <c r="AJ313" s="719"/>
      <c r="AK313" s="719"/>
      <c r="AL313" s="719"/>
      <c r="AM313" s="719" t="s">
        <v>2609</v>
      </c>
      <c r="AN313" s="719">
        <v>5.25</v>
      </c>
      <c r="AO313" s="719"/>
      <c r="AP313" s="719"/>
      <c r="AQ313" s="724"/>
      <c r="AR313" s="724"/>
      <c r="AS313" s="724"/>
      <c r="AT313" s="724">
        <f>+ab($T$313,$T$311,$T$315,$G$312,$G$314, 1*$F$313,1200)</f>
        <v>-7.9442410717051439</v>
      </c>
      <c r="AU313" s="724"/>
      <c r="AV313" s="724"/>
      <c r="AW313" s="719"/>
      <c r="AX313" s="719"/>
      <c r="AY313" s="719"/>
      <c r="AZ313" s="532"/>
    </row>
    <row r="314" spans="1:52" ht="15.75" hidden="1" customHeight="1">
      <c r="A314" s="716"/>
      <c r="B314" s="717"/>
      <c r="C314" s="789"/>
      <c r="D314" s="719"/>
      <c r="E314" s="719"/>
      <c r="F314" s="720"/>
      <c r="G314" s="721">
        <v>50</v>
      </c>
      <c r="H314" s="726"/>
      <c r="I314" s="726"/>
      <c r="J314" s="762"/>
      <c r="K314" s="719"/>
      <c r="L314" s="719"/>
      <c r="M314" s="719"/>
      <c r="N314" s="726"/>
      <c r="O314" s="726"/>
      <c r="P314" s="726"/>
      <c r="Q314" s="719"/>
      <c r="R314" s="719"/>
      <c r="S314" s="724">
        <f t="shared" si="106"/>
        <v>52.930000000000291</v>
      </c>
      <c r="T314" s="719"/>
      <c r="U314" s="719"/>
      <c r="V314" s="719"/>
      <c r="W314" s="719"/>
      <c r="X314" s="719"/>
      <c r="Y314" s="719"/>
      <c r="Z314" s="719"/>
      <c r="AA314" s="719"/>
      <c r="AB314" s="719"/>
      <c r="AC314" s="719"/>
      <c r="AD314" s="719"/>
      <c r="AE314" s="719"/>
      <c r="AF314" s="719"/>
      <c r="AG314" s="789"/>
      <c r="AH314" s="719"/>
      <c r="AI314" s="719"/>
      <c r="AJ314" s="719"/>
      <c r="AK314" s="719"/>
      <c r="AL314" s="719"/>
      <c r="AM314" s="719"/>
      <c r="AN314" s="719"/>
      <c r="AO314" s="719"/>
      <c r="AP314" s="719"/>
      <c r="AQ314" s="724">
        <f>+FL_1($T$315,$T$313,$G$314,1200,9.28, 1*$F$315)</f>
        <v>0.33477011200000001</v>
      </c>
      <c r="AR314" s="724"/>
      <c r="AS314" s="724"/>
      <c r="AT314" s="724"/>
      <c r="AU314" s="724"/>
      <c r="AV314" s="724"/>
      <c r="AW314" s="719"/>
      <c r="AX314" s="719"/>
      <c r="AY314" s="719"/>
      <c r="AZ314" s="532"/>
    </row>
    <row r="315" spans="1:52" ht="15.75" hidden="1" customHeight="1">
      <c r="A315" s="716" t="s">
        <v>677</v>
      </c>
      <c r="B315" s="717" t="s">
        <v>1818</v>
      </c>
      <c r="C315" s="789">
        <f>+$C$313+$G$314</f>
        <v>38162</v>
      </c>
      <c r="D315" s="719"/>
      <c r="E315" s="719"/>
      <c r="F315" s="720">
        <v>0</v>
      </c>
      <c r="G315" s="721"/>
      <c r="H315" s="726"/>
      <c r="I315" s="722"/>
      <c r="J315" s="762"/>
      <c r="K315" s="719"/>
      <c r="L315" s="719" t="s">
        <v>241</v>
      </c>
      <c r="M315" s="719"/>
      <c r="N315" s="726" t="s">
        <v>696</v>
      </c>
      <c r="O315" s="726"/>
      <c r="P315" s="726"/>
      <c r="Q315" s="719">
        <v>0</v>
      </c>
      <c r="R315" s="719">
        <v>0</v>
      </c>
      <c r="S315" s="719"/>
      <c r="T315" s="719">
        <v>30</v>
      </c>
      <c r="U315" s="719"/>
      <c r="V315" s="719"/>
      <c r="W315" s="719">
        <v>1.1000000000000001</v>
      </c>
      <c r="X315" s="719"/>
      <c r="Y315" s="719"/>
      <c r="Z315" s="719"/>
      <c r="AA315" s="719"/>
      <c r="AB315" s="719"/>
      <c r="AC315" s="719" t="s">
        <v>2977</v>
      </c>
      <c r="AD315" s="719"/>
      <c r="AE315" s="719"/>
      <c r="AF315" s="719">
        <v>200</v>
      </c>
      <c r="AG315" s="789">
        <v>38163.269999999997</v>
      </c>
      <c r="AH315" s="719">
        <v>1503</v>
      </c>
      <c r="AI315" s="719">
        <v>-5134</v>
      </c>
      <c r="AJ315" s="719"/>
      <c r="AK315" s="719"/>
      <c r="AL315" s="719"/>
      <c r="AM315" s="719" t="s">
        <v>2609</v>
      </c>
      <c r="AN315" s="719">
        <v>5.25</v>
      </c>
      <c r="AO315" s="719"/>
      <c r="AP315" s="719"/>
      <c r="AQ315" s="724"/>
      <c r="AR315" s="724"/>
      <c r="AS315" s="724"/>
      <c r="AT315" s="724">
        <f>+ab($T$315,$T$313,$T$317,$G$314,$G$316, 1*$F$315,1200)</f>
        <v>7.9442083933778509</v>
      </c>
      <c r="AU315" s="724"/>
      <c r="AV315" s="724"/>
      <c r="AW315" s="719"/>
      <c r="AX315" s="719"/>
      <c r="AY315" s="719"/>
      <c r="AZ315" s="532"/>
    </row>
    <row r="316" spans="1:52" ht="15.75" hidden="1" customHeight="1">
      <c r="A316" s="716"/>
      <c r="B316" s="717"/>
      <c r="C316" s="789"/>
      <c r="D316" s="719"/>
      <c r="E316" s="719"/>
      <c r="F316" s="720"/>
      <c r="G316" s="721">
        <v>50</v>
      </c>
      <c r="H316" s="726"/>
      <c r="I316" s="726"/>
      <c r="J316" s="762"/>
      <c r="K316" s="719"/>
      <c r="L316" s="719"/>
      <c r="M316" s="719"/>
      <c r="N316" s="726"/>
      <c r="O316" s="726"/>
      <c r="P316" s="726"/>
      <c r="Q316" s="719"/>
      <c r="R316" s="719"/>
      <c r="S316" s="724">
        <f t="shared" si="106"/>
        <v>47.980000000003201</v>
      </c>
      <c r="T316" s="719"/>
      <c r="U316" s="719"/>
      <c r="V316" s="719"/>
      <c r="W316" s="719"/>
      <c r="X316" s="719"/>
      <c r="Y316" s="719"/>
      <c r="Z316" s="719"/>
      <c r="AA316" s="719"/>
      <c r="AB316" s="719"/>
      <c r="AC316" s="719"/>
      <c r="AD316" s="719"/>
      <c r="AE316" s="719"/>
      <c r="AF316" s="719"/>
      <c r="AG316" s="789"/>
      <c r="AH316" s="719"/>
      <c r="AI316" s="719"/>
      <c r="AJ316" s="719"/>
      <c r="AK316" s="719"/>
      <c r="AL316" s="719"/>
      <c r="AM316" s="719"/>
      <c r="AN316" s="719"/>
      <c r="AO316" s="719"/>
      <c r="AP316" s="719"/>
      <c r="AQ316" s="724">
        <f>+FL_1($T$317,$T$315,$G$316,1200,9.28, 1*$F$317)</f>
        <v>0.33477011200000012</v>
      </c>
      <c r="AR316" s="724"/>
      <c r="AS316" s="724"/>
      <c r="AT316" s="724"/>
      <c r="AU316" s="724"/>
      <c r="AV316" s="724"/>
      <c r="AW316" s="719"/>
      <c r="AX316" s="719"/>
      <c r="AY316" s="719"/>
      <c r="AZ316" s="532"/>
    </row>
    <row r="317" spans="1:52" ht="15.75" hidden="1" customHeight="1">
      <c r="A317" s="716" t="s">
        <v>677</v>
      </c>
      <c r="B317" s="717" t="s">
        <v>1819</v>
      </c>
      <c r="C317" s="789">
        <f>+$C$315+$G$316</f>
        <v>38212</v>
      </c>
      <c r="D317" s="719"/>
      <c r="E317" s="719"/>
      <c r="F317" s="720">
        <v>0</v>
      </c>
      <c r="G317" s="721"/>
      <c r="H317" s="726" t="s">
        <v>138</v>
      </c>
      <c r="I317" s="722" t="s">
        <v>948</v>
      </c>
      <c r="J317" s="762"/>
      <c r="K317" s="719"/>
      <c r="L317" s="719" t="s">
        <v>241</v>
      </c>
      <c r="M317" s="719"/>
      <c r="N317" s="726" t="s">
        <v>695</v>
      </c>
      <c r="O317" s="726"/>
      <c r="P317" s="726"/>
      <c r="Q317" s="719">
        <v>0</v>
      </c>
      <c r="R317" s="719">
        <v>0</v>
      </c>
      <c r="S317" s="719"/>
      <c r="T317" s="719">
        <v>-30</v>
      </c>
      <c r="U317" s="719"/>
      <c r="V317" s="719"/>
      <c r="W317" s="719">
        <v>1.1000000000000001</v>
      </c>
      <c r="X317" s="719"/>
      <c r="Y317" s="719"/>
      <c r="Z317" s="719"/>
      <c r="AA317" s="719"/>
      <c r="AB317" s="719"/>
      <c r="AC317" s="719" t="s">
        <v>2614</v>
      </c>
      <c r="AD317" s="719"/>
      <c r="AE317" s="719"/>
      <c r="AF317" s="719">
        <v>200</v>
      </c>
      <c r="AG317" s="789">
        <v>38211.25</v>
      </c>
      <c r="AH317" s="719">
        <v>1495</v>
      </c>
      <c r="AI317" s="719">
        <v>-5153</v>
      </c>
      <c r="AJ317" s="719"/>
      <c r="AK317" s="719"/>
      <c r="AL317" s="719"/>
      <c r="AM317" s="719" t="s">
        <v>2609</v>
      </c>
      <c r="AN317" s="719">
        <v>5.25</v>
      </c>
      <c r="AO317" s="719"/>
      <c r="AP317" s="719"/>
      <c r="AQ317" s="724"/>
      <c r="AR317" s="724"/>
      <c r="AS317" s="724"/>
      <c r="AT317" s="724">
        <f>+ab($T$317,$T$315,$T$319,$G$316,$G$318, 1*$F$317,1200)</f>
        <v>-8.2849467556123688</v>
      </c>
      <c r="AU317" s="724"/>
      <c r="AV317" s="724"/>
      <c r="AW317" s="719"/>
      <c r="AX317" s="719"/>
      <c r="AY317" s="719"/>
      <c r="AZ317" s="532"/>
    </row>
    <row r="318" spans="1:52" ht="15.75" hidden="1" customHeight="1">
      <c r="A318" s="716"/>
      <c r="B318" s="717"/>
      <c r="C318" s="789"/>
      <c r="D318" s="719"/>
      <c r="E318" s="719"/>
      <c r="F318" s="720"/>
      <c r="G318" s="721">
        <v>50</v>
      </c>
      <c r="H318" s="726"/>
      <c r="I318" s="726"/>
      <c r="J318" s="762">
        <f>C317+10</f>
        <v>38222</v>
      </c>
      <c r="K318" s="719" t="s">
        <v>1097</v>
      </c>
      <c r="L318" s="719"/>
      <c r="M318" s="719"/>
      <c r="N318" s="726"/>
      <c r="O318" s="726"/>
      <c r="P318" s="726"/>
      <c r="Q318" s="719"/>
      <c r="R318" s="719"/>
      <c r="S318" s="724">
        <f>AG319-AG317</f>
        <v>48.010000000002037</v>
      </c>
      <c r="T318" s="719"/>
      <c r="U318" s="719"/>
      <c r="V318" s="719"/>
      <c r="W318" s="719"/>
      <c r="X318" s="719"/>
      <c r="Y318" s="719"/>
      <c r="Z318" s="719"/>
      <c r="AA318" s="719"/>
      <c r="AB318" s="719"/>
      <c r="AC318" s="719"/>
      <c r="AD318" s="719"/>
      <c r="AE318" s="719"/>
      <c r="AF318" s="719"/>
      <c r="AG318" s="789"/>
      <c r="AH318" s="719"/>
      <c r="AI318" s="719"/>
      <c r="AJ318" s="719"/>
      <c r="AK318" s="719"/>
      <c r="AL318" s="719"/>
      <c r="AM318" s="719"/>
      <c r="AN318" s="719"/>
      <c r="AO318" s="719"/>
      <c r="AP318" s="719"/>
      <c r="AQ318" s="724">
        <f>+FL_2($U$319,$T$317,$G$318,1200,9.28, 1*$F$319)</f>
        <v>-0.39834769999999992</v>
      </c>
      <c r="AR318" s="724"/>
      <c r="AS318" s="724"/>
      <c r="AT318" s="724"/>
      <c r="AU318" s="724"/>
      <c r="AV318" s="724"/>
      <c r="AW318" s="719"/>
      <c r="AX318" s="719"/>
      <c r="AY318" s="719"/>
      <c r="AZ318" s="532"/>
    </row>
    <row r="319" spans="1:52" ht="15.75" hidden="1" customHeight="1">
      <c r="A319" s="716" t="s">
        <v>677</v>
      </c>
      <c r="B319" s="717" t="s">
        <v>1820</v>
      </c>
      <c r="C319" s="789">
        <f>+$C$317+$G$318</f>
        <v>38262</v>
      </c>
      <c r="D319" s="719"/>
      <c r="E319" s="719"/>
      <c r="F319" s="720">
        <v>0</v>
      </c>
      <c r="G319" s="721"/>
      <c r="H319" s="726" t="s">
        <v>668</v>
      </c>
      <c r="I319" s="726" t="s">
        <v>2053</v>
      </c>
      <c r="J319" s="762">
        <f>C319+5</f>
        <v>38267</v>
      </c>
      <c r="K319" s="719" t="s">
        <v>1102</v>
      </c>
      <c r="L319" s="719" t="s">
        <v>465</v>
      </c>
      <c r="M319" s="719"/>
      <c r="N319" s="726" t="s">
        <v>697</v>
      </c>
      <c r="O319" s="726" t="s">
        <v>696</v>
      </c>
      <c r="P319" s="726"/>
      <c r="Q319" s="719">
        <v>0</v>
      </c>
      <c r="R319" s="719">
        <v>0</v>
      </c>
      <c r="S319" s="724">
        <f>AG320-AG319</f>
        <v>3.2099999999991269</v>
      </c>
      <c r="T319" s="719">
        <v>25</v>
      </c>
      <c r="U319" s="719">
        <v>5</v>
      </c>
      <c r="V319" s="719"/>
      <c r="W319" s="719">
        <v>1.1000000000000001</v>
      </c>
      <c r="X319" s="719">
        <v>1.2</v>
      </c>
      <c r="Y319" s="719"/>
      <c r="Z319" s="719">
        <v>0.45</v>
      </c>
      <c r="AA319" s="719"/>
      <c r="AB319" s="719"/>
      <c r="AC319" s="719"/>
      <c r="AD319" s="719" t="s">
        <v>2616</v>
      </c>
      <c r="AE319" s="719"/>
      <c r="AF319" s="719">
        <v>200</v>
      </c>
      <c r="AG319" s="789">
        <v>38259.26</v>
      </c>
      <c r="AH319" s="719">
        <v>1490</v>
      </c>
      <c r="AI319" s="719">
        <v>-5139</v>
      </c>
      <c r="AJ319" s="719"/>
      <c r="AK319" s="719"/>
      <c r="AL319" s="719"/>
      <c r="AM319" s="719" t="s">
        <v>2609</v>
      </c>
      <c r="AN319" s="719">
        <v>5.25</v>
      </c>
      <c r="AO319" s="719"/>
      <c r="AP319" s="719"/>
      <c r="AQ319" s="724"/>
      <c r="AR319" s="724"/>
      <c r="AS319" s="724"/>
      <c r="AT319" s="724">
        <f>+ab($U$319,$T$317,$U$321,$G$318,$G$320, 1*$F$319,1200)</f>
        <v>14.446766725215634</v>
      </c>
      <c r="AU319" s="724"/>
      <c r="AV319" s="724"/>
      <c r="AW319" s="719"/>
      <c r="AX319" s="719"/>
      <c r="AY319" s="719"/>
      <c r="AZ319" s="532"/>
    </row>
    <row r="320" spans="1:52" ht="15.75" hidden="1" customHeight="1">
      <c r="A320" s="716"/>
      <c r="B320" s="717"/>
      <c r="C320" s="789"/>
      <c r="D320" s="719"/>
      <c r="E320" s="719"/>
      <c r="F320" s="720"/>
      <c r="G320" s="721">
        <v>50</v>
      </c>
      <c r="H320" s="726"/>
      <c r="I320" s="726"/>
      <c r="J320" s="762"/>
      <c r="K320" s="719"/>
      <c r="L320" s="719"/>
      <c r="M320" s="719"/>
      <c r="N320" s="726"/>
      <c r="O320" s="726"/>
      <c r="P320" s="726"/>
      <c r="Q320" s="719">
        <v>0</v>
      </c>
      <c r="R320" s="719">
        <v>0</v>
      </c>
      <c r="S320" s="724">
        <f>AG321-AG320</f>
        <v>48.119999999995343</v>
      </c>
      <c r="T320" s="719"/>
      <c r="U320" s="719"/>
      <c r="V320" s="719"/>
      <c r="W320" s="719"/>
      <c r="X320" s="719"/>
      <c r="Y320" s="719"/>
      <c r="Z320" s="719"/>
      <c r="AA320" s="719"/>
      <c r="AB320" s="719"/>
      <c r="AC320" s="719"/>
      <c r="AD320" s="719"/>
      <c r="AE320" s="719"/>
      <c r="AF320" s="719"/>
      <c r="AG320" s="789">
        <v>38262.47</v>
      </c>
      <c r="AH320" s="719">
        <v>1495</v>
      </c>
      <c r="AI320" s="719">
        <v>-5128</v>
      </c>
      <c r="AJ320" s="719"/>
      <c r="AK320" s="719"/>
      <c r="AL320" s="719"/>
      <c r="AM320" s="719"/>
      <c r="AN320" s="719"/>
      <c r="AO320" s="719"/>
      <c r="AP320" s="719"/>
      <c r="AQ320" s="724">
        <f>+FL_2($T$321,$U$319,$G$320,1200,9.28, 1*$F$321)</f>
        <v>-0.24425286799999996</v>
      </c>
      <c r="AR320" s="724"/>
      <c r="AS320" s="724"/>
      <c r="AT320" s="724"/>
      <c r="AU320" s="724"/>
      <c r="AV320" s="724"/>
      <c r="AW320" s="719"/>
      <c r="AX320" s="719"/>
      <c r="AY320" s="719"/>
      <c r="AZ320" s="532"/>
    </row>
    <row r="321" spans="1:52" ht="15.75" hidden="1" customHeight="1">
      <c r="A321" s="716" t="s">
        <v>677</v>
      </c>
      <c r="B321" s="717" t="s">
        <v>1821</v>
      </c>
      <c r="C321" s="789">
        <f>+$C$319+$G$320</f>
        <v>38312</v>
      </c>
      <c r="D321" s="719"/>
      <c r="E321" s="719"/>
      <c r="F321" s="720">
        <v>0</v>
      </c>
      <c r="G321" s="721"/>
      <c r="H321" s="720" t="s">
        <v>668</v>
      </c>
      <c r="I321" s="720"/>
      <c r="J321" s="762"/>
      <c r="K321" s="720"/>
      <c r="L321" s="719" t="s">
        <v>465</v>
      </c>
      <c r="M321" s="719"/>
      <c r="N321" s="726" t="s">
        <v>695</v>
      </c>
      <c r="O321" s="726" t="s">
        <v>697</v>
      </c>
      <c r="P321" s="726"/>
      <c r="Q321" s="719">
        <v>0</v>
      </c>
      <c r="R321" s="719">
        <v>0</v>
      </c>
      <c r="S321" s="724">
        <f>AG322-AG321</f>
        <v>3.2000000000043656</v>
      </c>
      <c r="T321" s="719">
        <v>-5</v>
      </c>
      <c r="U321" s="719">
        <v>-25</v>
      </c>
      <c r="V321" s="719"/>
      <c r="W321" s="719">
        <v>1.1000000000000001</v>
      </c>
      <c r="X321" s="719">
        <v>1.2</v>
      </c>
      <c r="Y321" s="719"/>
      <c r="Z321" s="719"/>
      <c r="AA321" s="719">
        <v>0.45</v>
      </c>
      <c r="AB321" s="719"/>
      <c r="AC321" s="719" t="s">
        <v>2613</v>
      </c>
      <c r="AD321" s="719"/>
      <c r="AE321" s="719"/>
      <c r="AF321" s="719">
        <v>200</v>
      </c>
      <c r="AG321" s="789">
        <v>38310.589999999997</v>
      </c>
      <c r="AH321" s="719">
        <v>1525</v>
      </c>
      <c r="AI321" s="719">
        <v>-5157</v>
      </c>
      <c r="AJ321" s="719"/>
      <c r="AK321" s="719"/>
      <c r="AL321" s="719"/>
      <c r="AM321" s="719" t="s">
        <v>2609</v>
      </c>
      <c r="AN321" s="719">
        <v>5.25</v>
      </c>
      <c r="AO321" s="719"/>
      <c r="AP321" s="719"/>
      <c r="AQ321" s="724"/>
      <c r="AR321" s="724"/>
      <c r="AS321" s="724"/>
      <c r="AT321" s="724">
        <f>+ab($T$321,$T$319,$T$323,$G$320,$G$322, 1*$F$321,1200)</f>
        <v>-14.446873203935258</v>
      </c>
      <c r="AU321" s="724"/>
      <c r="AV321" s="724"/>
      <c r="AW321" s="719"/>
      <c r="AX321" s="719"/>
      <c r="AY321" s="719"/>
      <c r="AZ321" s="532"/>
    </row>
    <row r="322" spans="1:52" ht="15.75" hidden="1" customHeight="1">
      <c r="A322" s="716"/>
      <c r="B322" s="717"/>
      <c r="C322" s="789"/>
      <c r="D322" s="719"/>
      <c r="E322" s="719"/>
      <c r="F322" s="720"/>
      <c r="G322" s="721">
        <v>50</v>
      </c>
      <c r="H322" s="720"/>
      <c r="I322" s="720"/>
      <c r="J322" s="763">
        <f>C323-10</f>
        <v>38352</v>
      </c>
      <c r="K322" s="720" t="s">
        <v>1097</v>
      </c>
      <c r="L322" s="719"/>
      <c r="M322" s="719"/>
      <c r="N322" s="726"/>
      <c r="O322" s="726"/>
      <c r="P322" s="726"/>
      <c r="Q322" s="719">
        <v>0</v>
      </c>
      <c r="R322" s="719">
        <v>0</v>
      </c>
      <c r="S322" s="724">
        <f>AG323-AG322</f>
        <v>48.019999999996799</v>
      </c>
      <c r="T322" s="719"/>
      <c r="U322" s="719"/>
      <c r="V322" s="719"/>
      <c r="W322" s="719"/>
      <c r="X322" s="719"/>
      <c r="Y322" s="719"/>
      <c r="Z322" s="719"/>
      <c r="AA322" s="719"/>
      <c r="AB322" s="719"/>
      <c r="AC322" s="719"/>
      <c r="AD322" s="719"/>
      <c r="AE322" s="719"/>
      <c r="AF322" s="719"/>
      <c r="AG322" s="789">
        <v>38313.79</v>
      </c>
      <c r="AH322" s="719">
        <v>1531</v>
      </c>
      <c r="AI322" s="719">
        <v>-5166</v>
      </c>
      <c r="AJ322" s="719"/>
      <c r="AK322" s="719"/>
      <c r="AL322" s="719"/>
      <c r="AM322" s="719"/>
      <c r="AN322" s="719"/>
      <c r="AO322" s="719"/>
      <c r="AP322" s="719"/>
      <c r="AQ322" s="724">
        <f>+FL_1($T$323,$T$321,$G$322,1200,9.28, 1*$F$323)</f>
        <v>0.39834769999999997</v>
      </c>
      <c r="AR322" s="724"/>
      <c r="AS322" s="724"/>
      <c r="AT322" s="724"/>
      <c r="AU322" s="724"/>
      <c r="AV322" s="724"/>
      <c r="AW322" s="719"/>
      <c r="AX322" s="719"/>
      <c r="AY322" s="719"/>
      <c r="AZ322" s="532"/>
    </row>
    <row r="323" spans="1:52" ht="15.75" hidden="1" customHeight="1">
      <c r="A323" s="716" t="s">
        <v>677</v>
      </c>
      <c r="B323" s="717" t="s">
        <v>1822</v>
      </c>
      <c r="C323" s="789">
        <f>+$C$321+$G$322</f>
        <v>38362</v>
      </c>
      <c r="D323" s="719"/>
      <c r="E323" s="719"/>
      <c r="F323" s="720">
        <v>0</v>
      </c>
      <c r="G323" s="721"/>
      <c r="H323" s="720" t="s">
        <v>138</v>
      </c>
      <c r="I323" s="720" t="s">
        <v>948</v>
      </c>
      <c r="J323" s="762"/>
      <c r="K323" s="720"/>
      <c r="L323" s="719" t="s">
        <v>241</v>
      </c>
      <c r="M323" s="719"/>
      <c r="N323" s="726" t="s">
        <v>696</v>
      </c>
      <c r="O323" s="726"/>
      <c r="P323" s="726"/>
      <c r="Q323" s="719">
        <v>0</v>
      </c>
      <c r="R323" s="719">
        <v>0</v>
      </c>
      <c r="S323" s="719"/>
      <c r="T323" s="719">
        <v>30</v>
      </c>
      <c r="U323" s="719"/>
      <c r="V323" s="719"/>
      <c r="W323" s="719">
        <v>1.1000000000000001</v>
      </c>
      <c r="X323" s="719"/>
      <c r="Y323" s="719"/>
      <c r="Z323" s="719"/>
      <c r="AA323" s="719"/>
      <c r="AB323" s="719"/>
      <c r="AC323" s="719" t="s">
        <v>2612</v>
      </c>
      <c r="AD323" s="719"/>
      <c r="AE323" s="719"/>
      <c r="AF323" s="719">
        <v>200</v>
      </c>
      <c r="AG323" s="789">
        <v>38361.81</v>
      </c>
      <c r="AH323" s="719">
        <v>1497</v>
      </c>
      <c r="AI323" s="719">
        <v>-5151</v>
      </c>
      <c r="AJ323" s="719"/>
      <c r="AK323" s="719"/>
      <c r="AL323" s="719"/>
      <c r="AM323" s="719" t="s">
        <v>2609</v>
      </c>
      <c r="AN323" s="719">
        <v>5.25</v>
      </c>
      <c r="AO323" s="719"/>
      <c r="AP323" s="719"/>
      <c r="AQ323" s="724"/>
      <c r="AR323" s="724"/>
      <c r="AS323" s="724"/>
      <c r="AT323" s="724">
        <f>+ab($T$323,$T$321,$T$325,$G$322,$G$324, 1*$F$323,1200)</f>
        <v>9.9968917440918084</v>
      </c>
      <c r="AU323" s="724"/>
      <c r="AV323" s="724"/>
      <c r="AW323" s="719"/>
      <c r="AX323" s="719"/>
      <c r="AY323" s="719"/>
      <c r="AZ323" s="532"/>
    </row>
    <row r="324" spans="1:52" ht="15.75" hidden="1" customHeight="1">
      <c r="A324" s="716"/>
      <c r="B324" s="717"/>
      <c r="C324" s="789"/>
      <c r="D324" s="719"/>
      <c r="E324" s="719"/>
      <c r="F324" s="720"/>
      <c r="G324" s="721">
        <v>50</v>
      </c>
      <c r="H324" s="720"/>
      <c r="I324" s="720"/>
      <c r="J324" s="763"/>
      <c r="K324" s="720"/>
      <c r="L324" s="719"/>
      <c r="M324" s="719"/>
      <c r="N324" s="726"/>
      <c r="O324" s="726"/>
      <c r="P324" s="726"/>
      <c r="Q324" s="719"/>
      <c r="R324" s="719"/>
      <c r="S324" s="724">
        <f t="shared" ref="S324:S384" si="107">AG325-AG323</f>
        <v>49.620000000002619</v>
      </c>
      <c r="T324" s="719"/>
      <c r="U324" s="719"/>
      <c r="V324" s="719"/>
      <c r="W324" s="719"/>
      <c r="X324" s="719"/>
      <c r="Y324" s="719"/>
      <c r="Z324" s="719"/>
      <c r="AA324" s="719"/>
      <c r="AB324" s="719"/>
      <c r="AC324" s="719"/>
      <c r="AD324" s="719"/>
      <c r="AE324" s="719"/>
      <c r="AF324" s="719"/>
      <c r="AG324" s="789"/>
      <c r="AH324" s="719"/>
      <c r="AI324" s="719"/>
      <c r="AJ324" s="719"/>
      <c r="AK324" s="719"/>
      <c r="AL324" s="719"/>
      <c r="AM324" s="719"/>
      <c r="AN324" s="719"/>
      <c r="AO324" s="719"/>
      <c r="AP324" s="719"/>
      <c r="AQ324" s="724">
        <f>+FL_2($T$325,$T$323,$G$324,1200,9.28, 1*$F$325)</f>
        <v>-0.33477011200000001</v>
      </c>
      <c r="AR324" s="724"/>
      <c r="AS324" s="724"/>
      <c r="AT324" s="724"/>
      <c r="AU324" s="724"/>
      <c r="AV324" s="724"/>
      <c r="AW324" s="719"/>
      <c r="AX324" s="719"/>
      <c r="AY324" s="719"/>
      <c r="AZ324" s="532"/>
    </row>
    <row r="325" spans="1:52" ht="15.75" hidden="1" customHeight="1">
      <c r="A325" s="716" t="s">
        <v>677</v>
      </c>
      <c r="B325" s="717" t="s">
        <v>1823</v>
      </c>
      <c r="C325" s="789">
        <f>+$C$323+$G$324</f>
        <v>38412</v>
      </c>
      <c r="D325" s="719"/>
      <c r="E325" s="719"/>
      <c r="F325" s="720">
        <v>0</v>
      </c>
      <c r="G325" s="721"/>
      <c r="H325" s="720"/>
      <c r="I325" s="720"/>
      <c r="J325" s="763"/>
      <c r="K325" s="720"/>
      <c r="L325" s="719" t="s">
        <v>241</v>
      </c>
      <c r="M325" s="719"/>
      <c r="N325" s="726" t="s">
        <v>695</v>
      </c>
      <c r="O325" s="726"/>
      <c r="P325" s="726"/>
      <c r="Q325" s="719">
        <v>0</v>
      </c>
      <c r="R325" s="719">
        <v>0</v>
      </c>
      <c r="S325" s="719"/>
      <c r="T325" s="719">
        <v>-30</v>
      </c>
      <c r="U325" s="719"/>
      <c r="V325" s="719"/>
      <c r="W325" s="719">
        <v>1.1000000000000001</v>
      </c>
      <c r="X325" s="719"/>
      <c r="Y325" s="719"/>
      <c r="Z325" s="719"/>
      <c r="AA325" s="719"/>
      <c r="AB325" s="719"/>
      <c r="AC325" s="719" t="s">
        <v>2979</v>
      </c>
      <c r="AD325" s="719"/>
      <c r="AE325" s="719"/>
      <c r="AF325" s="719">
        <v>200</v>
      </c>
      <c r="AG325" s="789">
        <v>38411.43</v>
      </c>
      <c r="AH325" s="719">
        <v>1498</v>
      </c>
      <c r="AI325" s="719">
        <v>-5240</v>
      </c>
      <c r="AJ325" s="719"/>
      <c r="AK325" s="719"/>
      <c r="AL325" s="719"/>
      <c r="AM325" s="719" t="s">
        <v>2609</v>
      </c>
      <c r="AN325" s="719">
        <v>5.25</v>
      </c>
      <c r="AO325" s="719"/>
      <c r="AP325" s="719"/>
      <c r="AQ325" s="724"/>
      <c r="AR325" s="724"/>
      <c r="AS325" s="724"/>
      <c r="AT325" s="724">
        <f>+ab($T$325,$T$323,$T$327,$G$324,$G$326, 1*$F$325,1200)</f>
        <v>-7.9442410717051439</v>
      </c>
      <c r="AU325" s="724"/>
      <c r="AV325" s="724"/>
      <c r="AW325" s="719"/>
      <c r="AX325" s="719"/>
      <c r="AY325" s="719"/>
      <c r="AZ325" s="532"/>
    </row>
    <row r="326" spans="1:52" ht="15.75" hidden="1" customHeight="1">
      <c r="A326" s="716"/>
      <c r="B326" s="717"/>
      <c r="C326" s="789"/>
      <c r="D326" s="719"/>
      <c r="E326" s="719"/>
      <c r="F326" s="720"/>
      <c r="G326" s="721">
        <v>50</v>
      </c>
      <c r="H326" s="720"/>
      <c r="I326" s="720"/>
      <c r="J326" s="763"/>
      <c r="K326" s="720"/>
      <c r="L326" s="719"/>
      <c r="M326" s="719"/>
      <c r="N326" s="726"/>
      <c r="O326" s="726"/>
      <c r="P326" s="726"/>
      <c r="Q326" s="719"/>
      <c r="R326" s="719"/>
      <c r="S326" s="724">
        <f t="shared" si="107"/>
        <v>49.720000000001164</v>
      </c>
      <c r="T326" s="719"/>
      <c r="U326" s="719"/>
      <c r="V326" s="719"/>
      <c r="W326" s="719"/>
      <c r="X326" s="719"/>
      <c r="Y326" s="719"/>
      <c r="Z326" s="719"/>
      <c r="AA326" s="719"/>
      <c r="AB326" s="719"/>
      <c r="AC326" s="719"/>
      <c r="AD326" s="719"/>
      <c r="AE326" s="719"/>
      <c r="AF326" s="719"/>
      <c r="AG326" s="789"/>
      <c r="AH326" s="719"/>
      <c r="AI326" s="719"/>
      <c r="AJ326" s="719"/>
      <c r="AK326" s="719"/>
      <c r="AL326" s="719"/>
      <c r="AM326" s="719"/>
      <c r="AN326" s="719"/>
      <c r="AO326" s="719"/>
      <c r="AP326" s="719"/>
      <c r="AQ326" s="724">
        <f>+FL_1($T$327,$T$325,$G$326,1200,9.28, 1*$F$327)</f>
        <v>0.33477011200000001</v>
      </c>
      <c r="AR326" s="724"/>
      <c r="AS326" s="724"/>
      <c r="AT326" s="724"/>
      <c r="AU326" s="724"/>
      <c r="AV326" s="724"/>
      <c r="AW326" s="719"/>
      <c r="AX326" s="719"/>
      <c r="AY326" s="719"/>
      <c r="AZ326" s="532"/>
    </row>
    <row r="327" spans="1:52" ht="15.75" hidden="1" customHeight="1">
      <c r="A327" s="716" t="s">
        <v>677</v>
      </c>
      <c r="B327" s="717" t="s">
        <v>1824</v>
      </c>
      <c r="C327" s="789">
        <f>+$C$325+$G$326</f>
        <v>38462</v>
      </c>
      <c r="D327" s="719"/>
      <c r="E327" s="719"/>
      <c r="F327" s="720">
        <v>0</v>
      </c>
      <c r="G327" s="721"/>
      <c r="H327" s="720"/>
      <c r="I327" s="720"/>
      <c r="J327" s="763"/>
      <c r="K327" s="720"/>
      <c r="L327" s="719" t="s">
        <v>241</v>
      </c>
      <c r="M327" s="719"/>
      <c r="N327" s="726" t="s">
        <v>696</v>
      </c>
      <c r="O327" s="726"/>
      <c r="P327" s="726"/>
      <c r="Q327" s="719">
        <v>0</v>
      </c>
      <c r="R327" s="719">
        <v>0</v>
      </c>
      <c r="S327" s="719"/>
      <c r="T327" s="719">
        <v>30</v>
      </c>
      <c r="U327" s="719"/>
      <c r="V327" s="719"/>
      <c r="W327" s="719">
        <v>1.1000000000000001</v>
      </c>
      <c r="X327" s="719"/>
      <c r="Y327" s="719"/>
      <c r="Z327" s="719"/>
      <c r="AA327" s="719"/>
      <c r="AB327" s="719"/>
      <c r="AC327" s="719" t="s">
        <v>2977</v>
      </c>
      <c r="AD327" s="719"/>
      <c r="AE327" s="719"/>
      <c r="AF327" s="719">
        <v>200</v>
      </c>
      <c r="AG327" s="789">
        <v>38461.15</v>
      </c>
      <c r="AH327" s="719">
        <v>1510</v>
      </c>
      <c r="AI327" s="719">
        <v>-5165</v>
      </c>
      <c r="AJ327" s="719"/>
      <c r="AK327" s="719"/>
      <c r="AL327" s="719"/>
      <c r="AM327" s="719" t="s">
        <v>2609</v>
      </c>
      <c r="AN327" s="719">
        <v>5.25</v>
      </c>
      <c r="AO327" s="719"/>
      <c r="AP327" s="719"/>
      <c r="AQ327" s="724"/>
      <c r="AR327" s="724"/>
      <c r="AS327" s="724"/>
      <c r="AT327" s="724">
        <f>+ab($T$327,$T$325,$T$329,$G$326,$G$328, 1*$F$327,1200)</f>
        <v>7.9442083933778509</v>
      </c>
      <c r="AU327" s="724"/>
      <c r="AV327" s="724"/>
      <c r="AW327" s="719"/>
      <c r="AX327" s="719"/>
      <c r="AY327" s="719"/>
      <c r="AZ327" s="532"/>
    </row>
    <row r="328" spans="1:52" ht="15.75" hidden="1" customHeight="1">
      <c r="A328" s="716"/>
      <c r="B328" s="717"/>
      <c r="C328" s="789"/>
      <c r="D328" s="719"/>
      <c r="E328" s="719"/>
      <c r="F328" s="720"/>
      <c r="G328" s="721">
        <v>50</v>
      </c>
      <c r="H328" s="720"/>
      <c r="I328" s="720"/>
      <c r="J328" s="763"/>
      <c r="K328" s="720"/>
      <c r="L328" s="719"/>
      <c r="M328" s="719"/>
      <c r="N328" s="726"/>
      <c r="O328" s="726"/>
      <c r="P328" s="726"/>
      <c r="Q328" s="719"/>
      <c r="R328" s="719"/>
      <c r="S328" s="724">
        <f t="shared" si="107"/>
        <v>51.180000000000291</v>
      </c>
      <c r="T328" s="719"/>
      <c r="U328" s="719"/>
      <c r="V328" s="719"/>
      <c r="W328" s="719"/>
      <c r="X328" s="719"/>
      <c r="Y328" s="719"/>
      <c r="Z328" s="719"/>
      <c r="AA328" s="719"/>
      <c r="AB328" s="719"/>
      <c r="AC328" s="719"/>
      <c r="AD328" s="719"/>
      <c r="AE328" s="719"/>
      <c r="AF328" s="719"/>
      <c r="AG328" s="789"/>
      <c r="AH328" s="719"/>
      <c r="AI328" s="719"/>
      <c r="AJ328" s="719"/>
      <c r="AK328" s="719"/>
      <c r="AL328" s="719"/>
      <c r="AM328" s="719"/>
      <c r="AN328" s="719"/>
      <c r="AO328" s="719"/>
      <c r="AP328" s="719"/>
      <c r="AQ328" s="724">
        <f>+FL_2($T$329,$T$327,$G$328,1200,9.28, 1*$F$329)</f>
        <v>-0.33477011200000001</v>
      </c>
      <c r="AR328" s="724"/>
      <c r="AS328" s="724"/>
      <c r="AT328" s="724"/>
      <c r="AU328" s="724"/>
      <c r="AV328" s="724"/>
      <c r="AW328" s="719"/>
      <c r="AX328" s="719"/>
      <c r="AY328" s="719"/>
      <c r="AZ328" s="532"/>
    </row>
    <row r="329" spans="1:52" ht="15.75" hidden="1" customHeight="1">
      <c r="A329" s="716" t="s">
        <v>677</v>
      </c>
      <c r="B329" s="717" t="s">
        <v>1825</v>
      </c>
      <c r="C329" s="789">
        <f>+$C$327+$G$328</f>
        <v>38512</v>
      </c>
      <c r="D329" s="719"/>
      <c r="E329" s="719"/>
      <c r="F329" s="720">
        <v>0</v>
      </c>
      <c r="G329" s="721"/>
      <c r="H329" s="720"/>
      <c r="I329" s="720"/>
      <c r="J329" s="763"/>
      <c r="K329" s="720"/>
      <c r="L329" s="719" t="s">
        <v>241</v>
      </c>
      <c r="M329" s="719"/>
      <c r="N329" s="726" t="s">
        <v>695</v>
      </c>
      <c r="O329" s="726"/>
      <c r="P329" s="726"/>
      <c r="Q329" s="719">
        <v>0</v>
      </c>
      <c r="R329" s="719">
        <v>0</v>
      </c>
      <c r="S329" s="719"/>
      <c r="T329" s="719">
        <v>-30</v>
      </c>
      <c r="U329" s="719"/>
      <c r="V329" s="719"/>
      <c r="W329" s="719">
        <v>1.1000000000000001</v>
      </c>
      <c r="X329" s="719"/>
      <c r="Y329" s="719"/>
      <c r="Z329" s="719"/>
      <c r="AA329" s="719"/>
      <c r="AB329" s="719"/>
      <c r="AC329" s="719" t="s">
        <v>2979</v>
      </c>
      <c r="AD329" s="719"/>
      <c r="AE329" s="719"/>
      <c r="AF329" s="719">
        <v>200</v>
      </c>
      <c r="AG329" s="789">
        <v>38512.33</v>
      </c>
      <c r="AH329" s="719">
        <v>1489</v>
      </c>
      <c r="AI329" s="719">
        <v>-5181</v>
      </c>
      <c r="AJ329" s="719"/>
      <c r="AK329" s="719"/>
      <c r="AL329" s="719"/>
      <c r="AM329" s="719" t="s">
        <v>2609</v>
      </c>
      <c r="AN329" s="719">
        <v>5.25</v>
      </c>
      <c r="AO329" s="719"/>
      <c r="AP329" s="719"/>
      <c r="AQ329" s="724"/>
      <c r="AR329" s="724"/>
      <c r="AS329" s="724"/>
      <c r="AT329" s="724">
        <f>+ab($T$329,$T$327,$T$331,$G$328,$G$330, 1*$F$329,1200)</f>
        <v>-7.9442410717051439</v>
      </c>
      <c r="AU329" s="724"/>
      <c r="AV329" s="724"/>
      <c r="AW329" s="719"/>
      <c r="AX329" s="719"/>
      <c r="AY329" s="719"/>
      <c r="AZ329" s="532"/>
    </row>
    <row r="330" spans="1:52" ht="15.75" hidden="1" customHeight="1">
      <c r="A330" s="716"/>
      <c r="B330" s="717"/>
      <c r="C330" s="789"/>
      <c r="D330" s="719"/>
      <c r="E330" s="719"/>
      <c r="F330" s="720"/>
      <c r="G330" s="721">
        <v>50</v>
      </c>
      <c r="H330" s="720"/>
      <c r="I330" s="720"/>
      <c r="J330" s="763"/>
      <c r="K330" s="720"/>
      <c r="L330" s="719"/>
      <c r="M330" s="719"/>
      <c r="N330" s="726"/>
      <c r="O330" s="726"/>
      <c r="P330" s="726"/>
      <c r="Q330" s="719"/>
      <c r="R330" s="719"/>
      <c r="S330" s="724">
        <f t="shared" si="107"/>
        <v>48</v>
      </c>
      <c r="T330" s="719"/>
      <c r="U330" s="719"/>
      <c r="V330" s="719"/>
      <c r="W330" s="719"/>
      <c r="X330" s="719"/>
      <c r="Y330" s="719"/>
      <c r="Z330" s="719"/>
      <c r="AA330" s="719"/>
      <c r="AB330" s="719"/>
      <c r="AC330" s="719"/>
      <c r="AD330" s="719"/>
      <c r="AE330" s="719"/>
      <c r="AF330" s="719"/>
      <c r="AG330" s="789"/>
      <c r="AH330" s="719"/>
      <c r="AI330" s="719"/>
      <c r="AJ330" s="719"/>
      <c r="AK330" s="719"/>
      <c r="AL330" s="719"/>
      <c r="AM330" s="719"/>
      <c r="AN330" s="719"/>
      <c r="AO330" s="719"/>
      <c r="AP330" s="719"/>
      <c r="AQ330" s="724">
        <f>+FL_1($T$331,$T$329,$G$330,1200,9.28, 1*$F$331)</f>
        <v>0.33477011200000001</v>
      </c>
      <c r="AR330" s="724"/>
      <c r="AS330" s="724"/>
      <c r="AT330" s="724"/>
      <c r="AU330" s="724"/>
      <c r="AV330" s="724"/>
      <c r="AW330" s="719"/>
      <c r="AX330" s="719"/>
      <c r="AY330" s="719"/>
      <c r="AZ330" s="532"/>
    </row>
    <row r="331" spans="1:52" ht="15.75" hidden="1" customHeight="1">
      <c r="A331" s="716" t="s">
        <v>677</v>
      </c>
      <c r="B331" s="717" t="s">
        <v>1826</v>
      </c>
      <c r="C331" s="789">
        <f>+$C$329+$G$330</f>
        <v>38562</v>
      </c>
      <c r="D331" s="719"/>
      <c r="E331" s="719"/>
      <c r="F331" s="720">
        <v>0</v>
      </c>
      <c r="G331" s="721"/>
      <c r="H331" s="726"/>
      <c r="I331" s="722"/>
      <c r="J331" s="718"/>
      <c r="K331" s="719"/>
      <c r="L331" s="719" t="s">
        <v>241</v>
      </c>
      <c r="M331" s="719"/>
      <c r="N331" s="726" t="s">
        <v>696</v>
      </c>
      <c r="O331" s="726"/>
      <c r="P331" s="726"/>
      <c r="Q331" s="719">
        <v>0</v>
      </c>
      <c r="R331" s="719">
        <v>0</v>
      </c>
      <c r="S331" s="719"/>
      <c r="T331" s="719">
        <v>30</v>
      </c>
      <c r="U331" s="719"/>
      <c r="V331" s="719"/>
      <c r="W331" s="719">
        <v>1.1000000000000001</v>
      </c>
      <c r="X331" s="719"/>
      <c r="Y331" s="719"/>
      <c r="Z331" s="719"/>
      <c r="AA331" s="719"/>
      <c r="AB331" s="719"/>
      <c r="AC331" s="719" t="s">
        <v>2977</v>
      </c>
      <c r="AD331" s="719"/>
      <c r="AE331" s="719"/>
      <c r="AF331" s="719">
        <v>200</v>
      </c>
      <c r="AG331" s="789">
        <v>38560.33</v>
      </c>
      <c r="AH331" s="719">
        <v>1510</v>
      </c>
      <c r="AI331" s="719">
        <v>-5180</v>
      </c>
      <c r="AJ331" s="719"/>
      <c r="AK331" s="719"/>
      <c r="AL331" s="719"/>
      <c r="AM331" s="719" t="s">
        <v>2609</v>
      </c>
      <c r="AN331" s="719">
        <v>5.25</v>
      </c>
      <c r="AO331" s="719"/>
      <c r="AP331" s="719"/>
      <c r="AQ331" s="724"/>
      <c r="AR331" s="724"/>
      <c r="AS331" s="724"/>
      <c r="AT331" s="724">
        <f>+ab($T$331,$T$329,$T$333,$G$330,$G$332, 1*$F$331,1200)</f>
        <v>7.9442083933778509</v>
      </c>
      <c r="AU331" s="724"/>
      <c r="AV331" s="724"/>
      <c r="AW331" s="719"/>
      <c r="AX331" s="719"/>
      <c r="AY331" s="719"/>
      <c r="AZ331" s="532"/>
    </row>
    <row r="332" spans="1:52" ht="15.75" hidden="1" customHeight="1">
      <c r="A332" s="716"/>
      <c r="B332" s="717"/>
      <c r="C332" s="789"/>
      <c r="D332" s="719"/>
      <c r="E332" s="719"/>
      <c r="F332" s="720"/>
      <c r="G332" s="721">
        <v>50</v>
      </c>
      <c r="H332" s="719"/>
      <c r="I332" s="722"/>
      <c r="J332" s="718"/>
      <c r="K332" s="719"/>
      <c r="L332" s="719"/>
      <c r="M332" s="719"/>
      <c r="N332" s="726"/>
      <c r="O332" s="726"/>
      <c r="P332" s="726"/>
      <c r="Q332" s="719"/>
      <c r="R332" s="719"/>
      <c r="S332" s="724">
        <f t="shared" si="107"/>
        <v>51.299999999995634</v>
      </c>
      <c r="T332" s="719"/>
      <c r="U332" s="719"/>
      <c r="V332" s="719"/>
      <c r="W332" s="719"/>
      <c r="X332" s="719"/>
      <c r="Y332" s="719"/>
      <c r="Z332" s="719"/>
      <c r="AA332" s="719"/>
      <c r="AB332" s="719"/>
      <c r="AC332" s="719"/>
      <c r="AD332" s="719"/>
      <c r="AE332" s="719"/>
      <c r="AF332" s="719"/>
      <c r="AG332" s="789"/>
      <c r="AH332" s="719"/>
      <c r="AI332" s="719"/>
      <c r="AJ332" s="719"/>
      <c r="AK332" s="719"/>
      <c r="AL332" s="719"/>
      <c r="AM332" s="719"/>
      <c r="AN332" s="719"/>
      <c r="AO332" s="719"/>
      <c r="AP332" s="719"/>
      <c r="AQ332" s="724">
        <f>+FL_2($T$333,$T$331,$G$332,1200,9.28, 1*$F$333)</f>
        <v>-0.33477011200000001</v>
      </c>
      <c r="AR332" s="724"/>
      <c r="AS332" s="724"/>
      <c r="AT332" s="724"/>
      <c r="AU332" s="724"/>
      <c r="AV332" s="724"/>
      <c r="AW332" s="719"/>
      <c r="AX332" s="719"/>
      <c r="AY332" s="719"/>
      <c r="AZ332" s="532"/>
    </row>
    <row r="333" spans="1:52" ht="15.75" hidden="1" customHeight="1">
      <c r="A333" s="716" t="s">
        <v>677</v>
      </c>
      <c r="B333" s="717" t="s">
        <v>1827</v>
      </c>
      <c r="C333" s="789">
        <f>+$C$331+$G$332</f>
        <v>38612</v>
      </c>
      <c r="D333" s="719"/>
      <c r="E333" s="719"/>
      <c r="F333" s="720">
        <v>0</v>
      </c>
      <c r="G333" s="721"/>
      <c r="H333" s="726"/>
      <c r="I333" s="722"/>
      <c r="J333" s="718"/>
      <c r="K333" s="719"/>
      <c r="L333" s="719" t="s">
        <v>241</v>
      </c>
      <c r="M333" s="719"/>
      <c r="N333" s="726" t="s">
        <v>695</v>
      </c>
      <c r="O333" s="726"/>
      <c r="P333" s="726"/>
      <c r="Q333" s="719">
        <v>0</v>
      </c>
      <c r="R333" s="719">
        <v>0</v>
      </c>
      <c r="S333" s="719"/>
      <c r="T333" s="719">
        <v>-30</v>
      </c>
      <c r="U333" s="719"/>
      <c r="V333" s="719"/>
      <c r="W333" s="719">
        <v>1.1000000000000001</v>
      </c>
      <c r="X333" s="719"/>
      <c r="Y333" s="719"/>
      <c r="Z333" s="719"/>
      <c r="AA333" s="719"/>
      <c r="AB333" s="719"/>
      <c r="AC333" s="719" t="s">
        <v>2979</v>
      </c>
      <c r="AD333" s="719"/>
      <c r="AE333" s="719"/>
      <c r="AF333" s="719">
        <v>200</v>
      </c>
      <c r="AG333" s="789">
        <v>38611.629999999997</v>
      </c>
      <c r="AH333" s="719">
        <v>1493</v>
      </c>
      <c r="AI333" s="719">
        <v>-5154</v>
      </c>
      <c r="AJ333" s="719"/>
      <c r="AK333" s="719"/>
      <c r="AL333" s="719"/>
      <c r="AM333" s="719" t="s">
        <v>2609</v>
      </c>
      <c r="AN333" s="719">
        <v>5.25</v>
      </c>
      <c r="AO333" s="719"/>
      <c r="AP333" s="719"/>
      <c r="AQ333" s="724"/>
      <c r="AR333" s="724"/>
      <c r="AS333" s="724"/>
      <c r="AT333" s="724">
        <f>+ab($T$333,$T$331,$T$335,$G$332,$G$334, 1*$F$333,1200)</f>
        <v>-7.9442410717051439</v>
      </c>
      <c r="AU333" s="724"/>
      <c r="AV333" s="724"/>
      <c r="AW333" s="719"/>
      <c r="AX333" s="719"/>
      <c r="AY333" s="719"/>
      <c r="AZ333" s="532"/>
    </row>
    <row r="334" spans="1:52" ht="15.75" hidden="1" customHeight="1">
      <c r="A334" s="716"/>
      <c r="B334" s="717"/>
      <c r="C334" s="789"/>
      <c r="D334" s="719"/>
      <c r="E334" s="719"/>
      <c r="F334" s="720"/>
      <c r="G334" s="721">
        <v>50</v>
      </c>
      <c r="H334" s="726"/>
      <c r="I334" s="722"/>
      <c r="J334" s="718"/>
      <c r="K334" s="719"/>
      <c r="L334" s="719"/>
      <c r="M334" s="719"/>
      <c r="N334" s="726"/>
      <c r="O334" s="726"/>
      <c r="P334" s="726"/>
      <c r="Q334" s="719"/>
      <c r="R334" s="719"/>
      <c r="S334" s="724">
        <f t="shared" si="107"/>
        <v>51.240000000005239</v>
      </c>
      <c r="T334" s="719"/>
      <c r="U334" s="719"/>
      <c r="V334" s="719"/>
      <c r="W334" s="719"/>
      <c r="X334" s="719"/>
      <c r="Y334" s="719"/>
      <c r="Z334" s="719"/>
      <c r="AA334" s="719"/>
      <c r="AB334" s="719"/>
      <c r="AC334" s="719"/>
      <c r="AD334" s="719"/>
      <c r="AE334" s="719"/>
      <c r="AF334" s="719"/>
      <c r="AG334" s="789"/>
      <c r="AH334" s="719"/>
      <c r="AI334" s="719"/>
      <c r="AJ334" s="719"/>
      <c r="AK334" s="719"/>
      <c r="AL334" s="719"/>
      <c r="AM334" s="719"/>
      <c r="AN334" s="719"/>
      <c r="AO334" s="719"/>
      <c r="AP334" s="719"/>
      <c r="AQ334" s="724">
        <f>+FL_1($T$335,$T$333,$G$334,1200,9.28, 1*$F$335)</f>
        <v>0.33477011200000001</v>
      </c>
      <c r="AR334" s="724"/>
      <c r="AS334" s="724"/>
      <c r="AT334" s="724"/>
      <c r="AU334" s="724"/>
      <c r="AV334" s="724"/>
      <c r="AW334" s="719"/>
      <c r="AX334" s="719"/>
      <c r="AY334" s="719"/>
      <c r="AZ334" s="532"/>
    </row>
    <row r="335" spans="1:52" ht="15.75" customHeight="1">
      <c r="A335" s="716" t="s">
        <v>677</v>
      </c>
      <c r="B335" s="717" t="s">
        <v>1828</v>
      </c>
      <c r="C335" s="789">
        <f>+$C$333+$G$334</f>
        <v>38662</v>
      </c>
      <c r="D335" s="719"/>
      <c r="E335" s="719"/>
      <c r="F335" s="720">
        <v>0</v>
      </c>
      <c r="G335" s="721"/>
      <c r="H335" s="726" t="s">
        <v>1101</v>
      </c>
      <c r="I335" s="722"/>
      <c r="J335" s="718"/>
      <c r="K335" s="719"/>
      <c r="L335" s="719" t="s">
        <v>241</v>
      </c>
      <c r="M335" s="719"/>
      <c r="N335" s="726" t="s">
        <v>696</v>
      </c>
      <c r="O335" s="726"/>
      <c r="P335" s="726"/>
      <c r="Q335" s="719">
        <v>0</v>
      </c>
      <c r="R335" s="719">
        <v>0</v>
      </c>
      <c r="S335" s="719"/>
      <c r="T335" s="719">
        <v>30</v>
      </c>
      <c r="U335" s="719"/>
      <c r="V335" s="719"/>
      <c r="W335" s="719">
        <v>1.1000000000000001</v>
      </c>
      <c r="X335" s="719"/>
      <c r="Y335" s="719"/>
      <c r="Z335" s="719"/>
      <c r="AA335" s="719"/>
      <c r="AB335" s="719"/>
      <c r="AC335" s="719" t="s">
        <v>2977</v>
      </c>
      <c r="AD335" s="719"/>
      <c r="AE335" s="719"/>
      <c r="AF335" s="719">
        <v>200</v>
      </c>
      <c r="AG335" s="789">
        <v>38662.870000000003</v>
      </c>
      <c r="AH335" s="719">
        <v>1486</v>
      </c>
      <c r="AI335" s="719">
        <v>-5132</v>
      </c>
      <c r="AJ335" s="719"/>
      <c r="AK335" s="719"/>
      <c r="AL335" s="719"/>
      <c r="AM335" s="719" t="s">
        <v>2609</v>
      </c>
      <c r="AN335" s="719">
        <v>5.25</v>
      </c>
      <c r="AO335" s="719"/>
      <c r="AP335" s="719"/>
      <c r="AQ335" s="724"/>
      <c r="AR335" s="724"/>
      <c r="AS335" s="724"/>
      <c r="AT335" s="724">
        <f>+ab($T$335,$T$333,$T$337,$G$334,$G$336, 1*$F$335,1200)</f>
        <v>7.9442083933778509</v>
      </c>
      <c r="AU335" s="724"/>
      <c r="AV335" s="724"/>
      <c r="AW335" s="719"/>
      <c r="AX335" s="719"/>
      <c r="AY335" s="719"/>
      <c r="AZ335" s="532"/>
    </row>
    <row r="336" spans="1:52" ht="15.75" hidden="1" customHeight="1">
      <c r="A336" s="716"/>
      <c r="B336" s="717"/>
      <c r="C336" s="789"/>
      <c r="D336" s="719"/>
      <c r="E336" s="719"/>
      <c r="F336" s="720"/>
      <c r="G336" s="721">
        <v>50</v>
      </c>
      <c r="H336" s="726"/>
      <c r="I336" s="722">
        <f>+SUM(G318:G336)</f>
        <v>500</v>
      </c>
      <c r="J336" s="718">
        <f>C335+1</f>
        <v>38663</v>
      </c>
      <c r="K336" s="719" t="s">
        <v>1102</v>
      </c>
      <c r="L336" s="719"/>
      <c r="M336" s="719"/>
      <c r="N336" s="726"/>
      <c r="O336" s="726"/>
      <c r="P336" s="726"/>
      <c r="Q336" s="719"/>
      <c r="R336" s="719"/>
      <c r="S336" s="724">
        <f t="shared" si="107"/>
        <v>47.989999999997963</v>
      </c>
      <c r="T336" s="719"/>
      <c r="U336" s="719"/>
      <c r="V336" s="719"/>
      <c r="W336" s="719"/>
      <c r="X336" s="719"/>
      <c r="Y336" s="719"/>
      <c r="Z336" s="719"/>
      <c r="AA336" s="719"/>
      <c r="AB336" s="719"/>
      <c r="AC336" s="719"/>
      <c r="AD336" s="719"/>
      <c r="AE336" s="719"/>
      <c r="AF336" s="719"/>
      <c r="AG336" s="789"/>
      <c r="AH336" s="719"/>
      <c r="AI336" s="719"/>
      <c r="AJ336" s="719"/>
      <c r="AK336" s="719"/>
      <c r="AL336" s="719"/>
      <c r="AM336" s="719"/>
      <c r="AN336" s="719"/>
      <c r="AO336" s="719"/>
      <c r="AP336" s="719"/>
      <c r="AQ336" s="724">
        <f>+FL_2($T$337,$T$335,$G$336,1200,9.28, 1*$F$337)</f>
        <v>-0.33477011200000001</v>
      </c>
      <c r="AR336" s="724"/>
      <c r="AS336" s="724"/>
      <c r="AT336" s="724"/>
      <c r="AU336" s="724"/>
      <c r="AV336" s="724"/>
      <c r="AW336" s="719"/>
      <c r="AX336" s="719"/>
      <c r="AY336" s="719"/>
      <c r="AZ336" s="532"/>
    </row>
    <row r="337" spans="1:52" ht="15.75" customHeight="1">
      <c r="A337" s="716" t="s">
        <v>677</v>
      </c>
      <c r="B337" s="717" t="s">
        <v>1829</v>
      </c>
      <c r="C337" s="789">
        <f>+$C$335+$G$336</f>
        <v>38712</v>
      </c>
      <c r="D337" s="719"/>
      <c r="E337" s="719"/>
      <c r="F337" s="720">
        <v>0</v>
      </c>
      <c r="G337" s="721"/>
      <c r="H337" s="726" t="s">
        <v>997</v>
      </c>
      <c r="I337" s="722"/>
      <c r="J337" s="718"/>
      <c r="K337" s="719"/>
      <c r="L337" s="719" t="s">
        <v>241</v>
      </c>
      <c r="M337" s="719"/>
      <c r="N337" s="726" t="s">
        <v>695</v>
      </c>
      <c r="O337" s="726"/>
      <c r="P337" s="726"/>
      <c r="Q337" s="719">
        <v>0</v>
      </c>
      <c r="R337" s="719">
        <v>0</v>
      </c>
      <c r="S337" s="719"/>
      <c r="T337" s="719">
        <v>-30</v>
      </c>
      <c r="U337" s="719"/>
      <c r="V337" s="719"/>
      <c r="W337" s="719">
        <v>1.1000000000000001</v>
      </c>
      <c r="X337" s="719"/>
      <c r="Y337" s="719"/>
      <c r="Z337" s="719"/>
      <c r="AA337" s="719"/>
      <c r="AB337" s="719"/>
      <c r="AC337" s="719" t="s">
        <v>2979</v>
      </c>
      <c r="AD337" s="719"/>
      <c r="AE337" s="719"/>
      <c r="AF337" s="719">
        <v>200</v>
      </c>
      <c r="AG337" s="789">
        <v>38710.86</v>
      </c>
      <c r="AH337" s="719">
        <v>1507</v>
      </c>
      <c r="AI337" s="719">
        <v>-5110</v>
      </c>
      <c r="AJ337" s="719"/>
      <c r="AK337" s="719"/>
      <c r="AL337" s="719"/>
      <c r="AM337" s="719" t="s">
        <v>2609</v>
      </c>
      <c r="AN337" s="719">
        <v>5.25</v>
      </c>
      <c r="AO337" s="719"/>
      <c r="AP337" s="719"/>
      <c r="AQ337" s="724"/>
      <c r="AR337" s="724"/>
      <c r="AS337" s="724"/>
      <c r="AT337" s="724">
        <f>+ab($T$337,$T$335,$T$339,$G$336,$G$338, 1*$F$337,1200)</f>
        <v>-7.9442410717051439</v>
      </c>
      <c r="AU337" s="724"/>
      <c r="AV337" s="724"/>
      <c r="AW337" s="719"/>
      <c r="AX337" s="719"/>
      <c r="AY337" s="719"/>
      <c r="AZ337" s="532"/>
    </row>
    <row r="338" spans="1:52" ht="15.75" hidden="1" customHeight="1">
      <c r="A338" s="716"/>
      <c r="B338" s="717"/>
      <c r="C338" s="789"/>
      <c r="D338" s="719"/>
      <c r="E338" s="719"/>
      <c r="F338" s="720"/>
      <c r="G338" s="721">
        <v>50</v>
      </c>
      <c r="H338" s="726"/>
      <c r="I338" s="722">
        <f>SUM(G338:G356)</f>
        <v>500</v>
      </c>
      <c r="J338" s="718">
        <f>C339-1</f>
        <v>38761</v>
      </c>
      <c r="K338" s="719" t="s">
        <v>1102</v>
      </c>
      <c r="L338" s="719"/>
      <c r="M338" s="719"/>
      <c r="N338" s="726"/>
      <c r="O338" s="726"/>
      <c r="P338" s="726"/>
      <c r="Q338" s="719"/>
      <c r="R338" s="719"/>
      <c r="S338" s="724">
        <f t="shared" si="107"/>
        <v>51.279999999998836</v>
      </c>
      <c r="T338" s="719"/>
      <c r="U338" s="719"/>
      <c r="V338" s="719"/>
      <c r="W338" s="719"/>
      <c r="X338" s="719"/>
      <c r="Y338" s="719"/>
      <c r="Z338" s="719"/>
      <c r="AA338" s="719"/>
      <c r="AB338" s="719"/>
      <c r="AC338" s="719"/>
      <c r="AD338" s="719"/>
      <c r="AE338" s="719"/>
      <c r="AF338" s="719"/>
      <c r="AG338" s="789"/>
      <c r="AH338" s="719"/>
      <c r="AI338" s="719"/>
      <c r="AJ338" s="719"/>
      <c r="AK338" s="719"/>
      <c r="AL338" s="719"/>
      <c r="AM338" s="719"/>
      <c r="AN338" s="719"/>
      <c r="AO338" s="719"/>
      <c r="AP338" s="719"/>
      <c r="AQ338" s="724">
        <f>+FL_1($T$339,$T$337,$G$338,1200,9.28, 1*$F$339)</f>
        <v>0.33477011200000001</v>
      </c>
      <c r="AR338" s="724"/>
      <c r="AS338" s="724"/>
      <c r="AT338" s="724"/>
      <c r="AU338" s="724"/>
      <c r="AV338" s="724"/>
      <c r="AW338" s="719"/>
      <c r="AX338" s="719"/>
      <c r="AY338" s="719"/>
      <c r="AZ338" s="532"/>
    </row>
    <row r="339" spans="1:52" ht="15.75" customHeight="1">
      <c r="A339" s="716" t="s">
        <v>677</v>
      </c>
      <c r="B339" s="717" t="s">
        <v>1830</v>
      </c>
      <c r="C339" s="789">
        <f>+$C$337+$G$338</f>
        <v>38762</v>
      </c>
      <c r="D339" s="719"/>
      <c r="E339" s="719"/>
      <c r="F339" s="720">
        <v>0</v>
      </c>
      <c r="G339" s="721"/>
      <c r="H339" s="726" t="s">
        <v>1101</v>
      </c>
      <c r="I339" s="726"/>
      <c r="J339" s="718"/>
      <c r="K339" s="719"/>
      <c r="L339" s="719" t="s">
        <v>241</v>
      </c>
      <c r="M339" s="719"/>
      <c r="N339" s="726" t="s">
        <v>696</v>
      </c>
      <c r="O339" s="726"/>
      <c r="P339" s="726"/>
      <c r="Q339" s="719">
        <v>0</v>
      </c>
      <c r="R339" s="719">
        <v>0</v>
      </c>
      <c r="S339" s="719"/>
      <c r="T339" s="719">
        <v>30</v>
      </c>
      <c r="U339" s="719"/>
      <c r="V339" s="719"/>
      <c r="W339" s="719">
        <v>1.1000000000000001</v>
      </c>
      <c r="X339" s="719"/>
      <c r="Y339" s="719"/>
      <c r="Z339" s="719"/>
      <c r="AA339" s="719"/>
      <c r="AB339" s="719"/>
      <c r="AC339" s="719" t="s">
        <v>2977</v>
      </c>
      <c r="AD339" s="719"/>
      <c r="AE339" s="719"/>
      <c r="AF339" s="719">
        <v>200</v>
      </c>
      <c r="AG339" s="789">
        <v>38762.14</v>
      </c>
      <c r="AH339" s="719">
        <v>1493</v>
      </c>
      <c r="AI339" s="719">
        <v>-5132</v>
      </c>
      <c r="AJ339" s="719"/>
      <c r="AK339" s="719"/>
      <c r="AL339" s="719"/>
      <c r="AM339" s="719" t="s">
        <v>2609</v>
      </c>
      <c r="AN339" s="719">
        <v>5.25</v>
      </c>
      <c r="AO339" s="719"/>
      <c r="AP339" s="719"/>
      <c r="AQ339" s="724"/>
      <c r="AR339" s="724"/>
      <c r="AS339" s="724"/>
      <c r="AT339" s="724">
        <f>+ab($T$339,$T$337,$T$341,$G$338,$G$340, 1*$F$339,1200)</f>
        <v>7.9442083933778509</v>
      </c>
      <c r="AU339" s="724"/>
      <c r="AV339" s="724"/>
      <c r="AW339" s="719"/>
      <c r="AX339" s="719"/>
      <c r="AY339" s="719"/>
      <c r="AZ339" s="532"/>
    </row>
    <row r="340" spans="1:52" ht="15.75" hidden="1" customHeight="1">
      <c r="A340" s="716"/>
      <c r="B340" s="717"/>
      <c r="C340" s="789"/>
      <c r="D340" s="719"/>
      <c r="E340" s="719"/>
      <c r="F340" s="720"/>
      <c r="G340" s="721">
        <v>50</v>
      </c>
      <c r="H340" s="720"/>
      <c r="I340" s="720"/>
      <c r="J340" s="763"/>
      <c r="K340" s="720"/>
      <c r="L340" s="719"/>
      <c r="M340" s="719"/>
      <c r="N340" s="726"/>
      <c r="O340" s="726"/>
      <c r="P340" s="726"/>
      <c r="Q340" s="719"/>
      <c r="R340" s="719"/>
      <c r="S340" s="724">
        <f t="shared" si="107"/>
        <v>48.010000000002037</v>
      </c>
      <c r="T340" s="719"/>
      <c r="U340" s="719"/>
      <c r="V340" s="719"/>
      <c r="W340" s="719"/>
      <c r="X340" s="719"/>
      <c r="Y340" s="719"/>
      <c r="Z340" s="719"/>
      <c r="AA340" s="719"/>
      <c r="AB340" s="719"/>
      <c r="AC340" s="719"/>
      <c r="AD340" s="719"/>
      <c r="AE340" s="719"/>
      <c r="AF340" s="719"/>
      <c r="AG340" s="789"/>
      <c r="AH340" s="719"/>
      <c r="AI340" s="719"/>
      <c r="AJ340" s="719"/>
      <c r="AK340" s="719"/>
      <c r="AL340" s="719"/>
      <c r="AM340" s="719"/>
      <c r="AN340" s="719"/>
      <c r="AO340" s="719"/>
      <c r="AP340" s="719"/>
      <c r="AQ340" s="724">
        <f>+FL_2($T$341,$T$339,$G$340,1200,9.28, 1*$F$341)</f>
        <v>-0.33477011200000001</v>
      </c>
      <c r="AR340" s="724"/>
      <c r="AS340" s="724"/>
      <c r="AT340" s="724"/>
      <c r="AU340" s="724"/>
      <c r="AV340" s="724"/>
      <c r="AW340" s="719"/>
      <c r="AX340" s="719"/>
      <c r="AY340" s="719"/>
      <c r="AZ340" s="532"/>
    </row>
    <row r="341" spans="1:52" ht="15.75" hidden="1" customHeight="1">
      <c r="A341" s="716" t="s">
        <v>677</v>
      </c>
      <c r="B341" s="718" t="s">
        <v>1831</v>
      </c>
      <c r="C341" s="789">
        <f>+$C$339+$G$340</f>
        <v>38812</v>
      </c>
      <c r="D341" s="719"/>
      <c r="E341" s="719"/>
      <c r="F341" s="720">
        <v>0</v>
      </c>
      <c r="G341" s="721"/>
      <c r="H341" s="720"/>
      <c r="I341" s="726"/>
      <c r="J341" s="763"/>
      <c r="K341" s="720"/>
      <c r="L341" s="719" t="s">
        <v>241</v>
      </c>
      <c r="M341" s="719"/>
      <c r="N341" s="726" t="s">
        <v>695</v>
      </c>
      <c r="O341" s="726"/>
      <c r="P341" s="726"/>
      <c r="Q341" s="719">
        <v>0</v>
      </c>
      <c r="R341" s="719">
        <v>0</v>
      </c>
      <c r="S341" s="719"/>
      <c r="T341" s="719">
        <v>-30</v>
      </c>
      <c r="U341" s="719"/>
      <c r="V341" s="719"/>
      <c r="W341" s="719">
        <v>1.1000000000000001</v>
      </c>
      <c r="X341" s="719"/>
      <c r="Y341" s="719"/>
      <c r="Z341" s="719"/>
      <c r="AA341" s="719"/>
      <c r="AB341" s="719"/>
      <c r="AC341" s="719" t="s">
        <v>2979</v>
      </c>
      <c r="AD341" s="719"/>
      <c r="AE341" s="719"/>
      <c r="AF341" s="719">
        <v>200</v>
      </c>
      <c r="AG341" s="789">
        <v>38810.15</v>
      </c>
      <c r="AH341" s="719">
        <v>1483</v>
      </c>
      <c r="AI341" s="719">
        <v>-5125</v>
      </c>
      <c r="AJ341" s="719"/>
      <c r="AK341" s="719"/>
      <c r="AL341" s="719"/>
      <c r="AM341" s="719" t="s">
        <v>2609</v>
      </c>
      <c r="AN341" s="719">
        <v>5.25</v>
      </c>
      <c r="AO341" s="719"/>
      <c r="AP341" s="719"/>
      <c r="AQ341" s="724"/>
      <c r="AR341" s="724"/>
      <c r="AS341" s="724"/>
      <c r="AT341" s="724">
        <f>+ab($T$341,$T$339,$T$343,$G$340,$G$342, 1*$F$341,1200)</f>
        <v>-7.9442410717051439</v>
      </c>
      <c r="AU341" s="724"/>
      <c r="AV341" s="724"/>
      <c r="AW341" s="719"/>
      <c r="AX341" s="719"/>
      <c r="AY341" s="719"/>
      <c r="AZ341" s="532"/>
    </row>
    <row r="342" spans="1:52" ht="15.75" hidden="1" customHeight="1">
      <c r="A342" s="716"/>
      <c r="B342" s="718"/>
      <c r="C342" s="789"/>
      <c r="D342" s="719"/>
      <c r="E342" s="719"/>
      <c r="F342" s="720"/>
      <c r="G342" s="721">
        <v>50</v>
      </c>
      <c r="H342" s="720"/>
      <c r="I342" s="726"/>
      <c r="J342" s="763"/>
      <c r="K342" s="720"/>
      <c r="L342" s="719"/>
      <c r="M342" s="719"/>
      <c r="N342" s="726"/>
      <c r="O342" s="726"/>
      <c r="P342" s="726"/>
      <c r="Q342" s="719"/>
      <c r="R342" s="719"/>
      <c r="S342" s="724">
        <f t="shared" si="107"/>
        <v>51.220000000001164</v>
      </c>
      <c r="T342" s="719"/>
      <c r="U342" s="719"/>
      <c r="V342" s="719"/>
      <c r="W342" s="719"/>
      <c r="X342" s="719"/>
      <c r="Y342" s="719"/>
      <c r="Z342" s="719"/>
      <c r="AA342" s="719"/>
      <c r="AB342" s="719"/>
      <c r="AC342" s="719"/>
      <c r="AD342" s="719"/>
      <c r="AE342" s="719"/>
      <c r="AF342" s="719"/>
      <c r="AG342" s="789"/>
      <c r="AH342" s="719"/>
      <c r="AI342" s="719"/>
      <c r="AJ342" s="719"/>
      <c r="AK342" s="719"/>
      <c r="AL342" s="719"/>
      <c r="AM342" s="719"/>
      <c r="AN342" s="719"/>
      <c r="AO342" s="719"/>
      <c r="AP342" s="719"/>
      <c r="AQ342" s="724">
        <f>+FL_1($T$343,$T$341,$G$342,1200,9.28, 1*$F$343)</f>
        <v>0.33477011200000001</v>
      </c>
      <c r="AR342" s="724"/>
      <c r="AS342" s="724"/>
      <c r="AT342" s="724"/>
      <c r="AU342" s="724"/>
      <c r="AV342" s="724"/>
      <c r="AW342" s="719"/>
      <c r="AX342" s="719"/>
      <c r="AY342" s="719"/>
      <c r="AZ342" s="532"/>
    </row>
    <row r="343" spans="1:52" ht="15.75" hidden="1" customHeight="1">
      <c r="A343" s="716" t="s">
        <v>677</v>
      </c>
      <c r="B343" s="718" t="s">
        <v>1832</v>
      </c>
      <c r="C343" s="789">
        <f>+$C$341+$G$342</f>
        <v>38862</v>
      </c>
      <c r="D343" s="719"/>
      <c r="E343" s="719"/>
      <c r="F343" s="720">
        <v>0</v>
      </c>
      <c r="G343" s="721"/>
      <c r="H343" s="726"/>
      <c r="I343" s="726"/>
      <c r="J343" s="762"/>
      <c r="K343" s="719"/>
      <c r="L343" s="719" t="s">
        <v>241</v>
      </c>
      <c r="M343" s="719"/>
      <c r="N343" s="726" t="s">
        <v>696</v>
      </c>
      <c r="O343" s="726"/>
      <c r="P343" s="726"/>
      <c r="Q343" s="719">
        <v>0</v>
      </c>
      <c r="R343" s="719">
        <v>0</v>
      </c>
      <c r="S343" s="719"/>
      <c r="T343" s="719">
        <v>30</v>
      </c>
      <c r="U343" s="719"/>
      <c r="V343" s="719"/>
      <c r="W343" s="719">
        <v>1.1000000000000001</v>
      </c>
      <c r="X343" s="719"/>
      <c r="Y343" s="719"/>
      <c r="Z343" s="719"/>
      <c r="AA343" s="719"/>
      <c r="AB343" s="719"/>
      <c r="AC343" s="719" t="s">
        <v>2977</v>
      </c>
      <c r="AD343" s="719"/>
      <c r="AE343" s="719"/>
      <c r="AF343" s="719">
        <v>200</v>
      </c>
      <c r="AG343" s="789">
        <v>38861.370000000003</v>
      </c>
      <c r="AH343" s="719">
        <v>1515</v>
      </c>
      <c r="AI343" s="719">
        <v>-5174</v>
      </c>
      <c r="AJ343" s="719"/>
      <c r="AK343" s="719"/>
      <c r="AL343" s="719"/>
      <c r="AM343" s="719" t="s">
        <v>2609</v>
      </c>
      <c r="AN343" s="719">
        <v>5.25</v>
      </c>
      <c r="AO343" s="719"/>
      <c r="AP343" s="719"/>
      <c r="AQ343" s="724"/>
      <c r="AR343" s="724"/>
      <c r="AS343" s="724"/>
      <c r="AT343" s="724">
        <f>+ab($T$343,$T$341,$T$345,$G$342,$G$344, 1*$F$343,1200)</f>
        <v>7.9442083933778509</v>
      </c>
      <c r="AU343" s="724"/>
      <c r="AV343" s="724"/>
      <c r="AW343" s="719"/>
      <c r="AX343" s="719"/>
      <c r="AY343" s="719"/>
      <c r="AZ343" s="532"/>
    </row>
    <row r="344" spans="1:52" ht="15.75" hidden="1" customHeight="1">
      <c r="A344" s="716"/>
      <c r="B344" s="718"/>
      <c r="C344" s="789"/>
      <c r="D344" s="719"/>
      <c r="E344" s="719"/>
      <c r="F344" s="720"/>
      <c r="G344" s="721">
        <v>50</v>
      </c>
      <c r="H344" s="726"/>
      <c r="I344" s="722"/>
      <c r="J344" s="762"/>
      <c r="K344" s="719"/>
      <c r="L344" s="719"/>
      <c r="M344" s="719"/>
      <c r="N344" s="726"/>
      <c r="O344" s="726"/>
      <c r="P344" s="726"/>
      <c r="Q344" s="719"/>
      <c r="R344" s="719"/>
      <c r="S344" s="724">
        <f t="shared" si="107"/>
        <v>51.290000000000873</v>
      </c>
      <c r="T344" s="719"/>
      <c r="U344" s="719"/>
      <c r="V344" s="719"/>
      <c r="W344" s="719"/>
      <c r="X344" s="719"/>
      <c r="Y344" s="719"/>
      <c r="Z344" s="719"/>
      <c r="AA344" s="719"/>
      <c r="AB344" s="719"/>
      <c r="AC344" s="719"/>
      <c r="AD344" s="719"/>
      <c r="AE344" s="719"/>
      <c r="AF344" s="719"/>
      <c r="AG344" s="789"/>
      <c r="AH344" s="719"/>
      <c r="AI344" s="719"/>
      <c r="AJ344" s="719"/>
      <c r="AK344" s="719"/>
      <c r="AL344" s="719"/>
      <c r="AM344" s="719"/>
      <c r="AN344" s="719"/>
      <c r="AO344" s="719"/>
      <c r="AP344" s="719"/>
      <c r="AQ344" s="724">
        <f>+FL_2($T$345,$T$343,$G$344,1200,9.28, 1*$F$345)</f>
        <v>-0.33477011200000001</v>
      </c>
      <c r="AR344" s="724"/>
      <c r="AS344" s="724"/>
      <c r="AT344" s="724"/>
      <c r="AU344" s="724"/>
      <c r="AV344" s="724"/>
      <c r="AW344" s="719"/>
      <c r="AX344" s="719"/>
      <c r="AY344" s="719"/>
      <c r="AZ344" s="532"/>
    </row>
    <row r="345" spans="1:52" ht="15.75" hidden="1" customHeight="1">
      <c r="A345" s="716" t="s">
        <v>677</v>
      </c>
      <c r="B345" s="718" t="s">
        <v>1833</v>
      </c>
      <c r="C345" s="789">
        <f>+$C$343+$G$344</f>
        <v>38912</v>
      </c>
      <c r="D345" s="719"/>
      <c r="E345" s="719"/>
      <c r="F345" s="720">
        <v>0</v>
      </c>
      <c r="G345" s="721"/>
      <c r="H345" s="726"/>
      <c r="I345" s="726"/>
      <c r="J345" s="762"/>
      <c r="K345" s="719"/>
      <c r="L345" s="719" t="s">
        <v>241</v>
      </c>
      <c r="M345" s="719"/>
      <c r="N345" s="726" t="s">
        <v>695</v>
      </c>
      <c r="O345" s="726"/>
      <c r="P345" s="726"/>
      <c r="Q345" s="719">
        <v>0</v>
      </c>
      <c r="R345" s="719">
        <v>0</v>
      </c>
      <c r="S345" s="719"/>
      <c r="T345" s="719">
        <v>-30</v>
      </c>
      <c r="U345" s="719"/>
      <c r="V345" s="719"/>
      <c r="W345" s="719">
        <v>1.1000000000000001</v>
      </c>
      <c r="X345" s="719"/>
      <c r="Y345" s="719"/>
      <c r="Z345" s="719"/>
      <c r="AA345" s="719"/>
      <c r="AB345" s="719"/>
      <c r="AC345" s="719" t="s">
        <v>2979</v>
      </c>
      <c r="AD345" s="719"/>
      <c r="AE345" s="719"/>
      <c r="AF345" s="719">
        <v>200</v>
      </c>
      <c r="AG345" s="789">
        <v>38912.660000000003</v>
      </c>
      <c r="AH345" s="719">
        <v>1514</v>
      </c>
      <c r="AI345" s="719">
        <v>-5142</v>
      </c>
      <c r="AJ345" s="719"/>
      <c r="AK345" s="719"/>
      <c r="AL345" s="719"/>
      <c r="AM345" s="719" t="s">
        <v>2609</v>
      </c>
      <c r="AN345" s="719">
        <v>5.25</v>
      </c>
      <c r="AO345" s="719"/>
      <c r="AP345" s="719"/>
      <c r="AQ345" s="724"/>
      <c r="AR345" s="724"/>
      <c r="AS345" s="724"/>
      <c r="AT345" s="724">
        <f>+ab($T$345,$T$343,$T$347,$G$344,$G$346, 1*$F$345,1200)</f>
        <v>-7.9442410717051439</v>
      </c>
      <c r="AU345" s="724"/>
      <c r="AV345" s="724"/>
      <c r="AW345" s="719"/>
      <c r="AX345" s="719"/>
      <c r="AY345" s="719"/>
      <c r="AZ345" s="532"/>
    </row>
    <row r="346" spans="1:52" ht="15.75" hidden="1" customHeight="1">
      <c r="A346" s="716"/>
      <c r="B346" s="718"/>
      <c r="C346" s="789"/>
      <c r="D346" s="719"/>
      <c r="E346" s="719"/>
      <c r="F346" s="720"/>
      <c r="G346" s="721">
        <v>50</v>
      </c>
      <c r="H346" s="726"/>
      <c r="I346" s="722"/>
      <c r="J346" s="762"/>
      <c r="K346" s="719"/>
      <c r="L346" s="719"/>
      <c r="M346" s="719"/>
      <c r="N346" s="726"/>
      <c r="O346" s="726"/>
      <c r="P346" s="726"/>
      <c r="Q346" s="719"/>
      <c r="R346" s="719"/>
      <c r="S346" s="724">
        <f t="shared" si="107"/>
        <v>47.979999999995925</v>
      </c>
      <c r="T346" s="719"/>
      <c r="U346" s="719"/>
      <c r="V346" s="719"/>
      <c r="W346" s="719"/>
      <c r="X346" s="719"/>
      <c r="Y346" s="719"/>
      <c r="Z346" s="719"/>
      <c r="AA346" s="719"/>
      <c r="AB346" s="719"/>
      <c r="AC346" s="719"/>
      <c r="AD346" s="719"/>
      <c r="AE346" s="719"/>
      <c r="AF346" s="719"/>
      <c r="AG346" s="789"/>
      <c r="AH346" s="719"/>
      <c r="AI346" s="719"/>
      <c r="AJ346" s="719"/>
      <c r="AK346" s="719"/>
      <c r="AL346" s="719"/>
      <c r="AM346" s="719"/>
      <c r="AN346" s="719"/>
      <c r="AO346" s="719"/>
      <c r="AP346" s="719"/>
      <c r="AQ346" s="724">
        <f>+FL_1($T$347,$T$345,$G$346,1200,9.28, 1*$F$347)</f>
        <v>0.33477011200000001</v>
      </c>
      <c r="AR346" s="724"/>
      <c r="AS346" s="724"/>
      <c r="AT346" s="724"/>
      <c r="AU346" s="724"/>
      <c r="AV346" s="724"/>
      <c r="AW346" s="719"/>
      <c r="AX346" s="719"/>
      <c r="AY346" s="719"/>
      <c r="AZ346" s="532"/>
    </row>
    <row r="347" spans="1:52" ht="15.75" hidden="1" customHeight="1">
      <c r="A347" s="716" t="s">
        <v>677</v>
      </c>
      <c r="B347" s="718" t="s">
        <v>1834</v>
      </c>
      <c r="C347" s="789">
        <f>+$C$345+$G$346</f>
        <v>38962</v>
      </c>
      <c r="D347" s="719"/>
      <c r="E347" s="719"/>
      <c r="F347" s="720">
        <v>0</v>
      </c>
      <c r="G347" s="721"/>
      <c r="H347" s="726"/>
      <c r="I347" s="726"/>
      <c r="J347" s="762"/>
      <c r="K347" s="719"/>
      <c r="L347" s="719" t="s">
        <v>241</v>
      </c>
      <c r="M347" s="719"/>
      <c r="N347" s="726" t="s">
        <v>696</v>
      </c>
      <c r="O347" s="726"/>
      <c r="P347" s="726"/>
      <c r="Q347" s="719">
        <v>0</v>
      </c>
      <c r="R347" s="719">
        <v>0</v>
      </c>
      <c r="S347" s="719"/>
      <c r="T347" s="719">
        <v>30</v>
      </c>
      <c r="U347" s="719"/>
      <c r="V347" s="719"/>
      <c r="W347" s="719">
        <v>1.1000000000000001</v>
      </c>
      <c r="X347" s="719"/>
      <c r="Y347" s="719"/>
      <c r="Z347" s="719"/>
      <c r="AA347" s="719"/>
      <c r="AB347" s="719"/>
      <c r="AC347" s="719" t="s">
        <v>2977</v>
      </c>
      <c r="AD347" s="719"/>
      <c r="AE347" s="719"/>
      <c r="AF347" s="719">
        <v>200</v>
      </c>
      <c r="AG347" s="789">
        <v>38960.639999999999</v>
      </c>
      <c r="AH347" s="719">
        <v>1489</v>
      </c>
      <c r="AI347" s="719">
        <v>-5186</v>
      </c>
      <c r="AJ347" s="719"/>
      <c r="AK347" s="719"/>
      <c r="AL347" s="719"/>
      <c r="AM347" s="719" t="s">
        <v>2609</v>
      </c>
      <c r="AN347" s="719">
        <v>5.25</v>
      </c>
      <c r="AO347" s="719"/>
      <c r="AP347" s="719"/>
      <c r="AQ347" s="724"/>
      <c r="AR347" s="724"/>
      <c r="AS347" s="724"/>
      <c r="AT347" s="724">
        <f>+ab($T$347,$T$345,$T$349,$G$346,$G$348, 1*$F$347,1200)</f>
        <v>7.9442083933778509</v>
      </c>
      <c r="AU347" s="724"/>
      <c r="AV347" s="724"/>
      <c r="AW347" s="719"/>
      <c r="AX347" s="719"/>
      <c r="AY347" s="719"/>
      <c r="AZ347" s="532"/>
    </row>
    <row r="348" spans="1:52" ht="15.75" hidden="1" customHeight="1">
      <c r="A348" s="716"/>
      <c r="B348" s="718"/>
      <c r="C348" s="789"/>
      <c r="D348" s="719"/>
      <c r="E348" s="719"/>
      <c r="F348" s="720"/>
      <c r="G348" s="721">
        <v>50</v>
      </c>
      <c r="H348" s="726"/>
      <c r="I348" s="722"/>
      <c r="J348" s="762"/>
      <c r="K348" s="719"/>
      <c r="L348" s="719"/>
      <c r="M348" s="719"/>
      <c r="N348" s="726"/>
      <c r="O348" s="726"/>
      <c r="P348" s="726"/>
      <c r="Q348" s="719"/>
      <c r="R348" s="719"/>
      <c r="S348" s="724">
        <f t="shared" si="107"/>
        <v>51.209999999999127</v>
      </c>
      <c r="T348" s="719"/>
      <c r="U348" s="719"/>
      <c r="V348" s="719"/>
      <c r="W348" s="719"/>
      <c r="X348" s="719"/>
      <c r="Y348" s="719"/>
      <c r="Z348" s="719"/>
      <c r="AA348" s="719"/>
      <c r="AB348" s="719"/>
      <c r="AC348" s="719"/>
      <c r="AD348" s="719"/>
      <c r="AE348" s="719"/>
      <c r="AF348" s="719"/>
      <c r="AG348" s="789"/>
      <c r="AH348" s="719"/>
      <c r="AI348" s="719"/>
      <c r="AJ348" s="719"/>
      <c r="AK348" s="719"/>
      <c r="AL348" s="719"/>
      <c r="AM348" s="719"/>
      <c r="AN348" s="719"/>
      <c r="AO348" s="719"/>
      <c r="AP348" s="719"/>
      <c r="AQ348" s="724">
        <f>+FL_2($T$349,$T$347,$G$348,1200,9.28, 1*$F$349)</f>
        <v>-0.33477011200000001</v>
      </c>
      <c r="AR348" s="724"/>
      <c r="AS348" s="724"/>
      <c r="AT348" s="724"/>
      <c r="AU348" s="724"/>
      <c r="AV348" s="724"/>
      <c r="AW348" s="719"/>
      <c r="AX348" s="719"/>
      <c r="AY348" s="719"/>
      <c r="AZ348" s="532"/>
    </row>
    <row r="349" spans="1:52" ht="15.75" hidden="1" customHeight="1">
      <c r="A349" s="716" t="s">
        <v>677</v>
      </c>
      <c r="B349" s="718" t="s">
        <v>1835</v>
      </c>
      <c r="C349" s="789">
        <f>+$C$347+$G$348</f>
        <v>39012</v>
      </c>
      <c r="D349" s="719"/>
      <c r="E349" s="719"/>
      <c r="F349" s="720">
        <v>0</v>
      </c>
      <c r="G349" s="721"/>
      <c r="H349" s="726"/>
      <c r="I349" s="726"/>
      <c r="J349" s="762"/>
      <c r="K349" s="719"/>
      <c r="L349" s="719" t="s">
        <v>241</v>
      </c>
      <c r="M349" s="719"/>
      <c r="N349" s="726" t="s">
        <v>695</v>
      </c>
      <c r="O349" s="726"/>
      <c r="P349" s="726"/>
      <c r="Q349" s="719">
        <v>0</v>
      </c>
      <c r="R349" s="719">
        <v>0</v>
      </c>
      <c r="S349" s="719"/>
      <c r="T349" s="719">
        <v>-30</v>
      </c>
      <c r="U349" s="719"/>
      <c r="V349" s="719"/>
      <c r="W349" s="719">
        <v>1.1000000000000001</v>
      </c>
      <c r="X349" s="719"/>
      <c r="Y349" s="719"/>
      <c r="Z349" s="719"/>
      <c r="AA349" s="719"/>
      <c r="AB349" s="719"/>
      <c r="AC349" s="719" t="s">
        <v>2979</v>
      </c>
      <c r="AD349" s="719"/>
      <c r="AE349" s="719"/>
      <c r="AF349" s="719">
        <v>200</v>
      </c>
      <c r="AG349" s="789">
        <v>39011.85</v>
      </c>
      <c r="AH349" s="719">
        <v>1518</v>
      </c>
      <c r="AI349" s="719">
        <v>-5173</v>
      </c>
      <c r="AJ349" s="719"/>
      <c r="AK349" s="719"/>
      <c r="AL349" s="719"/>
      <c r="AM349" s="719" t="s">
        <v>2609</v>
      </c>
      <c r="AN349" s="719">
        <v>5.25</v>
      </c>
      <c r="AO349" s="719"/>
      <c r="AP349" s="719"/>
      <c r="AQ349" s="724"/>
      <c r="AR349" s="724"/>
      <c r="AS349" s="724"/>
      <c r="AT349" s="724">
        <f>+ab($T$349,$T$347,$T$351,$G$348,$G$350, 1*$F$349,1200)</f>
        <v>-7.9442410717051439</v>
      </c>
      <c r="AU349" s="724"/>
      <c r="AV349" s="724"/>
      <c r="AW349" s="719"/>
      <c r="AX349" s="719"/>
      <c r="AY349" s="719"/>
      <c r="AZ349" s="532"/>
    </row>
    <row r="350" spans="1:52" ht="15.75" hidden="1" customHeight="1">
      <c r="A350" s="716"/>
      <c r="B350" s="718"/>
      <c r="C350" s="789"/>
      <c r="D350" s="719"/>
      <c r="E350" s="719"/>
      <c r="F350" s="720"/>
      <c r="G350" s="721">
        <v>50</v>
      </c>
      <c r="H350" s="726"/>
      <c r="I350" s="726"/>
      <c r="J350" s="762"/>
      <c r="K350" s="719"/>
      <c r="L350" s="719"/>
      <c r="M350" s="719"/>
      <c r="N350" s="726"/>
      <c r="O350" s="726"/>
      <c r="P350" s="726"/>
      <c r="Q350" s="719"/>
      <c r="R350" s="719"/>
      <c r="S350" s="724">
        <f t="shared" si="107"/>
        <v>49.709999999999127</v>
      </c>
      <c r="T350" s="719"/>
      <c r="U350" s="719"/>
      <c r="V350" s="719"/>
      <c r="W350" s="719"/>
      <c r="X350" s="719"/>
      <c r="Y350" s="719"/>
      <c r="Z350" s="719"/>
      <c r="AA350" s="719"/>
      <c r="AB350" s="719"/>
      <c r="AC350" s="719"/>
      <c r="AD350" s="719"/>
      <c r="AE350" s="719"/>
      <c r="AF350" s="719"/>
      <c r="AG350" s="789"/>
      <c r="AH350" s="719"/>
      <c r="AI350" s="719"/>
      <c r="AJ350" s="719"/>
      <c r="AK350" s="719"/>
      <c r="AL350" s="719"/>
      <c r="AM350" s="719"/>
      <c r="AN350" s="719"/>
      <c r="AO350" s="719"/>
      <c r="AP350" s="719"/>
      <c r="AQ350" s="724">
        <f>+FL_1($T$351,$T$349,$G$350,1200,9.28, 1*$F$351)</f>
        <v>0.33477011200000001</v>
      </c>
      <c r="AR350" s="724"/>
      <c r="AS350" s="724"/>
      <c r="AT350" s="724"/>
      <c r="AU350" s="724"/>
      <c r="AV350" s="724"/>
      <c r="AW350" s="719"/>
      <c r="AX350" s="719"/>
      <c r="AY350" s="719"/>
      <c r="AZ350" s="532"/>
    </row>
    <row r="351" spans="1:52" ht="15.75" hidden="1" customHeight="1">
      <c r="A351" s="716" t="s">
        <v>677</v>
      </c>
      <c r="B351" s="718" t="s">
        <v>1836</v>
      </c>
      <c r="C351" s="789">
        <f>+$C$349+$G$350</f>
        <v>39062</v>
      </c>
      <c r="D351" s="719"/>
      <c r="E351" s="719"/>
      <c r="F351" s="720">
        <v>0</v>
      </c>
      <c r="G351" s="721"/>
      <c r="H351" s="726" t="s">
        <v>138</v>
      </c>
      <c r="I351" s="722" t="s">
        <v>948</v>
      </c>
      <c r="J351" s="762"/>
      <c r="K351" s="719"/>
      <c r="L351" s="719" t="s">
        <v>241</v>
      </c>
      <c r="M351" s="719"/>
      <c r="N351" s="726" t="s">
        <v>696</v>
      </c>
      <c r="O351" s="726"/>
      <c r="P351" s="726"/>
      <c r="Q351" s="719">
        <v>0</v>
      </c>
      <c r="R351" s="719">
        <v>0</v>
      </c>
      <c r="S351" s="719"/>
      <c r="T351" s="719">
        <v>30</v>
      </c>
      <c r="U351" s="719"/>
      <c r="V351" s="719"/>
      <c r="W351" s="719">
        <v>1.1000000000000001</v>
      </c>
      <c r="X351" s="719"/>
      <c r="Y351" s="719"/>
      <c r="Z351" s="719"/>
      <c r="AA351" s="719"/>
      <c r="AB351" s="719"/>
      <c r="AC351" s="719" t="s">
        <v>2612</v>
      </c>
      <c r="AD351" s="719"/>
      <c r="AE351" s="719"/>
      <c r="AF351" s="719">
        <v>200</v>
      </c>
      <c r="AG351" s="789">
        <v>39061.56</v>
      </c>
      <c r="AH351" s="719">
        <v>1508</v>
      </c>
      <c r="AI351" s="719">
        <v>-5172</v>
      </c>
      <c r="AJ351" s="719"/>
      <c r="AK351" s="719"/>
      <c r="AL351" s="719"/>
      <c r="AM351" s="719" t="s">
        <v>2609</v>
      </c>
      <c r="AN351" s="719">
        <v>5.25</v>
      </c>
      <c r="AO351" s="719"/>
      <c r="AP351" s="719"/>
      <c r="AQ351" s="724"/>
      <c r="AR351" s="724"/>
      <c r="AS351" s="724"/>
      <c r="AT351" s="724">
        <f>+ab($T$351,$T$349,$T$353,$G$350,$G$352, 1*$F$351,1200)</f>
        <v>9.9968917440918084</v>
      </c>
      <c r="AU351" s="724"/>
      <c r="AV351" s="724"/>
      <c r="AW351" s="719"/>
      <c r="AX351" s="719"/>
      <c r="AY351" s="719"/>
      <c r="AZ351" s="532"/>
    </row>
    <row r="352" spans="1:52" ht="15.75" hidden="1" customHeight="1">
      <c r="A352" s="716"/>
      <c r="B352" s="718"/>
      <c r="C352" s="789"/>
      <c r="D352" s="719"/>
      <c r="E352" s="719"/>
      <c r="F352" s="720"/>
      <c r="G352" s="721">
        <v>50</v>
      </c>
      <c r="H352" s="726"/>
      <c r="I352" s="726"/>
      <c r="J352" s="762">
        <f>C351+10</f>
        <v>39072</v>
      </c>
      <c r="K352" s="719" t="s">
        <v>1097</v>
      </c>
      <c r="L352" s="719"/>
      <c r="M352" s="719"/>
      <c r="N352" s="726"/>
      <c r="O352" s="726"/>
      <c r="P352" s="726"/>
      <c r="Q352" s="719"/>
      <c r="R352" s="719"/>
      <c r="S352" s="724">
        <f t="shared" si="107"/>
        <v>51.230000000003201</v>
      </c>
      <c r="T352" s="719"/>
      <c r="U352" s="719"/>
      <c r="V352" s="719"/>
      <c r="W352" s="719"/>
      <c r="X352" s="719"/>
      <c r="Y352" s="719"/>
      <c r="Z352" s="719"/>
      <c r="AA352" s="719"/>
      <c r="AB352" s="719"/>
      <c r="AC352" s="719"/>
      <c r="AD352" s="719"/>
      <c r="AE352" s="719"/>
      <c r="AF352" s="719"/>
      <c r="AG352" s="789"/>
      <c r="AH352" s="719"/>
      <c r="AI352" s="719"/>
      <c r="AJ352" s="719"/>
      <c r="AK352" s="719"/>
      <c r="AL352" s="719"/>
      <c r="AM352" s="719"/>
      <c r="AN352" s="719"/>
      <c r="AO352" s="719"/>
      <c r="AP352" s="719"/>
      <c r="AQ352" s="724">
        <f>+FL_2($U$353,$T$351,$G$352,1200,9.28, 1*$F$353)</f>
        <v>-0.29489941866666664</v>
      </c>
      <c r="AR352" s="724"/>
      <c r="AS352" s="724"/>
      <c r="AT352" s="724"/>
      <c r="AU352" s="724"/>
      <c r="AV352" s="724"/>
      <c r="AW352" s="719"/>
      <c r="AX352" s="719"/>
      <c r="AY352" s="719"/>
      <c r="AZ352" s="532"/>
    </row>
    <row r="353" spans="1:52" ht="15.75" hidden="1" customHeight="1">
      <c r="A353" s="716" t="s">
        <v>677</v>
      </c>
      <c r="B353" s="718" t="s">
        <v>1837</v>
      </c>
      <c r="C353" s="789">
        <f>+$C$351+$G$352</f>
        <v>39112</v>
      </c>
      <c r="D353" s="719"/>
      <c r="E353" s="719"/>
      <c r="F353" s="720">
        <v>0</v>
      </c>
      <c r="G353" s="721"/>
      <c r="H353" s="726" t="s">
        <v>668</v>
      </c>
      <c r="I353" s="722"/>
      <c r="J353" s="762"/>
      <c r="K353" s="719"/>
      <c r="L353" s="719" t="s">
        <v>465</v>
      </c>
      <c r="M353" s="719"/>
      <c r="N353" s="726" t="s">
        <v>697</v>
      </c>
      <c r="O353" s="726" t="s">
        <v>695</v>
      </c>
      <c r="P353" s="726"/>
      <c r="Q353" s="719">
        <v>0</v>
      </c>
      <c r="R353" s="719">
        <v>0</v>
      </c>
      <c r="S353" s="724">
        <f>AG354-AG353</f>
        <v>3.2099999999991269</v>
      </c>
      <c r="T353" s="719">
        <v>-5</v>
      </c>
      <c r="U353" s="719">
        <v>-25</v>
      </c>
      <c r="V353" s="719"/>
      <c r="W353" s="719">
        <v>1.1000000000000001</v>
      </c>
      <c r="X353" s="719">
        <v>1.2</v>
      </c>
      <c r="Y353" s="719"/>
      <c r="Z353" s="719">
        <v>0.45</v>
      </c>
      <c r="AA353" s="719"/>
      <c r="AB353" s="719"/>
      <c r="AC353" s="719"/>
      <c r="AD353" s="719" t="s">
        <v>2614</v>
      </c>
      <c r="AE353" s="719"/>
      <c r="AF353" s="719">
        <v>200</v>
      </c>
      <c r="AG353" s="789">
        <v>39112.79</v>
      </c>
      <c r="AH353" s="719">
        <v>1486</v>
      </c>
      <c r="AI353" s="719">
        <v>-5164</v>
      </c>
      <c r="AJ353" s="719"/>
      <c r="AK353" s="719"/>
      <c r="AL353" s="719"/>
      <c r="AM353" s="719" t="s">
        <v>2609</v>
      </c>
      <c r="AN353" s="719">
        <v>5.25</v>
      </c>
      <c r="AO353" s="719"/>
      <c r="AP353" s="719"/>
      <c r="AQ353" s="724"/>
      <c r="AR353" s="724"/>
      <c r="AS353" s="724"/>
      <c r="AT353" s="724">
        <f>+ab($U$353,$T$351,$U$355,$G$352,$G$354, 1*$F$353,1200)</f>
        <v>-11.145107873316856</v>
      </c>
      <c r="AU353" s="724"/>
      <c r="AV353" s="724"/>
      <c r="AW353" s="719"/>
      <c r="AX353" s="719"/>
      <c r="AY353" s="719"/>
      <c r="AZ353" s="532"/>
    </row>
    <row r="354" spans="1:52" ht="15.75" hidden="1" customHeight="1">
      <c r="A354" s="716"/>
      <c r="B354" s="718"/>
      <c r="C354" s="789"/>
      <c r="D354" s="719"/>
      <c r="E354" s="719"/>
      <c r="F354" s="720"/>
      <c r="G354" s="721">
        <v>50</v>
      </c>
      <c r="H354" s="726"/>
      <c r="I354" s="726"/>
      <c r="J354" s="762"/>
      <c r="K354" s="719"/>
      <c r="L354" s="719"/>
      <c r="M354" s="719"/>
      <c r="N354" s="726"/>
      <c r="O354" s="726"/>
      <c r="P354" s="726"/>
      <c r="Q354" s="719">
        <v>0</v>
      </c>
      <c r="R354" s="719">
        <v>0</v>
      </c>
      <c r="S354" s="724">
        <f t="shared" ref="S354:S356" si="108">AG355-AG354</f>
        <v>46.400000000001455</v>
      </c>
      <c r="T354" s="719"/>
      <c r="U354" s="719"/>
      <c r="V354" s="719"/>
      <c r="W354" s="719"/>
      <c r="X354" s="719"/>
      <c r="Y354" s="719"/>
      <c r="Z354" s="719"/>
      <c r="AA354" s="719"/>
      <c r="AB354" s="719"/>
      <c r="AC354" s="719"/>
      <c r="AD354" s="719"/>
      <c r="AE354" s="719"/>
      <c r="AF354" s="719"/>
      <c r="AG354" s="789">
        <v>39116</v>
      </c>
      <c r="AH354" s="719">
        <v>1453</v>
      </c>
      <c r="AI354" s="719">
        <v>-5167</v>
      </c>
      <c r="AJ354" s="719"/>
      <c r="AK354" s="719"/>
      <c r="AL354" s="719"/>
      <c r="AM354" s="719"/>
      <c r="AN354" s="719"/>
      <c r="AO354" s="719"/>
      <c r="AP354" s="719"/>
      <c r="AQ354" s="724">
        <f>+FL_1($T$355,$U$353,$G$354,1200,9.28, 1*$F$355)</f>
        <v>0.30632183866666668</v>
      </c>
      <c r="AR354" s="724"/>
      <c r="AS354" s="724"/>
      <c r="AT354" s="724"/>
      <c r="AU354" s="724"/>
      <c r="AV354" s="724"/>
      <c r="AW354" s="719"/>
      <c r="AX354" s="719"/>
      <c r="AY354" s="719"/>
      <c r="AZ354" s="532"/>
    </row>
    <row r="355" spans="1:52" ht="15.75" hidden="1" customHeight="1">
      <c r="A355" s="716" t="s">
        <v>677</v>
      </c>
      <c r="B355" s="718" t="s">
        <v>1838</v>
      </c>
      <c r="C355" s="789">
        <f>+$C$353+$G$354</f>
        <v>39162</v>
      </c>
      <c r="D355" s="719"/>
      <c r="E355" s="719"/>
      <c r="F355" s="720">
        <v>0</v>
      </c>
      <c r="G355" s="721"/>
      <c r="H355" s="726" t="s">
        <v>668</v>
      </c>
      <c r="I355" s="726"/>
      <c r="J355" s="762"/>
      <c r="K355" s="719"/>
      <c r="L355" s="719" t="s">
        <v>465</v>
      </c>
      <c r="M355" s="719"/>
      <c r="N355" s="726" t="s">
        <v>696</v>
      </c>
      <c r="O355" s="726" t="s">
        <v>697</v>
      </c>
      <c r="P355" s="726"/>
      <c r="Q355" s="719">
        <v>0</v>
      </c>
      <c r="R355" s="719">
        <v>0</v>
      </c>
      <c r="S355" s="724">
        <f t="shared" si="108"/>
        <v>3.1599999999962165</v>
      </c>
      <c r="T355" s="719">
        <v>25</v>
      </c>
      <c r="U355" s="719">
        <v>5</v>
      </c>
      <c r="V355" s="719"/>
      <c r="W355" s="719">
        <v>1.1000000000000001</v>
      </c>
      <c r="X355" s="719">
        <v>1.2</v>
      </c>
      <c r="Y355" s="719"/>
      <c r="Z355" s="719"/>
      <c r="AA355" s="719">
        <v>0.45</v>
      </c>
      <c r="AB355" s="719"/>
      <c r="AC355" s="719" t="s">
        <v>2616</v>
      </c>
      <c r="AD355" s="719"/>
      <c r="AE355" s="719"/>
      <c r="AF355" s="719">
        <v>200</v>
      </c>
      <c r="AG355" s="789">
        <v>39162.400000000001</v>
      </c>
      <c r="AH355" s="719">
        <v>1460</v>
      </c>
      <c r="AI355" s="719">
        <v>-5167</v>
      </c>
      <c r="AJ355" s="719"/>
      <c r="AK355" s="719"/>
      <c r="AL355" s="719"/>
      <c r="AM355" s="719" t="s">
        <v>2609</v>
      </c>
      <c r="AN355" s="719">
        <v>5.25</v>
      </c>
      <c r="AO355" s="719"/>
      <c r="AP355" s="719"/>
      <c r="AQ355" s="724"/>
      <c r="AR355" s="724"/>
      <c r="AS355" s="724"/>
      <c r="AT355" s="724">
        <f>+ab($T$355,$T$353,$T$357,$G$354,$G$356, 1*$F$355,1200)</f>
        <v>11.14504395531122</v>
      </c>
      <c r="AU355" s="724"/>
      <c r="AV355" s="724"/>
      <c r="AW355" s="719"/>
      <c r="AX355" s="719"/>
      <c r="AY355" s="719"/>
      <c r="AZ355" s="532"/>
    </row>
    <row r="356" spans="1:52" ht="15.75" hidden="1" customHeight="1">
      <c r="A356" s="716"/>
      <c r="B356" s="718"/>
      <c r="C356" s="789"/>
      <c r="D356" s="719"/>
      <c r="E356" s="719"/>
      <c r="F356" s="720"/>
      <c r="G356" s="721">
        <v>50</v>
      </c>
      <c r="H356" s="726"/>
      <c r="I356" s="726"/>
      <c r="J356" s="762">
        <f>C357-10</f>
        <v>39202</v>
      </c>
      <c r="K356" s="719" t="s">
        <v>1097</v>
      </c>
      <c r="L356" s="719"/>
      <c r="M356" s="719"/>
      <c r="N356" s="726"/>
      <c r="O356" s="726"/>
      <c r="P356" s="726"/>
      <c r="Q356" s="719">
        <v>0</v>
      </c>
      <c r="R356" s="719">
        <v>0</v>
      </c>
      <c r="S356" s="724">
        <f t="shared" si="108"/>
        <v>44.910000000003492</v>
      </c>
      <c r="T356" s="719"/>
      <c r="U356" s="719"/>
      <c r="V356" s="719"/>
      <c r="W356" s="719"/>
      <c r="X356" s="719"/>
      <c r="Y356" s="719"/>
      <c r="Z356" s="719"/>
      <c r="AA356" s="719"/>
      <c r="AB356" s="719"/>
      <c r="AC356" s="719"/>
      <c r="AD356" s="719"/>
      <c r="AE356" s="719"/>
      <c r="AF356" s="719"/>
      <c r="AG356" s="789">
        <v>39165.56</v>
      </c>
      <c r="AH356" s="719">
        <v>1525</v>
      </c>
      <c r="AI356" s="719">
        <v>-5172</v>
      </c>
      <c r="AJ356" s="719"/>
      <c r="AK356" s="719"/>
      <c r="AL356" s="719"/>
      <c r="AM356" s="719"/>
      <c r="AN356" s="719"/>
      <c r="AO356" s="719"/>
      <c r="AP356" s="719"/>
      <c r="AQ356" s="724">
        <f>+FL_1($T$357,$T$355,$G$356,1200,9.28, 1*$F$357)</f>
        <v>0.29489941866666669</v>
      </c>
      <c r="AR356" s="724"/>
      <c r="AS356" s="724"/>
      <c r="AT356" s="724"/>
      <c r="AU356" s="724"/>
      <c r="AV356" s="724"/>
      <c r="AW356" s="719"/>
      <c r="AX356" s="719"/>
      <c r="AY356" s="719"/>
      <c r="AZ356" s="532"/>
    </row>
    <row r="357" spans="1:52" ht="15.75" hidden="1" customHeight="1">
      <c r="A357" s="716" t="s">
        <v>677</v>
      </c>
      <c r="B357" s="718" t="s">
        <v>1839</v>
      </c>
      <c r="C357" s="789">
        <f>+$C$355+$G$356</f>
        <v>39212</v>
      </c>
      <c r="D357" s="719"/>
      <c r="E357" s="719"/>
      <c r="F357" s="720">
        <v>0</v>
      </c>
      <c r="G357" s="721"/>
      <c r="H357" s="726" t="s">
        <v>138</v>
      </c>
      <c r="I357" s="726" t="s">
        <v>948</v>
      </c>
      <c r="J357" s="762"/>
      <c r="K357" s="719"/>
      <c r="L357" s="719" t="s">
        <v>241</v>
      </c>
      <c r="M357" s="719"/>
      <c r="N357" s="726" t="s">
        <v>695</v>
      </c>
      <c r="O357" s="726"/>
      <c r="P357" s="726"/>
      <c r="Q357" s="719">
        <v>0</v>
      </c>
      <c r="R357" s="719">
        <v>0</v>
      </c>
      <c r="S357" s="719"/>
      <c r="T357" s="719">
        <v>-30</v>
      </c>
      <c r="U357" s="719"/>
      <c r="V357" s="719"/>
      <c r="W357" s="719">
        <v>1.1000000000000001</v>
      </c>
      <c r="X357" s="719"/>
      <c r="Y357" s="719"/>
      <c r="Z357" s="719"/>
      <c r="AA357" s="719"/>
      <c r="AB357" s="719"/>
      <c r="AC357" s="719" t="s">
        <v>2979</v>
      </c>
      <c r="AD357" s="719"/>
      <c r="AE357" s="719"/>
      <c r="AF357" s="719">
        <v>200</v>
      </c>
      <c r="AG357" s="789">
        <v>39210.47</v>
      </c>
      <c r="AH357" s="719">
        <v>1518</v>
      </c>
      <c r="AI357" s="719">
        <v>-5200</v>
      </c>
      <c r="AJ357" s="719"/>
      <c r="AK357" s="719"/>
      <c r="AL357" s="719"/>
      <c r="AM357" s="719" t="s">
        <v>2609</v>
      </c>
      <c r="AN357" s="719">
        <v>5.25</v>
      </c>
      <c r="AO357" s="719"/>
      <c r="AP357" s="719"/>
      <c r="AQ357" s="724"/>
      <c r="AR357" s="724"/>
      <c r="AS357" s="724"/>
      <c r="AT357" s="724">
        <f>+ab($T$357,$T$355,$T$359,$G$356,$G$358, 1*$F$357,1200)</f>
        <v>-8.2849467556123688</v>
      </c>
      <c r="AU357" s="724"/>
      <c r="AV357" s="724"/>
      <c r="AW357" s="719"/>
      <c r="AX357" s="719"/>
      <c r="AY357" s="719"/>
      <c r="AZ357" s="532"/>
    </row>
    <row r="358" spans="1:52" ht="15.75" hidden="1" customHeight="1">
      <c r="A358" s="716"/>
      <c r="B358" s="718"/>
      <c r="C358" s="789"/>
      <c r="D358" s="719"/>
      <c r="E358" s="719"/>
      <c r="F358" s="720"/>
      <c r="G358" s="721">
        <v>50</v>
      </c>
      <c r="H358" s="726"/>
      <c r="I358" s="726"/>
      <c r="J358" s="762"/>
      <c r="K358" s="719"/>
      <c r="L358" s="719"/>
      <c r="M358" s="719"/>
      <c r="N358" s="726"/>
      <c r="O358" s="726"/>
      <c r="P358" s="726"/>
      <c r="Q358" s="719"/>
      <c r="R358" s="719"/>
      <c r="S358" s="724">
        <f t="shared" si="107"/>
        <v>51.209999999999127</v>
      </c>
      <c r="T358" s="719"/>
      <c r="U358" s="719"/>
      <c r="V358" s="719"/>
      <c r="W358" s="719"/>
      <c r="X358" s="719"/>
      <c r="Y358" s="719"/>
      <c r="Z358" s="719"/>
      <c r="AA358" s="719"/>
      <c r="AB358" s="719"/>
      <c r="AC358" s="719"/>
      <c r="AD358" s="719"/>
      <c r="AE358" s="719"/>
      <c r="AF358" s="719"/>
      <c r="AG358" s="789"/>
      <c r="AH358" s="719"/>
      <c r="AI358" s="719"/>
      <c r="AJ358" s="719"/>
      <c r="AK358" s="719"/>
      <c r="AL358" s="719"/>
      <c r="AM358" s="719"/>
      <c r="AN358" s="719"/>
      <c r="AO358" s="719"/>
      <c r="AP358" s="719"/>
      <c r="AQ358" s="724">
        <f>+FL_1($T$359,$T$357,$G$358,1200,9.28, 1*$F$359)</f>
        <v>0.33477011200000001</v>
      </c>
      <c r="AR358" s="724"/>
      <c r="AS358" s="724"/>
      <c r="AT358" s="724"/>
      <c r="AU358" s="724"/>
      <c r="AV358" s="724"/>
      <c r="AW358" s="719"/>
      <c r="AX358" s="719"/>
      <c r="AY358" s="719"/>
      <c r="AZ358" s="532"/>
    </row>
    <row r="359" spans="1:52" ht="15.75" hidden="1" customHeight="1">
      <c r="A359" s="716" t="s">
        <v>677</v>
      </c>
      <c r="B359" s="718" t="s">
        <v>1840</v>
      </c>
      <c r="C359" s="789">
        <f>+$C$357+$G$358</f>
        <v>39262</v>
      </c>
      <c r="D359" s="719"/>
      <c r="E359" s="719"/>
      <c r="F359" s="720">
        <v>0</v>
      </c>
      <c r="G359" s="721"/>
      <c r="H359" s="726"/>
      <c r="I359" s="726"/>
      <c r="J359" s="762"/>
      <c r="K359" s="719"/>
      <c r="L359" s="719" t="s">
        <v>241</v>
      </c>
      <c r="M359" s="719"/>
      <c r="N359" s="726" t="s">
        <v>696</v>
      </c>
      <c r="O359" s="726"/>
      <c r="P359" s="726"/>
      <c r="Q359" s="719">
        <v>0</v>
      </c>
      <c r="R359" s="719">
        <v>0</v>
      </c>
      <c r="S359" s="719"/>
      <c r="T359" s="719">
        <v>30</v>
      </c>
      <c r="U359" s="719"/>
      <c r="V359" s="719"/>
      <c r="W359" s="719">
        <v>1.1000000000000001</v>
      </c>
      <c r="X359" s="719"/>
      <c r="Y359" s="719"/>
      <c r="Z359" s="719"/>
      <c r="AA359" s="719"/>
      <c r="AB359" s="719"/>
      <c r="AC359" s="719" t="s">
        <v>2977</v>
      </c>
      <c r="AD359" s="719"/>
      <c r="AE359" s="719"/>
      <c r="AF359" s="719">
        <v>200</v>
      </c>
      <c r="AG359" s="789">
        <v>39261.68</v>
      </c>
      <c r="AH359" s="719">
        <v>1489</v>
      </c>
      <c r="AI359" s="719">
        <v>-5212</v>
      </c>
      <c r="AJ359" s="719"/>
      <c r="AK359" s="719"/>
      <c r="AL359" s="719"/>
      <c r="AM359" s="719" t="s">
        <v>2609</v>
      </c>
      <c r="AN359" s="719">
        <v>5.25</v>
      </c>
      <c r="AO359" s="719"/>
      <c r="AP359" s="719"/>
      <c r="AQ359" s="724"/>
      <c r="AR359" s="724"/>
      <c r="AS359" s="724"/>
      <c r="AT359" s="724">
        <f>+ab($T$359,$T$357,$T$361,$G$358,$G$360, 1*$F$359,1200)</f>
        <v>7.9442083933778509</v>
      </c>
      <c r="AU359" s="724"/>
      <c r="AV359" s="724"/>
      <c r="AW359" s="719"/>
      <c r="AX359" s="719"/>
      <c r="AY359" s="719"/>
      <c r="AZ359" s="532"/>
    </row>
    <row r="360" spans="1:52" ht="15.75" hidden="1" customHeight="1">
      <c r="A360" s="716"/>
      <c r="B360" s="718"/>
      <c r="C360" s="789"/>
      <c r="D360" s="719"/>
      <c r="E360" s="719"/>
      <c r="F360" s="720"/>
      <c r="G360" s="721">
        <v>50</v>
      </c>
      <c r="H360" s="726"/>
      <c r="I360" s="726"/>
      <c r="J360" s="762"/>
      <c r="K360" s="719"/>
      <c r="L360" s="719"/>
      <c r="M360" s="719"/>
      <c r="N360" s="726"/>
      <c r="O360" s="726"/>
      <c r="P360" s="726"/>
      <c r="Q360" s="719"/>
      <c r="R360" s="719"/>
      <c r="S360" s="724">
        <f t="shared" si="107"/>
        <v>51.19999999999709</v>
      </c>
      <c r="T360" s="719"/>
      <c r="U360" s="719"/>
      <c r="V360" s="719"/>
      <c r="W360" s="719"/>
      <c r="X360" s="719"/>
      <c r="Y360" s="719"/>
      <c r="Z360" s="719"/>
      <c r="AA360" s="719"/>
      <c r="AB360" s="719"/>
      <c r="AC360" s="719"/>
      <c r="AD360" s="719"/>
      <c r="AE360" s="719"/>
      <c r="AF360" s="719"/>
      <c r="AG360" s="789"/>
      <c r="AH360" s="719"/>
      <c r="AI360" s="719"/>
      <c r="AJ360" s="719"/>
      <c r="AK360" s="719"/>
      <c r="AL360" s="719"/>
      <c r="AM360" s="719"/>
      <c r="AN360" s="719"/>
      <c r="AO360" s="719"/>
      <c r="AP360" s="719"/>
      <c r="AQ360" s="724">
        <f>+FL_2($T$361,$T$359,$G$360,1200,9.28, 1*$F$361)</f>
        <v>-0.33477011200000001</v>
      </c>
      <c r="AR360" s="724"/>
      <c r="AS360" s="724"/>
      <c r="AT360" s="724"/>
      <c r="AU360" s="724"/>
      <c r="AV360" s="724"/>
      <c r="AW360" s="719"/>
      <c r="AX360" s="719"/>
      <c r="AY360" s="719"/>
      <c r="AZ360" s="532"/>
    </row>
    <row r="361" spans="1:52" ht="15.75" hidden="1" customHeight="1">
      <c r="A361" s="716" t="s">
        <v>677</v>
      </c>
      <c r="B361" s="718" t="s">
        <v>1841</v>
      </c>
      <c r="C361" s="789">
        <f>+$C$359+$G$360</f>
        <v>39312</v>
      </c>
      <c r="D361" s="719"/>
      <c r="E361" s="719"/>
      <c r="F361" s="720">
        <v>0</v>
      </c>
      <c r="G361" s="721"/>
      <c r="H361" s="726"/>
      <c r="I361" s="726"/>
      <c r="J361" s="762"/>
      <c r="K361" s="719"/>
      <c r="L361" s="719" t="s">
        <v>241</v>
      </c>
      <c r="M361" s="719"/>
      <c r="N361" s="726" t="s">
        <v>695</v>
      </c>
      <c r="O361" s="726"/>
      <c r="P361" s="726"/>
      <c r="Q361" s="719">
        <v>0</v>
      </c>
      <c r="R361" s="719">
        <v>0</v>
      </c>
      <c r="S361" s="719"/>
      <c r="T361" s="719">
        <v>-30</v>
      </c>
      <c r="U361" s="719"/>
      <c r="V361" s="719"/>
      <c r="W361" s="719">
        <v>1.1000000000000001</v>
      </c>
      <c r="X361" s="719"/>
      <c r="Y361" s="719"/>
      <c r="Z361" s="719"/>
      <c r="AA361" s="719"/>
      <c r="AB361" s="719"/>
      <c r="AC361" s="719" t="s">
        <v>2979</v>
      </c>
      <c r="AD361" s="719"/>
      <c r="AE361" s="719"/>
      <c r="AF361" s="719">
        <v>200</v>
      </c>
      <c r="AG361" s="789">
        <v>39312.879999999997</v>
      </c>
      <c r="AH361" s="719">
        <v>1481</v>
      </c>
      <c r="AI361" s="719">
        <v>-5195</v>
      </c>
      <c r="AJ361" s="719"/>
      <c r="AK361" s="719"/>
      <c r="AL361" s="719"/>
      <c r="AM361" s="719" t="s">
        <v>2609</v>
      </c>
      <c r="AN361" s="719">
        <v>5.25</v>
      </c>
      <c r="AO361" s="719"/>
      <c r="AP361" s="719"/>
      <c r="AQ361" s="724"/>
      <c r="AR361" s="724"/>
      <c r="AS361" s="724"/>
      <c r="AT361" s="724">
        <f>+ab($T$361,$T$359,$T$363,$G$360,$G$362, 1*$F$361,1200)</f>
        <v>-7.9442410717051439</v>
      </c>
      <c r="AU361" s="724"/>
      <c r="AV361" s="724"/>
      <c r="AW361" s="719"/>
      <c r="AX361" s="719"/>
      <c r="AY361" s="719"/>
      <c r="AZ361" s="532"/>
    </row>
    <row r="362" spans="1:52" ht="15.75" hidden="1" customHeight="1">
      <c r="A362" s="716"/>
      <c r="B362" s="718"/>
      <c r="C362" s="789"/>
      <c r="D362" s="719"/>
      <c r="E362" s="719"/>
      <c r="F362" s="720"/>
      <c r="G362" s="721">
        <v>50</v>
      </c>
      <c r="H362" s="726"/>
      <c r="I362" s="722"/>
      <c r="J362" s="762"/>
      <c r="K362" s="719"/>
      <c r="L362" s="719"/>
      <c r="M362" s="719"/>
      <c r="N362" s="726"/>
      <c r="O362" s="726"/>
      <c r="P362" s="726"/>
      <c r="Q362" s="719"/>
      <c r="R362" s="719"/>
      <c r="S362" s="724">
        <f t="shared" si="107"/>
        <v>48.090000000003783</v>
      </c>
      <c r="T362" s="719"/>
      <c r="U362" s="719"/>
      <c r="V362" s="719"/>
      <c r="W362" s="719"/>
      <c r="X362" s="719"/>
      <c r="Y362" s="719"/>
      <c r="Z362" s="719"/>
      <c r="AA362" s="719"/>
      <c r="AB362" s="719"/>
      <c r="AC362" s="719"/>
      <c r="AD362" s="719"/>
      <c r="AE362" s="719"/>
      <c r="AF362" s="719"/>
      <c r="AG362" s="789"/>
      <c r="AH362" s="719"/>
      <c r="AI362" s="719"/>
      <c r="AJ362" s="719"/>
      <c r="AK362" s="719"/>
      <c r="AL362" s="719"/>
      <c r="AM362" s="719"/>
      <c r="AN362" s="719"/>
      <c r="AO362" s="719"/>
      <c r="AP362" s="719"/>
      <c r="AQ362" s="724">
        <f>+FL_1($T$363,$T$361,$G$362,1200,9.28, 1*$F$363)</f>
        <v>0.33477011200000001</v>
      </c>
      <c r="AR362" s="724"/>
      <c r="AS362" s="724"/>
      <c r="AT362" s="724"/>
      <c r="AU362" s="724"/>
      <c r="AV362" s="724"/>
      <c r="AW362" s="719"/>
      <c r="AX362" s="719"/>
      <c r="AY362" s="719"/>
      <c r="AZ362" s="532"/>
    </row>
    <row r="363" spans="1:52" ht="15.75" hidden="1" customHeight="1">
      <c r="A363" s="716" t="s">
        <v>677</v>
      </c>
      <c r="B363" s="718" t="s">
        <v>1842</v>
      </c>
      <c r="C363" s="789">
        <f>+$C$361+$G$362</f>
        <v>39362</v>
      </c>
      <c r="D363" s="719"/>
      <c r="E363" s="719"/>
      <c r="F363" s="720">
        <v>0</v>
      </c>
      <c r="G363" s="721"/>
      <c r="H363" s="726"/>
      <c r="I363" s="726"/>
      <c r="J363" s="762"/>
      <c r="K363" s="719"/>
      <c r="L363" s="719" t="s">
        <v>241</v>
      </c>
      <c r="M363" s="719"/>
      <c r="N363" s="726" t="s">
        <v>696</v>
      </c>
      <c r="O363" s="726"/>
      <c r="P363" s="726"/>
      <c r="Q363" s="719">
        <v>0</v>
      </c>
      <c r="R363" s="719">
        <v>0</v>
      </c>
      <c r="S363" s="719"/>
      <c r="T363" s="719">
        <v>30</v>
      </c>
      <c r="U363" s="719"/>
      <c r="V363" s="719"/>
      <c r="W363" s="719">
        <v>1.1000000000000001</v>
      </c>
      <c r="X363" s="719"/>
      <c r="Y363" s="719"/>
      <c r="Z363" s="719"/>
      <c r="AA363" s="719"/>
      <c r="AB363" s="719"/>
      <c r="AC363" s="719" t="s">
        <v>2977</v>
      </c>
      <c r="AD363" s="719"/>
      <c r="AE363" s="719"/>
      <c r="AF363" s="719">
        <v>200</v>
      </c>
      <c r="AG363" s="789">
        <v>39360.97</v>
      </c>
      <c r="AH363" s="719">
        <v>1520</v>
      </c>
      <c r="AI363" s="719">
        <v>-5190</v>
      </c>
      <c r="AJ363" s="719"/>
      <c r="AK363" s="719"/>
      <c r="AL363" s="719"/>
      <c r="AM363" s="719" t="s">
        <v>2609</v>
      </c>
      <c r="AN363" s="719">
        <v>5.25</v>
      </c>
      <c r="AO363" s="719"/>
      <c r="AP363" s="719"/>
      <c r="AQ363" s="724"/>
      <c r="AR363" s="724"/>
      <c r="AS363" s="724"/>
      <c r="AT363" s="724">
        <f>+ab($T$363,$T$361,$T$365,$G$362,$G$364, 1*$F$363,1200)</f>
        <v>7.9442083933778509</v>
      </c>
      <c r="AU363" s="724"/>
      <c r="AV363" s="724"/>
      <c r="AW363" s="719"/>
      <c r="AX363" s="719"/>
      <c r="AY363" s="719"/>
      <c r="AZ363" s="532"/>
    </row>
    <row r="364" spans="1:52" ht="15.75" hidden="1" customHeight="1">
      <c r="A364" s="716"/>
      <c r="B364" s="718"/>
      <c r="C364" s="789"/>
      <c r="D364" s="719"/>
      <c r="E364" s="719"/>
      <c r="F364" s="720"/>
      <c r="G364" s="721">
        <v>50</v>
      </c>
      <c r="H364" s="726"/>
      <c r="I364" s="726"/>
      <c r="J364" s="762"/>
      <c r="K364" s="719"/>
      <c r="L364" s="719"/>
      <c r="M364" s="719"/>
      <c r="N364" s="726"/>
      <c r="O364" s="726"/>
      <c r="P364" s="726"/>
      <c r="Q364" s="719"/>
      <c r="R364" s="719"/>
      <c r="S364" s="724">
        <f t="shared" si="107"/>
        <v>49.650000000001455</v>
      </c>
      <c r="T364" s="719"/>
      <c r="U364" s="719"/>
      <c r="V364" s="719"/>
      <c r="W364" s="719"/>
      <c r="X364" s="719"/>
      <c r="Y364" s="719"/>
      <c r="Z364" s="719"/>
      <c r="AA364" s="719"/>
      <c r="AB364" s="719"/>
      <c r="AC364" s="719"/>
      <c r="AD364" s="719"/>
      <c r="AE364" s="719"/>
      <c r="AF364" s="719"/>
      <c r="AG364" s="789"/>
      <c r="AH364" s="719"/>
      <c r="AI364" s="719"/>
      <c r="AJ364" s="719"/>
      <c r="AK364" s="719"/>
      <c r="AL364" s="719"/>
      <c r="AM364" s="719"/>
      <c r="AN364" s="719"/>
      <c r="AO364" s="719"/>
      <c r="AP364" s="719"/>
      <c r="AQ364" s="724">
        <f>+FL_2($T$365,$T$363,$G$364,1200,9.28, 1*$F$365)</f>
        <v>-0.33477011200000001</v>
      </c>
      <c r="AR364" s="724"/>
      <c r="AS364" s="724"/>
      <c r="AT364" s="724"/>
      <c r="AU364" s="724"/>
      <c r="AV364" s="724"/>
      <c r="AW364" s="719"/>
      <c r="AX364" s="719"/>
      <c r="AY364" s="719"/>
      <c r="AZ364" s="532"/>
    </row>
    <row r="365" spans="1:52" ht="15.75" hidden="1" customHeight="1">
      <c r="A365" s="716" t="s">
        <v>677</v>
      </c>
      <c r="B365" s="718" t="s">
        <v>1843</v>
      </c>
      <c r="C365" s="789">
        <f>+$C$363+$G$364</f>
        <v>39412</v>
      </c>
      <c r="D365" s="719"/>
      <c r="E365" s="719"/>
      <c r="F365" s="720">
        <v>0</v>
      </c>
      <c r="G365" s="721"/>
      <c r="H365" s="726"/>
      <c r="I365" s="726"/>
      <c r="J365" s="762"/>
      <c r="K365" s="719"/>
      <c r="L365" s="719" t="s">
        <v>241</v>
      </c>
      <c r="M365" s="719"/>
      <c r="N365" s="726" t="s">
        <v>695</v>
      </c>
      <c r="O365" s="726"/>
      <c r="P365" s="726"/>
      <c r="Q365" s="719">
        <v>0</v>
      </c>
      <c r="R365" s="719">
        <v>0</v>
      </c>
      <c r="S365" s="719"/>
      <c r="T365" s="719">
        <v>-30</v>
      </c>
      <c r="U365" s="719"/>
      <c r="V365" s="719"/>
      <c r="W365" s="719">
        <v>1.1000000000000001</v>
      </c>
      <c r="X365" s="719"/>
      <c r="Y365" s="719"/>
      <c r="Z365" s="719"/>
      <c r="AA365" s="719"/>
      <c r="AB365" s="719"/>
      <c r="AC365" s="719" t="s">
        <v>2979</v>
      </c>
      <c r="AD365" s="719"/>
      <c r="AE365" s="719"/>
      <c r="AF365" s="719">
        <v>200</v>
      </c>
      <c r="AG365" s="789">
        <v>39410.620000000003</v>
      </c>
      <c r="AH365" s="719">
        <v>1481</v>
      </c>
      <c r="AI365" s="719">
        <v>-5201</v>
      </c>
      <c r="AJ365" s="719"/>
      <c r="AK365" s="719"/>
      <c r="AL365" s="719"/>
      <c r="AM365" s="719" t="s">
        <v>2609</v>
      </c>
      <c r="AN365" s="719">
        <v>5.25</v>
      </c>
      <c r="AO365" s="719"/>
      <c r="AP365" s="719"/>
      <c r="AQ365" s="724"/>
      <c r="AR365" s="724"/>
      <c r="AS365" s="724"/>
      <c r="AT365" s="724">
        <f>+ab($T$365,$T$363,$T$367,$G$364,$G$366, 1*$F$365,1200)</f>
        <v>-7.9442410717051439</v>
      </c>
      <c r="AU365" s="724"/>
      <c r="AV365" s="724"/>
      <c r="AW365" s="719"/>
      <c r="AX365" s="719"/>
      <c r="AY365" s="719"/>
      <c r="AZ365" s="532"/>
    </row>
    <row r="366" spans="1:52" ht="15.75" hidden="1" customHeight="1">
      <c r="A366" s="716"/>
      <c r="B366" s="718"/>
      <c r="C366" s="789"/>
      <c r="D366" s="719"/>
      <c r="E366" s="719"/>
      <c r="F366" s="720"/>
      <c r="G366" s="721">
        <v>50</v>
      </c>
      <c r="H366" s="726"/>
      <c r="I366" s="726"/>
      <c r="J366" s="762"/>
      <c r="K366" s="719"/>
      <c r="L366" s="719"/>
      <c r="M366" s="719"/>
      <c r="N366" s="726"/>
      <c r="O366" s="726"/>
      <c r="P366" s="726"/>
      <c r="Q366" s="719"/>
      <c r="R366" s="719"/>
      <c r="S366" s="724">
        <f t="shared" si="107"/>
        <v>52.839999999996508</v>
      </c>
      <c r="T366" s="719"/>
      <c r="U366" s="719"/>
      <c r="V366" s="719"/>
      <c r="W366" s="719"/>
      <c r="X366" s="719"/>
      <c r="Y366" s="719"/>
      <c r="Z366" s="719"/>
      <c r="AA366" s="719"/>
      <c r="AB366" s="719"/>
      <c r="AC366" s="719"/>
      <c r="AD366" s="719"/>
      <c r="AE366" s="719"/>
      <c r="AF366" s="719"/>
      <c r="AG366" s="789"/>
      <c r="AH366" s="719"/>
      <c r="AI366" s="719"/>
      <c r="AJ366" s="719"/>
      <c r="AK366" s="719"/>
      <c r="AL366" s="719"/>
      <c r="AM366" s="719"/>
      <c r="AN366" s="719"/>
      <c r="AO366" s="719"/>
      <c r="AP366" s="719"/>
      <c r="AQ366" s="724">
        <f>+FL_1($T$367,$T$365,$G$366,1200,9.28, 1*$F$367)</f>
        <v>0.34327422545634823</v>
      </c>
      <c r="AR366" s="724"/>
      <c r="AS366" s="724"/>
      <c r="AT366" s="724"/>
      <c r="AU366" s="724"/>
      <c r="AV366" s="724"/>
      <c r="AW366" s="719"/>
      <c r="AX366" s="719"/>
      <c r="AY366" s="719"/>
      <c r="AZ366" s="532"/>
    </row>
    <row r="367" spans="1:52" ht="15.75" hidden="1" customHeight="1">
      <c r="A367" s="716" t="s">
        <v>677</v>
      </c>
      <c r="B367" s="718" t="s">
        <v>1844</v>
      </c>
      <c r="C367" s="789">
        <f>+$C$365+$G$366</f>
        <v>39462</v>
      </c>
      <c r="D367" s="719"/>
      <c r="E367" s="719"/>
      <c r="F367" s="720">
        <f>-560000/(C367-39438)</f>
        <v>-23333.333333333332</v>
      </c>
      <c r="G367" s="721"/>
      <c r="H367" s="726"/>
      <c r="I367" s="726"/>
      <c r="J367" s="762"/>
      <c r="K367" s="719"/>
      <c r="L367" s="719" t="s">
        <v>241</v>
      </c>
      <c r="M367" s="719"/>
      <c r="N367" s="726" t="s">
        <v>696</v>
      </c>
      <c r="O367" s="726"/>
      <c r="P367" s="726"/>
      <c r="Q367" s="719">
        <v>-7</v>
      </c>
      <c r="R367" s="719">
        <v>-22671.98</v>
      </c>
      <c r="S367" s="719"/>
      <c r="T367" s="719">
        <v>30</v>
      </c>
      <c r="U367" s="719"/>
      <c r="V367" s="719"/>
      <c r="W367" s="719">
        <v>1.1000000000000001</v>
      </c>
      <c r="X367" s="719"/>
      <c r="Y367" s="719"/>
      <c r="Z367" s="719"/>
      <c r="AA367" s="719"/>
      <c r="AB367" s="719"/>
      <c r="AC367" s="719" t="s">
        <v>2612</v>
      </c>
      <c r="AD367" s="719"/>
      <c r="AE367" s="719"/>
      <c r="AF367" s="719">
        <v>200</v>
      </c>
      <c r="AG367" s="789">
        <v>39463.46</v>
      </c>
      <c r="AH367" s="719">
        <v>1523</v>
      </c>
      <c r="AI367" s="719">
        <v>-5208</v>
      </c>
      <c r="AJ367" s="719"/>
      <c r="AK367" s="719"/>
      <c r="AL367" s="719"/>
      <c r="AM367" s="719" t="s">
        <v>2609</v>
      </c>
      <c r="AN367" s="719">
        <v>5.25</v>
      </c>
      <c r="AO367" s="719"/>
      <c r="AP367" s="719"/>
      <c r="AQ367" s="724"/>
      <c r="AR367" s="724"/>
      <c r="AS367" s="724"/>
      <c r="AT367" s="724">
        <f>+ab($T$367,$T$365,$T$369,$G$366,$G$368, 1*$F$367,1200)</f>
        <v>8.7116434036006183</v>
      </c>
      <c r="AU367" s="724"/>
      <c r="AV367" s="724"/>
      <c r="AW367" s="719"/>
      <c r="AX367" s="719"/>
      <c r="AY367" s="719"/>
      <c r="AZ367" s="532"/>
    </row>
    <row r="368" spans="1:52" ht="15.75" hidden="1" customHeight="1">
      <c r="A368" s="716"/>
      <c r="B368" s="718"/>
      <c r="C368" s="789"/>
      <c r="D368" s="719"/>
      <c r="E368" s="719"/>
      <c r="F368" s="720"/>
      <c r="G368" s="721">
        <v>50</v>
      </c>
      <c r="H368" s="726"/>
      <c r="I368" s="726"/>
      <c r="J368" s="762"/>
      <c r="K368" s="719"/>
      <c r="L368" s="719"/>
      <c r="M368" s="719"/>
      <c r="N368" s="726"/>
      <c r="O368" s="726"/>
      <c r="P368" s="726"/>
      <c r="Q368" s="719"/>
      <c r="R368" s="719"/>
      <c r="S368" s="724">
        <f t="shared" si="107"/>
        <v>48.080000000001746</v>
      </c>
      <c r="T368" s="719"/>
      <c r="U368" s="719"/>
      <c r="V368" s="719"/>
      <c r="W368" s="719"/>
      <c r="X368" s="719"/>
      <c r="Y368" s="719"/>
      <c r="Z368" s="719"/>
      <c r="AA368" s="719"/>
      <c r="AB368" s="719"/>
      <c r="AC368" s="719"/>
      <c r="AD368" s="719"/>
      <c r="AE368" s="719"/>
      <c r="AF368" s="719"/>
      <c r="AG368" s="789"/>
      <c r="AH368" s="719"/>
      <c r="AI368" s="719"/>
      <c r="AJ368" s="719"/>
      <c r="AK368" s="719"/>
      <c r="AL368" s="719"/>
      <c r="AM368" s="719"/>
      <c r="AN368" s="719"/>
      <c r="AO368" s="719"/>
      <c r="AP368" s="719"/>
      <c r="AQ368" s="724">
        <f>+FL_1($T$369,$T$367,$G$368,1200,9.28, 1*$F$369)</f>
        <v>0.36247753593976872</v>
      </c>
      <c r="AR368" s="724"/>
      <c r="AS368" s="724"/>
      <c r="AT368" s="724"/>
      <c r="AU368" s="724"/>
      <c r="AV368" s="724"/>
      <c r="AW368" s="719"/>
      <c r="AX368" s="719"/>
      <c r="AY368" s="719"/>
      <c r="AZ368" s="532"/>
    </row>
    <row r="369" spans="1:52" ht="15.75" customHeight="1">
      <c r="A369" s="716" t="s">
        <v>677</v>
      </c>
      <c r="B369" s="718" t="s">
        <v>1845</v>
      </c>
      <c r="C369" s="789">
        <f>+$C$367+$G$368</f>
        <v>39512</v>
      </c>
      <c r="D369" s="719"/>
      <c r="E369" s="719"/>
      <c r="F369" s="720">
        <f>-560000/(C369-39438)</f>
        <v>-7567.5675675675675</v>
      </c>
      <c r="G369" s="721"/>
      <c r="H369" s="726" t="s">
        <v>1101</v>
      </c>
      <c r="I369" s="726"/>
      <c r="J369" s="762"/>
      <c r="K369" s="719"/>
      <c r="L369" s="719" t="s">
        <v>241</v>
      </c>
      <c r="M369" s="719"/>
      <c r="N369" s="726" t="s">
        <v>695</v>
      </c>
      <c r="O369" s="726"/>
      <c r="P369" s="726"/>
      <c r="Q369" s="719">
        <v>-25</v>
      </c>
      <c r="R369" s="719">
        <v>-7777.74</v>
      </c>
      <c r="S369" s="719"/>
      <c r="T369" s="719">
        <v>-30</v>
      </c>
      <c r="U369" s="719"/>
      <c r="V369" s="719"/>
      <c r="W369" s="719">
        <v>1.1000000000000001</v>
      </c>
      <c r="X369" s="719"/>
      <c r="Y369" s="719"/>
      <c r="Z369" s="719"/>
      <c r="AA369" s="719"/>
      <c r="AB369" s="719"/>
      <c r="AC369" s="719" t="s">
        <v>2614</v>
      </c>
      <c r="AD369" s="719"/>
      <c r="AE369" s="719"/>
      <c r="AF369" s="719">
        <v>200</v>
      </c>
      <c r="AG369" s="789">
        <v>39511.54</v>
      </c>
      <c r="AH369" s="719">
        <v>1506</v>
      </c>
      <c r="AI369" s="719">
        <v>-5183</v>
      </c>
      <c r="AJ369" s="719"/>
      <c r="AK369" s="719"/>
      <c r="AL369" s="719"/>
      <c r="AM369" s="719" t="s">
        <v>2609</v>
      </c>
      <c r="AN369" s="719">
        <v>5.25</v>
      </c>
      <c r="AO369" s="719"/>
      <c r="AP369" s="719"/>
      <c r="AQ369" s="724"/>
      <c r="AR369" s="724"/>
      <c r="AS369" s="724"/>
      <c r="AT369" s="724">
        <f>+ab($T$369,$T$367,$T$371,$G$368,$G$370, 1*$F$369,1200)</f>
        <v>-9.6933230655837122</v>
      </c>
      <c r="AU369" s="724"/>
      <c r="AV369" s="724"/>
      <c r="AW369" s="719"/>
      <c r="AX369" s="719"/>
      <c r="AY369" s="719"/>
      <c r="AZ369" s="532"/>
    </row>
    <row r="370" spans="1:52" ht="15.75" hidden="1" customHeight="1">
      <c r="A370" s="716"/>
      <c r="B370" s="718"/>
      <c r="C370" s="789"/>
      <c r="D370" s="719"/>
      <c r="E370" s="719"/>
      <c r="F370" s="720"/>
      <c r="G370" s="721">
        <v>50</v>
      </c>
      <c r="H370" s="726"/>
      <c r="I370" s="726">
        <f>+SUM(G352:G370)</f>
        <v>500</v>
      </c>
      <c r="J370" s="762">
        <f>C369+1</f>
        <v>39513</v>
      </c>
      <c r="K370" s="719" t="s">
        <v>1102</v>
      </c>
      <c r="L370" s="719"/>
      <c r="M370" s="719"/>
      <c r="N370" s="726"/>
      <c r="O370" s="726"/>
      <c r="P370" s="726"/>
      <c r="Q370" s="719"/>
      <c r="R370" s="719"/>
      <c r="S370" s="724">
        <f t="shared" si="107"/>
        <v>51.19999999999709</v>
      </c>
      <c r="T370" s="719"/>
      <c r="U370" s="719"/>
      <c r="V370" s="719"/>
      <c r="W370" s="719"/>
      <c r="X370" s="719"/>
      <c r="Y370" s="719"/>
      <c r="Z370" s="719"/>
      <c r="AA370" s="719"/>
      <c r="AB370" s="719"/>
      <c r="AC370" s="719"/>
      <c r="AD370" s="719"/>
      <c r="AE370" s="719"/>
      <c r="AF370" s="719"/>
      <c r="AG370" s="789"/>
      <c r="AH370" s="719"/>
      <c r="AI370" s="719"/>
      <c r="AJ370" s="719"/>
      <c r="AK370" s="719"/>
      <c r="AL370" s="719"/>
      <c r="AM370" s="719"/>
      <c r="AN370" s="719"/>
      <c r="AO370" s="719"/>
      <c r="AP370" s="719"/>
      <c r="AQ370" s="724">
        <f>+FL_2($T$371,$T$369,$G$370,1200,9.28, 1*$F$371)</f>
        <v>-0.44837566591827871</v>
      </c>
      <c r="AR370" s="724"/>
      <c r="AS370" s="724"/>
      <c r="AT370" s="724"/>
      <c r="AU370" s="724"/>
      <c r="AV370" s="724"/>
      <c r="AW370" s="719"/>
      <c r="AX370" s="719"/>
      <c r="AY370" s="719"/>
      <c r="AZ370" s="532"/>
    </row>
    <row r="371" spans="1:52" ht="15.75" customHeight="1">
      <c r="A371" s="716" t="s">
        <v>677</v>
      </c>
      <c r="B371" s="718" t="s">
        <v>1846</v>
      </c>
      <c r="C371" s="789">
        <f>+$C$369+$G$370</f>
        <v>39562</v>
      </c>
      <c r="D371" s="719"/>
      <c r="E371" s="719"/>
      <c r="F371" s="720">
        <f>-560000/(C371-39438)</f>
        <v>-4516.1290322580644</v>
      </c>
      <c r="G371" s="721"/>
      <c r="H371" s="726" t="s">
        <v>997</v>
      </c>
      <c r="I371" s="726"/>
      <c r="J371" s="762"/>
      <c r="K371" s="719"/>
      <c r="L371" s="719" t="s">
        <v>241</v>
      </c>
      <c r="M371" s="719"/>
      <c r="N371" s="726" t="s">
        <v>695</v>
      </c>
      <c r="O371" s="726"/>
      <c r="P371" s="726"/>
      <c r="Q371" s="719">
        <v>-47</v>
      </c>
      <c r="R371" s="719">
        <v>-4548.8100000000004</v>
      </c>
      <c r="S371" s="719"/>
      <c r="T371" s="719">
        <v>-25</v>
      </c>
      <c r="U371" s="719"/>
      <c r="V371" s="719"/>
      <c r="W371" s="719">
        <v>1.1000000000000001</v>
      </c>
      <c r="X371" s="719"/>
      <c r="Y371" s="719"/>
      <c r="Z371" s="719"/>
      <c r="AA371" s="719"/>
      <c r="AB371" s="719"/>
      <c r="AC371" s="719" t="s">
        <v>2615</v>
      </c>
      <c r="AD371" s="719"/>
      <c r="AE371" s="719"/>
      <c r="AF371" s="719">
        <v>200</v>
      </c>
      <c r="AG371" s="789">
        <v>39562.74</v>
      </c>
      <c r="AH371" s="719">
        <v>1459</v>
      </c>
      <c r="AI371" s="719">
        <v>-5506</v>
      </c>
      <c r="AJ371" s="719"/>
      <c r="AK371" s="719"/>
      <c r="AL371" s="719"/>
      <c r="AM371" s="719" t="s">
        <v>2609</v>
      </c>
      <c r="AN371" s="719">
        <v>5.25</v>
      </c>
      <c r="AO371" s="719"/>
      <c r="AP371" s="719"/>
      <c r="AQ371" s="724"/>
      <c r="AR371" s="724"/>
      <c r="AS371" s="724"/>
      <c r="AT371" s="724">
        <f>+ab($T$371,$T$369,$T$373,$G$370,$G$372, 1*$F$371,1200)</f>
        <v>-16.830808842226382</v>
      </c>
      <c r="AU371" s="724"/>
      <c r="AV371" s="724"/>
      <c r="AW371" s="719"/>
      <c r="AX371" s="719"/>
      <c r="AY371" s="719"/>
      <c r="AZ371" s="532"/>
    </row>
    <row r="372" spans="1:52" ht="15.75" hidden="1" customHeight="1">
      <c r="A372" s="716"/>
      <c r="B372" s="718"/>
      <c r="C372" s="789"/>
      <c r="D372" s="719"/>
      <c r="E372" s="719"/>
      <c r="F372" s="720"/>
      <c r="G372" s="721">
        <v>50</v>
      </c>
      <c r="H372" s="726"/>
      <c r="I372" s="726">
        <f>SUM(G372:G390)</f>
        <v>498</v>
      </c>
      <c r="J372" s="762">
        <f>C373-1</f>
        <v>39611</v>
      </c>
      <c r="K372" s="719" t="s">
        <v>1102</v>
      </c>
      <c r="L372" s="719"/>
      <c r="M372" s="719"/>
      <c r="N372" s="726"/>
      <c r="O372" s="726"/>
      <c r="P372" s="726"/>
      <c r="Q372" s="719"/>
      <c r="R372" s="719"/>
      <c r="S372" s="724">
        <f t="shared" si="107"/>
        <v>48</v>
      </c>
      <c r="T372" s="719"/>
      <c r="U372" s="719"/>
      <c r="V372" s="719"/>
      <c r="W372" s="719"/>
      <c r="X372" s="719"/>
      <c r="Y372" s="719"/>
      <c r="Z372" s="719"/>
      <c r="AA372" s="719"/>
      <c r="AB372" s="719"/>
      <c r="AC372" s="719"/>
      <c r="AD372" s="719"/>
      <c r="AE372" s="719"/>
      <c r="AF372" s="719"/>
      <c r="AG372" s="789"/>
      <c r="AH372" s="719"/>
      <c r="AI372" s="719"/>
      <c r="AJ372" s="719"/>
      <c r="AK372" s="719"/>
      <c r="AL372" s="719"/>
      <c r="AM372" s="719"/>
      <c r="AN372" s="719"/>
      <c r="AO372" s="719"/>
      <c r="AP372" s="719"/>
      <c r="AQ372" s="724">
        <f>+FL_2($T$373,$T$371,$G$372,1200,9.28, 1*$F$373)</f>
        <v>-0.38949632642642679</v>
      </c>
      <c r="AR372" s="724"/>
      <c r="AS372" s="724"/>
      <c r="AT372" s="724"/>
      <c r="AU372" s="724"/>
      <c r="AV372" s="724"/>
      <c r="AW372" s="719"/>
      <c r="AX372" s="719"/>
      <c r="AY372" s="719"/>
      <c r="AZ372" s="532"/>
    </row>
    <row r="373" spans="1:52" ht="15.75" customHeight="1">
      <c r="A373" s="716" t="s">
        <v>677</v>
      </c>
      <c r="B373" s="718" t="s">
        <v>1847</v>
      </c>
      <c r="C373" s="789">
        <f>+$C$371+$G$372</f>
        <v>39612</v>
      </c>
      <c r="D373" s="719"/>
      <c r="E373" s="719">
        <v>-50</v>
      </c>
      <c r="F373" s="720">
        <v>-4000</v>
      </c>
      <c r="G373" s="721"/>
      <c r="H373" s="726" t="s">
        <v>1101</v>
      </c>
      <c r="I373" s="726"/>
      <c r="J373" s="762"/>
      <c r="K373" s="719"/>
      <c r="L373" s="719" t="s">
        <v>241</v>
      </c>
      <c r="M373" s="719"/>
      <c r="N373" s="726" t="s">
        <v>695</v>
      </c>
      <c r="O373" s="726"/>
      <c r="P373" s="726"/>
      <c r="Q373" s="719">
        <v>-50</v>
      </c>
      <c r="R373" s="719">
        <v>-4000</v>
      </c>
      <c r="S373" s="719"/>
      <c r="T373" s="719">
        <v>-20</v>
      </c>
      <c r="U373" s="719"/>
      <c r="V373" s="719"/>
      <c r="W373" s="719">
        <v>1.1000000000000001</v>
      </c>
      <c r="X373" s="719"/>
      <c r="Y373" s="719"/>
      <c r="Z373" s="719"/>
      <c r="AA373" s="719"/>
      <c r="AB373" s="719"/>
      <c r="AC373" s="719" t="s">
        <v>2613</v>
      </c>
      <c r="AD373" s="719"/>
      <c r="AE373" s="719"/>
      <c r="AF373" s="719">
        <v>200</v>
      </c>
      <c r="AG373" s="789">
        <v>39610.74</v>
      </c>
      <c r="AH373" s="719">
        <v>1475</v>
      </c>
      <c r="AI373" s="719">
        <v>-5205</v>
      </c>
      <c r="AJ373" s="719"/>
      <c r="AK373" s="719"/>
      <c r="AL373" s="719"/>
      <c r="AM373" s="719" t="s">
        <v>2609</v>
      </c>
      <c r="AN373" s="719">
        <v>5.25</v>
      </c>
      <c r="AO373" s="719"/>
      <c r="AP373" s="719"/>
      <c r="AQ373" s="724"/>
      <c r="AR373" s="724"/>
      <c r="AS373" s="724"/>
      <c r="AT373" s="724">
        <f>+ab($T$373,$T$371,$T$375,$G$372,$G$374, 1*$F$373,1200)</f>
        <v>-16.237205886726855</v>
      </c>
      <c r="AU373" s="724"/>
      <c r="AV373" s="724"/>
      <c r="AW373" s="719"/>
      <c r="AX373" s="719"/>
      <c r="AY373" s="719"/>
      <c r="AZ373" s="532"/>
    </row>
    <row r="374" spans="1:52" ht="15.75" hidden="1" customHeight="1">
      <c r="A374" s="716"/>
      <c r="B374" s="718"/>
      <c r="C374" s="789"/>
      <c r="D374" s="719"/>
      <c r="E374" s="719"/>
      <c r="F374" s="720"/>
      <c r="G374" s="721">
        <v>50</v>
      </c>
      <c r="H374" s="726"/>
      <c r="I374" s="722"/>
      <c r="J374" s="762"/>
      <c r="K374" s="719"/>
      <c r="L374" s="719"/>
      <c r="M374" s="719"/>
      <c r="N374" s="726"/>
      <c r="O374" s="726"/>
      <c r="P374" s="726"/>
      <c r="Q374" s="719"/>
      <c r="R374" s="719"/>
      <c r="S374" s="724">
        <f t="shared" si="107"/>
        <v>52.910000000003492</v>
      </c>
      <c r="T374" s="719"/>
      <c r="U374" s="719"/>
      <c r="V374" s="719"/>
      <c r="W374" s="719"/>
      <c r="X374" s="719"/>
      <c r="Y374" s="719"/>
      <c r="Z374" s="719"/>
      <c r="AA374" s="719"/>
      <c r="AB374" s="719"/>
      <c r="AC374" s="719"/>
      <c r="AD374" s="719"/>
      <c r="AE374" s="719"/>
      <c r="AF374" s="719"/>
      <c r="AG374" s="789"/>
      <c r="AH374" s="719"/>
      <c r="AI374" s="719"/>
      <c r="AJ374" s="719"/>
      <c r="AK374" s="719"/>
      <c r="AL374" s="719"/>
      <c r="AM374" s="719"/>
      <c r="AN374" s="719"/>
      <c r="AO374" s="719"/>
      <c r="AP374" s="719"/>
      <c r="AQ374" s="724">
        <f>+FL_2($T$375,$T$373,$G$374,1200,9.28, 1*$F$375)</f>
        <v>-0.37456092000963204</v>
      </c>
      <c r="AR374" s="724"/>
      <c r="AS374" s="724"/>
      <c r="AT374" s="724"/>
      <c r="AU374" s="724"/>
      <c r="AV374" s="724"/>
      <c r="AW374" s="719"/>
      <c r="AX374" s="719"/>
      <c r="AY374" s="719"/>
      <c r="AZ374" s="532"/>
    </row>
    <row r="375" spans="1:52" ht="15.75" hidden="1" customHeight="1">
      <c r="A375" s="716" t="s">
        <v>677</v>
      </c>
      <c r="B375" s="717" t="s">
        <v>1848</v>
      </c>
      <c r="C375" s="789">
        <f>+$C$373+$G$374</f>
        <v>39662</v>
      </c>
      <c r="D375" s="719"/>
      <c r="E375" s="719"/>
      <c r="F375" s="720">
        <f>-475000/(39764-C375)</f>
        <v>-4656.8627450980393</v>
      </c>
      <c r="G375" s="721"/>
      <c r="H375" s="726"/>
      <c r="I375" s="726"/>
      <c r="J375" s="762"/>
      <c r="K375" s="719"/>
      <c r="L375" s="719" t="s">
        <v>241</v>
      </c>
      <c r="M375" s="719"/>
      <c r="N375" s="726" t="s">
        <v>695</v>
      </c>
      <c r="O375" s="726"/>
      <c r="P375" s="726"/>
      <c r="Q375" s="719">
        <v>-35</v>
      </c>
      <c r="R375" s="719">
        <v>-5485.33</v>
      </c>
      <c r="S375" s="719"/>
      <c r="T375" s="719">
        <v>-20</v>
      </c>
      <c r="U375" s="719"/>
      <c r="V375" s="719"/>
      <c r="W375" s="719">
        <v>1.1000000000000001</v>
      </c>
      <c r="X375" s="719"/>
      <c r="Y375" s="719"/>
      <c r="Z375" s="719"/>
      <c r="AA375" s="719"/>
      <c r="AB375" s="719"/>
      <c r="AC375" s="719" t="s">
        <v>2615</v>
      </c>
      <c r="AD375" s="719"/>
      <c r="AE375" s="719"/>
      <c r="AF375" s="719">
        <v>200</v>
      </c>
      <c r="AG375" s="789">
        <v>39663.65</v>
      </c>
      <c r="AH375" s="719">
        <v>1480</v>
      </c>
      <c r="AI375" s="719">
        <v>-5214</v>
      </c>
      <c r="AJ375" s="719"/>
      <c r="AK375" s="719"/>
      <c r="AL375" s="719"/>
      <c r="AM375" s="719" t="s">
        <v>2609</v>
      </c>
      <c r="AN375" s="719">
        <v>5.25</v>
      </c>
      <c r="AO375" s="719"/>
      <c r="AP375" s="719"/>
      <c r="AQ375" s="724"/>
      <c r="AR375" s="724"/>
      <c r="AS375" s="724"/>
      <c r="AT375" s="724">
        <f>+ab($T$375,$T$373,$T$377,$G$374,$G$376, 1*$F$375,1200)</f>
        <v>-9.1744830245888007</v>
      </c>
      <c r="AU375" s="724"/>
      <c r="AV375" s="724"/>
      <c r="AW375" s="719"/>
      <c r="AX375" s="719"/>
      <c r="AY375" s="719"/>
      <c r="AZ375" s="532"/>
    </row>
    <row r="376" spans="1:52" ht="15.75" hidden="1" customHeight="1">
      <c r="A376" s="716"/>
      <c r="B376" s="717"/>
      <c r="C376" s="789"/>
      <c r="D376" s="719"/>
      <c r="E376" s="719"/>
      <c r="F376" s="720"/>
      <c r="G376" s="721">
        <v>50</v>
      </c>
      <c r="H376" s="726"/>
      <c r="I376" s="722"/>
      <c r="J376" s="762"/>
      <c r="K376" s="719"/>
      <c r="L376" s="719"/>
      <c r="M376" s="719"/>
      <c r="N376" s="726"/>
      <c r="O376" s="726"/>
      <c r="P376" s="726"/>
      <c r="Q376" s="719"/>
      <c r="R376" s="719"/>
      <c r="S376" s="724">
        <f t="shared" si="107"/>
        <v>48.040000000000873</v>
      </c>
      <c r="T376" s="719"/>
      <c r="U376" s="719"/>
      <c r="V376" s="719"/>
      <c r="W376" s="719"/>
      <c r="X376" s="719"/>
      <c r="Y376" s="719"/>
      <c r="Z376" s="719"/>
      <c r="AA376" s="719"/>
      <c r="AB376" s="719"/>
      <c r="AC376" s="719"/>
      <c r="AD376" s="719"/>
      <c r="AE376" s="719"/>
      <c r="AF376" s="719"/>
      <c r="AG376" s="789"/>
      <c r="AH376" s="719"/>
      <c r="AI376" s="719"/>
      <c r="AJ376" s="719"/>
      <c r="AK376" s="719"/>
      <c r="AL376" s="719"/>
      <c r="AM376" s="719"/>
      <c r="AN376" s="719"/>
      <c r="AO376" s="719"/>
      <c r="AP376" s="719"/>
      <c r="AQ376" s="724">
        <f>+FL_1($T$377,$T$375,$G$376,1200,9.28, 1*$F$377)</f>
        <v>0.38251475055375783</v>
      </c>
      <c r="AR376" s="724"/>
      <c r="AS376" s="724"/>
      <c r="AT376" s="724"/>
      <c r="AU376" s="724"/>
      <c r="AV376" s="724"/>
      <c r="AW376" s="719"/>
      <c r="AX376" s="719"/>
      <c r="AY376" s="719"/>
      <c r="AZ376" s="532"/>
    </row>
    <row r="377" spans="1:52" ht="15.75" hidden="1" customHeight="1">
      <c r="A377" s="716" t="s">
        <v>677</v>
      </c>
      <c r="B377" s="717" t="s">
        <v>1849</v>
      </c>
      <c r="C377" s="789">
        <f>+$C$375+$G$376</f>
        <v>39712</v>
      </c>
      <c r="D377" s="719"/>
      <c r="E377" s="719"/>
      <c r="F377" s="720">
        <f>-475000/(39764-C377)</f>
        <v>-9134.6153846153848</v>
      </c>
      <c r="G377" s="721"/>
      <c r="H377" s="726"/>
      <c r="I377" s="726"/>
      <c r="J377" s="762"/>
      <c r="K377" s="719"/>
      <c r="L377" s="719" t="s">
        <v>241</v>
      </c>
      <c r="M377" s="719"/>
      <c r="N377" s="726" t="s">
        <v>696</v>
      </c>
      <c r="O377" s="726"/>
      <c r="P377" s="726"/>
      <c r="Q377" s="719">
        <v>-17</v>
      </c>
      <c r="R377" s="719">
        <v>-10506.53</v>
      </c>
      <c r="S377" s="719"/>
      <c r="T377" s="719">
        <v>30</v>
      </c>
      <c r="U377" s="719"/>
      <c r="V377" s="719"/>
      <c r="W377" s="719">
        <v>1.1000000000000001</v>
      </c>
      <c r="X377" s="719"/>
      <c r="Y377" s="719"/>
      <c r="Z377" s="719"/>
      <c r="AA377" s="719"/>
      <c r="AB377" s="719"/>
      <c r="AC377" s="719" t="s">
        <v>2612</v>
      </c>
      <c r="AD377" s="719"/>
      <c r="AE377" s="719"/>
      <c r="AF377" s="719">
        <v>200</v>
      </c>
      <c r="AG377" s="789">
        <v>39711.69</v>
      </c>
      <c r="AH377" s="719">
        <v>1508</v>
      </c>
      <c r="AI377" s="719">
        <v>-5202</v>
      </c>
      <c r="AJ377" s="719"/>
      <c r="AK377" s="719"/>
      <c r="AL377" s="719"/>
      <c r="AM377" s="719" t="s">
        <v>2609</v>
      </c>
      <c r="AN377" s="719">
        <v>5.25</v>
      </c>
      <c r="AO377" s="719"/>
      <c r="AP377" s="719"/>
      <c r="AQ377" s="724"/>
      <c r="AR377" s="724"/>
      <c r="AS377" s="724"/>
      <c r="AT377" s="724">
        <f>+ab($T$377,$T$375,$T$379,$G$376,$G$378, 1*$F$377,1200)</f>
        <v>11.45618728943486</v>
      </c>
      <c r="AU377" s="724"/>
      <c r="AV377" s="724"/>
      <c r="AW377" s="719"/>
      <c r="AX377" s="719"/>
      <c r="AY377" s="719"/>
      <c r="AZ377" s="532"/>
    </row>
    <row r="378" spans="1:52" ht="15.75" hidden="1" customHeight="1">
      <c r="A378" s="716"/>
      <c r="B378" s="717"/>
      <c r="C378" s="789"/>
      <c r="D378" s="719"/>
      <c r="E378" s="719"/>
      <c r="F378" s="720"/>
      <c r="G378" s="721">
        <v>50</v>
      </c>
      <c r="H378" s="726"/>
      <c r="I378" s="722"/>
      <c r="J378" s="762"/>
      <c r="K378" s="719"/>
      <c r="L378" s="719"/>
      <c r="M378" s="719"/>
      <c r="N378" s="726"/>
      <c r="O378" s="726"/>
      <c r="P378" s="726"/>
      <c r="Q378" s="719"/>
      <c r="R378" s="719"/>
      <c r="S378" s="724">
        <f t="shared" si="107"/>
        <v>49.659999999996217</v>
      </c>
      <c r="T378" s="719"/>
      <c r="U378" s="719"/>
      <c r="V378" s="719"/>
      <c r="W378" s="719"/>
      <c r="X378" s="719"/>
      <c r="Y378" s="719"/>
      <c r="Z378" s="719"/>
      <c r="AA378" s="719"/>
      <c r="AB378" s="719"/>
      <c r="AC378" s="719"/>
      <c r="AD378" s="719"/>
      <c r="AE378" s="719"/>
      <c r="AF378" s="719"/>
      <c r="AG378" s="789"/>
      <c r="AH378" s="719"/>
      <c r="AI378" s="719"/>
      <c r="AJ378" s="719"/>
      <c r="AK378" s="719"/>
      <c r="AL378" s="719"/>
      <c r="AM378" s="719"/>
      <c r="AN378" s="719"/>
      <c r="AO378" s="719"/>
      <c r="AP378" s="719"/>
      <c r="AQ378" s="724">
        <f>+FL_2($T$379,$T$377,$G$378,1200,9.28, 1*$F$379)</f>
        <v>-0.33477011200000001</v>
      </c>
      <c r="AR378" s="724"/>
      <c r="AS378" s="724"/>
      <c r="AT378" s="724"/>
      <c r="AU378" s="724"/>
      <c r="AV378" s="724"/>
      <c r="AW378" s="719"/>
      <c r="AX378" s="719"/>
      <c r="AY378" s="719"/>
      <c r="AZ378" s="532"/>
    </row>
    <row r="379" spans="1:52" ht="15.75" hidden="1" customHeight="1">
      <c r="A379" s="716" t="s">
        <v>677</v>
      </c>
      <c r="B379" s="717" t="s">
        <v>1850</v>
      </c>
      <c r="C379" s="789">
        <f>+$C$377+$G$378</f>
        <v>39762</v>
      </c>
      <c r="D379" s="719"/>
      <c r="E379" s="719"/>
      <c r="F379" s="720">
        <v>0</v>
      </c>
      <c r="G379" s="721"/>
      <c r="H379" s="726"/>
      <c r="I379" s="726"/>
      <c r="J379" s="762"/>
      <c r="K379" s="719"/>
      <c r="L379" s="719" t="s">
        <v>241</v>
      </c>
      <c r="M379" s="719"/>
      <c r="N379" s="726" t="s">
        <v>695</v>
      </c>
      <c r="O379" s="726"/>
      <c r="P379" s="726"/>
      <c r="Q379" s="719">
        <v>0</v>
      </c>
      <c r="R379" s="719">
        <v>0</v>
      </c>
      <c r="S379" s="719"/>
      <c r="T379" s="719">
        <v>-30</v>
      </c>
      <c r="U379" s="719"/>
      <c r="V379" s="719"/>
      <c r="W379" s="719">
        <v>1.1000000000000001</v>
      </c>
      <c r="X379" s="719"/>
      <c r="Y379" s="719"/>
      <c r="Z379" s="719"/>
      <c r="AA379" s="719"/>
      <c r="AB379" s="719"/>
      <c r="AC379" s="719" t="s">
        <v>2979</v>
      </c>
      <c r="AD379" s="719"/>
      <c r="AE379" s="719"/>
      <c r="AF379" s="719">
        <v>200</v>
      </c>
      <c r="AG379" s="789">
        <v>39761.35</v>
      </c>
      <c r="AH379" s="719">
        <v>1508</v>
      </c>
      <c r="AI379" s="719">
        <v>-5204</v>
      </c>
      <c r="AJ379" s="719"/>
      <c r="AK379" s="719"/>
      <c r="AL379" s="719"/>
      <c r="AM379" s="719" t="s">
        <v>2609</v>
      </c>
      <c r="AN379" s="719">
        <v>5.25</v>
      </c>
      <c r="AO379" s="719"/>
      <c r="AP379" s="719"/>
      <c r="AQ379" s="724"/>
      <c r="AR379" s="724"/>
      <c r="AS379" s="724"/>
      <c r="AT379" s="724">
        <f>+ab($T$379,$T$377,$T$381,$G$378,$G$380, 1*$F$379,1200)</f>
        <v>-7.9442410717051439</v>
      </c>
      <c r="AU379" s="724"/>
      <c r="AV379" s="724"/>
      <c r="AW379" s="719"/>
      <c r="AX379" s="719"/>
      <c r="AY379" s="719"/>
      <c r="AZ379" s="532"/>
    </row>
    <row r="380" spans="1:52" ht="15.75" hidden="1" customHeight="1">
      <c r="A380" s="716"/>
      <c r="B380" s="717"/>
      <c r="C380" s="789"/>
      <c r="D380" s="719"/>
      <c r="E380" s="719"/>
      <c r="F380" s="720"/>
      <c r="G380" s="721">
        <v>50</v>
      </c>
      <c r="H380" s="726"/>
      <c r="I380" s="722"/>
      <c r="J380" s="762"/>
      <c r="K380" s="719"/>
      <c r="L380" s="719"/>
      <c r="M380" s="719"/>
      <c r="N380" s="726"/>
      <c r="O380" s="726"/>
      <c r="P380" s="726"/>
      <c r="Q380" s="719"/>
      <c r="R380" s="719"/>
      <c r="S380" s="724">
        <f t="shared" si="107"/>
        <v>51.260000000002037</v>
      </c>
      <c r="T380" s="719"/>
      <c r="U380" s="719"/>
      <c r="V380" s="719"/>
      <c r="W380" s="719"/>
      <c r="X380" s="719"/>
      <c r="Y380" s="719"/>
      <c r="Z380" s="719"/>
      <c r="AA380" s="719"/>
      <c r="AB380" s="719"/>
      <c r="AC380" s="719"/>
      <c r="AD380" s="719"/>
      <c r="AE380" s="719"/>
      <c r="AF380" s="719"/>
      <c r="AG380" s="789"/>
      <c r="AH380" s="719"/>
      <c r="AI380" s="719"/>
      <c r="AJ380" s="719"/>
      <c r="AK380" s="719"/>
      <c r="AL380" s="719"/>
      <c r="AM380" s="719"/>
      <c r="AN380" s="719"/>
      <c r="AO380" s="719"/>
      <c r="AP380" s="719"/>
      <c r="AQ380" s="724">
        <f>+FL_1($T$381,$T$379,$G$380,1200,9.28, 1*$F$381)</f>
        <v>0.33477011200000001</v>
      </c>
      <c r="AR380" s="724"/>
      <c r="AS380" s="724"/>
      <c r="AT380" s="724"/>
      <c r="AU380" s="724"/>
      <c r="AV380" s="724"/>
      <c r="AW380" s="719"/>
      <c r="AX380" s="719"/>
      <c r="AY380" s="719"/>
      <c r="AZ380" s="532"/>
    </row>
    <row r="381" spans="1:52" ht="15.75" hidden="1" customHeight="1">
      <c r="A381" s="716" t="s">
        <v>677</v>
      </c>
      <c r="B381" s="717" t="s">
        <v>1851</v>
      </c>
      <c r="C381" s="789">
        <f>+$C$379+$G$380</f>
        <v>39812</v>
      </c>
      <c r="D381" s="719"/>
      <c r="E381" s="719"/>
      <c r="F381" s="720">
        <v>0</v>
      </c>
      <c r="G381" s="721"/>
      <c r="H381" s="726"/>
      <c r="I381" s="726"/>
      <c r="J381" s="762"/>
      <c r="K381" s="719"/>
      <c r="L381" s="719" t="s">
        <v>241</v>
      </c>
      <c r="M381" s="719"/>
      <c r="N381" s="726" t="s">
        <v>696</v>
      </c>
      <c r="O381" s="726"/>
      <c r="P381" s="726"/>
      <c r="Q381" s="719">
        <v>0</v>
      </c>
      <c r="R381" s="719">
        <v>0</v>
      </c>
      <c r="S381" s="719"/>
      <c r="T381" s="719">
        <v>30</v>
      </c>
      <c r="U381" s="719"/>
      <c r="V381" s="719"/>
      <c r="W381" s="719">
        <v>1.1000000000000001</v>
      </c>
      <c r="X381" s="719"/>
      <c r="Y381" s="719"/>
      <c r="Z381" s="719"/>
      <c r="AA381" s="719"/>
      <c r="AB381" s="719"/>
      <c r="AC381" s="719" t="s">
        <v>2977</v>
      </c>
      <c r="AD381" s="719"/>
      <c r="AE381" s="719"/>
      <c r="AF381" s="719">
        <v>200</v>
      </c>
      <c r="AG381" s="789">
        <v>39812.61</v>
      </c>
      <c r="AH381" s="719">
        <v>1503</v>
      </c>
      <c r="AI381" s="719">
        <v>-5205</v>
      </c>
      <c r="AJ381" s="719"/>
      <c r="AK381" s="719"/>
      <c r="AL381" s="719"/>
      <c r="AM381" s="719" t="s">
        <v>2609</v>
      </c>
      <c r="AN381" s="719">
        <v>5.25</v>
      </c>
      <c r="AO381" s="719"/>
      <c r="AP381" s="719"/>
      <c r="AQ381" s="724"/>
      <c r="AR381" s="724"/>
      <c r="AS381" s="724"/>
      <c r="AT381" s="724">
        <f>+ab($T$381,$T$379,$T$383,$G$380,$G$382, 1*$F$381,1200)</f>
        <v>7.9442083933778509</v>
      </c>
      <c r="AU381" s="724"/>
      <c r="AV381" s="724"/>
      <c r="AW381" s="719"/>
      <c r="AX381" s="719"/>
      <c r="AY381" s="719"/>
      <c r="AZ381" s="532"/>
    </row>
    <row r="382" spans="1:52" ht="15.75" hidden="1" customHeight="1">
      <c r="A382" s="716"/>
      <c r="B382" s="717"/>
      <c r="C382" s="789"/>
      <c r="D382" s="719"/>
      <c r="E382" s="719"/>
      <c r="F382" s="720"/>
      <c r="G382" s="721">
        <v>50</v>
      </c>
      <c r="H382" s="726"/>
      <c r="I382" s="726"/>
      <c r="J382" s="762"/>
      <c r="K382" s="719"/>
      <c r="L382" s="719"/>
      <c r="M382" s="719"/>
      <c r="N382" s="726"/>
      <c r="O382" s="726"/>
      <c r="P382" s="726"/>
      <c r="Q382" s="719"/>
      <c r="R382" s="719"/>
      <c r="S382" s="724">
        <f t="shared" si="107"/>
        <v>49.599999999998545</v>
      </c>
      <c r="T382" s="719"/>
      <c r="U382" s="719"/>
      <c r="V382" s="719"/>
      <c r="W382" s="719"/>
      <c r="X382" s="719"/>
      <c r="Y382" s="719"/>
      <c r="Z382" s="719"/>
      <c r="AA382" s="719"/>
      <c r="AB382" s="719"/>
      <c r="AC382" s="719"/>
      <c r="AD382" s="719"/>
      <c r="AE382" s="719"/>
      <c r="AF382" s="719"/>
      <c r="AG382" s="789"/>
      <c r="AH382" s="719"/>
      <c r="AI382" s="719"/>
      <c r="AJ382" s="719"/>
      <c r="AK382" s="719"/>
      <c r="AL382" s="719"/>
      <c r="AM382" s="719"/>
      <c r="AN382" s="719"/>
      <c r="AO382" s="719"/>
      <c r="AP382" s="719"/>
      <c r="AQ382" s="724">
        <f>+FL_2($T$383,$T$381,$G$382,1200,9.28, 1*$F$383)</f>
        <v>-0.33477011200000001</v>
      </c>
      <c r="AR382" s="724"/>
      <c r="AS382" s="724"/>
      <c r="AT382" s="724"/>
      <c r="AU382" s="724"/>
      <c r="AV382" s="724"/>
      <c r="AW382" s="719"/>
      <c r="AX382" s="719"/>
      <c r="AY382" s="719"/>
      <c r="AZ382" s="532"/>
    </row>
    <row r="383" spans="1:52" ht="15.75" hidden="1" customHeight="1">
      <c r="A383" s="716" t="s">
        <v>677</v>
      </c>
      <c r="B383" s="717" t="s">
        <v>1852</v>
      </c>
      <c r="C383" s="789">
        <f>+$C$381+$G$382</f>
        <v>39862</v>
      </c>
      <c r="D383" s="719"/>
      <c r="E383" s="719"/>
      <c r="F383" s="720">
        <v>0</v>
      </c>
      <c r="G383" s="721"/>
      <c r="H383" s="726"/>
      <c r="I383" s="722"/>
      <c r="J383" s="762"/>
      <c r="K383" s="719"/>
      <c r="L383" s="719" t="s">
        <v>241</v>
      </c>
      <c r="M383" s="719"/>
      <c r="N383" s="726" t="s">
        <v>695</v>
      </c>
      <c r="O383" s="726"/>
      <c r="P383" s="726"/>
      <c r="Q383" s="719">
        <v>0</v>
      </c>
      <c r="R383" s="719">
        <v>0</v>
      </c>
      <c r="S383" s="719"/>
      <c r="T383" s="719">
        <v>-30</v>
      </c>
      <c r="U383" s="719"/>
      <c r="V383" s="719"/>
      <c r="W383" s="719">
        <v>1.1000000000000001</v>
      </c>
      <c r="X383" s="719"/>
      <c r="Y383" s="719"/>
      <c r="Z383" s="719"/>
      <c r="AA383" s="719"/>
      <c r="AB383" s="719"/>
      <c r="AC383" s="719" t="s">
        <v>2979</v>
      </c>
      <c r="AD383" s="719"/>
      <c r="AE383" s="719"/>
      <c r="AF383" s="719">
        <v>200</v>
      </c>
      <c r="AG383" s="789">
        <v>39862.21</v>
      </c>
      <c r="AH383" s="719">
        <v>1480</v>
      </c>
      <c r="AI383" s="719">
        <v>-5183</v>
      </c>
      <c r="AJ383" s="719"/>
      <c r="AK383" s="719"/>
      <c r="AL383" s="719"/>
      <c r="AM383" s="719" t="s">
        <v>2609</v>
      </c>
      <c r="AN383" s="719">
        <v>5.25</v>
      </c>
      <c r="AO383" s="719"/>
      <c r="AP383" s="719"/>
      <c r="AQ383" s="724"/>
      <c r="AR383" s="724"/>
      <c r="AS383" s="724"/>
      <c r="AT383" s="724">
        <f>+ab($T$383,$T$381,$T$385,$G$382,$G$384, 1*$F$383,1200)</f>
        <v>-7.7841209935497506</v>
      </c>
      <c r="AU383" s="724"/>
      <c r="AV383" s="724"/>
      <c r="AW383" s="719"/>
      <c r="AX383" s="719"/>
      <c r="AY383" s="719"/>
      <c r="AZ383" s="532"/>
    </row>
    <row r="384" spans="1:52" ht="15.75" hidden="1" customHeight="1">
      <c r="A384" s="716"/>
      <c r="B384" s="717"/>
      <c r="C384" s="789"/>
      <c r="D384" s="719"/>
      <c r="E384" s="719"/>
      <c r="F384" s="720"/>
      <c r="G384" s="721">
        <v>48</v>
      </c>
      <c r="H384" s="726"/>
      <c r="I384" s="726"/>
      <c r="J384" s="762"/>
      <c r="K384" s="719"/>
      <c r="L384" s="719"/>
      <c r="M384" s="719"/>
      <c r="N384" s="726"/>
      <c r="O384" s="726"/>
      <c r="P384" s="726"/>
      <c r="Q384" s="719"/>
      <c r="R384" s="719"/>
      <c r="S384" s="724">
        <f t="shared" si="107"/>
        <v>48.090000000003783</v>
      </c>
      <c r="T384" s="719"/>
      <c r="U384" s="719"/>
      <c r="V384" s="719"/>
      <c r="W384" s="719"/>
      <c r="X384" s="719"/>
      <c r="Y384" s="719"/>
      <c r="Z384" s="719"/>
      <c r="AA384" s="719"/>
      <c r="AB384" s="719"/>
      <c r="AC384" s="719"/>
      <c r="AD384" s="719"/>
      <c r="AE384" s="719"/>
      <c r="AF384" s="719"/>
      <c r="AG384" s="789"/>
      <c r="AH384" s="719"/>
      <c r="AI384" s="719"/>
      <c r="AJ384" s="719"/>
      <c r="AK384" s="719"/>
      <c r="AL384" s="719"/>
      <c r="AM384" s="719"/>
      <c r="AN384" s="719"/>
      <c r="AO384" s="719"/>
      <c r="AP384" s="719"/>
      <c r="AQ384" s="724">
        <f>+FL_1($T$385,$T$383,$G$384,1200,9.28, 1*$F$385)</f>
        <v>0.3237437013333333</v>
      </c>
      <c r="AR384" s="724"/>
      <c r="AS384" s="724"/>
      <c r="AT384" s="724"/>
      <c r="AU384" s="724"/>
      <c r="AV384" s="724"/>
      <c r="AW384" s="719"/>
      <c r="AX384" s="719"/>
      <c r="AY384" s="719"/>
      <c r="AZ384" s="532"/>
    </row>
    <row r="385" spans="1:52" ht="15.75" hidden="1" customHeight="1">
      <c r="A385" s="716" t="s">
        <v>677</v>
      </c>
      <c r="B385" s="717" t="s">
        <v>1853</v>
      </c>
      <c r="C385" s="789">
        <f>+$C$383+$G$384</f>
        <v>39910</v>
      </c>
      <c r="D385" s="719"/>
      <c r="E385" s="719"/>
      <c r="F385" s="720">
        <v>0</v>
      </c>
      <c r="G385" s="721"/>
      <c r="H385" s="726" t="s">
        <v>138</v>
      </c>
      <c r="I385" s="722" t="s">
        <v>948</v>
      </c>
      <c r="J385" s="762"/>
      <c r="K385" s="719"/>
      <c r="L385" s="719" t="s">
        <v>241</v>
      </c>
      <c r="M385" s="719"/>
      <c r="N385" s="726" t="s">
        <v>696</v>
      </c>
      <c r="O385" s="726"/>
      <c r="P385" s="726"/>
      <c r="Q385" s="719">
        <v>0</v>
      </c>
      <c r="R385" s="719">
        <v>0</v>
      </c>
      <c r="S385" s="719"/>
      <c r="T385" s="719">
        <v>30</v>
      </c>
      <c r="U385" s="719"/>
      <c r="V385" s="719"/>
      <c r="W385" s="719">
        <v>1.1000000000000001</v>
      </c>
      <c r="X385" s="719"/>
      <c r="Y385" s="719"/>
      <c r="Z385" s="719"/>
      <c r="AA385" s="719"/>
      <c r="AB385" s="719"/>
      <c r="AC385" s="719" t="s">
        <v>2612</v>
      </c>
      <c r="AD385" s="719"/>
      <c r="AE385" s="719"/>
      <c r="AF385" s="719">
        <v>200</v>
      </c>
      <c r="AG385" s="789">
        <v>39910.300000000003</v>
      </c>
      <c r="AH385" s="719">
        <v>1502</v>
      </c>
      <c r="AI385" s="719">
        <v>-5180</v>
      </c>
      <c r="AJ385" s="719"/>
      <c r="AK385" s="719"/>
      <c r="AL385" s="719"/>
      <c r="AM385" s="719" t="s">
        <v>2609</v>
      </c>
      <c r="AN385" s="719">
        <v>5.25</v>
      </c>
      <c r="AO385" s="719"/>
      <c r="AP385" s="719"/>
      <c r="AQ385" s="724"/>
      <c r="AR385" s="724"/>
      <c r="AS385" s="724"/>
      <c r="AT385" s="724">
        <f>+ab($T$385,$T$383,$T$387,$G$384,$G$386, 1*$F$385,1200)</f>
        <v>9.7455404357029103</v>
      </c>
      <c r="AU385" s="724"/>
      <c r="AV385" s="724"/>
      <c r="AW385" s="719"/>
      <c r="AX385" s="719"/>
      <c r="AY385" s="719"/>
      <c r="AZ385" s="532"/>
    </row>
    <row r="386" spans="1:52" ht="15.75" hidden="1" customHeight="1">
      <c r="A386" s="716"/>
      <c r="B386" s="717"/>
      <c r="C386" s="789"/>
      <c r="D386" s="719"/>
      <c r="E386" s="719"/>
      <c r="F386" s="720"/>
      <c r="G386" s="721">
        <v>50</v>
      </c>
      <c r="H386" s="726"/>
      <c r="I386" s="726"/>
      <c r="J386" s="762">
        <f>C385+10</f>
        <v>39920</v>
      </c>
      <c r="K386" s="719" t="s">
        <v>1097</v>
      </c>
      <c r="L386" s="719"/>
      <c r="M386" s="719"/>
      <c r="N386" s="726"/>
      <c r="O386" s="726"/>
      <c r="P386" s="726"/>
      <c r="Q386" s="719"/>
      <c r="R386" s="719"/>
      <c r="S386" s="724">
        <f>AG387-AG385</f>
        <v>49.689999999995052</v>
      </c>
      <c r="T386" s="719"/>
      <c r="U386" s="719"/>
      <c r="V386" s="719"/>
      <c r="W386" s="719"/>
      <c r="X386" s="719"/>
      <c r="Y386" s="719"/>
      <c r="Z386" s="719"/>
      <c r="AA386" s="719"/>
      <c r="AB386" s="719"/>
      <c r="AC386" s="719"/>
      <c r="AD386" s="719"/>
      <c r="AE386" s="719"/>
      <c r="AF386" s="719"/>
      <c r="AG386" s="789"/>
      <c r="AH386" s="719"/>
      <c r="AI386" s="719"/>
      <c r="AJ386" s="719"/>
      <c r="AK386" s="719"/>
      <c r="AL386" s="719"/>
      <c r="AM386" s="719"/>
      <c r="AN386" s="719"/>
      <c r="AO386" s="719"/>
      <c r="AP386" s="719"/>
      <c r="AQ386" s="724">
        <f>+FL_2($U$387,$T$385,$G$386,1200,9.28, 1*$F$387)</f>
        <v>-0.29489941866666664</v>
      </c>
      <c r="AR386" s="724"/>
      <c r="AS386" s="724"/>
      <c r="AT386" s="724"/>
      <c r="AU386" s="724"/>
      <c r="AV386" s="724"/>
      <c r="AW386" s="719"/>
      <c r="AX386" s="719"/>
      <c r="AY386" s="719"/>
      <c r="AZ386" s="532"/>
    </row>
    <row r="387" spans="1:52" ht="15.75" hidden="1" customHeight="1">
      <c r="A387" s="716" t="s">
        <v>677</v>
      </c>
      <c r="B387" s="717" t="s">
        <v>1854</v>
      </c>
      <c r="C387" s="789">
        <f>+$C$385+$G$386</f>
        <v>39960</v>
      </c>
      <c r="D387" s="719"/>
      <c r="E387" s="719"/>
      <c r="F387" s="720">
        <v>0</v>
      </c>
      <c r="G387" s="721"/>
      <c r="H387" s="726" t="s">
        <v>668</v>
      </c>
      <c r="I387" s="722"/>
      <c r="J387" s="762"/>
      <c r="K387" s="719"/>
      <c r="L387" s="719" t="s">
        <v>465</v>
      </c>
      <c r="M387" s="719"/>
      <c r="N387" s="726" t="s">
        <v>697</v>
      </c>
      <c r="O387" s="726" t="s">
        <v>695</v>
      </c>
      <c r="P387" s="726"/>
      <c r="Q387" s="719">
        <v>0</v>
      </c>
      <c r="R387" s="719">
        <v>0</v>
      </c>
      <c r="S387" s="724">
        <f>AG388-AG387</f>
        <v>3.2200000000011642</v>
      </c>
      <c r="T387" s="719">
        <v>-5</v>
      </c>
      <c r="U387" s="719">
        <v>-25</v>
      </c>
      <c r="V387" s="719"/>
      <c r="W387" s="719">
        <v>1.1000000000000001</v>
      </c>
      <c r="X387" s="719">
        <v>1.2</v>
      </c>
      <c r="Y387" s="719"/>
      <c r="Z387" s="719">
        <v>0.45</v>
      </c>
      <c r="AA387" s="719"/>
      <c r="AB387" s="719"/>
      <c r="AC387" s="719"/>
      <c r="AD387" s="719" t="s">
        <v>2614</v>
      </c>
      <c r="AE387" s="719"/>
      <c r="AF387" s="719">
        <v>200</v>
      </c>
      <c r="AG387" s="789">
        <v>39959.99</v>
      </c>
      <c r="AH387" s="719">
        <v>1480</v>
      </c>
      <c r="AI387" s="719">
        <v>-5200</v>
      </c>
      <c r="AJ387" s="719"/>
      <c r="AK387" s="719"/>
      <c r="AL387" s="719"/>
      <c r="AM387" s="719" t="s">
        <v>2609</v>
      </c>
      <c r="AN387" s="719">
        <v>5.25</v>
      </c>
      <c r="AO387" s="719"/>
      <c r="AP387" s="719"/>
      <c r="AQ387" s="724"/>
      <c r="AR387" s="724"/>
      <c r="AS387" s="724"/>
      <c r="AT387" s="724">
        <f>+ab($U$387,$T$385,$U$389,$G$386,$G$388, 1*$F$387,1200)</f>
        <v>-11.145107873316856</v>
      </c>
      <c r="AU387" s="724"/>
      <c r="AV387" s="724"/>
      <c r="AW387" s="719"/>
      <c r="AX387" s="719"/>
      <c r="AY387" s="719"/>
      <c r="AZ387" s="532"/>
    </row>
    <row r="388" spans="1:52" ht="15.75" hidden="1" customHeight="1">
      <c r="A388" s="716"/>
      <c r="B388" s="717"/>
      <c r="C388" s="789"/>
      <c r="D388" s="719"/>
      <c r="E388" s="719"/>
      <c r="F388" s="720"/>
      <c r="G388" s="721">
        <v>50</v>
      </c>
      <c r="H388" s="726"/>
      <c r="I388" s="726"/>
      <c r="J388" s="762"/>
      <c r="K388" s="719"/>
      <c r="L388" s="719"/>
      <c r="M388" s="719"/>
      <c r="N388" s="726"/>
      <c r="O388" s="726"/>
      <c r="P388" s="726"/>
      <c r="Q388" s="719">
        <v>0</v>
      </c>
      <c r="R388" s="719">
        <v>0</v>
      </c>
      <c r="S388" s="724">
        <f t="shared" ref="S388:S390" si="109">AG389-AG388</f>
        <v>44.830000000001746</v>
      </c>
      <c r="T388" s="719"/>
      <c r="U388" s="719"/>
      <c r="V388" s="719"/>
      <c r="W388" s="719"/>
      <c r="X388" s="719"/>
      <c r="Y388" s="719"/>
      <c r="Z388" s="719"/>
      <c r="AA388" s="719"/>
      <c r="AB388" s="719"/>
      <c r="AC388" s="719"/>
      <c r="AD388" s="719"/>
      <c r="AE388" s="719"/>
      <c r="AF388" s="719"/>
      <c r="AG388" s="789">
        <v>39963.21</v>
      </c>
      <c r="AH388" s="719">
        <v>1449</v>
      </c>
      <c r="AI388" s="719">
        <v>-5195</v>
      </c>
      <c r="AJ388" s="719"/>
      <c r="AK388" s="719"/>
      <c r="AL388" s="719"/>
      <c r="AM388" s="719"/>
      <c r="AN388" s="719"/>
      <c r="AO388" s="719"/>
      <c r="AP388" s="719"/>
      <c r="AQ388" s="724">
        <f>+FL_1($T$389,$U$387,$G$388,1200,9.28, 1*$F$389)</f>
        <v>0.30632183866666668</v>
      </c>
      <c r="AR388" s="724"/>
      <c r="AS388" s="724"/>
      <c r="AT388" s="724"/>
      <c r="AU388" s="724"/>
      <c r="AV388" s="724"/>
      <c r="AW388" s="719"/>
      <c r="AX388" s="719"/>
      <c r="AY388" s="719"/>
      <c r="AZ388" s="532"/>
    </row>
    <row r="389" spans="1:52" ht="15.75" hidden="1" customHeight="1">
      <c r="A389" s="716" t="s">
        <v>677</v>
      </c>
      <c r="B389" s="717" t="s">
        <v>1855</v>
      </c>
      <c r="C389" s="789">
        <f>+$C$387+$G$388</f>
        <v>40010</v>
      </c>
      <c r="D389" s="719"/>
      <c r="E389" s="719"/>
      <c r="F389" s="720">
        <v>0</v>
      </c>
      <c r="G389" s="721"/>
      <c r="H389" s="726" t="s">
        <v>668</v>
      </c>
      <c r="I389" s="722"/>
      <c r="J389" s="762"/>
      <c r="K389" s="719"/>
      <c r="L389" s="719" t="s">
        <v>465</v>
      </c>
      <c r="M389" s="719"/>
      <c r="N389" s="726" t="s">
        <v>696</v>
      </c>
      <c r="O389" s="726" t="s">
        <v>697</v>
      </c>
      <c r="P389" s="726"/>
      <c r="Q389" s="719">
        <v>0</v>
      </c>
      <c r="R389" s="719">
        <v>0</v>
      </c>
      <c r="S389" s="724">
        <f t="shared" si="109"/>
        <v>3.1900000000023283</v>
      </c>
      <c r="T389" s="719">
        <v>25</v>
      </c>
      <c r="U389" s="719">
        <v>5</v>
      </c>
      <c r="V389" s="719"/>
      <c r="W389" s="719">
        <v>1.1000000000000001</v>
      </c>
      <c r="X389" s="719">
        <v>1.2</v>
      </c>
      <c r="Y389" s="719"/>
      <c r="Z389" s="719"/>
      <c r="AA389" s="719">
        <v>0.45</v>
      </c>
      <c r="AB389" s="719"/>
      <c r="AC389" s="719" t="s">
        <v>2616</v>
      </c>
      <c r="AD389" s="719"/>
      <c r="AE389" s="719"/>
      <c r="AF389" s="719">
        <v>200</v>
      </c>
      <c r="AG389" s="789">
        <v>40008.04</v>
      </c>
      <c r="AH389" s="719">
        <v>1496</v>
      </c>
      <c r="AI389" s="719">
        <v>-5194</v>
      </c>
      <c r="AJ389" s="719"/>
      <c r="AK389" s="719"/>
      <c r="AL389" s="719"/>
      <c r="AM389" s="719" t="s">
        <v>2609</v>
      </c>
      <c r="AN389" s="719">
        <v>5.25</v>
      </c>
      <c r="AO389" s="719"/>
      <c r="AP389" s="719"/>
      <c r="AQ389" s="724"/>
      <c r="AR389" s="724"/>
      <c r="AS389" s="724"/>
      <c r="AT389" s="724">
        <f>+ab($T$389,$T$387,$T$391,$G$388,$G$390, 1*$F$389,1200)</f>
        <v>11.14504395531122</v>
      </c>
      <c r="AU389" s="724"/>
      <c r="AV389" s="724"/>
      <c r="AW389" s="719"/>
      <c r="AX389" s="719"/>
      <c r="AY389" s="719"/>
      <c r="AZ389" s="532"/>
    </row>
    <row r="390" spans="1:52" ht="15.75" hidden="1" customHeight="1">
      <c r="A390" s="716"/>
      <c r="B390" s="717"/>
      <c r="C390" s="789"/>
      <c r="D390" s="719"/>
      <c r="E390" s="719"/>
      <c r="F390" s="720"/>
      <c r="G390" s="721">
        <v>50</v>
      </c>
      <c r="H390" s="726"/>
      <c r="I390" s="726"/>
      <c r="J390" s="762">
        <f>C391-10</f>
        <v>40050</v>
      </c>
      <c r="K390" s="719" t="s">
        <v>1097</v>
      </c>
      <c r="L390" s="719"/>
      <c r="M390" s="719"/>
      <c r="N390" s="726"/>
      <c r="O390" s="726"/>
      <c r="P390" s="738"/>
      <c r="Q390" s="719">
        <v>0</v>
      </c>
      <c r="R390" s="719">
        <v>0</v>
      </c>
      <c r="S390" s="724">
        <f t="shared" si="109"/>
        <v>48.009999999994761</v>
      </c>
      <c r="T390" s="719"/>
      <c r="U390" s="719"/>
      <c r="V390" s="719"/>
      <c r="W390" s="719"/>
      <c r="X390" s="719"/>
      <c r="Y390" s="719"/>
      <c r="Z390" s="719"/>
      <c r="AA390" s="719"/>
      <c r="AB390" s="719"/>
      <c r="AC390" s="719"/>
      <c r="AD390" s="719"/>
      <c r="AE390" s="719"/>
      <c r="AF390" s="719"/>
      <c r="AG390" s="789">
        <v>40011.230000000003</v>
      </c>
      <c r="AH390" s="719">
        <v>1511</v>
      </c>
      <c r="AI390" s="719">
        <v>-5197</v>
      </c>
      <c r="AJ390" s="719"/>
      <c r="AK390" s="719"/>
      <c r="AL390" s="719"/>
      <c r="AM390" s="719"/>
      <c r="AN390" s="719"/>
      <c r="AO390" s="719"/>
      <c r="AP390" s="719"/>
      <c r="AQ390" s="724">
        <f>+FL_1($T$391,$T$389,$G$390,1200,9.28, 1*$F$391)</f>
        <v>0.29489941866666669</v>
      </c>
      <c r="AR390" s="724"/>
      <c r="AS390" s="724"/>
      <c r="AT390" s="724"/>
      <c r="AU390" s="724"/>
      <c r="AV390" s="724"/>
      <c r="AW390" s="719"/>
      <c r="AX390" s="719"/>
      <c r="AY390" s="719"/>
      <c r="AZ390" s="532"/>
    </row>
    <row r="391" spans="1:52" ht="15.75" hidden="1" customHeight="1">
      <c r="A391" s="716" t="s">
        <v>677</v>
      </c>
      <c r="B391" s="717" t="s">
        <v>1856</v>
      </c>
      <c r="C391" s="789">
        <f>+$C$389+$G$390</f>
        <v>40060</v>
      </c>
      <c r="D391" s="719"/>
      <c r="E391" s="719"/>
      <c r="F391" s="720">
        <v>0</v>
      </c>
      <c r="G391" s="721"/>
      <c r="H391" s="726" t="s">
        <v>138</v>
      </c>
      <c r="I391" s="726" t="s">
        <v>948</v>
      </c>
      <c r="J391" s="762"/>
      <c r="K391" s="719"/>
      <c r="L391" s="719" t="s">
        <v>241</v>
      </c>
      <c r="M391" s="719"/>
      <c r="N391" s="726" t="s">
        <v>695</v>
      </c>
      <c r="O391" s="726"/>
      <c r="P391" s="726"/>
      <c r="Q391" s="719">
        <v>0</v>
      </c>
      <c r="R391" s="719">
        <v>0</v>
      </c>
      <c r="S391" s="719"/>
      <c r="T391" s="719">
        <v>-30</v>
      </c>
      <c r="U391" s="719"/>
      <c r="V391" s="719"/>
      <c r="W391" s="719">
        <v>1.1000000000000001</v>
      </c>
      <c r="X391" s="719"/>
      <c r="Y391" s="719"/>
      <c r="Z391" s="719"/>
      <c r="AA391" s="719"/>
      <c r="AB391" s="719"/>
      <c r="AC391" s="719" t="s">
        <v>2614</v>
      </c>
      <c r="AD391" s="719"/>
      <c r="AE391" s="719"/>
      <c r="AF391" s="719">
        <v>200</v>
      </c>
      <c r="AG391" s="789">
        <v>40059.24</v>
      </c>
      <c r="AH391" s="719">
        <v>1462</v>
      </c>
      <c r="AI391" s="719">
        <v>-5212</v>
      </c>
      <c r="AJ391" s="719"/>
      <c r="AK391" s="719"/>
      <c r="AL391" s="719"/>
      <c r="AM391" s="719" t="s">
        <v>2609</v>
      </c>
      <c r="AN391" s="719">
        <v>5.25</v>
      </c>
      <c r="AO391" s="719"/>
      <c r="AP391" s="719"/>
      <c r="AQ391" s="724"/>
      <c r="AR391" s="724"/>
      <c r="AS391" s="724"/>
      <c r="AT391" s="724">
        <f>+ab($T$391,$T$389,$T$393,$G$390,$G$392, 1*$F$391,1200)</f>
        <v>-8.2849467556123688</v>
      </c>
      <c r="AU391" s="724"/>
      <c r="AV391" s="724"/>
      <c r="AW391" s="719"/>
      <c r="AX391" s="719"/>
      <c r="AY391" s="719"/>
      <c r="AZ391" s="532"/>
    </row>
    <row r="392" spans="1:52" ht="15.75" hidden="1" customHeight="1">
      <c r="A392" s="716"/>
      <c r="B392" s="717"/>
      <c r="C392" s="789"/>
      <c r="D392" s="719"/>
      <c r="E392" s="719"/>
      <c r="F392" s="720"/>
      <c r="G392" s="721">
        <v>50</v>
      </c>
      <c r="H392" s="726"/>
      <c r="I392" s="726"/>
      <c r="J392" s="762"/>
      <c r="K392" s="719"/>
      <c r="L392" s="719"/>
      <c r="M392" s="719"/>
      <c r="N392" s="726"/>
      <c r="O392" s="726"/>
      <c r="P392" s="726"/>
      <c r="Q392" s="719"/>
      <c r="R392" s="719"/>
      <c r="S392" s="724">
        <f t="shared" ref="S392:S394" si="110">AG393-AG391</f>
        <v>49.880000000004657</v>
      </c>
      <c r="T392" s="719"/>
      <c r="U392" s="719"/>
      <c r="V392" s="719"/>
      <c r="W392" s="719"/>
      <c r="X392" s="719"/>
      <c r="Y392" s="719"/>
      <c r="Z392" s="719"/>
      <c r="AA392" s="719"/>
      <c r="AB392" s="719"/>
      <c r="AC392" s="719"/>
      <c r="AD392" s="719"/>
      <c r="AE392" s="719"/>
      <c r="AF392" s="719"/>
      <c r="AG392" s="789"/>
      <c r="AH392" s="719"/>
      <c r="AI392" s="719"/>
      <c r="AJ392" s="719"/>
      <c r="AK392" s="719"/>
      <c r="AL392" s="719"/>
      <c r="AM392" s="719"/>
      <c r="AN392" s="719"/>
      <c r="AO392" s="719"/>
      <c r="AP392" s="719"/>
      <c r="AQ392" s="724">
        <f>+FL_1($T$393,$T$391,$G$392,1200,9.28, 1*$F$393)</f>
        <v>0.33477011200000001</v>
      </c>
      <c r="AR392" s="724"/>
      <c r="AS392" s="724"/>
      <c r="AT392" s="724"/>
      <c r="AU392" s="724"/>
      <c r="AV392" s="724"/>
      <c r="AW392" s="719"/>
      <c r="AX392" s="719"/>
      <c r="AY392" s="719"/>
      <c r="AZ392" s="532"/>
    </row>
    <row r="393" spans="1:52" ht="15.75" hidden="1" customHeight="1">
      <c r="A393" s="716" t="s">
        <v>677</v>
      </c>
      <c r="B393" s="717" t="s">
        <v>1857</v>
      </c>
      <c r="C393" s="789">
        <f>+$C$391+$G$392</f>
        <v>40110</v>
      </c>
      <c r="D393" s="719"/>
      <c r="E393" s="719"/>
      <c r="F393" s="720">
        <v>0</v>
      </c>
      <c r="G393" s="721"/>
      <c r="H393" s="726"/>
      <c r="I393" s="726"/>
      <c r="J393" s="762"/>
      <c r="K393" s="719"/>
      <c r="L393" s="719" t="s">
        <v>241</v>
      </c>
      <c r="M393" s="719"/>
      <c r="N393" s="726" t="s">
        <v>696</v>
      </c>
      <c r="O393" s="726"/>
      <c r="P393" s="726"/>
      <c r="Q393" s="719">
        <v>0</v>
      </c>
      <c r="R393" s="719">
        <v>0</v>
      </c>
      <c r="S393" s="719"/>
      <c r="T393" s="719">
        <v>30</v>
      </c>
      <c r="U393" s="719"/>
      <c r="V393" s="719"/>
      <c r="W393" s="719">
        <v>1.1000000000000001</v>
      </c>
      <c r="X393" s="719"/>
      <c r="Y393" s="719"/>
      <c r="Z393" s="719"/>
      <c r="AA393" s="719"/>
      <c r="AB393" s="719"/>
      <c r="AC393" s="719" t="s">
        <v>2977</v>
      </c>
      <c r="AD393" s="719"/>
      <c r="AE393" s="719"/>
      <c r="AF393" s="719">
        <v>200</v>
      </c>
      <c r="AG393" s="789">
        <v>40109.120000000003</v>
      </c>
      <c r="AH393" s="719">
        <v>1496</v>
      </c>
      <c r="AI393" s="719">
        <v>-5200</v>
      </c>
      <c r="AJ393" s="719"/>
      <c r="AK393" s="719"/>
      <c r="AL393" s="719"/>
      <c r="AM393" s="719" t="s">
        <v>2609</v>
      </c>
      <c r="AN393" s="719">
        <v>5.25</v>
      </c>
      <c r="AO393" s="719"/>
      <c r="AP393" s="719"/>
      <c r="AQ393" s="724"/>
      <c r="AR393" s="724"/>
      <c r="AS393" s="724"/>
      <c r="AT393" s="724">
        <f>+ab($T$393,$T$391,$T$395,$G$392,$G$394, 1*$F$393,1200)</f>
        <v>7.9442083933778509</v>
      </c>
      <c r="AU393" s="724"/>
      <c r="AV393" s="724"/>
      <c r="AW393" s="719"/>
      <c r="AX393" s="719"/>
      <c r="AY393" s="719"/>
      <c r="AZ393" s="532"/>
    </row>
    <row r="394" spans="1:52" ht="15.75" hidden="1" customHeight="1">
      <c r="A394" s="716"/>
      <c r="B394" s="717"/>
      <c r="C394" s="789"/>
      <c r="D394" s="719"/>
      <c r="E394" s="719"/>
      <c r="F394" s="720"/>
      <c r="G394" s="721">
        <v>50</v>
      </c>
      <c r="H394" s="726"/>
      <c r="I394" s="726"/>
      <c r="J394" s="762"/>
      <c r="K394" s="719"/>
      <c r="L394" s="719"/>
      <c r="M394" s="719"/>
      <c r="N394" s="726"/>
      <c r="O394" s="726"/>
      <c r="P394" s="738"/>
      <c r="Q394" s="719"/>
      <c r="R394" s="719"/>
      <c r="S394" s="724">
        <f t="shared" si="110"/>
        <v>51.099999999998545</v>
      </c>
      <c r="T394" s="719"/>
      <c r="U394" s="719"/>
      <c r="V394" s="719"/>
      <c r="W394" s="719"/>
      <c r="X394" s="719"/>
      <c r="Y394" s="719"/>
      <c r="Z394" s="719"/>
      <c r="AA394" s="719"/>
      <c r="AB394" s="719"/>
      <c r="AC394" s="719"/>
      <c r="AD394" s="719"/>
      <c r="AE394" s="719"/>
      <c r="AF394" s="719"/>
      <c r="AG394" s="789"/>
      <c r="AH394" s="719"/>
      <c r="AI394" s="719"/>
      <c r="AJ394" s="719"/>
      <c r="AK394" s="719"/>
      <c r="AL394" s="719"/>
      <c r="AM394" s="719"/>
      <c r="AN394" s="719"/>
      <c r="AO394" s="719"/>
      <c r="AP394" s="719"/>
      <c r="AQ394" s="724">
        <f>+FL_2($T$395,$T$393,$G$394,1200,9.28, 1*$F$395)</f>
        <v>-0.33477011200000001</v>
      </c>
      <c r="AR394" s="724"/>
      <c r="AS394" s="724"/>
      <c r="AT394" s="724"/>
      <c r="AU394" s="724"/>
      <c r="AV394" s="724"/>
      <c r="AW394" s="719"/>
      <c r="AX394" s="719"/>
      <c r="AY394" s="719"/>
      <c r="AZ394" s="532"/>
    </row>
    <row r="395" spans="1:52" ht="15.75" hidden="1" customHeight="1">
      <c r="A395" s="716" t="s">
        <v>677</v>
      </c>
      <c r="B395" s="717" t="s">
        <v>1858</v>
      </c>
      <c r="C395" s="789">
        <f>+$C$393+$G$394</f>
        <v>40160</v>
      </c>
      <c r="D395" s="719"/>
      <c r="E395" s="719"/>
      <c r="F395" s="720">
        <v>0</v>
      </c>
      <c r="G395" s="721"/>
      <c r="H395" s="726"/>
      <c r="I395" s="726"/>
      <c r="J395" s="762"/>
      <c r="K395" s="719"/>
      <c r="L395" s="719" t="s">
        <v>241</v>
      </c>
      <c r="M395" s="719"/>
      <c r="N395" s="726" t="s">
        <v>695</v>
      </c>
      <c r="O395" s="726"/>
      <c r="P395" s="726"/>
      <c r="Q395" s="719">
        <v>0</v>
      </c>
      <c r="R395" s="719">
        <v>0</v>
      </c>
      <c r="S395" s="719"/>
      <c r="T395" s="719">
        <v>-30</v>
      </c>
      <c r="U395" s="719"/>
      <c r="V395" s="719"/>
      <c r="W395" s="719">
        <v>1.1000000000000001</v>
      </c>
      <c r="X395" s="719"/>
      <c r="Y395" s="719"/>
      <c r="Z395" s="719"/>
      <c r="AA395" s="719"/>
      <c r="AB395" s="719"/>
      <c r="AC395" s="719" t="s">
        <v>2979</v>
      </c>
      <c r="AD395" s="719"/>
      <c r="AE395" s="719"/>
      <c r="AF395" s="719">
        <v>200</v>
      </c>
      <c r="AG395" s="789">
        <v>40160.22</v>
      </c>
      <c r="AH395" s="719">
        <v>1501</v>
      </c>
      <c r="AI395" s="719">
        <v>-5189</v>
      </c>
      <c r="AJ395" s="719"/>
      <c r="AK395" s="719"/>
      <c r="AL395" s="719"/>
      <c r="AM395" s="719" t="s">
        <v>2609</v>
      </c>
      <c r="AN395" s="719">
        <v>5.25</v>
      </c>
      <c r="AO395" s="719"/>
      <c r="AP395" s="719"/>
      <c r="AQ395" s="724"/>
      <c r="AR395" s="724"/>
      <c r="AS395" s="724"/>
      <c r="AT395" s="724">
        <f>+ab($T$395,$T$393,$T$397,$G$394,$G$396, 1*$F$395,1200)</f>
        <v>-7.9442410717051439</v>
      </c>
      <c r="AU395" s="724"/>
      <c r="AV395" s="724"/>
      <c r="AW395" s="719"/>
      <c r="AX395" s="719"/>
      <c r="AY395" s="719"/>
      <c r="AZ395" s="532"/>
    </row>
    <row r="396" spans="1:52" ht="15.75" hidden="1" customHeight="1">
      <c r="A396" s="716"/>
      <c r="B396" s="717"/>
      <c r="C396" s="789"/>
      <c r="D396" s="719"/>
      <c r="E396" s="719"/>
      <c r="F396" s="720"/>
      <c r="G396" s="721">
        <v>50</v>
      </c>
      <c r="H396" s="726"/>
      <c r="I396" s="726"/>
      <c r="J396" s="762"/>
      <c r="K396" s="719"/>
      <c r="L396" s="719"/>
      <c r="M396" s="719"/>
      <c r="N396" s="726"/>
      <c r="O396" s="726"/>
      <c r="P396" s="726"/>
      <c r="Q396" s="719"/>
      <c r="R396" s="719"/>
      <c r="S396" s="724">
        <f t="shared" ref="S396:S448" si="111">AG397-AG395</f>
        <v>49.680000000000291</v>
      </c>
      <c r="T396" s="719"/>
      <c r="U396" s="719"/>
      <c r="V396" s="719"/>
      <c r="W396" s="719"/>
      <c r="X396" s="719"/>
      <c r="Y396" s="719"/>
      <c r="Z396" s="719"/>
      <c r="AA396" s="719"/>
      <c r="AB396" s="719"/>
      <c r="AC396" s="719"/>
      <c r="AD396" s="719"/>
      <c r="AE396" s="719"/>
      <c r="AF396" s="719"/>
      <c r="AG396" s="789"/>
      <c r="AH396" s="719"/>
      <c r="AI396" s="719"/>
      <c r="AJ396" s="719"/>
      <c r="AK396" s="719"/>
      <c r="AL396" s="719"/>
      <c r="AM396" s="719"/>
      <c r="AN396" s="719"/>
      <c r="AO396" s="719"/>
      <c r="AP396" s="719"/>
      <c r="AQ396" s="724">
        <f>+FL_1($T$397,$T$395,$G$396,1200,9.28, 1*$F$397)</f>
        <v>0.33477011200000001</v>
      </c>
      <c r="AR396" s="724"/>
      <c r="AS396" s="724"/>
      <c r="AT396" s="724"/>
      <c r="AU396" s="724"/>
      <c r="AV396" s="724"/>
      <c r="AW396" s="719"/>
      <c r="AX396" s="719"/>
      <c r="AY396" s="719"/>
      <c r="AZ396" s="532"/>
    </row>
    <row r="397" spans="1:52" ht="15.75" hidden="1" customHeight="1">
      <c r="A397" s="716" t="s">
        <v>677</v>
      </c>
      <c r="B397" s="717" t="s">
        <v>1859</v>
      </c>
      <c r="C397" s="789">
        <f>+$C$395+$G$396</f>
        <v>40210</v>
      </c>
      <c r="D397" s="719"/>
      <c r="E397" s="719"/>
      <c r="F397" s="720">
        <v>0</v>
      </c>
      <c r="G397" s="721"/>
      <c r="H397" s="726"/>
      <c r="I397" s="726"/>
      <c r="J397" s="762"/>
      <c r="K397" s="719"/>
      <c r="L397" s="719" t="s">
        <v>241</v>
      </c>
      <c r="M397" s="719"/>
      <c r="N397" s="726" t="s">
        <v>696</v>
      </c>
      <c r="O397" s="726"/>
      <c r="P397" s="726"/>
      <c r="Q397" s="719">
        <v>0</v>
      </c>
      <c r="R397" s="719">
        <v>0</v>
      </c>
      <c r="S397" s="719"/>
      <c r="T397" s="719">
        <v>30</v>
      </c>
      <c r="U397" s="719"/>
      <c r="V397" s="719"/>
      <c r="W397" s="719">
        <v>1.1000000000000001</v>
      </c>
      <c r="X397" s="719"/>
      <c r="Y397" s="719"/>
      <c r="Z397" s="719"/>
      <c r="AA397" s="719"/>
      <c r="AB397" s="719"/>
      <c r="AC397" s="719" t="s">
        <v>2977</v>
      </c>
      <c r="AD397" s="719"/>
      <c r="AE397" s="719"/>
      <c r="AF397" s="719">
        <v>200</v>
      </c>
      <c r="AG397" s="789">
        <v>40209.9</v>
      </c>
      <c r="AH397" s="719">
        <v>1532</v>
      </c>
      <c r="AI397" s="719">
        <v>-5144</v>
      </c>
      <c r="AJ397" s="719"/>
      <c r="AK397" s="719"/>
      <c r="AL397" s="719"/>
      <c r="AM397" s="719" t="s">
        <v>2609</v>
      </c>
      <c r="AN397" s="719">
        <v>5.25</v>
      </c>
      <c r="AO397" s="719"/>
      <c r="AP397" s="719"/>
      <c r="AQ397" s="724"/>
      <c r="AR397" s="724"/>
      <c r="AS397" s="724"/>
      <c r="AT397" s="724">
        <f>+ab($T$397,$T$395,$T$399,$G$396,$G$398, 1*$F$397,1200)</f>
        <v>7.7840902388502782</v>
      </c>
      <c r="AU397" s="724"/>
      <c r="AV397" s="724"/>
      <c r="AW397" s="719"/>
      <c r="AX397" s="719"/>
      <c r="AY397" s="719"/>
      <c r="AZ397" s="532"/>
    </row>
    <row r="398" spans="1:52" ht="15.75" hidden="1" customHeight="1">
      <c r="A398" s="716"/>
      <c r="B398" s="717"/>
      <c r="C398" s="789"/>
      <c r="D398" s="719"/>
      <c r="E398" s="719"/>
      <c r="F398" s="720"/>
      <c r="G398" s="721">
        <v>48</v>
      </c>
      <c r="H398" s="726"/>
      <c r="I398" s="726"/>
      <c r="J398" s="762"/>
      <c r="K398" s="719"/>
      <c r="L398" s="719"/>
      <c r="M398" s="719"/>
      <c r="N398" s="726"/>
      <c r="O398" s="726"/>
      <c r="P398" s="726"/>
      <c r="Q398" s="719"/>
      <c r="R398" s="719"/>
      <c r="S398" s="724">
        <f t="shared" si="111"/>
        <v>48.019999999996799</v>
      </c>
      <c r="T398" s="719"/>
      <c r="U398" s="719"/>
      <c r="V398" s="719"/>
      <c r="W398" s="719"/>
      <c r="X398" s="719"/>
      <c r="Y398" s="719"/>
      <c r="Z398" s="719"/>
      <c r="AA398" s="719"/>
      <c r="AB398" s="719"/>
      <c r="AC398" s="719"/>
      <c r="AD398" s="719"/>
      <c r="AE398" s="719"/>
      <c r="AF398" s="719"/>
      <c r="AG398" s="789"/>
      <c r="AH398" s="719"/>
      <c r="AI398" s="719"/>
      <c r="AJ398" s="719"/>
      <c r="AK398" s="719"/>
      <c r="AL398" s="719"/>
      <c r="AM398" s="719"/>
      <c r="AN398" s="719"/>
      <c r="AO398" s="719"/>
      <c r="AP398" s="719"/>
      <c r="AQ398" s="724">
        <f>+FL_1($T$399,$T$397,$G$398,1200,9.28, 1*$F$399)</f>
        <v>0.32374370133333336</v>
      </c>
      <c r="AR398" s="724"/>
      <c r="AS398" s="724"/>
      <c r="AT398" s="724"/>
      <c r="AU398" s="724"/>
      <c r="AV398" s="724"/>
      <c r="AW398" s="719"/>
      <c r="AX398" s="719"/>
      <c r="AY398" s="719"/>
      <c r="AZ398" s="532"/>
    </row>
    <row r="399" spans="1:52" ht="15.75" hidden="1" customHeight="1">
      <c r="A399" s="716" t="s">
        <v>677</v>
      </c>
      <c r="B399" s="717" t="s">
        <v>1860</v>
      </c>
      <c r="C399" s="789">
        <f>+$C$397+$G$398</f>
        <v>40258</v>
      </c>
      <c r="D399" s="719"/>
      <c r="E399" s="719"/>
      <c r="F399" s="720">
        <v>0</v>
      </c>
      <c r="G399" s="721"/>
      <c r="H399" s="726"/>
      <c r="I399" s="726"/>
      <c r="J399" s="762"/>
      <c r="K399" s="719"/>
      <c r="L399" s="719" t="s">
        <v>241</v>
      </c>
      <c r="M399" s="719"/>
      <c r="N399" s="726" t="s">
        <v>695</v>
      </c>
      <c r="O399" s="726"/>
      <c r="P399" s="726"/>
      <c r="Q399" s="719">
        <v>0</v>
      </c>
      <c r="R399" s="719">
        <v>0</v>
      </c>
      <c r="S399" s="719"/>
      <c r="T399" s="719">
        <v>-30</v>
      </c>
      <c r="U399" s="719"/>
      <c r="V399" s="719"/>
      <c r="W399" s="719">
        <v>1.1000000000000001</v>
      </c>
      <c r="X399" s="719"/>
      <c r="Y399" s="719"/>
      <c r="Z399" s="719"/>
      <c r="AA399" s="719"/>
      <c r="AB399" s="719"/>
      <c r="AC399" s="719" t="s">
        <v>2979</v>
      </c>
      <c r="AD399" s="719"/>
      <c r="AE399" s="719"/>
      <c r="AF399" s="719">
        <v>200</v>
      </c>
      <c r="AG399" s="789">
        <v>40257.919999999998</v>
      </c>
      <c r="AH399" s="719">
        <v>1478</v>
      </c>
      <c r="AI399" s="719">
        <v>-5157</v>
      </c>
      <c r="AJ399" s="719"/>
      <c r="AK399" s="719"/>
      <c r="AL399" s="719"/>
      <c r="AM399" s="719" t="s">
        <v>2609</v>
      </c>
      <c r="AN399" s="719">
        <v>5.25</v>
      </c>
      <c r="AO399" s="719"/>
      <c r="AP399" s="719"/>
      <c r="AQ399" s="724"/>
      <c r="AR399" s="724"/>
      <c r="AS399" s="724"/>
      <c r="AT399" s="724">
        <f>+ab($T$399,$T$397,$T$401,$G$398,$G$400, 1*$F$399,1200)</f>
        <v>-7.7841209935497506</v>
      </c>
      <c r="AU399" s="724"/>
      <c r="AV399" s="724"/>
      <c r="AW399" s="719"/>
      <c r="AX399" s="719"/>
      <c r="AY399" s="719"/>
      <c r="AZ399" s="532"/>
    </row>
    <row r="400" spans="1:52" ht="15.75" hidden="1" customHeight="1">
      <c r="A400" s="716"/>
      <c r="B400" s="717"/>
      <c r="C400" s="789"/>
      <c r="D400" s="719"/>
      <c r="E400" s="719"/>
      <c r="F400" s="720"/>
      <c r="G400" s="721">
        <v>50</v>
      </c>
      <c r="H400" s="726"/>
      <c r="I400" s="726"/>
      <c r="J400" s="762"/>
      <c r="K400" s="719"/>
      <c r="L400" s="719"/>
      <c r="M400" s="719"/>
      <c r="N400" s="726"/>
      <c r="O400" s="726"/>
      <c r="P400" s="726"/>
      <c r="Q400" s="719"/>
      <c r="R400" s="719"/>
      <c r="S400" s="724">
        <f t="shared" si="111"/>
        <v>49.599999999998545</v>
      </c>
      <c r="T400" s="719"/>
      <c r="U400" s="719"/>
      <c r="V400" s="719"/>
      <c r="W400" s="719"/>
      <c r="X400" s="719"/>
      <c r="Y400" s="719"/>
      <c r="Z400" s="719"/>
      <c r="AA400" s="719"/>
      <c r="AB400" s="719"/>
      <c r="AC400" s="719"/>
      <c r="AD400" s="719"/>
      <c r="AE400" s="719"/>
      <c r="AF400" s="719"/>
      <c r="AG400" s="789"/>
      <c r="AH400" s="719"/>
      <c r="AI400" s="719"/>
      <c r="AJ400" s="719"/>
      <c r="AK400" s="719"/>
      <c r="AL400" s="719"/>
      <c r="AM400" s="719"/>
      <c r="AN400" s="719"/>
      <c r="AO400" s="719"/>
      <c r="AP400" s="719"/>
      <c r="AQ400" s="724">
        <f>+FL_1($T$401,$T$399,$G$400,1200,9.28, 1*$F$401)</f>
        <v>0.33477011200000001</v>
      </c>
      <c r="AR400" s="724"/>
      <c r="AS400" s="724"/>
      <c r="AT400" s="724"/>
      <c r="AU400" s="724"/>
      <c r="AV400" s="724"/>
      <c r="AW400" s="719"/>
      <c r="AX400" s="719"/>
      <c r="AY400" s="719"/>
      <c r="AZ400" s="532"/>
    </row>
    <row r="401" spans="1:52" ht="15.75" hidden="1" customHeight="1">
      <c r="A401" s="716" t="s">
        <v>677</v>
      </c>
      <c r="B401" s="717" t="s">
        <v>1861</v>
      </c>
      <c r="C401" s="789">
        <f>+$C$399+$G$400</f>
        <v>40308</v>
      </c>
      <c r="D401" s="719"/>
      <c r="E401" s="719"/>
      <c r="F401" s="720">
        <v>0</v>
      </c>
      <c r="G401" s="721"/>
      <c r="H401" s="726"/>
      <c r="I401" s="726"/>
      <c r="J401" s="762"/>
      <c r="K401" s="719"/>
      <c r="L401" s="719" t="s">
        <v>241</v>
      </c>
      <c r="M401" s="719"/>
      <c r="N401" s="726" t="s">
        <v>696</v>
      </c>
      <c r="O401" s="726"/>
      <c r="P401" s="726"/>
      <c r="Q401" s="719">
        <v>0</v>
      </c>
      <c r="R401" s="719">
        <v>0</v>
      </c>
      <c r="S401" s="719"/>
      <c r="T401" s="719">
        <v>30</v>
      </c>
      <c r="U401" s="719"/>
      <c r="V401" s="719"/>
      <c r="W401" s="719">
        <v>1.1000000000000001</v>
      </c>
      <c r="X401" s="719"/>
      <c r="Y401" s="719"/>
      <c r="Z401" s="719"/>
      <c r="AA401" s="719"/>
      <c r="AB401" s="719"/>
      <c r="AC401" s="719" t="s">
        <v>2977</v>
      </c>
      <c r="AD401" s="719"/>
      <c r="AE401" s="719"/>
      <c r="AF401" s="719">
        <v>200</v>
      </c>
      <c r="AG401" s="789">
        <v>40307.519999999997</v>
      </c>
      <c r="AH401" s="719">
        <v>1505</v>
      </c>
      <c r="AI401" s="719">
        <v>-5182</v>
      </c>
      <c r="AJ401" s="719"/>
      <c r="AK401" s="719"/>
      <c r="AL401" s="719"/>
      <c r="AM401" s="719" t="s">
        <v>2609</v>
      </c>
      <c r="AN401" s="719">
        <v>5.25</v>
      </c>
      <c r="AO401" s="719"/>
      <c r="AP401" s="719"/>
      <c r="AQ401" s="724"/>
      <c r="AR401" s="724"/>
      <c r="AS401" s="724"/>
      <c r="AT401" s="724">
        <f>+ab($T$401,$T$399,$T$403,$G$400,$G$402, 1*$F$401,1200)</f>
        <v>7.9442083933778509</v>
      </c>
      <c r="AU401" s="724"/>
      <c r="AV401" s="724"/>
      <c r="AW401" s="719"/>
      <c r="AX401" s="719"/>
      <c r="AY401" s="719"/>
      <c r="AZ401" s="532"/>
    </row>
    <row r="402" spans="1:52" ht="15.75" hidden="1" customHeight="1">
      <c r="A402" s="716"/>
      <c r="B402" s="717"/>
      <c r="C402" s="789"/>
      <c r="D402" s="719"/>
      <c r="E402" s="719"/>
      <c r="F402" s="720"/>
      <c r="G402" s="721">
        <v>50</v>
      </c>
      <c r="H402" s="726"/>
      <c r="I402" s="726"/>
      <c r="J402" s="762"/>
      <c r="K402" s="719"/>
      <c r="L402" s="719"/>
      <c r="M402" s="719"/>
      <c r="N402" s="726"/>
      <c r="O402" s="726"/>
      <c r="P402" s="726"/>
      <c r="Q402" s="719"/>
      <c r="R402" s="719"/>
      <c r="S402" s="724">
        <f t="shared" si="111"/>
        <v>51.340000000003783</v>
      </c>
      <c r="T402" s="719"/>
      <c r="U402" s="719"/>
      <c r="V402" s="719"/>
      <c r="W402" s="719"/>
      <c r="X402" s="719"/>
      <c r="Y402" s="719"/>
      <c r="Z402" s="719"/>
      <c r="AA402" s="719"/>
      <c r="AB402" s="719"/>
      <c r="AC402" s="719"/>
      <c r="AD402" s="719"/>
      <c r="AE402" s="719"/>
      <c r="AF402" s="719"/>
      <c r="AG402" s="789"/>
      <c r="AH402" s="719"/>
      <c r="AI402" s="719"/>
      <c r="AJ402" s="719"/>
      <c r="AK402" s="719"/>
      <c r="AL402" s="719"/>
      <c r="AM402" s="719"/>
      <c r="AN402" s="719"/>
      <c r="AO402" s="719"/>
      <c r="AP402" s="719"/>
      <c r="AQ402" s="724">
        <f>+FL_2($T$403,$T$401,$G$402,1200,9.28, 1*$F$403)</f>
        <v>-0.33477011200000001</v>
      </c>
      <c r="AR402" s="724"/>
      <c r="AS402" s="724"/>
      <c r="AT402" s="724"/>
      <c r="AU402" s="724"/>
      <c r="AV402" s="724"/>
      <c r="AW402" s="719"/>
      <c r="AX402" s="719"/>
      <c r="AY402" s="719"/>
      <c r="AZ402" s="532"/>
    </row>
    <row r="403" spans="1:52" ht="15.75" customHeight="1">
      <c r="A403" s="716" t="s">
        <v>677</v>
      </c>
      <c r="B403" s="717" t="s">
        <v>1862</v>
      </c>
      <c r="C403" s="789">
        <f>+$C$401+$G$402</f>
        <v>40358</v>
      </c>
      <c r="D403" s="719"/>
      <c r="E403" s="719"/>
      <c r="F403" s="720">
        <v>0</v>
      </c>
      <c r="G403" s="721"/>
      <c r="H403" s="726" t="s">
        <v>1101</v>
      </c>
      <c r="I403" s="726"/>
      <c r="J403" s="762"/>
      <c r="K403" s="719"/>
      <c r="L403" s="719" t="s">
        <v>241</v>
      </c>
      <c r="M403" s="719"/>
      <c r="N403" s="726" t="s">
        <v>695</v>
      </c>
      <c r="O403" s="726"/>
      <c r="P403" s="726"/>
      <c r="Q403" s="719">
        <v>0</v>
      </c>
      <c r="R403" s="719">
        <v>0</v>
      </c>
      <c r="S403" s="719"/>
      <c r="T403" s="719">
        <v>-30</v>
      </c>
      <c r="U403" s="719"/>
      <c r="V403" s="719"/>
      <c r="W403" s="719">
        <v>1.1000000000000001</v>
      </c>
      <c r="X403" s="719"/>
      <c r="Y403" s="719"/>
      <c r="Z403" s="719"/>
      <c r="AA403" s="719"/>
      <c r="AB403" s="719"/>
      <c r="AC403" s="719" t="s">
        <v>2979</v>
      </c>
      <c r="AD403" s="719"/>
      <c r="AE403" s="719"/>
      <c r="AF403" s="719">
        <v>200</v>
      </c>
      <c r="AG403" s="789">
        <v>40358.86</v>
      </c>
      <c r="AH403" s="719">
        <v>1487</v>
      </c>
      <c r="AI403" s="719">
        <v>-5130</v>
      </c>
      <c r="AJ403" s="719"/>
      <c r="AK403" s="719"/>
      <c r="AL403" s="719"/>
      <c r="AM403" s="719" t="s">
        <v>2609</v>
      </c>
      <c r="AN403" s="719">
        <v>5.25</v>
      </c>
      <c r="AO403" s="719"/>
      <c r="AP403" s="719"/>
      <c r="AQ403" s="724"/>
      <c r="AR403" s="724"/>
      <c r="AS403" s="724"/>
      <c r="AT403" s="724">
        <f>+ab($T$403,$T$401,$T$405,$G$402,$G$404, 1*$F$403,1200)</f>
        <v>-7.9442410717051439</v>
      </c>
      <c r="AU403" s="724"/>
      <c r="AV403" s="724"/>
      <c r="AW403" s="719"/>
      <c r="AX403" s="719"/>
      <c r="AY403" s="719"/>
      <c r="AZ403" s="532"/>
    </row>
    <row r="404" spans="1:52" ht="15.75" hidden="1" customHeight="1">
      <c r="A404" s="716"/>
      <c r="B404" s="717"/>
      <c r="C404" s="789"/>
      <c r="D404" s="719"/>
      <c r="E404" s="719"/>
      <c r="F404" s="720"/>
      <c r="G404" s="721">
        <v>50</v>
      </c>
      <c r="H404" s="726"/>
      <c r="I404" s="726">
        <f>+SUM(G386:G404)</f>
        <v>498</v>
      </c>
      <c r="J404" s="762">
        <f>C403+1</f>
        <v>40359</v>
      </c>
      <c r="K404" s="719" t="s">
        <v>1102</v>
      </c>
      <c r="L404" s="719"/>
      <c r="M404" s="719"/>
      <c r="N404" s="726"/>
      <c r="O404" s="726"/>
      <c r="P404" s="726"/>
      <c r="Q404" s="719"/>
      <c r="R404" s="719"/>
      <c r="S404" s="724">
        <f t="shared" si="111"/>
        <v>49.650000000001455</v>
      </c>
      <c r="T404" s="719"/>
      <c r="U404" s="719"/>
      <c r="V404" s="719"/>
      <c r="W404" s="719"/>
      <c r="X404" s="719"/>
      <c r="Y404" s="719"/>
      <c r="Z404" s="719"/>
      <c r="AA404" s="719"/>
      <c r="AB404" s="719"/>
      <c r="AC404" s="719"/>
      <c r="AD404" s="719"/>
      <c r="AE404" s="719"/>
      <c r="AF404" s="719"/>
      <c r="AG404" s="789"/>
      <c r="AH404" s="719"/>
      <c r="AI404" s="719"/>
      <c r="AJ404" s="719"/>
      <c r="AK404" s="719"/>
      <c r="AL404" s="719"/>
      <c r="AM404" s="719"/>
      <c r="AN404" s="719"/>
      <c r="AO404" s="719"/>
      <c r="AP404" s="719"/>
      <c r="AQ404" s="724">
        <f>+FL_1($T$405,$T$403,$G$404,1200,9.28, 1*$F$405)</f>
        <v>0.33477011200000001</v>
      </c>
      <c r="AR404" s="724"/>
      <c r="AS404" s="724"/>
      <c r="AT404" s="724"/>
      <c r="AU404" s="724"/>
      <c r="AV404" s="724"/>
      <c r="AW404" s="719"/>
      <c r="AX404" s="719"/>
      <c r="AY404" s="719"/>
      <c r="AZ404" s="532"/>
    </row>
    <row r="405" spans="1:52" ht="15.75" customHeight="1">
      <c r="A405" s="716" t="s">
        <v>677</v>
      </c>
      <c r="B405" s="717" t="s">
        <v>1863</v>
      </c>
      <c r="C405" s="789">
        <f>+$C$403+$G$404</f>
        <v>40408</v>
      </c>
      <c r="D405" s="719"/>
      <c r="E405" s="719"/>
      <c r="F405" s="720">
        <v>0</v>
      </c>
      <c r="G405" s="721"/>
      <c r="H405" s="726" t="s">
        <v>997</v>
      </c>
      <c r="I405" s="726"/>
      <c r="J405" s="762"/>
      <c r="K405" s="719"/>
      <c r="L405" s="719" t="s">
        <v>241</v>
      </c>
      <c r="M405" s="719"/>
      <c r="N405" s="726" t="s">
        <v>696</v>
      </c>
      <c r="O405" s="726"/>
      <c r="P405" s="726"/>
      <c r="Q405" s="719">
        <v>0</v>
      </c>
      <c r="R405" s="719">
        <v>0</v>
      </c>
      <c r="S405" s="719"/>
      <c r="T405" s="719">
        <v>30</v>
      </c>
      <c r="U405" s="719"/>
      <c r="V405" s="719"/>
      <c r="W405" s="719">
        <v>1.1000000000000001</v>
      </c>
      <c r="X405" s="719"/>
      <c r="Y405" s="719"/>
      <c r="Z405" s="719"/>
      <c r="AA405" s="719"/>
      <c r="AB405" s="719"/>
      <c r="AC405" s="719" t="s">
        <v>2977</v>
      </c>
      <c r="AD405" s="719"/>
      <c r="AE405" s="719"/>
      <c r="AF405" s="719">
        <v>200</v>
      </c>
      <c r="AG405" s="789">
        <v>40408.51</v>
      </c>
      <c r="AH405" s="719">
        <v>1483</v>
      </c>
      <c r="AI405" s="719">
        <v>-5152</v>
      </c>
      <c r="AJ405" s="719"/>
      <c r="AK405" s="719"/>
      <c r="AL405" s="719"/>
      <c r="AM405" s="719" t="s">
        <v>2609</v>
      </c>
      <c r="AN405" s="719">
        <v>5.25</v>
      </c>
      <c r="AO405" s="719"/>
      <c r="AP405" s="719"/>
      <c r="AQ405" s="724"/>
      <c r="AR405" s="724"/>
      <c r="AS405" s="724"/>
      <c r="AT405" s="724">
        <f>+ab($T$405,$T$403,$T$407,$G$404,$G$406, 1*$F$405,1200)</f>
        <v>7.9442083933778509</v>
      </c>
      <c r="AU405" s="724"/>
      <c r="AV405" s="724"/>
      <c r="AW405" s="719"/>
      <c r="AX405" s="719"/>
      <c r="AY405" s="719"/>
      <c r="AZ405" s="532"/>
    </row>
    <row r="406" spans="1:52" ht="15.75" hidden="1" customHeight="1">
      <c r="A406" s="716"/>
      <c r="B406" s="717"/>
      <c r="C406" s="789"/>
      <c r="D406" s="719"/>
      <c r="E406" s="719"/>
      <c r="F406" s="720"/>
      <c r="G406" s="721">
        <v>50</v>
      </c>
      <c r="H406" s="726"/>
      <c r="I406" s="726">
        <f>SUM(G406:G424)</f>
        <v>500</v>
      </c>
      <c r="J406" s="762">
        <f>C407-1</f>
        <v>40457</v>
      </c>
      <c r="K406" s="719" t="s">
        <v>1102</v>
      </c>
      <c r="L406" s="719"/>
      <c r="M406" s="719"/>
      <c r="N406" s="726"/>
      <c r="O406" s="726"/>
      <c r="P406" s="726"/>
      <c r="Q406" s="719"/>
      <c r="R406" s="719"/>
      <c r="S406" s="724">
        <f t="shared" si="111"/>
        <v>48.019999999996799</v>
      </c>
      <c r="T406" s="719"/>
      <c r="U406" s="719"/>
      <c r="V406" s="719"/>
      <c r="W406" s="719"/>
      <c r="X406" s="719"/>
      <c r="Y406" s="719"/>
      <c r="Z406" s="719"/>
      <c r="AA406" s="719"/>
      <c r="AB406" s="719"/>
      <c r="AC406" s="719"/>
      <c r="AD406" s="719"/>
      <c r="AE406" s="719"/>
      <c r="AF406" s="719"/>
      <c r="AG406" s="789"/>
      <c r="AH406" s="719"/>
      <c r="AI406" s="719"/>
      <c r="AJ406" s="719"/>
      <c r="AK406" s="719"/>
      <c r="AL406" s="719"/>
      <c r="AM406" s="719"/>
      <c r="AN406" s="719"/>
      <c r="AO406" s="719"/>
      <c r="AP406" s="719"/>
      <c r="AQ406" s="724">
        <f>+FL_2($T$407,$T$405,$G$406,1200,9.28, 1*$F$407)</f>
        <v>-0.33477011200000001</v>
      </c>
      <c r="AR406" s="724"/>
      <c r="AS406" s="724"/>
      <c r="AT406" s="724"/>
      <c r="AU406" s="724"/>
      <c r="AV406" s="724"/>
      <c r="AW406" s="719"/>
      <c r="AX406" s="719"/>
      <c r="AY406" s="719"/>
      <c r="AZ406" s="532"/>
    </row>
    <row r="407" spans="1:52" ht="15.75" customHeight="1">
      <c r="A407" s="716" t="s">
        <v>677</v>
      </c>
      <c r="B407" s="717" t="s">
        <v>1864</v>
      </c>
      <c r="C407" s="789">
        <f>+$C$405+$G$406</f>
        <v>40458</v>
      </c>
      <c r="D407" s="719"/>
      <c r="E407" s="719"/>
      <c r="F407" s="720">
        <v>0</v>
      </c>
      <c r="G407" s="721"/>
      <c r="H407" s="726" t="s">
        <v>1101</v>
      </c>
      <c r="I407" s="726"/>
      <c r="J407" s="762"/>
      <c r="K407" s="719"/>
      <c r="L407" s="719" t="s">
        <v>241</v>
      </c>
      <c r="M407" s="719"/>
      <c r="N407" s="726" t="s">
        <v>695</v>
      </c>
      <c r="O407" s="726"/>
      <c r="P407" s="726"/>
      <c r="Q407" s="719">
        <v>0</v>
      </c>
      <c r="R407" s="719">
        <v>0</v>
      </c>
      <c r="S407" s="719"/>
      <c r="T407" s="719">
        <v>-30</v>
      </c>
      <c r="U407" s="719"/>
      <c r="V407" s="719"/>
      <c r="W407" s="719">
        <v>1.1000000000000001</v>
      </c>
      <c r="X407" s="719"/>
      <c r="Y407" s="719"/>
      <c r="Z407" s="719"/>
      <c r="AA407" s="719"/>
      <c r="AB407" s="719"/>
      <c r="AC407" s="719" t="s">
        <v>2979</v>
      </c>
      <c r="AD407" s="719"/>
      <c r="AE407" s="719"/>
      <c r="AF407" s="719">
        <v>200</v>
      </c>
      <c r="AG407" s="789">
        <v>40456.53</v>
      </c>
      <c r="AH407" s="719">
        <v>1495</v>
      </c>
      <c r="AI407" s="719">
        <v>-5121</v>
      </c>
      <c r="AJ407" s="719"/>
      <c r="AK407" s="719"/>
      <c r="AL407" s="719"/>
      <c r="AM407" s="719" t="s">
        <v>2609</v>
      </c>
      <c r="AN407" s="719">
        <v>5.25</v>
      </c>
      <c r="AO407" s="719"/>
      <c r="AP407" s="719"/>
      <c r="AQ407" s="724"/>
      <c r="AR407" s="724"/>
      <c r="AS407" s="724"/>
      <c r="AT407" s="724">
        <f>+ab($T$407,$T$405,$T$409,$G$406,$G$408, 1*$F$407,1200)</f>
        <v>-7.9442410717051439</v>
      </c>
      <c r="AU407" s="724"/>
      <c r="AV407" s="724"/>
      <c r="AW407" s="719"/>
      <c r="AX407" s="719"/>
      <c r="AY407" s="719"/>
      <c r="AZ407" s="532"/>
    </row>
    <row r="408" spans="1:52" ht="15.75" hidden="1" customHeight="1">
      <c r="A408" s="716"/>
      <c r="B408" s="717"/>
      <c r="C408" s="789"/>
      <c r="D408" s="719"/>
      <c r="E408" s="719"/>
      <c r="F408" s="720"/>
      <c r="G408" s="721">
        <v>50</v>
      </c>
      <c r="H408" s="726"/>
      <c r="I408" s="722"/>
      <c r="J408" s="762"/>
      <c r="K408" s="719"/>
      <c r="L408" s="719"/>
      <c r="M408" s="719"/>
      <c r="N408" s="726"/>
      <c r="O408" s="726"/>
      <c r="P408" s="726"/>
      <c r="Q408" s="719"/>
      <c r="R408" s="719"/>
      <c r="S408" s="724">
        <f t="shared" si="111"/>
        <v>51.30000000000291</v>
      </c>
      <c r="T408" s="719"/>
      <c r="U408" s="719"/>
      <c r="V408" s="719"/>
      <c r="W408" s="719"/>
      <c r="X408" s="719"/>
      <c r="Y408" s="719"/>
      <c r="Z408" s="719"/>
      <c r="AA408" s="719"/>
      <c r="AB408" s="719"/>
      <c r="AC408" s="719"/>
      <c r="AD408" s="719"/>
      <c r="AE408" s="719"/>
      <c r="AF408" s="719"/>
      <c r="AG408" s="789"/>
      <c r="AH408" s="719"/>
      <c r="AI408" s="719"/>
      <c r="AJ408" s="719"/>
      <c r="AK408" s="719"/>
      <c r="AL408" s="719"/>
      <c r="AM408" s="719"/>
      <c r="AN408" s="719"/>
      <c r="AO408" s="719"/>
      <c r="AP408" s="719"/>
      <c r="AQ408" s="724">
        <f>+FL_1($T$409,$T$407,$G$408,1200,9.28, 1*$F$409)</f>
        <v>0.33477011200000001</v>
      </c>
      <c r="AR408" s="724"/>
      <c r="AS408" s="724"/>
      <c r="AT408" s="724"/>
      <c r="AU408" s="724"/>
      <c r="AV408" s="724"/>
      <c r="AW408" s="719"/>
      <c r="AX408" s="719"/>
      <c r="AY408" s="719"/>
      <c r="AZ408" s="532"/>
    </row>
    <row r="409" spans="1:52" ht="15.75" hidden="1" customHeight="1">
      <c r="A409" s="716" t="s">
        <v>677</v>
      </c>
      <c r="B409" s="717" t="s">
        <v>1865</v>
      </c>
      <c r="C409" s="789">
        <f>+$C$407+$G$408</f>
        <v>40508</v>
      </c>
      <c r="D409" s="719"/>
      <c r="E409" s="719"/>
      <c r="F409" s="720">
        <v>0</v>
      </c>
      <c r="G409" s="721"/>
      <c r="H409" s="726"/>
      <c r="I409" s="726"/>
      <c r="J409" s="762"/>
      <c r="K409" s="719"/>
      <c r="L409" s="719" t="s">
        <v>241</v>
      </c>
      <c r="M409" s="719"/>
      <c r="N409" s="726" t="s">
        <v>696</v>
      </c>
      <c r="O409" s="726"/>
      <c r="P409" s="726"/>
      <c r="Q409" s="719">
        <v>0</v>
      </c>
      <c r="R409" s="719">
        <v>0</v>
      </c>
      <c r="S409" s="719"/>
      <c r="T409" s="719">
        <v>30</v>
      </c>
      <c r="U409" s="719"/>
      <c r="V409" s="719"/>
      <c r="W409" s="719">
        <v>1.1000000000000001</v>
      </c>
      <c r="X409" s="719"/>
      <c r="Y409" s="719"/>
      <c r="Z409" s="719"/>
      <c r="AA409" s="719"/>
      <c r="AB409" s="719"/>
      <c r="AC409" s="719" t="s">
        <v>2977</v>
      </c>
      <c r="AD409" s="719"/>
      <c r="AE409" s="719"/>
      <c r="AF409" s="719">
        <v>200</v>
      </c>
      <c r="AG409" s="789">
        <v>40507.83</v>
      </c>
      <c r="AH409" s="719">
        <v>1507</v>
      </c>
      <c r="AI409" s="719">
        <v>-5133</v>
      </c>
      <c r="AJ409" s="719"/>
      <c r="AK409" s="719"/>
      <c r="AL409" s="719"/>
      <c r="AM409" s="719" t="s">
        <v>2609</v>
      </c>
      <c r="AN409" s="719">
        <v>5.25</v>
      </c>
      <c r="AO409" s="719"/>
      <c r="AP409" s="719"/>
      <c r="AQ409" s="724"/>
      <c r="AR409" s="724"/>
      <c r="AS409" s="724"/>
      <c r="AT409" s="724">
        <f>+ab($T$409,$T$407,$T$411,$G$408,$G$410, 1*$F$409,1200)</f>
        <v>7.9442083933778509</v>
      </c>
      <c r="AU409" s="724"/>
      <c r="AV409" s="724"/>
      <c r="AW409" s="719"/>
      <c r="AX409" s="719"/>
      <c r="AY409" s="719"/>
      <c r="AZ409" s="532"/>
    </row>
    <row r="410" spans="1:52" ht="15.75" hidden="1" customHeight="1">
      <c r="A410" s="716"/>
      <c r="B410" s="717"/>
      <c r="C410" s="789"/>
      <c r="D410" s="719"/>
      <c r="E410" s="719"/>
      <c r="F410" s="720"/>
      <c r="G410" s="721">
        <v>50</v>
      </c>
      <c r="H410" s="726"/>
      <c r="I410" s="722"/>
      <c r="J410" s="762"/>
      <c r="K410" s="719"/>
      <c r="L410" s="719"/>
      <c r="M410" s="719"/>
      <c r="N410" s="726"/>
      <c r="O410" s="726"/>
      <c r="P410" s="726"/>
      <c r="Q410" s="719"/>
      <c r="R410" s="719"/>
      <c r="S410" s="724">
        <f t="shared" si="111"/>
        <v>49.69999999999709</v>
      </c>
      <c r="T410" s="719"/>
      <c r="U410" s="719"/>
      <c r="V410" s="719"/>
      <c r="W410" s="719"/>
      <c r="X410" s="719"/>
      <c r="Y410" s="719"/>
      <c r="Z410" s="719"/>
      <c r="AA410" s="719"/>
      <c r="AB410" s="719"/>
      <c r="AC410" s="719"/>
      <c r="AD410" s="719"/>
      <c r="AE410" s="719"/>
      <c r="AF410" s="719"/>
      <c r="AG410" s="789"/>
      <c r="AH410" s="719"/>
      <c r="AI410" s="719"/>
      <c r="AJ410" s="719"/>
      <c r="AK410" s="719"/>
      <c r="AL410" s="719"/>
      <c r="AM410" s="719"/>
      <c r="AN410" s="719"/>
      <c r="AO410" s="719"/>
      <c r="AP410" s="719"/>
      <c r="AQ410" s="724">
        <f>+FL_2($T$411,$T$409,$G$410,1200,9.28, 1*$F$411)</f>
        <v>-0.33477011200000001</v>
      </c>
      <c r="AR410" s="724"/>
      <c r="AS410" s="724"/>
      <c r="AT410" s="724"/>
      <c r="AU410" s="724"/>
      <c r="AV410" s="724"/>
      <c r="AW410" s="719"/>
      <c r="AX410" s="719"/>
      <c r="AY410" s="719"/>
      <c r="AZ410" s="532"/>
    </row>
    <row r="411" spans="1:52" ht="15.75" hidden="1" customHeight="1">
      <c r="A411" s="716" t="s">
        <v>677</v>
      </c>
      <c r="B411" s="717" t="s">
        <v>1866</v>
      </c>
      <c r="C411" s="789">
        <f>+$C$409+$G$410</f>
        <v>40558</v>
      </c>
      <c r="D411" s="719"/>
      <c r="E411" s="719"/>
      <c r="F411" s="720">
        <v>0</v>
      </c>
      <c r="G411" s="721"/>
      <c r="H411" s="726"/>
      <c r="I411" s="726"/>
      <c r="J411" s="762"/>
      <c r="K411" s="719"/>
      <c r="L411" s="719" t="s">
        <v>241</v>
      </c>
      <c r="M411" s="719"/>
      <c r="N411" s="726" t="s">
        <v>695</v>
      </c>
      <c r="O411" s="726"/>
      <c r="P411" s="726"/>
      <c r="Q411" s="719">
        <v>0</v>
      </c>
      <c r="R411" s="719">
        <v>0</v>
      </c>
      <c r="S411" s="719"/>
      <c r="T411" s="719">
        <v>-30</v>
      </c>
      <c r="U411" s="719"/>
      <c r="V411" s="719"/>
      <c r="W411" s="719">
        <v>1.1000000000000001</v>
      </c>
      <c r="X411" s="719"/>
      <c r="Y411" s="719"/>
      <c r="Z411" s="719"/>
      <c r="AA411" s="719"/>
      <c r="AB411" s="719"/>
      <c r="AC411" s="719" t="s">
        <v>2979</v>
      </c>
      <c r="AD411" s="719"/>
      <c r="AE411" s="719"/>
      <c r="AF411" s="719">
        <v>200</v>
      </c>
      <c r="AG411" s="789">
        <v>40557.53</v>
      </c>
      <c r="AH411" s="719">
        <v>1498</v>
      </c>
      <c r="AI411" s="719">
        <v>-5110</v>
      </c>
      <c r="AJ411" s="719"/>
      <c r="AK411" s="719"/>
      <c r="AL411" s="719"/>
      <c r="AM411" s="719" t="s">
        <v>2609</v>
      </c>
      <c r="AN411" s="719">
        <v>5.25</v>
      </c>
      <c r="AO411" s="719"/>
      <c r="AP411" s="719"/>
      <c r="AQ411" s="724"/>
      <c r="AR411" s="724"/>
      <c r="AS411" s="724"/>
      <c r="AT411" s="724">
        <f>+ab($T$411,$T$409,$T$413,$G$410,$G$412, 1*$F$411,1200)</f>
        <v>-7.9442410717051439</v>
      </c>
      <c r="AU411" s="724"/>
      <c r="AV411" s="724"/>
      <c r="AW411" s="719"/>
      <c r="AX411" s="719"/>
      <c r="AY411" s="719"/>
      <c r="AZ411" s="532"/>
    </row>
    <row r="412" spans="1:52" ht="15.75" hidden="1" customHeight="1">
      <c r="A412" s="716"/>
      <c r="B412" s="717"/>
      <c r="C412" s="789"/>
      <c r="D412" s="719"/>
      <c r="E412" s="719"/>
      <c r="F412" s="720"/>
      <c r="G412" s="721">
        <v>50</v>
      </c>
      <c r="H412" s="726"/>
      <c r="I412" s="722"/>
      <c r="J412" s="762"/>
      <c r="K412" s="719"/>
      <c r="L412" s="719"/>
      <c r="M412" s="719"/>
      <c r="N412" s="726"/>
      <c r="O412" s="726"/>
      <c r="P412" s="726"/>
      <c r="Q412" s="719"/>
      <c r="R412" s="719"/>
      <c r="S412" s="724">
        <f t="shared" si="111"/>
        <v>49.630000000004657</v>
      </c>
      <c r="T412" s="719"/>
      <c r="U412" s="719"/>
      <c r="V412" s="719"/>
      <c r="W412" s="719"/>
      <c r="X412" s="719"/>
      <c r="Y412" s="719"/>
      <c r="Z412" s="719"/>
      <c r="AA412" s="719"/>
      <c r="AB412" s="719"/>
      <c r="AC412" s="719"/>
      <c r="AD412" s="719"/>
      <c r="AE412" s="719"/>
      <c r="AF412" s="719"/>
      <c r="AG412" s="789"/>
      <c r="AH412" s="719"/>
      <c r="AI412" s="719"/>
      <c r="AJ412" s="719"/>
      <c r="AK412" s="719"/>
      <c r="AL412" s="719"/>
      <c r="AM412" s="719"/>
      <c r="AN412" s="719"/>
      <c r="AO412" s="719"/>
      <c r="AP412" s="719"/>
      <c r="AQ412" s="724">
        <f>+FL_1($T$413,$T$411,$G$412,1200,9.28, 1*$F$413)</f>
        <v>0.33477011200000001</v>
      </c>
      <c r="AR412" s="724"/>
      <c r="AS412" s="724"/>
      <c r="AT412" s="724"/>
      <c r="AU412" s="724"/>
      <c r="AV412" s="724"/>
      <c r="AW412" s="719"/>
      <c r="AX412" s="719"/>
      <c r="AY412" s="719"/>
      <c r="AZ412" s="532"/>
    </row>
    <row r="413" spans="1:52" ht="15.75" hidden="1" customHeight="1">
      <c r="A413" s="716" t="s">
        <v>677</v>
      </c>
      <c r="B413" s="717" t="s">
        <v>1867</v>
      </c>
      <c r="C413" s="789">
        <f>+$C$411+$G$412</f>
        <v>40608</v>
      </c>
      <c r="D413" s="719"/>
      <c r="E413" s="719"/>
      <c r="F413" s="720">
        <v>0</v>
      </c>
      <c r="G413" s="721"/>
      <c r="H413" s="726"/>
      <c r="I413" s="726"/>
      <c r="J413" s="762"/>
      <c r="K413" s="719"/>
      <c r="L413" s="719" t="s">
        <v>241</v>
      </c>
      <c r="M413" s="719"/>
      <c r="N413" s="726" t="s">
        <v>696</v>
      </c>
      <c r="O413" s="726"/>
      <c r="P413" s="726"/>
      <c r="Q413" s="719">
        <v>0</v>
      </c>
      <c r="R413" s="719">
        <v>0</v>
      </c>
      <c r="S413" s="719"/>
      <c r="T413" s="726">
        <v>30</v>
      </c>
      <c r="U413" s="726"/>
      <c r="V413" s="726"/>
      <c r="W413" s="719">
        <v>1.1000000000000001</v>
      </c>
      <c r="X413" s="726"/>
      <c r="Y413" s="726"/>
      <c r="Z413" s="726"/>
      <c r="AA413" s="726"/>
      <c r="AB413" s="726"/>
      <c r="AC413" s="726" t="s">
        <v>2977</v>
      </c>
      <c r="AD413" s="726"/>
      <c r="AE413" s="726"/>
      <c r="AF413" s="719">
        <v>200</v>
      </c>
      <c r="AG413" s="789">
        <v>40607.160000000003</v>
      </c>
      <c r="AH413" s="719">
        <v>1489</v>
      </c>
      <c r="AI413" s="726">
        <v>-5114</v>
      </c>
      <c r="AJ413" s="726"/>
      <c r="AK413" s="726"/>
      <c r="AL413" s="726"/>
      <c r="AM413" s="726" t="s">
        <v>2609</v>
      </c>
      <c r="AN413" s="719">
        <v>5.25</v>
      </c>
      <c r="AO413" s="726"/>
      <c r="AP413" s="726"/>
      <c r="AQ413" s="739"/>
      <c r="AR413" s="739"/>
      <c r="AS413" s="739"/>
      <c r="AT413" s="739">
        <f>+ab($T$413,$T$411,$T$415,$G$412,$G$414, 1*$F$413,1200)</f>
        <v>7.9442083933778509</v>
      </c>
      <c r="AU413" s="739"/>
      <c r="AV413" s="739"/>
      <c r="AW413" s="726"/>
      <c r="AX413" s="726"/>
      <c r="AY413" s="726"/>
      <c r="AZ413" s="532"/>
    </row>
    <row r="414" spans="1:52" ht="15.75" hidden="1" customHeight="1">
      <c r="A414" s="716"/>
      <c r="B414" s="717"/>
      <c r="C414" s="789"/>
      <c r="D414" s="719"/>
      <c r="E414" s="719"/>
      <c r="F414" s="720"/>
      <c r="G414" s="721">
        <v>50</v>
      </c>
      <c r="H414" s="726"/>
      <c r="I414" s="726"/>
      <c r="J414" s="762"/>
      <c r="K414" s="719"/>
      <c r="L414" s="719"/>
      <c r="M414" s="719"/>
      <c r="N414" s="726"/>
      <c r="O414" s="726"/>
      <c r="P414" s="726"/>
      <c r="Q414" s="719"/>
      <c r="R414" s="719"/>
      <c r="S414" s="724">
        <f t="shared" si="111"/>
        <v>51.239999999997963</v>
      </c>
      <c r="T414" s="726"/>
      <c r="U414" s="726"/>
      <c r="V414" s="726"/>
      <c r="W414" s="719"/>
      <c r="X414" s="726"/>
      <c r="Y414" s="726"/>
      <c r="Z414" s="726"/>
      <c r="AA414" s="726"/>
      <c r="AB414" s="726"/>
      <c r="AC414" s="726"/>
      <c r="AD414" s="726"/>
      <c r="AE414" s="726"/>
      <c r="AF414" s="719"/>
      <c r="AG414" s="789"/>
      <c r="AH414" s="719"/>
      <c r="AI414" s="726"/>
      <c r="AJ414" s="726"/>
      <c r="AK414" s="726"/>
      <c r="AL414" s="726"/>
      <c r="AM414" s="726"/>
      <c r="AN414" s="719"/>
      <c r="AO414" s="726"/>
      <c r="AP414" s="726"/>
      <c r="AQ414" s="739">
        <f>+FL_2($T$415,$T$413,$G$414,1200,9.28, 1*$F$415)</f>
        <v>-0.33477011200000001</v>
      </c>
      <c r="AR414" s="739"/>
      <c r="AS414" s="739"/>
      <c r="AT414" s="739"/>
      <c r="AU414" s="739"/>
      <c r="AV414" s="739"/>
      <c r="AW414" s="726"/>
      <c r="AX414" s="726"/>
      <c r="AY414" s="726"/>
      <c r="AZ414" s="532"/>
    </row>
    <row r="415" spans="1:52" ht="15.75" hidden="1" customHeight="1">
      <c r="A415" s="716" t="s">
        <v>677</v>
      </c>
      <c r="B415" s="717" t="s">
        <v>1868</v>
      </c>
      <c r="C415" s="789">
        <f>+$C$413+$G$414</f>
        <v>40658</v>
      </c>
      <c r="D415" s="719"/>
      <c r="E415" s="719"/>
      <c r="F415" s="720">
        <v>0</v>
      </c>
      <c r="G415" s="721"/>
      <c r="H415" s="726"/>
      <c r="I415" s="722"/>
      <c r="J415" s="762"/>
      <c r="K415" s="719"/>
      <c r="L415" s="719" t="s">
        <v>241</v>
      </c>
      <c r="M415" s="719"/>
      <c r="N415" s="726" t="s">
        <v>695</v>
      </c>
      <c r="O415" s="726"/>
      <c r="P415" s="726"/>
      <c r="Q415" s="719">
        <v>0</v>
      </c>
      <c r="R415" s="719">
        <v>0</v>
      </c>
      <c r="S415" s="719"/>
      <c r="T415" s="726">
        <v>-30</v>
      </c>
      <c r="U415" s="726"/>
      <c r="V415" s="726"/>
      <c r="W415" s="719">
        <v>1.1000000000000001</v>
      </c>
      <c r="X415" s="726"/>
      <c r="Y415" s="726"/>
      <c r="Z415" s="726"/>
      <c r="AA415" s="726"/>
      <c r="AB415" s="726"/>
      <c r="AC415" s="726" t="s">
        <v>2979</v>
      </c>
      <c r="AD415" s="726"/>
      <c r="AE415" s="726"/>
      <c r="AF415" s="719">
        <v>200</v>
      </c>
      <c r="AG415" s="789">
        <v>40658.400000000001</v>
      </c>
      <c r="AH415" s="719">
        <v>1487</v>
      </c>
      <c r="AI415" s="726">
        <v>-5142</v>
      </c>
      <c r="AJ415" s="726"/>
      <c r="AK415" s="726"/>
      <c r="AL415" s="726"/>
      <c r="AM415" s="726" t="s">
        <v>2609</v>
      </c>
      <c r="AN415" s="719">
        <v>5.25</v>
      </c>
      <c r="AO415" s="726"/>
      <c r="AP415" s="726"/>
      <c r="AQ415" s="739"/>
      <c r="AR415" s="739"/>
      <c r="AS415" s="739"/>
      <c r="AT415" s="739">
        <f>+ab($T$415,$T$413,$T$417,$G$414,$G$416, 1*$F$415,1200)</f>
        <v>-7.9442410717051439</v>
      </c>
      <c r="AU415" s="739"/>
      <c r="AV415" s="739"/>
      <c r="AW415" s="726"/>
      <c r="AX415" s="726"/>
      <c r="AY415" s="726"/>
      <c r="AZ415" s="532"/>
    </row>
    <row r="416" spans="1:52" ht="15.75" hidden="1" customHeight="1">
      <c r="A416" s="716"/>
      <c r="B416" s="718"/>
      <c r="C416" s="789"/>
      <c r="D416" s="719"/>
      <c r="E416" s="719"/>
      <c r="F416" s="720"/>
      <c r="G416" s="721">
        <v>50</v>
      </c>
      <c r="H416" s="726"/>
      <c r="I416" s="726"/>
      <c r="J416" s="762"/>
      <c r="K416" s="719"/>
      <c r="L416" s="719"/>
      <c r="M416" s="719"/>
      <c r="N416" s="726"/>
      <c r="O416" s="726"/>
      <c r="P416" s="726"/>
      <c r="Q416" s="719"/>
      <c r="R416" s="719"/>
      <c r="S416" s="724">
        <f t="shared" si="111"/>
        <v>49.709999999999127</v>
      </c>
      <c r="T416" s="726"/>
      <c r="U416" s="726"/>
      <c r="V416" s="726"/>
      <c r="W416" s="719"/>
      <c r="X416" s="726"/>
      <c r="Y416" s="726"/>
      <c r="Z416" s="726"/>
      <c r="AA416" s="726"/>
      <c r="AB416" s="726"/>
      <c r="AC416" s="726"/>
      <c r="AD416" s="726"/>
      <c r="AE416" s="726"/>
      <c r="AF416" s="719"/>
      <c r="AG416" s="789"/>
      <c r="AH416" s="719"/>
      <c r="AI416" s="726"/>
      <c r="AJ416" s="726"/>
      <c r="AK416" s="726"/>
      <c r="AL416" s="726"/>
      <c r="AM416" s="726"/>
      <c r="AN416" s="719"/>
      <c r="AO416" s="726"/>
      <c r="AP416" s="726"/>
      <c r="AQ416" s="739">
        <f>+FL_1($T$417,$T$415,$G$416,1200,9.28, 1*$F$417)</f>
        <v>0.33477011200000001</v>
      </c>
      <c r="AR416" s="739"/>
      <c r="AS416" s="739"/>
      <c r="AT416" s="739"/>
      <c r="AU416" s="739"/>
      <c r="AV416" s="739"/>
      <c r="AW416" s="726"/>
      <c r="AX416" s="726"/>
      <c r="AY416" s="726"/>
      <c r="AZ416" s="532"/>
    </row>
    <row r="417" spans="1:52" ht="15.75" hidden="1" customHeight="1">
      <c r="A417" s="716" t="s">
        <v>677</v>
      </c>
      <c r="B417" s="718" t="s">
        <v>1869</v>
      </c>
      <c r="C417" s="789">
        <f>+$C$415+$G$416</f>
        <v>40708</v>
      </c>
      <c r="D417" s="719"/>
      <c r="E417" s="719"/>
      <c r="F417" s="720">
        <v>0</v>
      </c>
      <c r="G417" s="721"/>
      <c r="H417" s="726"/>
      <c r="I417" s="722"/>
      <c r="J417" s="762"/>
      <c r="K417" s="719"/>
      <c r="L417" s="719" t="s">
        <v>241</v>
      </c>
      <c r="M417" s="719"/>
      <c r="N417" s="726" t="s">
        <v>696</v>
      </c>
      <c r="O417" s="726"/>
      <c r="P417" s="726"/>
      <c r="Q417" s="719">
        <v>0</v>
      </c>
      <c r="R417" s="719">
        <v>0</v>
      </c>
      <c r="S417" s="719"/>
      <c r="T417" s="726">
        <v>30</v>
      </c>
      <c r="U417" s="726"/>
      <c r="V417" s="726"/>
      <c r="W417" s="719">
        <v>1.1000000000000001</v>
      </c>
      <c r="X417" s="726"/>
      <c r="Y417" s="726"/>
      <c r="Z417" s="726"/>
      <c r="AA417" s="726"/>
      <c r="AB417" s="726"/>
      <c r="AC417" s="726" t="s">
        <v>2977</v>
      </c>
      <c r="AD417" s="726"/>
      <c r="AE417" s="726"/>
      <c r="AF417" s="719">
        <v>200</v>
      </c>
      <c r="AG417" s="789">
        <v>40708.11</v>
      </c>
      <c r="AH417" s="719">
        <v>1490</v>
      </c>
      <c r="AI417" s="726">
        <v>-5088</v>
      </c>
      <c r="AJ417" s="726"/>
      <c r="AK417" s="726"/>
      <c r="AL417" s="726"/>
      <c r="AM417" s="726" t="s">
        <v>2609</v>
      </c>
      <c r="AN417" s="719">
        <v>5.25</v>
      </c>
      <c r="AO417" s="726"/>
      <c r="AP417" s="726"/>
      <c r="AQ417" s="739"/>
      <c r="AR417" s="739"/>
      <c r="AS417" s="739"/>
      <c r="AT417" s="739">
        <f>+ab($T$417,$T$415,$T$419,$G$416,$G$418, 1*$F$417,1200)</f>
        <v>7.9442083933778509</v>
      </c>
      <c r="AU417" s="739"/>
      <c r="AV417" s="739"/>
      <c r="AW417" s="726"/>
      <c r="AX417" s="726"/>
      <c r="AY417" s="726"/>
      <c r="AZ417" s="532"/>
    </row>
    <row r="418" spans="1:52" ht="15.75" hidden="1" customHeight="1">
      <c r="A418" s="716"/>
      <c r="B418" s="718"/>
      <c r="C418" s="789"/>
      <c r="D418" s="719"/>
      <c r="E418" s="719"/>
      <c r="F418" s="720"/>
      <c r="G418" s="721">
        <v>50</v>
      </c>
      <c r="H418" s="726"/>
      <c r="I418" s="726"/>
      <c r="J418" s="762"/>
      <c r="K418" s="719"/>
      <c r="L418" s="719"/>
      <c r="M418" s="719"/>
      <c r="N418" s="726"/>
      <c r="O418" s="726"/>
      <c r="P418" s="726"/>
      <c r="Q418" s="719"/>
      <c r="R418" s="719"/>
      <c r="S418" s="724">
        <f t="shared" si="111"/>
        <v>49.639999999999418</v>
      </c>
      <c r="T418" s="719"/>
      <c r="U418" s="719"/>
      <c r="V418" s="719"/>
      <c r="W418" s="719"/>
      <c r="X418" s="719"/>
      <c r="Y418" s="719"/>
      <c r="Z418" s="719"/>
      <c r="AA418" s="719"/>
      <c r="AB418" s="719"/>
      <c r="AC418" s="719"/>
      <c r="AD418" s="719"/>
      <c r="AE418" s="719"/>
      <c r="AF418" s="719"/>
      <c r="AG418" s="789"/>
      <c r="AH418" s="719"/>
      <c r="AI418" s="719"/>
      <c r="AJ418" s="719"/>
      <c r="AK418" s="719"/>
      <c r="AL418" s="719"/>
      <c r="AM418" s="719"/>
      <c r="AN418" s="719"/>
      <c r="AO418" s="719"/>
      <c r="AP418" s="719"/>
      <c r="AQ418" s="724">
        <f>+FL_1($T$419,$T$417,$G$418,1200,9.28, 1*$F$419)</f>
        <v>0.33477011200000012</v>
      </c>
      <c r="AR418" s="724"/>
      <c r="AS418" s="724"/>
      <c r="AT418" s="724"/>
      <c r="AU418" s="724"/>
      <c r="AV418" s="724"/>
      <c r="AW418" s="719"/>
      <c r="AX418" s="719"/>
      <c r="AY418" s="719"/>
      <c r="AZ418" s="532"/>
    </row>
    <row r="419" spans="1:52" ht="15.75" hidden="1" customHeight="1">
      <c r="A419" s="716" t="s">
        <v>677</v>
      </c>
      <c r="B419" s="718" t="s">
        <v>1870</v>
      </c>
      <c r="C419" s="789">
        <f>+$C$417+$G$418</f>
        <v>40758</v>
      </c>
      <c r="D419" s="719"/>
      <c r="E419" s="719"/>
      <c r="F419" s="720">
        <v>0</v>
      </c>
      <c r="G419" s="721"/>
      <c r="H419" s="726" t="s">
        <v>138</v>
      </c>
      <c r="I419" s="722" t="s">
        <v>948</v>
      </c>
      <c r="J419" s="762"/>
      <c r="K419" s="719"/>
      <c r="L419" s="719" t="s">
        <v>241</v>
      </c>
      <c r="M419" s="719"/>
      <c r="N419" s="726" t="s">
        <v>695</v>
      </c>
      <c r="O419" s="726"/>
      <c r="P419" s="726"/>
      <c r="Q419" s="719">
        <v>0</v>
      </c>
      <c r="R419" s="719">
        <v>0</v>
      </c>
      <c r="S419" s="719"/>
      <c r="T419" s="719">
        <v>-30</v>
      </c>
      <c r="U419" s="719"/>
      <c r="V419" s="719"/>
      <c r="W419" s="719">
        <v>1.1000000000000001</v>
      </c>
      <c r="X419" s="719"/>
      <c r="Y419" s="719"/>
      <c r="Z419" s="719"/>
      <c r="AA419" s="719"/>
      <c r="AB419" s="719"/>
      <c r="AC419" s="726" t="s">
        <v>2614</v>
      </c>
      <c r="AD419" s="719"/>
      <c r="AE419" s="719"/>
      <c r="AF419" s="719">
        <v>200</v>
      </c>
      <c r="AG419" s="789">
        <v>40757.75</v>
      </c>
      <c r="AH419" s="719">
        <v>1506</v>
      </c>
      <c r="AI419" s="719">
        <v>-5149</v>
      </c>
      <c r="AJ419" s="719"/>
      <c r="AK419" s="719"/>
      <c r="AL419" s="719"/>
      <c r="AM419" s="719" t="s">
        <v>2609</v>
      </c>
      <c r="AN419" s="719">
        <v>5.25</v>
      </c>
      <c r="AO419" s="719"/>
      <c r="AP419" s="719"/>
      <c r="AQ419" s="724"/>
      <c r="AR419" s="724"/>
      <c r="AS419" s="724"/>
      <c r="AT419" s="724">
        <f>+ab($T$419,$T$417,$T$421,$G$418,$G$420, 1*$F$419,1200)</f>
        <v>-6.8209152065487553</v>
      </c>
      <c r="AU419" s="724"/>
      <c r="AV419" s="724"/>
      <c r="AW419" s="719"/>
      <c r="AX419" s="719"/>
      <c r="AY419" s="719"/>
      <c r="AZ419" s="532"/>
    </row>
    <row r="420" spans="1:52" ht="15.75" hidden="1" customHeight="1">
      <c r="A420" s="716"/>
      <c r="B420" s="718"/>
      <c r="C420" s="789"/>
      <c r="D420" s="719"/>
      <c r="E420" s="719"/>
      <c r="F420" s="720"/>
      <c r="G420" s="721">
        <v>50</v>
      </c>
      <c r="H420" s="726"/>
      <c r="I420" s="726"/>
      <c r="J420" s="762">
        <f>C419+10</f>
        <v>40768</v>
      </c>
      <c r="K420" s="719" t="s">
        <v>1097</v>
      </c>
      <c r="L420" s="719"/>
      <c r="M420" s="719"/>
      <c r="N420" s="726"/>
      <c r="O420" s="726"/>
      <c r="P420" s="726"/>
      <c r="Q420" s="719"/>
      <c r="R420" s="719"/>
      <c r="S420" s="724">
        <f t="shared" si="111"/>
        <v>49.639999999999418</v>
      </c>
      <c r="T420" s="719"/>
      <c r="U420" s="719"/>
      <c r="V420" s="719"/>
      <c r="W420" s="719"/>
      <c r="X420" s="719"/>
      <c r="Y420" s="719"/>
      <c r="Z420" s="719"/>
      <c r="AA420" s="719"/>
      <c r="AB420" s="719"/>
      <c r="AC420" s="719"/>
      <c r="AD420" s="719"/>
      <c r="AE420" s="719"/>
      <c r="AF420" s="719"/>
      <c r="AG420" s="789"/>
      <c r="AH420" s="719"/>
      <c r="AI420" s="719"/>
      <c r="AJ420" s="719"/>
      <c r="AK420" s="719"/>
      <c r="AL420" s="719"/>
      <c r="AM420" s="719"/>
      <c r="AN420" s="719"/>
      <c r="AO420" s="719"/>
      <c r="AP420" s="719"/>
      <c r="AQ420" s="724">
        <f>+FL_2($U$421,$T$419,$G$420,1200,9.28, 1*$F$421)</f>
        <v>-0.39834769999999992</v>
      </c>
      <c r="AR420" s="724"/>
      <c r="AS420" s="724"/>
      <c r="AT420" s="724"/>
      <c r="AU420" s="724"/>
      <c r="AV420" s="724"/>
      <c r="AW420" s="719"/>
      <c r="AX420" s="719"/>
      <c r="AY420" s="719"/>
      <c r="AZ420" s="532"/>
    </row>
    <row r="421" spans="1:52" ht="15.75" hidden="1" customHeight="1">
      <c r="A421" s="716" t="s">
        <v>677</v>
      </c>
      <c r="B421" s="718" t="s">
        <v>1871</v>
      </c>
      <c r="C421" s="789">
        <f>+$C$419+$G$420</f>
        <v>40808</v>
      </c>
      <c r="D421" s="719"/>
      <c r="E421" s="719"/>
      <c r="F421" s="720">
        <v>0</v>
      </c>
      <c r="G421" s="721"/>
      <c r="H421" s="726" t="s">
        <v>668</v>
      </c>
      <c r="I421" s="722"/>
      <c r="J421" s="762"/>
      <c r="K421" s="719"/>
      <c r="L421" s="719" t="s">
        <v>465</v>
      </c>
      <c r="M421" s="719"/>
      <c r="N421" s="726" t="s">
        <v>697</v>
      </c>
      <c r="O421" s="726" t="s">
        <v>696</v>
      </c>
      <c r="P421" s="726"/>
      <c r="Q421" s="719">
        <v>0</v>
      </c>
      <c r="R421" s="719">
        <v>0</v>
      </c>
      <c r="S421" s="724">
        <f>AG422-AG421</f>
        <v>3.2200000000011642</v>
      </c>
      <c r="T421" s="719">
        <v>50</v>
      </c>
      <c r="U421" s="719">
        <v>5</v>
      </c>
      <c r="V421" s="719"/>
      <c r="W421" s="719">
        <v>1.1000000000000001</v>
      </c>
      <c r="X421" s="719">
        <v>1.2</v>
      </c>
      <c r="Y421" s="719"/>
      <c r="Z421" s="719">
        <v>0.45</v>
      </c>
      <c r="AA421" s="719"/>
      <c r="AB421" s="719"/>
      <c r="AC421" s="719"/>
      <c r="AD421" s="726" t="s">
        <v>2616</v>
      </c>
      <c r="AE421" s="719"/>
      <c r="AF421" s="719">
        <v>200</v>
      </c>
      <c r="AG421" s="789">
        <v>40807.39</v>
      </c>
      <c r="AH421" s="719">
        <v>1483</v>
      </c>
      <c r="AI421" s="719">
        <v>-5206</v>
      </c>
      <c r="AJ421" s="719"/>
      <c r="AK421" s="719"/>
      <c r="AL421" s="719"/>
      <c r="AM421" s="719" t="s">
        <v>2609</v>
      </c>
      <c r="AN421" s="719">
        <v>5.25</v>
      </c>
      <c r="AO421" s="719"/>
      <c r="AP421" s="719"/>
      <c r="AQ421" s="724"/>
      <c r="AR421" s="724"/>
      <c r="AS421" s="724"/>
      <c r="AT421" s="724">
        <f>+ab($U$421,$T$419,$U$423,$G$420,$G$422, 1*$F$421,1200)</f>
        <v>10.540144066634443</v>
      </c>
      <c r="AU421" s="724"/>
      <c r="AV421" s="724"/>
      <c r="AW421" s="719"/>
      <c r="AX421" s="719"/>
      <c r="AY421" s="719"/>
      <c r="AZ421" s="532"/>
    </row>
    <row r="422" spans="1:52" ht="15.75" hidden="1" customHeight="1">
      <c r="A422" s="716"/>
      <c r="B422" s="718"/>
      <c r="C422" s="789"/>
      <c r="D422" s="719"/>
      <c r="E422" s="719"/>
      <c r="F422" s="720"/>
      <c r="G422" s="721">
        <v>50</v>
      </c>
      <c r="H422" s="726"/>
      <c r="I422" s="726"/>
      <c r="J422" s="762"/>
      <c r="K422" s="719"/>
      <c r="L422" s="719"/>
      <c r="M422" s="719"/>
      <c r="N422" s="726"/>
      <c r="O422" s="726"/>
      <c r="P422" s="726"/>
      <c r="Q422" s="719"/>
      <c r="R422" s="719"/>
      <c r="S422" s="724">
        <f t="shared" ref="S422:S424" si="112">AG423-AG422</f>
        <v>44.809999999997672</v>
      </c>
      <c r="T422" s="719"/>
      <c r="U422" s="719"/>
      <c r="V422" s="719"/>
      <c r="W422" s="719"/>
      <c r="X422" s="719"/>
      <c r="Y422" s="719"/>
      <c r="Z422" s="719"/>
      <c r="AA422" s="719"/>
      <c r="AB422" s="719"/>
      <c r="AC422" s="719"/>
      <c r="AD422" s="719"/>
      <c r="AE422" s="719"/>
      <c r="AF422" s="719"/>
      <c r="AG422" s="789">
        <v>40810.61</v>
      </c>
      <c r="AH422" s="719">
        <v>1502</v>
      </c>
      <c r="AI422" s="719">
        <v>-5182</v>
      </c>
      <c r="AJ422" s="719"/>
      <c r="AK422" s="719"/>
      <c r="AL422" s="719"/>
      <c r="AM422" s="719"/>
      <c r="AN422" s="719"/>
      <c r="AO422" s="719"/>
      <c r="AP422" s="719"/>
      <c r="AQ422" s="724">
        <f>+FL_2($T$423,$U$421,$G$422,1200,9.28, 1*$F$423)</f>
        <v>-0.24425286799999996</v>
      </c>
      <c r="AR422" s="724"/>
      <c r="AS422" s="724"/>
      <c r="AT422" s="724"/>
      <c r="AU422" s="724"/>
      <c r="AV422" s="724"/>
      <c r="AW422" s="719"/>
      <c r="AX422" s="719"/>
      <c r="AY422" s="719"/>
      <c r="AZ422" s="532"/>
    </row>
    <row r="423" spans="1:52" ht="15.75" hidden="1" customHeight="1">
      <c r="A423" s="716" t="s">
        <v>2951</v>
      </c>
      <c r="B423" s="718" t="s">
        <v>1872</v>
      </c>
      <c r="C423" s="789">
        <f>+$C$421+$G$422</f>
        <v>40858</v>
      </c>
      <c r="D423" s="719"/>
      <c r="E423" s="719"/>
      <c r="F423" s="720">
        <v>0</v>
      </c>
      <c r="G423" s="721"/>
      <c r="H423" s="726" t="s">
        <v>668</v>
      </c>
      <c r="I423" s="722" t="s">
        <v>2645</v>
      </c>
      <c r="J423" s="762"/>
      <c r="K423" s="719"/>
      <c r="L423" s="719" t="s">
        <v>465</v>
      </c>
      <c r="M423" s="719"/>
      <c r="N423" s="726" t="s">
        <v>695</v>
      </c>
      <c r="O423" s="726" t="s">
        <v>697</v>
      </c>
      <c r="P423" s="726"/>
      <c r="Q423" s="719">
        <v>0</v>
      </c>
      <c r="R423" s="719">
        <v>0</v>
      </c>
      <c r="S423" s="724">
        <f t="shared" si="112"/>
        <v>3.2099999999991269</v>
      </c>
      <c r="T423" s="719">
        <v>-5</v>
      </c>
      <c r="U423" s="719">
        <v>-50</v>
      </c>
      <c r="V423" s="719"/>
      <c r="W423" s="719">
        <v>1.1000000000000001</v>
      </c>
      <c r="X423" s="719">
        <v>1.2</v>
      </c>
      <c r="Y423" s="719"/>
      <c r="Z423" s="719"/>
      <c r="AA423" s="719">
        <v>0.45</v>
      </c>
      <c r="AB423" s="719"/>
      <c r="AC423" s="726" t="s">
        <v>2614</v>
      </c>
      <c r="AD423" s="719"/>
      <c r="AE423" s="719"/>
      <c r="AF423" s="719">
        <v>200</v>
      </c>
      <c r="AG423" s="789">
        <v>40855.42</v>
      </c>
      <c r="AH423" s="719">
        <v>1495</v>
      </c>
      <c r="AI423" s="719">
        <v>-5154</v>
      </c>
      <c r="AJ423" s="719" t="s">
        <v>2943</v>
      </c>
      <c r="AK423" s="719"/>
      <c r="AL423" s="719"/>
      <c r="AM423" s="719" t="s">
        <v>2609</v>
      </c>
      <c r="AN423" s="719">
        <v>5.25</v>
      </c>
      <c r="AO423" s="719"/>
      <c r="AP423" s="719"/>
      <c r="AQ423" s="724"/>
      <c r="AR423" s="724"/>
      <c r="AS423" s="724"/>
      <c r="AT423" s="724">
        <f>+ab($T$423,$T$421,$T$425,$G$422,$G$424, 1*$F$423,1200)</f>
        <v>-10.540201310960795</v>
      </c>
      <c r="AU423" s="724"/>
      <c r="AV423" s="724"/>
      <c r="AW423" s="719"/>
      <c r="AX423" s="719"/>
      <c r="AY423" s="719"/>
      <c r="AZ423" s="532"/>
    </row>
    <row r="424" spans="1:52" ht="15.75" hidden="1" customHeight="1">
      <c r="A424" s="716"/>
      <c r="B424" s="718"/>
      <c r="C424" s="789"/>
      <c r="D424" s="719"/>
      <c r="E424" s="719"/>
      <c r="F424" s="720"/>
      <c r="G424" s="721">
        <v>50</v>
      </c>
      <c r="H424" s="726"/>
      <c r="I424" s="726"/>
      <c r="J424" s="762">
        <f>C425-10</f>
        <v>40898</v>
      </c>
      <c r="K424" s="719" t="s">
        <v>1097</v>
      </c>
      <c r="L424" s="719"/>
      <c r="M424" s="719"/>
      <c r="N424" s="726"/>
      <c r="O424" s="726"/>
      <c r="P424" s="726"/>
      <c r="Q424" s="719"/>
      <c r="R424" s="719"/>
      <c r="S424" s="724">
        <f t="shared" si="112"/>
        <v>49.590000000003783</v>
      </c>
      <c r="T424" s="719"/>
      <c r="U424" s="719"/>
      <c r="V424" s="719"/>
      <c r="W424" s="719"/>
      <c r="X424" s="719"/>
      <c r="Y424" s="719"/>
      <c r="Z424" s="719"/>
      <c r="AA424" s="719"/>
      <c r="AB424" s="719"/>
      <c r="AC424" s="719"/>
      <c r="AD424" s="719"/>
      <c r="AE424" s="719"/>
      <c r="AF424" s="719"/>
      <c r="AG424" s="789">
        <v>40858.629999999997</v>
      </c>
      <c r="AH424" s="719">
        <v>1487</v>
      </c>
      <c r="AI424" s="719">
        <v>-5166</v>
      </c>
      <c r="AJ424" s="719"/>
      <c r="AK424" s="719"/>
      <c r="AL424" s="719"/>
      <c r="AM424" s="719"/>
      <c r="AN424" s="719"/>
      <c r="AO424" s="719"/>
      <c r="AP424" s="719"/>
      <c r="AQ424" s="724">
        <f>+FL_1($T$425,$T$423,$G$424,1200,9.28, 1*$F$425)</f>
        <v>0.39834769999999997</v>
      </c>
      <c r="AR424" s="724"/>
      <c r="AS424" s="724"/>
      <c r="AT424" s="724"/>
      <c r="AU424" s="724"/>
      <c r="AV424" s="724"/>
      <c r="AW424" s="719"/>
      <c r="AX424" s="719"/>
      <c r="AY424" s="719"/>
      <c r="AZ424" s="532"/>
    </row>
    <row r="425" spans="1:52" ht="15.75" hidden="1" customHeight="1">
      <c r="A425" s="716" t="s">
        <v>677</v>
      </c>
      <c r="B425" s="718" t="s">
        <v>1873</v>
      </c>
      <c r="C425" s="789">
        <f>+$C$423+$G$424</f>
        <v>40908</v>
      </c>
      <c r="D425" s="719"/>
      <c r="E425" s="719"/>
      <c r="F425" s="720">
        <v>0</v>
      </c>
      <c r="G425" s="721"/>
      <c r="H425" s="726" t="s">
        <v>138</v>
      </c>
      <c r="I425" s="726" t="s">
        <v>948</v>
      </c>
      <c r="J425" s="762"/>
      <c r="K425" s="719"/>
      <c r="L425" s="719" t="s">
        <v>241</v>
      </c>
      <c r="M425" s="719"/>
      <c r="N425" s="726" t="s">
        <v>696</v>
      </c>
      <c r="O425" s="726"/>
      <c r="P425" s="726"/>
      <c r="Q425" s="719">
        <v>0</v>
      </c>
      <c r="R425" s="719">
        <v>0</v>
      </c>
      <c r="S425" s="719"/>
      <c r="T425" s="719">
        <v>30</v>
      </c>
      <c r="U425" s="719"/>
      <c r="V425" s="719"/>
      <c r="W425" s="719">
        <v>1.1000000000000001</v>
      </c>
      <c r="X425" s="719"/>
      <c r="Y425" s="719"/>
      <c r="Z425" s="719"/>
      <c r="AA425" s="719"/>
      <c r="AB425" s="719"/>
      <c r="AC425" s="719" t="s">
        <v>2612</v>
      </c>
      <c r="AD425" s="719"/>
      <c r="AE425" s="719"/>
      <c r="AF425" s="719">
        <v>200</v>
      </c>
      <c r="AG425" s="789">
        <v>40908.22</v>
      </c>
      <c r="AH425" s="719">
        <v>1482</v>
      </c>
      <c r="AI425" s="719">
        <v>-5188</v>
      </c>
      <c r="AJ425" s="719"/>
      <c r="AK425" s="719"/>
      <c r="AL425" s="719"/>
      <c r="AM425" s="719" t="s">
        <v>2609</v>
      </c>
      <c r="AN425" s="719">
        <v>5.25</v>
      </c>
      <c r="AO425" s="719"/>
      <c r="AP425" s="719"/>
      <c r="AQ425" s="724"/>
      <c r="AR425" s="724"/>
      <c r="AS425" s="724"/>
      <c r="AT425" s="724">
        <f>+ab($T$425,$T$423,$T$427,$G$424,$G$426, 1*$F$425,1200)</f>
        <v>9.9968917440918084</v>
      </c>
      <c r="AU425" s="724"/>
      <c r="AV425" s="724"/>
      <c r="AW425" s="719"/>
      <c r="AX425" s="719"/>
      <c r="AY425" s="719"/>
      <c r="AZ425" s="532"/>
    </row>
    <row r="426" spans="1:52" ht="15.75" hidden="1" customHeight="1">
      <c r="A426" s="716"/>
      <c r="B426" s="718"/>
      <c r="C426" s="789"/>
      <c r="D426" s="719"/>
      <c r="E426" s="719"/>
      <c r="F426" s="720"/>
      <c r="G426" s="721">
        <v>50</v>
      </c>
      <c r="H426" s="726"/>
      <c r="I426" s="726"/>
      <c r="J426" s="762"/>
      <c r="K426" s="719"/>
      <c r="L426" s="719"/>
      <c r="M426" s="719"/>
      <c r="N426" s="726"/>
      <c r="O426" s="726"/>
      <c r="P426" s="726"/>
      <c r="Q426" s="719"/>
      <c r="R426" s="719"/>
      <c r="S426" s="724">
        <f t="shared" si="111"/>
        <v>48.069999999999709</v>
      </c>
      <c r="T426" s="719"/>
      <c r="U426" s="719"/>
      <c r="V426" s="719"/>
      <c r="W426" s="719"/>
      <c r="X426" s="719"/>
      <c r="Y426" s="719"/>
      <c r="Z426" s="719"/>
      <c r="AA426" s="719"/>
      <c r="AB426" s="719"/>
      <c r="AC426" s="719"/>
      <c r="AD426" s="719"/>
      <c r="AE426" s="719"/>
      <c r="AF426" s="719"/>
      <c r="AG426" s="789"/>
      <c r="AH426" s="719"/>
      <c r="AI426" s="719"/>
      <c r="AJ426" s="719"/>
      <c r="AK426" s="719"/>
      <c r="AL426" s="719"/>
      <c r="AM426" s="719"/>
      <c r="AN426" s="719"/>
      <c r="AO426" s="719"/>
      <c r="AP426" s="719"/>
      <c r="AQ426" s="724">
        <f>+FL_2($T$427,$T$425,$G$426,1200,9.28, 1*$F$427)</f>
        <v>-0.33477011200000001</v>
      </c>
      <c r="AR426" s="724"/>
      <c r="AS426" s="724"/>
      <c r="AT426" s="724"/>
      <c r="AU426" s="724"/>
      <c r="AV426" s="724"/>
      <c r="AW426" s="719"/>
      <c r="AX426" s="719"/>
      <c r="AY426" s="719"/>
      <c r="AZ426" s="532"/>
    </row>
    <row r="427" spans="1:52" ht="15.75" hidden="1" customHeight="1">
      <c r="A427" s="716" t="s">
        <v>677</v>
      </c>
      <c r="B427" s="718" t="s">
        <v>1874</v>
      </c>
      <c r="C427" s="789">
        <f>+$C$425+$G$426</f>
        <v>40958</v>
      </c>
      <c r="D427" s="719"/>
      <c r="E427" s="719"/>
      <c r="F427" s="720">
        <v>0</v>
      </c>
      <c r="G427" s="721"/>
      <c r="H427" s="726"/>
      <c r="I427" s="726"/>
      <c r="J427" s="762"/>
      <c r="K427" s="719"/>
      <c r="L427" s="719" t="s">
        <v>241</v>
      </c>
      <c r="M427" s="719"/>
      <c r="N427" s="726" t="s">
        <v>695</v>
      </c>
      <c r="O427" s="726"/>
      <c r="P427" s="726"/>
      <c r="Q427" s="719">
        <v>0</v>
      </c>
      <c r="R427" s="719">
        <v>0</v>
      </c>
      <c r="S427" s="719"/>
      <c r="T427" s="719">
        <v>-30</v>
      </c>
      <c r="U427" s="719"/>
      <c r="V427" s="719"/>
      <c r="W427" s="719">
        <v>1.1000000000000001</v>
      </c>
      <c r="X427" s="719"/>
      <c r="Y427" s="719"/>
      <c r="Z427" s="719"/>
      <c r="AA427" s="719"/>
      <c r="AB427" s="719"/>
      <c r="AC427" s="719" t="s">
        <v>2979</v>
      </c>
      <c r="AD427" s="719"/>
      <c r="AE427" s="719"/>
      <c r="AF427" s="719">
        <v>200</v>
      </c>
      <c r="AG427" s="789">
        <v>40956.29</v>
      </c>
      <c r="AH427" s="719">
        <v>1503</v>
      </c>
      <c r="AI427" s="719">
        <v>-5195</v>
      </c>
      <c r="AJ427" s="719"/>
      <c r="AK427" s="719"/>
      <c r="AL427" s="719"/>
      <c r="AM427" s="719" t="s">
        <v>2609</v>
      </c>
      <c r="AN427" s="719">
        <v>5.25</v>
      </c>
      <c r="AO427" s="719"/>
      <c r="AP427" s="719"/>
      <c r="AQ427" s="724"/>
      <c r="AR427" s="724"/>
      <c r="AS427" s="724"/>
      <c r="AT427" s="724">
        <f>+ab($T$427,$T$425,$T$429,$G$426,$G$428, 1*$F$427,1200)</f>
        <v>-7.9442410717051439</v>
      </c>
      <c r="AU427" s="724"/>
      <c r="AV427" s="724"/>
      <c r="AW427" s="719"/>
      <c r="AX427" s="719"/>
      <c r="AY427" s="719"/>
      <c r="AZ427" s="532"/>
    </row>
    <row r="428" spans="1:52" ht="15.75" hidden="1" customHeight="1">
      <c r="A428" s="716"/>
      <c r="B428" s="718"/>
      <c r="C428" s="789"/>
      <c r="D428" s="719"/>
      <c r="E428" s="719"/>
      <c r="F428" s="720"/>
      <c r="G428" s="721">
        <v>50</v>
      </c>
      <c r="H428" s="726"/>
      <c r="I428" s="726"/>
      <c r="J428" s="762"/>
      <c r="K428" s="719"/>
      <c r="L428" s="719"/>
      <c r="M428" s="719"/>
      <c r="N428" s="726"/>
      <c r="O428" s="726"/>
      <c r="P428" s="726"/>
      <c r="Q428" s="719"/>
      <c r="R428" s="719"/>
      <c r="S428" s="724">
        <f t="shared" si="111"/>
        <v>51.309999999997672</v>
      </c>
      <c r="T428" s="719"/>
      <c r="U428" s="719"/>
      <c r="V428" s="719"/>
      <c r="W428" s="719"/>
      <c r="X428" s="719"/>
      <c r="Y428" s="719"/>
      <c r="Z428" s="719"/>
      <c r="AA428" s="719"/>
      <c r="AB428" s="719"/>
      <c r="AC428" s="719"/>
      <c r="AD428" s="719"/>
      <c r="AE428" s="719"/>
      <c r="AF428" s="719"/>
      <c r="AG428" s="789"/>
      <c r="AH428" s="719"/>
      <c r="AI428" s="719"/>
      <c r="AJ428" s="719"/>
      <c r="AK428" s="719"/>
      <c r="AL428" s="719"/>
      <c r="AM428" s="719"/>
      <c r="AN428" s="719"/>
      <c r="AO428" s="719"/>
      <c r="AP428" s="719"/>
      <c r="AQ428" s="724">
        <f>+FL_1($T$429,$T$427,$G$428,1200,9.28, 1*$F$429)</f>
        <v>0.33477011200000001</v>
      </c>
      <c r="AR428" s="724"/>
      <c r="AS428" s="724"/>
      <c r="AT428" s="724"/>
      <c r="AU428" s="724"/>
      <c r="AV428" s="724"/>
      <c r="AW428" s="719"/>
      <c r="AX428" s="719"/>
      <c r="AY428" s="719"/>
      <c r="AZ428" s="532"/>
    </row>
    <row r="429" spans="1:52" ht="15.75" hidden="1" customHeight="1">
      <c r="A429" s="716" t="s">
        <v>677</v>
      </c>
      <c r="B429" s="718" t="s">
        <v>1875</v>
      </c>
      <c r="C429" s="789">
        <f>+$C$427+$G$428</f>
        <v>41008</v>
      </c>
      <c r="D429" s="719"/>
      <c r="E429" s="719"/>
      <c r="F429" s="720">
        <v>0</v>
      </c>
      <c r="G429" s="721"/>
      <c r="H429" s="726"/>
      <c r="I429" s="726"/>
      <c r="J429" s="762"/>
      <c r="K429" s="719"/>
      <c r="L429" s="719" t="s">
        <v>241</v>
      </c>
      <c r="M429" s="719"/>
      <c r="N429" s="726" t="s">
        <v>696</v>
      </c>
      <c r="O429" s="726"/>
      <c r="P429" s="726"/>
      <c r="Q429" s="719">
        <v>0</v>
      </c>
      <c r="R429" s="719">
        <v>0</v>
      </c>
      <c r="S429" s="719"/>
      <c r="T429" s="719">
        <v>30</v>
      </c>
      <c r="U429" s="719"/>
      <c r="V429" s="719"/>
      <c r="W429" s="719">
        <v>1.1000000000000001</v>
      </c>
      <c r="X429" s="719"/>
      <c r="Y429" s="719"/>
      <c r="Z429" s="719"/>
      <c r="AA429" s="719"/>
      <c r="AB429" s="719"/>
      <c r="AC429" s="719" t="s">
        <v>2977</v>
      </c>
      <c r="AD429" s="719"/>
      <c r="AE429" s="719"/>
      <c r="AF429" s="719">
        <v>200</v>
      </c>
      <c r="AG429" s="789">
        <v>41007.599999999999</v>
      </c>
      <c r="AH429" s="719">
        <v>1512</v>
      </c>
      <c r="AI429" s="719">
        <v>-5208</v>
      </c>
      <c r="AJ429" s="719"/>
      <c r="AK429" s="719"/>
      <c r="AL429" s="719"/>
      <c r="AM429" s="719" t="s">
        <v>2609</v>
      </c>
      <c r="AN429" s="719">
        <v>5.25</v>
      </c>
      <c r="AO429" s="719"/>
      <c r="AP429" s="719"/>
      <c r="AQ429" s="724"/>
      <c r="AR429" s="724"/>
      <c r="AS429" s="724"/>
      <c r="AT429" s="724">
        <f>+ab($T$429,$T$427,$T$431,$G$428,$G$430, 1*$F$429,1200)</f>
        <v>7.9442083933778509</v>
      </c>
      <c r="AU429" s="724"/>
      <c r="AV429" s="724"/>
      <c r="AW429" s="719"/>
      <c r="AX429" s="719"/>
      <c r="AY429" s="719"/>
      <c r="AZ429" s="532"/>
    </row>
    <row r="430" spans="1:52" ht="15.75" hidden="1" customHeight="1">
      <c r="A430" s="716"/>
      <c r="B430" s="718"/>
      <c r="C430" s="789"/>
      <c r="D430" s="719"/>
      <c r="E430" s="719"/>
      <c r="F430" s="720"/>
      <c r="G430" s="721">
        <v>50</v>
      </c>
      <c r="H430" s="726"/>
      <c r="I430" s="726"/>
      <c r="J430" s="762"/>
      <c r="K430" s="719"/>
      <c r="L430" s="719"/>
      <c r="M430" s="719"/>
      <c r="N430" s="726"/>
      <c r="O430" s="726"/>
      <c r="P430" s="726"/>
      <c r="Q430" s="719"/>
      <c r="R430" s="719"/>
      <c r="S430" s="724">
        <f t="shared" si="111"/>
        <v>51.25</v>
      </c>
      <c r="T430" s="719"/>
      <c r="U430" s="719"/>
      <c r="V430" s="719"/>
      <c r="W430" s="719"/>
      <c r="X430" s="719"/>
      <c r="Y430" s="719"/>
      <c r="Z430" s="719"/>
      <c r="AA430" s="719"/>
      <c r="AB430" s="719"/>
      <c r="AC430" s="719"/>
      <c r="AD430" s="719"/>
      <c r="AE430" s="719"/>
      <c r="AF430" s="719"/>
      <c r="AG430" s="789"/>
      <c r="AH430" s="719"/>
      <c r="AI430" s="719"/>
      <c r="AJ430" s="719"/>
      <c r="AK430" s="719"/>
      <c r="AL430" s="719"/>
      <c r="AM430" s="719"/>
      <c r="AN430" s="719"/>
      <c r="AO430" s="719"/>
      <c r="AP430" s="719"/>
      <c r="AQ430" s="724">
        <f>+FL_2($T$431,$T$429,$G$430,1200,9.28, 1*$F$431)</f>
        <v>-0.33477011200000001</v>
      </c>
      <c r="AR430" s="724"/>
      <c r="AS430" s="724"/>
      <c r="AT430" s="724"/>
      <c r="AU430" s="724"/>
      <c r="AV430" s="724"/>
      <c r="AW430" s="719"/>
      <c r="AX430" s="719"/>
      <c r="AY430" s="719"/>
      <c r="AZ430" s="532"/>
    </row>
    <row r="431" spans="1:52" ht="15.75" hidden="1" customHeight="1">
      <c r="A431" s="716" t="s">
        <v>677</v>
      </c>
      <c r="B431" s="718" t="s">
        <v>1876</v>
      </c>
      <c r="C431" s="789">
        <f>+$C$429+$G$430</f>
        <v>41058</v>
      </c>
      <c r="D431" s="719"/>
      <c r="E431" s="719"/>
      <c r="F431" s="720">
        <v>0</v>
      </c>
      <c r="G431" s="721"/>
      <c r="H431" s="726"/>
      <c r="I431" s="726"/>
      <c r="J431" s="762"/>
      <c r="K431" s="719"/>
      <c r="L431" s="719" t="s">
        <v>241</v>
      </c>
      <c r="M431" s="719"/>
      <c r="N431" s="726" t="s">
        <v>695</v>
      </c>
      <c r="O431" s="726"/>
      <c r="P431" s="726"/>
      <c r="Q431" s="719">
        <v>0</v>
      </c>
      <c r="R431" s="719">
        <v>0</v>
      </c>
      <c r="S431" s="719"/>
      <c r="T431" s="719">
        <v>-30</v>
      </c>
      <c r="U431" s="719"/>
      <c r="V431" s="719"/>
      <c r="W431" s="719">
        <v>1.1000000000000001</v>
      </c>
      <c r="X431" s="719"/>
      <c r="Y431" s="719"/>
      <c r="Z431" s="719"/>
      <c r="AA431" s="719"/>
      <c r="AB431" s="719"/>
      <c r="AC431" s="719" t="s">
        <v>2979</v>
      </c>
      <c r="AD431" s="719"/>
      <c r="AE431" s="719"/>
      <c r="AF431" s="719">
        <v>200</v>
      </c>
      <c r="AG431" s="789">
        <v>41058.85</v>
      </c>
      <c r="AH431" s="719">
        <v>1524</v>
      </c>
      <c r="AI431" s="719">
        <v>-5166</v>
      </c>
      <c r="AJ431" s="719"/>
      <c r="AK431" s="719"/>
      <c r="AL431" s="719"/>
      <c r="AM431" s="719" t="s">
        <v>2609</v>
      </c>
      <c r="AN431" s="719">
        <v>5.25</v>
      </c>
      <c r="AO431" s="719"/>
      <c r="AP431" s="719"/>
      <c r="AQ431" s="724"/>
      <c r="AR431" s="724"/>
      <c r="AS431" s="724"/>
      <c r="AT431" s="724">
        <f>+ab($T$431,$T$429,$T$433,$G$430,$G$432, 1*$F$431,1200)</f>
        <v>-7.9442410717051439</v>
      </c>
      <c r="AU431" s="724"/>
      <c r="AV431" s="724"/>
      <c r="AW431" s="719"/>
      <c r="AX431" s="719"/>
      <c r="AY431" s="719"/>
      <c r="AZ431" s="532"/>
    </row>
    <row r="432" spans="1:52" ht="15.75" hidden="1" customHeight="1">
      <c r="A432" s="716"/>
      <c r="B432" s="718"/>
      <c r="C432" s="789"/>
      <c r="D432" s="719"/>
      <c r="E432" s="719"/>
      <c r="F432" s="720"/>
      <c r="G432" s="721">
        <v>50</v>
      </c>
      <c r="H432" s="726"/>
      <c r="I432" s="726"/>
      <c r="J432" s="762"/>
      <c r="K432" s="719"/>
      <c r="L432" s="719"/>
      <c r="M432" s="719"/>
      <c r="N432" s="726"/>
      <c r="O432" s="726"/>
      <c r="P432" s="726"/>
      <c r="Q432" s="719"/>
      <c r="R432" s="719"/>
      <c r="S432" s="724">
        <f t="shared" si="111"/>
        <v>49.690000000002328</v>
      </c>
      <c r="T432" s="719"/>
      <c r="U432" s="719"/>
      <c r="V432" s="719"/>
      <c r="W432" s="719"/>
      <c r="X432" s="719"/>
      <c r="Y432" s="719"/>
      <c r="Z432" s="719"/>
      <c r="AA432" s="719"/>
      <c r="AB432" s="719"/>
      <c r="AC432" s="719"/>
      <c r="AD432" s="719"/>
      <c r="AE432" s="719"/>
      <c r="AF432" s="719"/>
      <c r="AG432" s="789"/>
      <c r="AH432" s="719"/>
      <c r="AI432" s="719"/>
      <c r="AJ432" s="719"/>
      <c r="AK432" s="719"/>
      <c r="AL432" s="719"/>
      <c r="AM432" s="719"/>
      <c r="AN432" s="719"/>
      <c r="AO432" s="719"/>
      <c r="AP432" s="719"/>
      <c r="AQ432" s="724">
        <f>+FL_1($T$433,$T$431,$G$432,1200,9.28, 1*$F$433)</f>
        <v>0.33477011200000001</v>
      </c>
      <c r="AR432" s="724"/>
      <c r="AS432" s="724"/>
      <c r="AT432" s="724"/>
      <c r="AU432" s="724"/>
      <c r="AV432" s="724"/>
      <c r="AW432" s="719"/>
      <c r="AX432" s="719"/>
      <c r="AY432" s="719"/>
      <c r="AZ432" s="532"/>
    </row>
    <row r="433" spans="1:52" ht="15.75" hidden="1" customHeight="1">
      <c r="A433" s="716" t="s">
        <v>677</v>
      </c>
      <c r="B433" s="718" t="s">
        <v>1877</v>
      </c>
      <c r="C433" s="789">
        <f>+$C$431+$G$432</f>
        <v>41108</v>
      </c>
      <c r="D433" s="719"/>
      <c r="E433" s="719"/>
      <c r="F433" s="720">
        <v>0</v>
      </c>
      <c r="G433" s="721"/>
      <c r="H433" s="726"/>
      <c r="I433" s="726"/>
      <c r="J433" s="762"/>
      <c r="K433" s="719"/>
      <c r="L433" s="719" t="s">
        <v>241</v>
      </c>
      <c r="M433" s="719"/>
      <c r="N433" s="726" t="s">
        <v>696</v>
      </c>
      <c r="O433" s="726"/>
      <c r="P433" s="726"/>
      <c r="Q433" s="719">
        <v>0</v>
      </c>
      <c r="R433" s="719">
        <v>0</v>
      </c>
      <c r="S433" s="719"/>
      <c r="T433" s="719">
        <v>30</v>
      </c>
      <c r="U433" s="719"/>
      <c r="V433" s="719"/>
      <c r="W433" s="719">
        <v>1.1000000000000001</v>
      </c>
      <c r="X433" s="719"/>
      <c r="Y433" s="719"/>
      <c r="Z433" s="719"/>
      <c r="AA433" s="719"/>
      <c r="AB433" s="719"/>
      <c r="AC433" s="719" t="s">
        <v>2977</v>
      </c>
      <c r="AD433" s="719"/>
      <c r="AE433" s="719"/>
      <c r="AF433" s="719">
        <v>200</v>
      </c>
      <c r="AG433" s="789">
        <v>41108.54</v>
      </c>
      <c r="AH433" s="719">
        <v>1487</v>
      </c>
      <c r="AI433" s="719">
        <v>-5200</v>
      </c>
      <c r="AJ433" s="719"/>
      <c r="AK433" s="719"/>
      <c r="AL433" s="719"/>
      <c r="AM433" s="719" t="s">
        <v>2609</v>
      </c>
      <c r="AN433" s="719">
        <v>5.25</v>
      </c>
      <c r="AO433" s="719"/>
      <c r="AP433" s="719"/>
      <c r="AQ433" s="724"/>
      <c r="AR433" s="724"/>
      <c r="AS433" s="724"/>
      <c r="AT433" s="724">
        <f>+ab($T$433,$T$431,$T$435,$G$432,$G$434, 1*$F$433,1200)</f>
        <v>7.8649734506464304</v>
      </c>
      <c r="AU433" s="724"/>
      <c r="AV433" s="724"/>
      <c r="AW433" s="719"/>
      <c r="AX433" s="719"/>
      <c r="AY433" s="719"/>
      <c r="AZ433" s="532"/>
    </row>
    <row r="434" spans="1:52" ht="15.75" hidden="1" customHeight="1">
      <c r="A434" s="716"/>
      <c r="B434" s="718"/>
      <c r="C434" s="789"/>
      <c r="D434" s="719"/>
      <c r="E434" s="719"/>
      <c r="F434" s="720"/>
      <c r="G434" s="721">
        <v>49</v>
      </c>
      <c r="H434" s="726"/>
      <c r="I434" s="726"/>
      <c r="J434" s="762"/>
      <c r="K434" s="719"/>
      <c r="L434" s="719"/>
      <c r="M434" s="719"/>
      <c r="N434" s="726"/>
      <c r="O434" s="726"/>
      <c r="P434" s="726"/>
      <c r="Q434" s="719"/>
      <c r="R434" s="719"/>
      <c r="S434" s="724">
        <f t="shared" si="111"/>
        <v>47.919999999998254</v>
      </c>
      <c r="T434" s="719"/>
      <c r="U434" s="719"/>
      <c r="V434" s="719"/>
      <c r="W434" s="719"/>
      <c r="X434" s="719"/>
      <c r="Y434" s="719"/>
      <c r="Z434" s="719"/>
      <c r="AA434" s="719"/>
      <c r="AB434" s="719"/>
      <c r="AC434" s="719"/>
      <c r="AD434" s="719"/>
      <c r="AE434" s="719"/>
      <c r="AF434" s="719"/>
      <c r="AG434" s="789"/>
      <c r="AH434" s="719"/>
      <c r="AI434" s="719"/>
      <c r="AJ434" s="719"/>
      <c r="AK434" s="719"/>
      <c r="AL434" s="719"/>
      <c r="AM434" s="719"/>
      <c r="AN434" s="719"/>
      <c r="AO434" s="719"/>
      <c r="AP434" s="719"/>
      <c r="AQ434" s="724">
        <f>+FL_1($T$435,$T$433,$G$434,1200,9.28, 1*$F$435)</f>
        <v>0.32903902669387752</v>
      </c>
      <c r="AR434" s="724"/>
      <c r="AS434" s="724"/>
      <c r="AT434" s="724"/>
      <c r="AU434" s="724"/>
      <c r="AV434" s="724"/>
      <c r="AW434" s="719"/>
      <c r="AX434" s="719"/>
      <c r="AY434" s="719"/>
      <c r="AZ434" s="532"/>
    </row>
    <row r="435" spans="1:52" ht="15.75" hidden="1" customHeight="1">
      <c r="A435" s="716" t="s">
        <v>677</v>
      </c>
      <c r="B435" s="718" t="s">
        <v>1878</v>
      </c>
      <c r="C435" s="789">
        <f>+$C$433+$G$434</f>
        <v>41157</v>
      </c>
      <c r="D435" s="719"/>
      <c r="E435" s="719"/>
      <c r="F435" s="720">
        <v>0</v>
      </c>
      <c r="G435" s="721"/>
      <c r="H435" s="726"/>
      <c r="I435" s="726"/>
      <c r="J435" s="762"/>
      <c r="K435" s="719"/>
      <c r="L435" s="719" t="s">
        <v>241</v>
      </c>
      <c r="M435" s="719"/>
      <c r="N435" s="726" t="s">
        <v>695</v>
      </c>
      <c r="O435" s="726"/>
      <c r="P435" s="726"/>
      <c r="Q435" s="719">
        <v>0</v>
      </c>
      <c r="R435" s="719">
        <v>0</v>
      </c>
      <c r="S435" s="719"/>
      <c r="T435" s="719">
        <v>-30</v>
      </c>
      <c r="U435" s="719"/>
      <c r="V435" s="719"/>
      <c r="W435" s="719">
        <v>1.1000000000000001</v>
      </c>
      <c r="X435" s="719"/>
      <c r="Y435" s="719"/>
      <c r="Z435" s="719"/>
      <c r="AA435" s="719"/>
      <c r="AB435" s="719"/>
      <c r="AC435" s="719" t="s">
        <v>2979</v>
      </c>
      <c r="AD435" s="719"/>
      <c r="AE435" s="719"/>
      <c r="AF435" s="719">
        <v>200</v>
      </c>
      <c r="AG435" s="789">
        <v>41156.46</v>
      </c>
      <c r="AH435" s="719">
        <v>1496</v>
      </c>
      <c r="AI435" s="719">
        <v>-5196</v>
      </c>
      <c r="AJ435" s="719"/>
      <c r="AK435" s="719"/>
      <c r="AL435" s="719"/>
      <c r="AM435" s="719" t="s">
        <v>2609</v>
      </c>
      <c r="AN435" s="719">
        <v>5.25</v>
      </c>
      <c r="AO435" s="719"/>
      <c r="AP435" s="719"/>
      <c r="AQ435" s="724"/>
      <c r="AR435" s="724"/>
      <c r="AS435" s="724"/>
      <c r="AT435" s="724">
        <f>+ab($T$435,$T$433,$T$437,$G$434,$G$436, 1*$F$435,1200)</f>
        <v>-7.45976144566046</v>
      </c>
      <c r="AU435" s="724"/>
      <c r="AV435" s="724"/>
      <c r="AW435" s="719"/>
      <c r="AX435" s="719"/>
      <c r="AY435" s="719"/>
      <c r="AZ435" s="532"/>
    </row>
    <row r="436" spans="1:52" ht="15.75" hidden="1" customHeight="1">
      <c r="A436" s="716"/>
      <c r="B436" s="718"/>
      <c r="C436" s="789"/>
      <c r="D436" s="719"/>
      <c r="E436" s="719"/>
      <c r="F436" s="720"/>
      <c r="G436" s="721">
        <v>45</v>
      </c>
      <c r="H436" s="726"/>
      <c r="I436" s="726" t="s">
        <v>2053</v>
      </c>
      <c r="J436" s="762">
        <f>C437-5</f>
        <v>41197</v>
      </c>
      <c r="K436" s="719" t="s">
        <v>1102</v>
      </c>
      <c r="L436" s="719"/>
      <c r="M436" s="719"/>
      <c r="N436" s="726"/>
      <c r="O436" s="726"/>
      <c r="P436" s="726"/>
      <c r="Q436" s="719"/>
      <c r="R436" s="719"/>
      <c r="S436" s="724">
        <f t="shared" si="111"/>
        <v>44.819999999999709</v>
      </c>
      <c r="T436" s="719"/>
      <c r="U436" s="719"/>
      <c r="V436" s="719"/>
      <c r="W436" s="719"/>
      <c r="X436" s="719"/>
      <c r="Y436" s="719"/>
      <c r="Z436" s="719"/>
      <c r="AA436" s="719"/>
      <c r="AB436" s="719"/>
      <c r="AC436" s="719"/>
      <c r="AD436" s="719"/>
      <c r="AE436" s="719"/>
      <c r="AF436" s="719"/>
      <c r="AG436" s="789"/>
      <c r="AH436" s="719"/>
      <c r="AI436" s="719"/>
      <c r="AJ436" s="719"/>
      <c r="AK436" s="719"/>
      <c r="AL436" s="719"/>
      <c r="AM436" s="719"/>
      <c r="AN436" s="719"/>
      <c r="AO436" s="719"/>
      <c r="AP436" s="719"/>
      <c r="AQ436" s="724">
        <f>+FL_1($T$437,$T$435,$G$436,1200,9.28, 1*$F$437)</f>
        <v>0.31069252800000002</v>
      </c>
      <c r="AR436" s="724"/>
      <c r="AS436" s="724"/>
      <c r="AT436" s="724"/>
      <c r="AU436" s="724"/>
      <c r="AV436" s="724"/>
      <c r="AW436" s="719"/>
      <c r="AX436" s="719"/>
      <c r="AY436" s="719"/>
      <c r="AZ436" s="532"/>
    </row>
    <row r="437" spans="1:52" ht="15.75" customHeight="1">
      <c r="A437" s="716" t="s">
        <v>677</v>
      </c>
      <c r="B437" s="718" t="s">
        <v>1879</v>
      </c>
      <c r="C437" s="789">
        <f>+$C$435+$G$436</f>
        <v>41202</v>
      </c>
      <c r="D437" s="719"/>
      <c r="E437" s="719"/>
      <c r="F437" s="720">
        <v>0</v>
      </c>
      <c r="G437" s="721"/>
      <c r="H437" s="726" t="s">
        <v>1101</v>
      </c>
      <c r="I437" s="726"/>
      <c r="J437" s="762"/>
      <c r="K437" s="719"/>
      <c r="L437" s="719" t="s">
        <v>241</v>
      </c>
      <c r="M437" s="719"/>
      <c r="N437" s="726" t="s">
        <v>696</v>
      </c>
      <c r="O437" s="726"/>
      <c r="P437" s="726"/>
      <c r="Q437" s="719">
        <v>0</v>
      </c>
      <c r="R437" s="719">
        <v>0</v>
      </c>
      <c r="S437" s="719"/>
      <c r="T437" s="719">
        <v>30</v>
      </c>
      <c r="U437" s="719"/>
      <c r="V437" s="719"/>
      <c r="W437" s="719">
        <v>1.1000000000000001</v>
      </c>
      <c r="X437" s="719"/>
      <c r="Y437" s="719"/>
      <c r="Z437" s="719"/>
      <c r="AA437" s="719"/>
      <c r="AB437" s="719"/>
      <c r="AC437" s="719" t="s">
        <v>2977</v>
      </c>
      <c r="AD437" s="719"/>
      <c r="AE437" s="719"/>
      <c r="AF437" s="719">
        <v>200</v>
      </c>
      <c r="AG437" s="789">
        <v>41201.279999999999</v>
      </c>
      <c r="AH437" s="719">
        <v>1522</v>
      </c>
      <c r="AI437" s="719">
        <v>-5203</v>
      </c>
      <c r="AJ437" s="719"/>
      <c r="AK437" s="719"/>
      <c r="AL437" s="719"/>
      <c r="AM437" s="719" t="s">
        <v>2609</v>
      </c>
      <c r="AN437" s="719">
        <v>5.25</v>
      </c>
      <c r="AO437" s="719"/>
      <c r="AP437" s="719"/>
      <c r="AQ437" s="724"/>
      <c r="AR437" s="724"/>
      <c r="AS437" s="724"/>
      <c r="AT437" s="724">
        <f>+ab($T$437,$T$435,$T$439,$G$436,$G$438, 1*$F$437,1200)</f>
        <v>7.736030710202404</v>
      </c>
      <c r="AU437" s="724"/>
      <c r="AV437" s="724"/>
      <c r="AW437" s="719"/>
      <c r="AX437" s="719"/>
      <c r="AY437" s="719"/>
      <c r="AZ437" s="532"/>
    </row>
    <row r="438" spans="1:52" ht="15.75" hidden="1" customHeight="1">
      <c r="A438" s="716"/>
      <c r="B438" s="718"/>
      <c r="C438" s="789"/>
      <c r="D438" s="719"/>
      <c r="E438" s="719"/>
      <c r="F438" s="720"/>
      <c r="G438" s="721">
        <v>53</v>
      </c>
      <c r="H438" s="726"/>
      <c r="I438" s="726">
        <f>+SUM(G420:G438)</f>
        <v>497</v>
      </c>
      <c r="J438" s="762">
        <f>C437+1</f>
        <v>41203</v>
      </c>
      <c r="K438" s="719" t="s">
        <v>1102</v>
      </c>
      <c r="L438" s="719"/>
      <c r="M438" s="719"/>
      <c r="N438" s="726"/>
      <c r="O438" s="726"/>
      <c r="P438" s="726"/>
      <c r="Q438" s="719"/>
      <c r="R438" s="719"/>
      <c r="S438" s="724">
        <f t="shared" si="111"/>
        <v>52.959999999999127</v>
      </c>
      <c r="T438" s="719"/>
      <c r="U438" s="719"/>
      <c r="V438" s="719"/>
      <c r="W438" s="719"/>
      <c r="X438" s="719"/>
      <c r="Y438" s="719"/>
      <c r="Z438" s="719"/>
      <c r="AA438" s="719"/>
      <c r="AB438" s="719"/>
      <c r="AC438" s="719"/>
      <c r="AD438" s="719"/>
      <c r="AE438" s="719"/>
      <c r="AF438" s="719"/>
      <c r="AG438" s="789"/>
      <c r="AH438" s="719"/>
      <c r="AI438" s="719"/>
      <c r="AJ438" s="719"/>
      <c r="AK438" s="719"/>
      <c r="AL438" s="719"/>
      <c r="AM438" s="719"/>
      <c r="AN438" s="719"/>
      <c r="AO438" s="719"/>
      <c r="AP438" s="719"/>
      <c r="AQ438" s="724">
        <f>+FL_1($T$439,$T$437,$G$438,1200,9.28, 1*$F$439)</f>
        <v>0.35439840372327047</v>
      </c>
      <c r="AR438" s="724"/>
      <c r="AS438" s="724"/>
      <c r="AT438" s="724"/>
      <c r="AU438" s="724"/>
      <c r="AV438" s="724"/>
      <c r="AW438" s="719"/>
      <c r="AX438" s="719"/>
      <c r="AY438" s="719"/>
      <c r="AZ438" s="532"/>
    </row>
    <row r="439" spans="1:52" ht="15.75" customHeight="1">
      <c r="A439" s="716" t="s">
        <v>677</v>
      </c>
      <c r="B439" s="718" t="s">
        <v>1880</v>
      </c>
      <c r="C439" s="789">
        <f>+$C$437+$G$438</f>
        <v>41255</v>
      </c>
      <c r="D439" s="719"/>
      <c r="E439" s="719"/>
      <c r="F439" s="720">
        <v>0</v>
      </c>
      <c r="G439" s="721"/>
      <c r="H439" s="726" t="s">
        <v>997</v>
      </c>
      <c r="I439" s="726"/>
      <c r="J439" s="762"/>
      <c r="K439" s="719"/>
      <c r="L439" s="719" t="s">
        <v>241</v>
      </c>
      <c r="M439" s="719"/>
      <c r="N439" s="726" t="s">
        <v>695</v>
      </c>
      <c r="O439" s="726"/>
      <c r="P439" s="726"/>
      <c r="Q439" s="719">
        <v>0</v>
      </c>
      <c r="R439" s="719">
        <v>0</v>
      </c>
      <c r="S439" s="719"/>
      <c r="T439" s="719">
        <v>-30</v>
      </c>
      <c r="U439" s="719"/>
      <c r="V439" s="719"/>
      <c r="W439" s="719">
        <v>1.1000000000000001</v>
      </c>
      <c r="X439" s="719"/>
      <c r="Y439" s="719"/>
      <c r="Z439" s="719"/>
      <c r="AA439" s="719"/>
      <c r="AB439" s="719"/>
      <c r="AC439" s="719" t="s">
        <v>2614</v>
      </c>
      <c r="AD439" s="719"/>
      <c r="AE439" s="719"/>
      <c r="AF439" s="719">
        <v>200</v>
      </c>
      <c r="AG439" s="789">
        <v>41254.239999999998</v>
      </c>
      <c r="AH439" s="719">
        <v>1489</v>
      </c>
      <c r="AI439" s="719">
        <v>-5171</v>
      </c>
      <c r="AJ439" s="719"/>
      <c r="AK439" s="719"/>
      <c r="AL439" s="719"/>
      <c r="AM439" s="719" t="s">
        <v>2609</v>
      </c>
      <c r="AN439" s="719">
        <v>5.25</v>
      </c>
      <c r="AO439" s="719"/>
      <c r="AP439" s="719"/>
      <c r="AQ439" s="724"/>
      <c r="AR439" s="724"/>
      <c r="AS439" s="724"/>
      <c r="AT439" s="724">
        <f>+ab($T$439,$T$437,$T$441,$G$438,$G$440, 1*$F$439,1200)</f>
        <v>-8.4142628111454645</v>
      </c>
      <c r="AU439" s="724"/>
      <c r="AV439" s="724"/>
      <c r="AW439" s="719"/>
      <c r="AX439" s="719"/>
      <c r="AY439" s="719"/>
      <c r="AZ439" s="532"/>
    </row>
    <row r="440" spans="1:52" ht="15.75" hidden="1" customHeight="1">
      <c r="A440" s="716"/>
      <c r="B440" s="718"/>
      <c r="C440" s="789"/>
      <c r="D440" s="719"/>
      <c r="E440" s="719"/>
      <c r="F440" s="720"/>
      <c r="G440" s="721">
        <v>53</v>
      </c>
      <c r="H440" s="726"/>
      <c r="I440" s="726">
        <f>SUM(G440:G458)</f>
        <v>503</v>
      </c>
      <c r="J440" s="762">
        <f>C441-1</f>
        <v>41307</v>
      </c>
      <c r="K440" s="719" t="s">
        <v>1102</v>
      </c>
      <c r="L440" s="719"/>
      <c r="M440" s="719"/>
      <c r="N440" s="726"/>
      <c r="O440" s="726"/>
      <c r="P440" s="726"/>
      <c r="Q440" s="719"/>
      <c r="R440" s="719"/>
      <c r="S440" s="724">
        <f t="shared" si="111"/>
        <v>52.849999999998545</v>
      </c>
      <c r="T440" s="719"/>
      <c r="U440" s="719"/>
      <c r="V440" s="719"/>
      <c r="W440" s="719"/>
      <c r="X440" s="719"/>
      <c r="Y440" s="719"/>
      <c r="Z440" s="719"/>
      <c r="AA440" s="719"/>
      <c r="AB440" s="719"/>
      <c r="AC440" s="719"/>
      <c r="AD440" s="719"/>
      <c r="AE440" s="719"/>
      <c r="AF440" s="719"/>
      <c r="AG440" s="789"/>
      <c r="AH440" s="719"/>
      <c r="AI440" s="719"/>
      <c r="AJ440" s="719"/>
      <c r="AK440" s="719"/>
      <c r="AL440" s="719"/>
      <c r="AM440" s="719"/>
      <c r="AN440" s="719"/>
      <c r="AO440" s="719"/>
      <c r="AP440" s="719"/>
      <c r="AQ440" s="724">
        <f>+FL_2($T$441,$T$439,$G$440,1200,9.28, 1*$F$441)</f>
        <v>-0.35439840372327047</v>
      </c>
      <c r="AR440" s="724"/>
      <c r="AS440" s="724"/>
      <c r="AT440" s="724"/>
      <c r="AU440" s="724"/>
      <c r="AV440" s="724"/>
      <c r="AW440" s="719"/>
      <c r="AX440" s="719"/>
      <c r="AY440" s="719"/>
      <c r="AZ440" s="532"/>
    </row>
    <row r="441" spans="1:52" ht="15.75" customHeight="1">
      <c r="A441" s="716" t="s">
        <v>677</v>
      </c>
      <c r="B441" s="718" t="s">
        <v>1881</v>
      </c>
      <c r="C441" s="789">
        <f>+$C$439+$G$440</f>
        <v>41308</v>
      </c>
      <c r="D441" s="719"/>
      <c r="E441" s="719"/>
      <c r="F441" s="720">
        <v>0</v>
      </c>
      <c r="G441" s="721"/>
      <c r="H441" s="726" t="s">
        <v>1101</v>
      </c>
      <c r="I441" s="726"/>
      <c r="J441" s="762"/>
      <c r="K441" s="719"/>
      <c r="L441" s="719" t="s">
        <v>241</v>
      </c>
      <c r="M441" s="719"/>
      <c r="N441" s="726" t="s">
        <v>696</v>
      </c>
      <c r="O441" s="726"/>
      <c r="P441" s="726"/>
      <c r="Q441" s="719">
        <v>0</v>
      </c>
      <c r="R441" s="719">
        <v>0</v>
      </c>
      <c r="S441" s="719"/>
      <c r="T441" s="719">
        <v>30</v>
      </c>
      <c r="U441" s="719"/>
      <c r="V441" s="719"/>
      <c r="W441" s="719">
        <v>1.1000000000000001</v>
      </c>
      <c r="X441" s="719"/>
      <c r="Y441" s="719"/>
      <c r="Z441" s="719"/>
      <c r="AA441" s="719"/>
      <c r="AB441" s="719"/>
      <c r="AC441" s="719" t="s">
        <v>2612</v>
      </c>
      <c r="AD441" s="719"/>
      <c r="AE441" s="719"/>
      <c r="AF441" s="719">
        <v>200</v>
      </c>
      <c r="AG441" s="789">
        <v>41307.089999999997</v>
      </c>
      <c r="AH441" s="719">
        <v>1515</v>
      </c>
      <c r="AI441" s="719">
        <v>-5164</v>
      </c>
      <c r="AJ441" s="719"/>
      <c r="AK441" s="719"/>
      <c r="AL441" s="719"/>
      <c r="AM441" s="719" t="s">
        <v>2609</v>
      </c>
      <c r="AN441" s="719">
        <v>5.25</v>
      </c>
      <c r="AO441" s="719"/>
      <c r="AP441" s="719"/>
      <c r="AQ441" s="724"/>
      <c r="AR441" s="724"/>
      <c r="AS441" s="724"/>
      <c r="AT441" s="724">
        <f>+ab($T$441,$T$439,$T$443,$G$440,$G$442, 1*$F$441,1200)</f>
        <v>8.172509725983657</v>
      </c>
      <c r="AU441" s="724"/>
      <c r="AV441" s="724"/>
      <c r="AW441" s="719"/>
      <c r="AX441" s="719"/>
      <c r="AY441" s="719"/>
      <c r="AZ441" s="532"/>
    </row>
    <row r="442" spans="1:52" ht="15.75" hidden="1" customHeight="1">
      <c r="A442" s="716"/>
      <c r="B442" s="718"/>
      <c r="C442" s="789"/>
      <c r="D442" s="719"/>
      <c r="E442" s="719"/>
      <c r="F442" s="720"/>
      <c r="G442" s="721">
        <v>50</v>
      </c>
      <c r="H442" s="726"/>
      <c r="I442" s="722"/>
      <c r="J442" s="762"/>
      <c r="K442" s="719"/>
      <c r="L442" s="719"/>
      <c r="M442" s="719"/>
      <c r="N442" s="726"/>
      <c r="O442" s="726"/>
      <c r="P442" s="726"/>
      <c r="Q442" s="719"/>
      <c r="R442" s="719"/>
      <c r="S442" s="724">
        <f t="shared" si="111"/>
        <v>52.870000000002619</v>
      </c>
      <c r="T442" s="719"/>
      <c r="U442" s="719"/>
      <c r="V442" s="719"/>
      <c r="W442" s="719"/>
      <c r="X442" s="719"/>
      <c r="Y442" s="719"/>
      <c r="Z442" s="719"/>
      <c r="AA442" s="719"/>
      <c r="AB442" s="719"/>
      <c r="AC442" s="719"/>
      <c r="AD442" s="719"/>
      <c r="AE442" s="719"/>
      <c r="AF442" s="719"/>
      <c r="AG442" s="789"/>
      <c r="AH442" s="719"/>
      <c r="AI442" s="719"/>
      <c r="AJ442" s="719"/>
      <c r="AK442" s="719"/>
      <c r="AL442" s="719"/>
      <c r="AM442" s="719"/>
      <c r="AN442" s="719"/>
      <c r="AO442" s="719"/>
      <c r="AP442" s="719"/>
      <c r="AQ442" s="724">
        <f>+FL_2($T$443,$T$441,$G$442,1200,9.28, 1*$F$443)</f>
        <v>-0.33477011200000001</v>
      </c>
      <c r="AR442" s="724"/>
      <c r="AS442" s="724"/>
      <c r="AT442" s="724"/>
      <c r="AU442" s="724"/>
      <c r="AV442" s="724"/>
      <c r="AW442" s="719"/>
      <c r="AX442" s="719"/>
      <c r="AY442" s="719"/>
      <c r="AZ442" s="532"/>
    </row>
    <row r="443" spans="1:52" ht="15.75" hidden="1" customHeight="1">
      <c r="A443" s="716" t="s">
        <v>677</v>
      </c>
      <c r="B443" s="718" t="s">
        <v>1882</v>
      </c>
      <c r="C443" s="789">
        <f>+$C$441+$G$442</f>
        <v>41358</v>
      </c>
      <c r="D443" s="719"/>
      <c r="E443" s="719"/>
      <c r="F443" s="720">
        <v>0</v>
      </c>
      <c r="G443" s="721"/>
      <c r="H443" s="726"/>
      <c r="I443" s="726"/>
      <c r="J443" s="762"/>
      <c r="K443" s="719"/>
      <c r="L443" s="719" t="s">
        <v>241</v>
      </c>
      <c r="M443" s="719"/>
      <c r="N443" s="726" t="s">
        <v>695</v>
      </c>
      <c r="O443" s="726"/>
      <c r="P443" s="726"/>
      <c r="Q443" s="719">
        <v>0</v>
      </c>
      <c r="R443" s="719">
        <v>0</v>
      </c>
      <c r="S443" s="719"/>
      <c r="T443" s="719">
        <v>-30</v>
      </c>
      <c r="U443" s="719"/>
      <c r="V443" s="719"/>
      <c r="W443" s="719">
        <v>1.1000000000000001</v>
      </c>
      <c r="X443" s="719"/>
      <c r="Y443" s="719"/>
      <c r="Z443" s="719"/>
      <c r="AA443" s="719"/>
      <c r="AB443" s="719"/>
      <c r="AC443" s="719" t="s">
        <v>2979</v>
      </c>
      <c r="AD443" s="719"/>
      <c r="AE443" s="719"/>
      <c r="AF443" s="719">
        <v>200</v>
      </c>
      <c r="AG443" s="789">
        <v>41359.96</v>
      </c>
      <c r="AH443" s="719">
        <v>1483</v>
      </c>
      <c r="AI443" s="719">
        <v>-5145</v>
      </c>
      <c r="AJ443" s="719"/>
      <c r="AK443" s="719"/>
      <c r="AL443" s="719"/>
      <c r="AM443" s="719" t="s">
        <v>2609</v>
      </c>
      <c r="AN443" s="719">
        <v>5.25</v>
      </c>
      <c r="AO443" s="719"/>
      <c r="AP443" s="719"/>
      <c r="AQ443" s="724"/>
      <c r="AR443" s="724"/>
      <c r="AS443" s="724"/>
      <c r="AT443" s="724">
        <f>+ab($T$443,$T$441,$T$445,$G$442,$G$444, 1*$F$443,1200)</f>
        <v>-7.9442410717051439</v>
      </c>
      <c r="AU443" s="724"/>
      <c r="AV443" s="724"/>
      <c r="AW443" s="719"/>
      <c r="AX443" s="719"/>
      <c r="AY443" s="719"/>
      <c r="AZ443" s="532"/>
    </row>
    <row r="444" spans="1:52" ht="15.75" hidden="1" customHeight="1">
      <c r="A444" s="716"/>
      <c r="B444" s="718"/>
      <c r="C444" s="789"/>
      <c r="D444" s="719"/>
      <c r="E444" s="719"/>
      <c r="F444" s="720"/>
      <c r="G444" s="721">
        <v>50</v>
      </c>
      <c r="H444" s="726"/>
      <c r="I444" s="722"/>
      <c r="J444" s="762"/>
      <c r="K444" s="719"/>
      <c r="L444" s="719"/>
      <c r="M444" s="719"/>
      <c r="N444" s="726"/>
      <c r="O444" s="726"/>
      <c r="P444" s="726"/>
      <c r="Q444" s="719"/>
      <c r="R444" s="719"/>
      <c r="S444" s="724">
        <f t="shared" si="111"/>
        <v>48.010000000002037</v>
      </c>
      <c r="T444" s="719"/>
      <c r="U444" s="719"/>
      <c r="V444" s="719"/>
      <c r="W444" s="719"/>
      <c r="X444" s="719"/>
      <c r="Y444" s="719"/>
      <c r="Z444" s="719"/>
      <c r="AA444" s="719"/>
      <c r="AB444" s="719"/>
      <c r="AC444" s="719"/>
      <c r="AD444" s="719"/>
      <c r="AE444" s="719"/>
      <c r="AF444" s="719"/>
      <c r="AG444" s="789"/>
      <c r="AH444" s="719"/>
      <c r="AI444" s="719"/>
      <c r="AJ444" s="719"/>
      <c r="AK444" s="719"/>
      <c r="AL444" s="719"/>
      <c r="AM444" s="719"/>
      <c r="AN444" s="719"/>
      <c r="AO444" s="719"/>
      <c r="AP444" s="719"/>
      <c r="AQ444" s="724">
        <f>+FL_1($T$445,$T$443,$G$444,1200,9.28, 1*$F$445)</f>
        <v>0.33477011200000001</v>
      </c>
      <c r="AR444" s="724"/>
      <c r="AS444" s="724"/>
      <c r="AT444" s="724"/>
      <c r="AU444" s="724"/>
      <c r="AV444" s="724"/>
      <c r="AW444" s="719"/>
      <c r="AX444" s="719"/>
      <c r="AY444" s="719"/>
      <c r="AZ444" s="532"/>
    </row>
    <row r="445" spans="1:52" ht="15.75" hidden="1" customHeight="1">
      <c r="A445" s="716" t="s">
        <v>677</v>
      </c>
      <c r="B445" s="718" t="s">
        <v>1883</v>
      </c>
      <c r="C445" s="789">
        <f>+$C$443+$G$444</f>
        <v>41408</v>
      </c>
      <c r="D445" s="719"/>
      <c r="E445" s="719"/>
      <c r="F445" s="720">
        <v>0</v>
      </c>
      <c r="G445" s="721"/>
      <c r="H445" s="726"/>
      <c r="I445" s="726"/>
      <c r="J445" s="762"/>
      <c r="K445" s="719"/>
      <c r="L445" s="719" t="s">
        <v>241</v>
      </c>
      <c r="M445" s="719"/>
      <c r="N445" s="726" t="s">
        <v>696</v>
      </c>
      <c r="O445" s="726"/>
      <c r="P445" s="726"/>
      <c r="Q445" s="719">
        <v>0</v>
      </c>
      <c r="R445" s="719">
        <v>0</v>
      </c>
      <c r="S445" s="719"/>
      <c r="T445" s="719">
        <v>30</v>
      </c>
      <c r="U445" s="719"/>
      <c r="V445" s="719"/>
      <c r="W445" s="719">
        <v>1.1000000000000001</v>
      </c>
      <c r="X445" s="719"/>
      <c r="Y445" s="719"/>
      <c r="Z445" s="719"/>
      <c r="AA445" s="719"/>
      <c r="AB445" s="719"/>
      <c r="AC445" s="719" t="s">
        <v>2977</v>
      </c>
      <c r="AD445" s="719"/>
      <c r="AE445" s="719"/>
      <c r="AF445" s="719">
        <v>200</v>
      </c>
      <c r="AG445" s="789">
        <v>41407.97</v>
      </c>
      <c r="AH445" s="719">
        <v>1501</v>
      </c>
      <c r="AI445" s="719">
        <v>-5156</v>
      </c>
      <c r="AJ445" s="719"/>
      <c r="AK445" s="719"/>
      <c r="AL445" s="719"/>
      <c r="AM445" s="719" t="s">
        <v>2609</v>
      </c>
      <c r="AN445" s="719">
        <v>5.25</v>
      </c>
      <c r="AO445" s="719"/>
      <c r="AP445" s="719"/>
      <c r="AQ445" s="724"/>
      <c r="AR445" s="724"/>
      <c r="AS445" s="724"/>
      <c r="AT445" s="724">
        <f>+ab($T$445,$T$443,$T$447,$G$444,$G$446, 1*$F$445,1200)</f>
        <v>7.9442083933778509</v>
      </c>
      <c r="AU445" s="724"/>
      <c r="AV445" s="724"/>
      <c r="AW445" s="719"/>
      <c r="AX445" s="719"/>
      <c r="AY445" s="719"/>
      <c r="AZ445" s="532"/>
    </row>
    <row r="446" spans="1:52" ht="15.75" hidden="1" customHeight="1">
      <c r="A446" s="716"/>
      <c r="B446" s="718"/>
      <c r="C446" s="789"/>
      <c r="D446" s="719"/>
      <c r="E446" s="719"/>
      <c r="F446" s="720"/>
      <c r="G446" s="721">
        <v>50</v>
      </c>
      <c r="H446" s="726"/>
      <c r="I446" s="726"/>
      <c r="J446" s="762"/>
      <c r="K446" s="719"/>
      <c r="L446" s="719"/>
      <c r="M446" s="719"/>
      <c r="N446" s="726"/>
      <c r="O446" s="726"/>
      <c r="P446" s="726"/>
      <c r="Q446" s="719"/>
      <c r="R446" s="719"/>
      <c r="S446" s="724">
        <f t="shared" si="111"/>
        <v>51.239999999997963</v>
      </c>
      <c r="T446" s="719"/>
      <c r="U446" s="719"/>
      <c r="V446" s="719"/>
      <c r="W446" s="719"/>
      <c r="X446" s="719"/>
      <c r="Y446" s="719"/>
      <c r="Z446" s="719"/>
      <c r="AA446" s="719"/>
      <c r="AB446" s="719"/>
      <c r="AC446" s="719"/>
      <c r="AD446" s="719"/>
      <c r="AE446" s="719"/>
      <c r="AF446" s="719"/>
      <c r="AG446" s="789"/>
      <c r="AH446" s="719"/>
      <c r="AI446" s="719"/>
      <c r="AJ446" s="719"/>
      <c r="AK446" s="719"/>
      <c r="AL446" s="719"/>
      <c r="AM446" s="719"/>
      <c r="AN446" s="719"/>
      <c r="AO446" s="719"/>
      <c r="AP446" s="719"/>
      <c r="AQ446" s="724">
        <f>+FL_2($T$447,$T$445,$G$446,1200,9.28, 1*$F$447)</f>
        <v>-0.33477011200000001</v>
      </c>
      <c r="AR446" s="724"/>
      <c r="AS446" s="724"/>
      <c r="AT446" s="724"/>
      <c r="AU446" s="724"/>
      <c r="AV446" s="724"/>
      <c r="AW446" s="719"/>
      <c r="AX446" s="719"/>
      <c r="AY446" s="719"/>
      <c r="AZ446" s="532"/>
    </row>
    <row r="447" spans="1:52" ht="15.75" hidden="1" customHeight="1">
      <c r="A447" s="716" t="s">
        <v>677</v>
      </c>
      <c r="B447" s="718" t="s">
        <v>1884</v>
      </c>
      <c r="C447" s="789">
        <f>+$C$445+$G$446</f>
        <v>41458</v>
      </c>
      <c r="D447" s="719"/>
      <c r="E447" s="719"/>
      <c r="F447" s="720">
        <v>0</v>
      </c>
      <c r="G447" s="721"/>
      <c r="H447" s="726"/>
      <c r="I447" s="726"/>
      <c r="J447" s="762"/>
      <c r="K447" s="719"/>
      <c r="L447" s="719" t="s">
        <v>241</v>
      </c>
      <c r="M447" s="719"/>
      <c r="N447" s="726" t="s">
        <v>695</v>
      </c>
      <c r="O447" s="726"/>
      <c r="P447" s="726"/>
      <c r="Q447" s="719">
        <v>0</v>
      </c>
      <c r="R447" s="719">
        <v>0</v>
      </c>
      <c r="S447" s="719"/>
      <c r="T447" s="719">
        <v>-30</v>
      </c>
      <c r="U447" s="719"/>
      <c r="V447" s="719"/>
      <c r="W447" s="719">
        <v>1.1000000000000001</v>
      </c>
      <c r="X447" s="719"/>
      <c r="Y447" s="719"/>
      <c r="Z447" s="719"/>
      <c r="AA447" s="719"/>
      <c r="AB447" s="719"/>
      <c r="AC447" s="719" t="s">
        <v>2979</v>
      </c>
      <c r="AD447" s="719"/>
      <c r="AE447" s="719"/>
      <c r="AF447" s="719">
        <v>200</v>
      </c>
      <c r="AG447" s="789">
        <v>41459.21</v>
      </c>
      <c r="AH447" s="719">
        <v>1474</v>
      </c>
      <c r="AI447" s="719">
        <v>-5193</v>
      </c>
      <c r="AJ447" s="719"/>
      <c r="AK447" s="719"/>
      <c r="AL447" s="719"/>
      <c r="AM447" s="719" t="s">
        <v>2609</v>
      </c>
      <c r="AN447" s="719">
        <v>5.25</v>
      </c>
      <c r="AO447" s="719"/>
      <c r="AP447" s="719"/>
      <c r="AQ447" s="724"/>
      <c r="AR447" s="724"/>
      <c r="AS447" s="724"/>
      <c r="AT447" s="724">
        <f>+ab($T$447,$T$445,$T$449,$G$446,$G$448, 1*$F$447,1200)</f>
        <v>-7.9442410717051439</v>
      </c>
      <c r="AU447" s="724"/>
      <c r="AV447" s="724"/>
      <c r="AW447" s="719"/>
      <c r="AX447" s="719"/>
      <c r="AY447" s="719"/>
      <c r="AZ447" s="532"/>
    </row>
    <row r="448" spans="1:52" ht="15.75" hidden="1" customHeight="1">
      <c r="A448" s="716"/>
      <c r="B448" s="718"/>
      <c r="C448" s="789"/>
      <c r="D448" s="719"/>
      <c r="E448" s="719"/>
      <c r="F448" s="720"/>
      <c r="G448" s="721">
        <v>50</v>
      </c>
      <c r="H448" s="726"/>
      <c r="I448" s="726"/>
      <c r="J448" s="762"/>
      <c r="K448" s="719"/>
      <c r="L448" s="719"/>
      <c r="M448" s="719"/>
      <c r="N448" s="726"/>
      <c r="O448" s="726"/>
      <c r="P448" s="726"/>
      <c r="Q448" s="719"/>
      <c r="R448" s="719"/>
      <c r="S448" s="724">
        <f t="shared" si="111"/>
        <v>49.709999999999127</v>
      </c>
      <c r="T448" s="719"/>
      <c r="U448" s="719"/>
      <c r="V448" s="719"/>
      <c r="W448" s="719"/>
      <c r="X448" s="719"/>
      <c r="Y448" s="719"/>
      <c r="Z448" s="719"/>
      <c r="AA448" s="719"/>
      <c r="AB448" s="719"/>
      <c r="AC448" s="719"/>
      <c r="AD448" s="719"/>
      <c r="AE448" s="719"/>
      <c r="AF448" s="719"/>
      <c r="AG448" s="789"/>
      <c r="AH448" s="719"/>
      <c r="AI448" s="719"/>
      <c r="AJ448" s="719"/>
      <c r="AK448" s="719"/>
      <c r="AL448" s="719"/>
      <c r="AM448" s="719"/>
      <c r="AN448" s="719"/>
      <c r="AO448" s="719"/>
      <c r="AP448" s="719"/>
      <c r="AQ448" s="724">
        <f>+FL_1($T$449,$T$447,$G$448,1200,9.28, 1*$F$449)</f>
        <v>0.33477011200000001</v>
      </c>
      <c r="AR448" s="724"/>
      <c r="AS448" s="724"/>
      <c r="AT448" s="724"/>
      <c r="AU448" s="724"/>
      <c r="AV448" s="724"/>
      <c r="AW448" s="719"/>
      <c r="AX448" s="719"/>
      <c r="AY448" s="719"/>
      <c r="AZ448" s="532"/>
    </row>
    <row r="449" spans="1:52" ht="15.75" hidden="1" customHeight="1">
      <c r="A449" s="716" t="s">
        <v>677</v>
      </c>
      <c r="B449" s="718" t="s">
        <v>1885</v>
      </c>
      <c r="C449" s="789">
        <f>+$C$447+$G$448</f>
        <v>41508</v>
      </c>
      <c r="D449" s="719"/>
      <c r="E449" s="719"/>
      <c r="F449" s="720">
        <v>0</v>
      </c>
      <c r="G449" s="721"/>
      <c r="H449" s="726"/>
      <c r="I449" s="722"/>
      <c r="J449" s="762"/>
      <c r="K449" s="719"/>
      <c r="L449" s="719" t="s">
        <v>241</v>
      </c>
      <c r="M449" s="719"/>
      <c r="N449" s="726" t="s">
        <v>696</v>
      </c>
      <c r="O449" s="726"/>
      <c r="P449" s="726"/>
      <c r="Q449" s="719">
        <v>0</v>
      </c>
      <c r="R449" s="719">
        <v>0</v>
      </c>
      <c r="S449" s="719"/>
      <c r="T449" s="719">
        <v>30</v>
      </c>
      <c r="U449" s="719"/>
      <c r="V449" s="719"/>
      <c r="W449" s="719">
        <v>1.1000000000000001</v>
      </c>
      <c r="X449" s="719"/>
      <c r="Y449" s="719"/>
      <c r="Z449" s="719"/>
      <c r="AA449" s="719"/>
      <c r="AB449" s="719"/>
      <c r="AC449" s="719" t="s">
        <v>2977</v>
      </c>
      <c r="AD449" s="719"/>
      <c r="AE449" s="719"/>
      <c r="AF449" s="719">
        <v>200</v>
      </c>
      <c r="AG449" s="789">
        <v>41508.92</v>
      </c>
      <c r="AH449" s="719">
        <v>1506</v>
      </c>
      <c r="AI449" s="719">
        <v>-5155</v>
      </c>
      <c r="AJ449" s="719"/>
      <c r="AK449" s="719"/>
      <c r="AL449" s="719"/>
      <c r="AM449" s="719" t="s">
        <v>2609</v>
      </c>
      <c r="AN449" s="719">
        <v>5.25</v>
      </c>
      <c r="AO449" s="719"/>
      <c r="AP449" s="719"/>
      <c r="AQ449" s="724"/>
      <c r="AR449" s="724"/>
      <c r="AS449" s="724"/>
      <c r="AT449" s="724">
        <f>+ab($T$449,$T$447,$T$451,$G$448,$G$450, 1*$F$449,1200)</f>
        <v>7.9442083933778509</v>
      </c>
      <c r="AU449" s="724"/>
      <c r="AV449" s="724"/>
      <c r="AW449" s="719"/>
      <c r="AX449" s="719"/>
      <c r="AY449" s="719"/>
      <c r="AZ449" s="532"/>
    </row>
    <row r="450" spans="1:52" ht="15.75" hidden="1" customHeight="1">
      <c r="A450" s="716"/>
      <c r="B450" s="718"/>
      <c r="C450" s="789"/>
      <c r="D450" s="719"/>
      <c r="E450" s="719"/>
      <c r="F450" s="720"/>
      <c r="G450" s="721">
        <v>50</v>
      </c>
      <c r="H450" s="726"/>
      <c r="I450" s="726"/>
      <c r="J450" s="762"/>
      <c r="K450" s="719"/>
      <c r="L450" s="719"/>
      <c r="M450" s="719"/>
      <c r="N450" s="726"/>
      <c r="O450" s="726"/>
      <c r="P450" s="726"/>
      <c r="Q450" s="719"/>
      <c r="R450" s="719"/>
      <c r="S450" s="724">
        <f>AG451-AG449</f>
        <v>49.669999999998254</v>
      </c>
      <c r="T450" s="719"/>
      <c r="U450" s="719"/>
      <c r="V450" s="719"/>
      <c r="W450" s="719"/>
      <c r="X450" s="719"/>
      <c r="Y450" s="719"/>
      <c r="Z450" s="719"/>
      <c r="AA450" s="719"/>
      <c r="AB450" s="719"/>
      <c r="AC450" s="719"/>
      <c r="AD450" s="719"/>
      <c r="AE450" s="719"/>
      <c r="AF450" s="719"/>
      <c r="AG450" s="789"/>
      <c r="AH450" s="719"/>
      <c r="AI450" s="719"/>
      <c r="AJ450" s="719"/>
      <c r="AK450" s="719"/>
      <c r="AL450" s="719"/>
      <c r="AM450" s="719"/>
      <c r="AN450" s="719"/>
      <c r="AO450" s="719"/>
      <c r="AP450" s="719"/>
      <c r="AQ450" s="724">
        <f>+FL_2($T$451,$T$449,$G$450,1200,9.28, 1*$F$451)</f>
        <v>-0.33477011200000001</v>
      </c>
      <c r="AR450" s="724"/>
      <c r="AS450" s="724"/>
      <c r="AT450" s="724"/>
      <c r="AU450" s="724"/>
      <c r="AV450" s="724"/>
      <c r="AW450" s="719"/>
      <c r="AX450" s="719"/>
      <c r="AY450" s="719"/>
      <c r="AZ450" s="532"/>
    </row>
    <row r="451" spans="1:52" ht="15.75" hidden="1" customHeight="1">
      <c r="A451" s="716" t="s">
        <v>677</v>
      </c>
      <c r="B451" s="718" t="s">
        <v>1886</v>
      </c>
      <c r="C451" s="789">
        <f>+$C$449+$G$450</f>
        <v>41558</v>
      </c>
      <c r="D451" s="719"/>
      <c r="E451" s="719"/>
      <c r="F451" s="720">
        <v>0</v>
      </c>
      <c r="G451" s="721"/>
      <c r="H451" s="726"/>
      <c r="I451" s="722"/>
      <c r="J451" s="762"/>
      <c r="K451" s="719"/>
      <c r="L451" s="719" t="s">
        <v>241</v>
      </c>
      <c r="M451" s="719"/>
      <c r="N451" s="726" t="s">
        <v>695</v>
      </c>
      <c r="O451" s="726"/>
      <c r="P451" s="726"/>
      <c r="Q451" s="719">
        <v>0</v>
      </c>
      <c r="R451" s="719">
        <v>0</v>
      </c>
      <c r="S451" s="719"/>
      <c r="T451" s="719">
        <v>-30</v>
      </c>
      <c r="U451" s="719"/>
      <c r="V451" s="719"/>
      <c r="W451" s="719">
        <v>1.1000000000000001</v>
      </c>
      <c r="X451" s="719"/>
      <c r="Y451" s="719"/>
      <c r="Z451" s="719"/>
      <c r="AA451" s="719"/>
      <c r="AB451" s="719"/>
      <c r="AC451" s="719" t="s">
        <v>2979</v>
      </c>
      <c r="AD451" s="719"/>
      <c r="AE451" s="719"/>
      <c r="AF451" s="719">
        <v>200</v>
      </c>
      <c r="AG451" s="789">
        <v>41558.589999999997</v>
      </c>
      <c r="AH451" s="719">
        <v>1490</v>
      </c>
      <c r="AI451" s="719">
        <v>-5169</v>
      </c>
      <c r="AJ451" s="719"/>
      <c r="AK451" s="719"/>
      <c r="AL451" s="719"/>
      <c r="AM451" s="719" t="s">
        <v>2609</v>
      </c>
      <c r="AN451" s="719">
        <v>5.25</v>
      </c>
      <c r="AO451" s="719"/>
      <c r="AP451" s="719"/>
      <c r="AQ451" s="724"/>
      <c r="AR451" s="724"/>
      <c r="AS451" s="724"/>
      <c r="AT451" s="724">
        <f>+ab($T$451,$T$449,$T$453,$G$450,$G$452, 1*$F$451,1200)</f>
        <v>-7.9442410717051439</v>
      </c>
      <c r="AU451" s="724"/>
      <c r="AV451" s="724"/>
      <c r="AW451" s="719"/>
      <c r="AX451" s="719"/>
      <c r="AY451" s="719"/>
      <c r="AZ451" s="532"/>
    </row>
    <row r="452" spans="1:52" ht="15.75" hidden="1" customHeight="1">
      <c r="A452" s="716"/>
      <c r="B452" s="718"/>
      <c r="C452" s="789"/>
      <c r="D452" s="719"/>
      <c r="E452" s="719"/>
      <c r="F452" s="720"/>
      <c r="G452" s="721">
        <v>50</v>
      </c>
      <c r="H452" s="726"/>
      <c r="I452" s="726"/>
      <c r="J452" s="762"/>
      <c r="K452" s="719"/>
      <c r="L452" s="719"/>
      <c r="M452" s="719"/>
      <c r="N452" s="726"/>
      <c r="O452" s="726"/>
      <c r="P452" s="726"/>
      <c r="Q452" s="719"/>
      <c r="R452" s="719"/>
      <c r="S452" s="724">
        <f t="shared" ref="S452" si="113">AG453-AG451</f>
        <v>51.230000000003201</v>
      </c>
      <c r="T452" s="719"/>
      <c r="U452" s="719"/>
      <c r="V452" s="719"/>
      <c r="W452" s="719"/>
      <c r="X452" s="719"/>
      <c r="Y452" s="719"/>
      <c r="Z452" s="719"/>
      <c r="AA452" s="719"/>
      <c r="AB452" s="719"/>
      <c r="AC452" s="719"/>
      <c r="AD452" s="719"/>
      <c r="AE452" s="719"/>
      <c r="AF452" s="719"/>
      <c r="AG452" s="789"/>
      <c r="AH452" s="719"/>
      <c r="AI452" s="719"/>
      <c r="AJ452" s="719"/>
      <c r="AK452" s="719"/>
      <c r="AL452" s="719"/>
      <c r="AM452" s="719"/>
      <c r="AN452" s="719"/>
      <c r="AO452" s="719"/>
      <c r="AP452" s="719"/>
      <c r="AQ452" s="724">
        <f>+FL_1($T$453,$T$451,$G$452,1200,9.28, 1*$F$453)</f>
        <v>0.33477011200000001</v>
      </c>
      <c r="AR452" s="724"/>
      <c r="AS452" s="724"/>
      <c r="AT452" s="724"/>
      <c r="AU452" s="724"/>
      <c r="AV452" s="724"/>
      <c r="AW452" s="719"/>
      <c r="AX452" s="719"/>
      <c r="AY452" s="719"/>
      <c r="AZ452" s="532"/>
    </row>
    <row r="453" spans="1:52" ht="15.75" hidden="1" customHeight="1">
      <c r="A453" s="716" t="s">
        <v>677</v>
      </c>
      <c r="B453" s="718" t="s">
        <v>1887</v>
      </c>
      <c r="C453" s="789">
        <f>+$C$451+$G$452</f>
        <v>41608</v>
      </c>
      <c r="D453" s="719"/>
      <c r="E453" s="719"/>
      <c r="F453" s="720">
        <v>0</v>
      </c>
      <c r="G453" s="721"/>
      <c r="H453" s="726" t="s">
        <v>138</v>
      </c>
      <c r="I453" s="722" t="s">
        <v>948</v>
      </c>
      <c r="J453" s="762"/>
      <c r="K453" s="719"/>
      <c r="L453" s="719" t="s">
        <v>241</v>
      </c>
      <c r="M453" s="719"/>
      <c r="N453" s="726" t="s">
        <v>696</v>
      </c>
      <c r="O453" s="726"/>
      <c r="P453" s="726"/>
      <c r="Q453" s="719">
        <v>0</v>
      </c>
      <c r="R453" s="719">
        <v>0</v>
      </c>
      <c r="S453" s="719"/>
      <c r="T453" s="719">
        <v>30</v>
      </c>
      <c r="U453" s="719"/>
      <c r="V453" s="719"/>
      <c r="W453" s="719">
        <v>1.1000000000000001</v>
      </c>
      <c r="X453" s="719"/>
      <c r="Y453" s="719"/>
      <c r="Z453" s="719"/>
      <c r="AA453" s="719"/>
      <c r="AB453" s="719"/>
      <c r="AC453" s="719" t="s">
        <v>2612</v>
      </c>
      <c r="AD453" s="719"/>
      <c r="AE453" s="719"/>
      <c r="AF453" s="719">
        <v>200</v>
      </c>
      <c r="AG453" s="789">
        <v>41609.82</v>
      </c>
      <c r="AH453" s="719">
        <v>1495</v>
      </c>
      <c r="AI453" s="719">
        <v>-5159</v>
      </c>
      <c r="AJ453" s="719"/>
      <c r="AK453" s="719"/>
      <c r="AL453" s="719"/>
      <c r="AM453" s="719" t="s">
        <v>2609</v>
      </c>
      <c r="AN453" s="719">
        <v>5.25</v>
      </c>
      <c r="AO453" s="719"/>
      <c r="AP453" s="719"/>
      <c r="AQ453" s="724"/>
      <c r="AR453" s="724"/>
      <c r="AS453" s="724"/>
      <c r="AT453" s="724">
        <f>+ab($T$453,$T$451,$T$455,$G$452,$G$454, 1*$F$453,1200)</f>
        <v>9.9968917440918084</v>
      </c>
      <c r="AU453" s="724"/>
      <c r="AV453" s="724"/>
      <c r="AW453" s="719"/>
      <c r="AX453" s="719"/>
      <c r="AY453" s="719"/>
      <c r="AZ453" s="532"/>
    </row>
    <row r="454" spans="1:52" ht="15.75" hidden="1" customHeight="1">
      <c r="A454" s="716"/>
      <c r="B454" s="718"/>
      <c r="C454" s="789"/>
      <c r="D454" s="719"/>
      <c r="E454" s="719"/>
      <c r="F454" s="720"/>
      <c r="G454" s="721">
        <v>50</v>
      </c>
      <c r="H454" s="726"/>
      <c r="I454" s="726"/>
      <c r="J454" s="762">
        <f>C453+10</f>
        <v>41618</v>
      </c>
      <c r="K454" s="719" t="s">
        <v>1097</v>
      </c>
      <c r="L454" s="719"/>
      <c r="M454" s="719"/>
      <c r="N454" s="726"/>
      <c r="O454" s="726"/>
      <c r="P454" s="726"/>
      <c r="Q454" s="719"/>
      <c r="R454" s="719"/>
      <c r="S454" s="724">
        <f>AG455-AG453</f>
        <v>46.379999999997381</v>
      </c>
      <c r="T454" s="719"/>
      <c r="U454" s="719"/>
      <c r="V454" s="719"/>
      <c r="W454" s="719"/>
      <c r="X454" s="719"/>
      <c r="Y454" s="719"/>
      <c r="Z454" s="719"/>
      <c r="AA454" s="719"/>
      <c r="AB454" s="719"/>
      <c r="AC454" s="719"/>
      <c r="AD454" s="719"/>
      <c r="AE454" s="719"/>
      <c r="AF454" s="719"/>
      <c r="AG454" s="789"/>
      <c r="AH454" s="719"/>
      <c r="AI454" s="719"/>
      <c r="AJ454" s="719"/>
      <c r="AK454" s="719"/>
      <c r="AL454" s="719"/>
      <c r="AM454" s="719"/>
      <c r="AN454" s="719"/>
      <c r="AO454" s="719"/>
      <c r="AP454" s="719"/>
      <c r="AQ454" s="724">
        <f>+FL_2($U$455,$T$453,$G$454,1200,9.28, 1*$F$455)</f>
        <v>-0.29489941866666664</v>
      </c>
      <c r="AR454" s="724"/>
      <c r="AS454" s="724"/>
      <c r="AT454" s="724"/>
      <c r="AU454" s="724"/>
      <c r="AV454" s="724"/>
      <c r="AW454" s="719"/>
      <c r="AX454" s="719"/>
      <c r="AY454" s="719"/>
      <c r="AZ454" s="532"/>
    </row>
    <row r="455" spans="1:52" ht="15.75" hidden="1" customHeight="1">
      <c r="A455" s="716" t="s">
        <v>677</v>
      </c>
      <c r="B455" s="735" t="s">
        <v>1888</v>
      </c>
      <c r="C455" s="789">
        <f>+$C$453+$G$454</f>
        <v>41658</v>
      </c>
      <c r="D455" s="719"/>
      <c r="E455" s="719"/>
      <c r="F455" s="720">
        <v>0</v>
      </c>
      <c r="G455" s="721"/>
      <c r="H455" s="719" t="s">
        <v>668</v>
      </c>
      <c r="I455" s="720"/>
      <c r="J455" s="762"/>
      <c r="K455" s="719"/>
      <c r="L455" s="719" t="s">
        <v>465</v>
      </c>
      <c r="M455" s="719"/>
      <c r="N455" s="726" t="s">
        <v>697</v>
      </c>
      <c r="O455" s="726" t="s">
        <v>695</v>
      </c>
      <c r="P455" s="726"/>
      <c r="Q455" s="719">
        <v>0</v>
      </c>
      <c r="R455" s="719">
        <v>0</v>
      </c>
      <c r="S455" s="724">
        <f>AG456-AG455</f>
        <v>3.1700000000055297</v>
      </c>
      <c r="T455" s="719">
        <v>-5</v>
      </c>
      <c r="U455" s="719">
        <v>-25</v>
      </c>
      <c r="V455" s="719"/>
      <c r="W455" s="719">
        <v>1.1000000000000001</v>
      </c>
      <c r="X455" s="719">
        <v>1.2</v>
      </c>
      <c r="Y455" s="719"/>
      <c r="Z455" s="719">
        <v>0.45</v>
      </c>
      <c r="AA455" s="719"/>
      <c r="AB455" s="719"/>
      <c r="AC455" s="719"/>
      <c r="AD455" s="719" t="s">
        <v>2616</v>
      </c>
      <c r="AE455" s="719"/>
      <c r="AF455" s="719">
        <v>200</v>
      </c>
      <c r="AG455" s="789">
        <v>41656.199999999997</v>
      </c>
      <c r="AH455" s="719">
        <v>1499</v>
      </c>
      <c r="AI455" s="719">
        <v>-5170</v>
      </c>
      <c r="AJ455" s="719"/>
      <c r="AK455" s="719"/>
      <c r="AL455" s="719"/>
      <c r="AM455" s="719" t="s">
        <v>2609</v>
      </c>
      <c r="AN455" s="719">
        <v>5.25</v>
      </c>
      <c r="AO455" s="719"/>
      <c r="AP455" s="719"/>
      <c r="AQ455" s="724"/>
      <c r="AR455" s="724"/>
      <c r="AS455" s="724"/>
      <c r="AT455" s="724">
        <f>+ab($U$455,$T$453,$U$457,$G$454,$G$456, 1*$F$455,1200)</f>
        <v>-11.145107873316856</v>
      </c>
      <c r="AU455" s="724"/>
      <c r="AV455" s="724"/>
      <c r="AW455" s="719"/>
      <c r="AX455" s="719"/>
      <c r="AY455" s="719"/>
      <c r="AZ455" s="532"/>
    </row>
    <row r="456" spans="1:52" ht="15.75" hidden="1" customHeight="1">
      <c r="A456" s="716"/>
      <c r="B456" s="718"/>
      <c r="C456" s="789"/>
      <c r="D456" s="719"/>
      <c r="E456" s="719"/>
      <c r="F456" s="720"/>
      <c r="G456" s="721">
        <v>50</v>
      </c>
      <c r="H456" s="726"/>
      <c r="I456" s="726"/>
      <c r="J456" s="762"/>
      <c r="K456" s="719"/>
      <c r="L456" s="719"/>
      <c r="M456" s="719"/>
      <c r="N456" s="726"/>
      <c r="O456" s="726"/>
      <c r="P456" s="726"/>
      <c r="Q456" s="719"/>
      <c r="R456" s="719"/>
      <c r="S456" s="724">
        <f t="shared" ref="S456:S458" si="114">AG457-AG456</f>
        <v>46.479999999995925</v>
      </c>
      <c r="T456" s="719"/>
      <c r="U456" s="719"/>
      <c r="V456" s="719"/>
      <c r="W456" s="719"/>
      <c r="X456" s="719"/>
      <c r="Y456" s="719"/>
      <c r="Z456" s="719"/>
      <c r="AA456" s="719"/>
      <c r="AB456" s="719"/>
      <c r="AC456" s="719"/>
      <c r="AD456" s="719"/>
      <c r="AE456" s="719"/>
      <c r="AF456" s="719"/>
      <c r="AG456" s="789">
        <v>41659.370000000003</v>
      </c>
      <c r="AH456" s="719">
        <v>1490</v>
      </c>
      <c r="AI456" s="719">
        <v>-5191</v>
      </c>
      <c r="AJ456" s="719"/>
      <c r="AK456" s="719"/>
      <c r="AL456" s="719"/>
      <c r="AM456" s="719"/>
      <c r="AN456" s="719"/>
      <c r="AO456" s="719"/>
      <c r="AP456" s="719"/>
      <c r="AQ456" s="724">
        <f>+FL_1($T$457,$U$455,$G$456,1200,9.28, 1*$F$457)</f>
        <v>0.30632183866666668</v>
      </c>
      <c r="AR456" s="724"/>
      <c r="AS456" s="724"/>
      <c r="AT456" s="724"/>
      <c r="AU456" s="724"/>
      <c r="AV456" s="724"/>
      <c r="AW456" s="719"/>
      <c r="AX456" s="719"/>
      <c r="AY456" s="719"/>
      <c r="AZ456" s="532"/>
    </row>
    <row r="457" spans="1:52" ht="15.75" hidden="1" customHeight="1">
      <c r="A457" s="716" t="s">
        <v>677</v>
      </c>
      <c r="B457" s="735" t="s">
        <v>1889</v>
      </c>
      <c r="C457" s="789">
        <f>+$C$455+$G$456</f>
        <v>41708</v>
      </c>
      <c r="D457" s="719"/>
      <c r="E457" s="719"/>
      <c r="F457" s="720">
        <v>0</v>
      </c>
      <c r="G457" s="721"/>
      <c r="H457" s="726" t="s">
        <v>668</v>
      </c>
      <c r="I457" s="722"/>
      <c r="J457" s="762"/>
      <c r="K457" s="719"/>
      <c r="L457" s="719" t="s">
        <v>465</v>
      </c>
      <c r="M457" s="719"/>
      <c r="N457" s="726" t="s">
        <v>696</v>
      </c>
      <c r="O457" s="726" t="s">
        <v>697</v>
      </c>
      <c r="P457" s="726"/>
      <c r="Q457" s="719">
        <v>0</v>
      </c>
      <c r="R457" s="719">
        <v>0</v>
      </c>
      <c r="S457" s="724">
        <f>AG458-AG457</f>
        <v>1.6100000000005821</v>
      </c>
      <c r="T457" s="719">
        <v>25</v>
      </c>
      <c r="U457" s="719">
        <v>5</v>
      </c>
      <c r="V457" s="719"/>
      <c r="W457" s="719">
        <v>1.1000000000000001</v>
      </c>
      <c r="X457" s="719">
        <v>1.2</v>
      </c>
      <c r="Y457" s="719"/>
      <c r="Z457" s="719"/>
      <c r="AA457" s="719">
        <v>0.45</v>
      </c>
      <c r="AB457" s="719"/>
      <c r="AC457" s="719" t="s">
        <v>2616</v>
      </c>
      <c r="AD457" s="719"/>
      <c r="AE457" s="719"/>
      <c r="AF457" s="719">
        <v>200</v>
      </c>
      <c r="AG457" s="789">
        <v>41705.85</v>
      </c>
      <c r="AH457" s="719">
        <v>1539</v>
      </c>
      <c r="AI457" s="719">
        <v>-5130</v>
      </c>
      <c r="AJ457" s="719"/>
      <c r="AK457" s="719"/>
      <c r="AL457" s="719"/>
      <c r="AM457" s="719" t="s">
        <v>2609</v>
      </c>
      <c r="AN457" s="719">
        <v>5.25</v>
      </c>
      <c r="AO457" s="719"/>
      <c r="AP457" s="719"/>
      <c r="AQ457" s="724"/>
      <c r="AR457" s="724"/>
      <c r="AS457" s="724"/>
      <c r="AT457" s="724">
        <f>+ab($T$457,$T$455,$T$459,$G$456,$G$458, 1*$F$457,1200)</f>
        <v>11.14504395531122</v>
      </c>
      <c r="AU457" s="724"/>
      <c r="AV457" s="724"/>
      <c r="AW457" s="719"/>
      <c r="AX457" s="719"/>
      <c r="AY457" s="719"/>
      <c r="AZ457" s="532"/>
    </row>
    <row r="458" spans="1:52" ht="15.75" hidden="1" customHeight="1">
      <c r="A458" s="716"/>
      <c r="B458" s="718"/>
      <c r="C458" s="789"/>
      <c r="D458" s="719"/>
      <c r="E458" s="719"/>
      <c r="F458" s="720"/>
      <c r="G458" s="721">
        <v>50</v>
      </c>
      <c r="H458" s="726"/>
      <c r="I458" s="726"/>
      <c r="J458" s="762">
        <f>C459-10</f>
        <v>41748</v>
      </c>
      <c r="K458" s="719" t="s">
        <v>1097</v>
      </c>
      <c r="L458" s="719"/>
      <c r="M458" s="719"/>
      <c r="N458" s="726"/>
      <c r="O458" s="726"/>
      <c r="P458" s="726"/>
      <c r="Q458" s="719"/>
      <c r="R458" s="719"/>
      <c r="S458" s="724">
        <f t="shared" si="114"/>
        <v>51.30000000000291</v>
      </c>
      <c r="T458" s="719"/>
      <c r="U458" s="719"/>
      <c r="V458" s="719"/>
      <c r="W458" s="719"/>
      <c r="X458" s="719"/>
      <c r="Y458" s="719"/>
      <c r="Z458" s="719"/>
      <c r="AA458" s="719"/>
      <c r="AB458" s="719"/>
      <c r="AC458" s="719"/>
      <c r="AD458" s="719"/>
      <c r="AE458" s="719"/>
      <c r="AF458" s="719"/>
      <c r="AG458" s="789">
        <v>41707.46</v>
      </c>
      <c r="AH458" s="719">
        <v>1493</v>
      </c>
      <c r="AI458" s="719">
        <v>-5157</v>
      </c>
      <c r="AJ458" s="719"/>
      <c r="AK458" s="719"/>
      <c r="AL458" s="719"/>
      <c r="AM458" s="719"/>
      <c r="AN458" s="719"/>
      <c r="AO458" s="719"/>
      <c r="AP458" s="719"/>
      <c r="AQ458" s="724">
        <f>+FL_1($T$459,$T$457,$G$458,1200,9.28, 1*$F$459)</f>
        <v>0.29489941866666669</v>
      </c>
      <c r="AR458" s="724"/>
      <c r="AS458" s="724"/>
      <c r="AT458" s="724"/>
      <c r="AU458" s="724"/>
      <c r="AV458" s="724"/>
      <c r="AW458" s="719"/>
      <c r="AX458" s="719"/>
      <c r="AY458" s="719"/>
      <c r="AZ458" s="532"/>
    </row>
    <row r="459" spans="1:52" ht="15.75" hidden="1" customHeight="1">
      <c r="A459" s="716" t="s">
        <v>677</v>
      </c>
      <c r="B459" s="735" t="s">
        <v>1890</v>
      </c>
      <c r="C459" s="789">
        <f>+$C$457+$G$458</f>
        <v>41758</v>
      </c>
      <c r="D459" s="719"/>
      <c r="E459" s="719"/>
      <c r="F459" s="720">
        <v>0</v>
      </c>
      <c r="G459" s="721"/>
      <c r="H459" s="726" t="s">
        <v>138</v>
      </c>
      <c r="I459" s="726" t="s">
        <v>948</v>
      </c>
      <c r="J459" s="762"/>
      <c r="K459" s="719"/>
      <c r="L459" s="719" t="s">
        <v>241</v>
      </c>
      <c r="M459" s="719"/>
      <c r="N459" s="726" t="s">
        <v>695</v>
      </c>
      <c r="O459" s="726"/>
      <c r="P459" s="726"/>
      <c r="Q459" s="719">
        <v>0</v>
      </c>
      <c r="R459" s="719">
        <v>0</v>
      </c>
      <c r="S459" s="719"/>
      <c r="T459" s="719">
        <v>-30</v>
      </c>
      <c r="U459" s="719"/>
      <c r="V459" s="719"/>
      <c r="W459" s="719">
        <v>1.1000000000000001</v>
      </c>
      <c r="X459" s="719"/>
      <c r="Y459" s="719"/>
      <c r="Z459" s="719"/>
      <c r="AA459" s="719"/>
      <c r="AB459" s="719"/>
      <c r="AC459" s="719" t="s">
        <v>2614</v>
      </c>
      <c r="AD459" s="719"/>
      <c r="AE459" s="719"/>
      <c r="AF459" s="719">
        <v>200</v>
      </c>
      <c r="AG459" s="789">
        <v>41758.76</v>
      </c>
      <c r="AH459" s="719">
        <v>1498</v>
      </c>
      <c r="AI459" s="719">
        <v>-5178</v>
      </c>
      <c r="AJ459" s="719"/>
      <c r="AK459" s="719"/>
      <c r="AL459" s="719"/>
      <c r="AM459" s="719" t="s">
        <v>2609</v>
      </c>
      <c r="AN459" s="719">
        <v>5.25</v>
      </c>
      <c r="AO459" s="719"/>
      <c r="AP459" s="719"/>
      <c r="AQ459" s="724"/>
      <c r="AR459" s="724"/>
      <c r="AS459" s="724"/>
      <c r="AT459" s="724">
        <f>+ab($T$459,$T$457,$T$461,$G$458,$G$460, 1*$F$459,1200)</f>
        <v>-8.2849467556123688</v>
      </c>
      <c r="AU459" s="724"/>
      <c r="AV459" s="724"/>
      <c r="AW459" s="719"/>
      <c r="AX459" s="719"/>
      <c r="AY459" s="719"/>
      <c r="AZ459" s="532"/>
    </row>
    <row r="460" spans="1:52" ht="15.75" hidden="1" customHeight="1">
      <c r="A460" s="716"/>
      <c r="B460" s="718"/>
      <c r="C460" s="789"/>
      <c r="D460" s="719"/>
      <c r="E460" s="719"/>
      <c r="F460" s="720"/>
      <c r="G460" s="721">
        <v>50</v>
      </c>
      <c r="H460" s="726"/>
      <c r="I460" s="726"/>
      <c r="J460" s="762"/>
      <c r="K460" s="719"/>
      <c r="L460" s="719"/>
      <c r="M460" s="719"/>
      <c r="N460" s="726"/>
      <c r="O460" s="726"/>
      <c r="P460" s="726"/>
      <c r="Q460" s="719"/>
      <c r="R460" s="719"/>
      <c r="S460" s="724">
        <f t="shared" ref="S460" si="115">AG461-AG459</f>
        <v>48.049999999995634</v>
      </c>
      <c r="T460" s="719"/>
      <c r="U460" s="719"/>
      <c r="V460" s="719"/>
      <c r="W460" s="719"/>
      <c r="X460" s="719"/>
      <c r="Y460" s="719"/>
      <c r="Z460" s="719"/>
      <c r="AA460" s="719"/>
      <c r="AB460" s="719"/>
      <c r="AC460" s="719"/>
      <c r="AD460" s="719"/>
      <c r="AE460" s="719"/>
      <c r="AF460" s="719"/>
      <c r="AG460" s="789"/>
      <c r="AH460" s="719"/>
      <c r="AI460" s="719"/>
      <c r="AJ460" s="719"/>
      <c r="AK460" s="719"/>
      <c r="AL460" s="719"/>
      <c r="AM460" s="719"/>
      <c r="AN460" s="719"/>
      <c r="AO460" s="719"/>
      <c r="AP460" s="719"/>
      <c r="AQ460" s="724">
        <f>+FL_1($T$461,$T$459,$G$460,1200,9.28, 1*$F$461)</f>
        <v>0.33477011200000001</v>
      </c>
      <c r="AR460" s="724"/>
      <c r="AS460" s="724"/>
      <c r="AT460" s="724"/>
      <c r="AU460" s="724"/>
      <c r="AV460" s="724"/>
      <c r="AW460" s="719"/>
      <c r="AX460" s="719"/>
      <c r="AY460" s="719"/>
      <c r="AZ460" s="532"/>
    </row>
    <row r="461" spans="1:52" ht="15.75" hidden="1" customHeight="1">
      <c r="A461" s="716" t="s">
        <v>677</v>
      </c>
      <c r="B461" s="735" t="s">
        <v>1891</v>
      </c>
      <c r="C461" s="789">
        <f>+$C$459+$G$460</f>
        <v>41808</v>
      </c>
      <c r="D461" s="719"/>
      <c r="E461" s="719"/>
      <c r="F461" s="720">
        <v>0</v>
      </c>
      <c r="G461" s="721"/>
      <c r="H461" s="726"/>
      <c r="I461" s="726"/>
      <c r="J461" s="762"/>
      <c r="K461" s="719"/>
      <c r="L461" s="719" t="s">
        <v>241</v>
      </c>
      <c r="M461" s="719"/>
      <c r="N461" s="726" t="s">
        <v>696</v>
      </c>
      <c r="O461" s="726"/>
      <c r="P461" s="726"/>
      <c r="Q461" s="719">
        <v>0</v>
      </c>
      <c r="R461" s="719">
        <v>0</v>
      </c>
      <c r="S461" s="719"/>
      <c r="T461" s="719">
        <v>30</v>
      </c>
      <c r="U461" s="719"/>
      <c r="V461" s="719"/>
      <c r="W461" s="719">
        <v>1.1000000000000001</v>
      </c>
      <c r="X461" s="719"/>
      <c r="Y461" s="719"/>
      <c r="Z461" s="719"/>
      <c r="AA461" s="719"/>
      <c r="AB461" s="719"/>
      <c r="AC461" s="719" t="s">
        <v>2977</v>
      </c>
      <c r="AD461" s="719"/>
      <c r="AE461" s="719"/>
      <c r="AF461" s="719">
        <v>200</v>
      </c>
      <c r="AG461" s="789">
        <v>41806.81</v>
      </c>
      <c r="AH461" s="719">
        <v>1479</v>
      </c>
      <c r="AI461" s="719">
        <v>-5184</v>
      </c>
      <c r="AJ461" s="719"/>
      <c r="AK461" s="719"/>
      <c r="AL461" s="719"/>
      <c r="AM461" s="719" t="s">
        <v>2609</v>
      </c>
      <c r="AN461" s="719">
        <v>5.25</v>
      </c>
      <c r="AO461" s="719"/>
      <c r="AP461" s="719"/>
      <c r="AQ461" s="724"/>
      <c r="AR461" s="724"/>
      <c r="AS461" s="724"/>
      <c r="AT461" s="724">
        <f>+ab($T$461,$T$459,$T$463,$G$460,$G$462, 1*$F$461,1200)</f>
        <v>7.9442083933778509</v>
      </c>
      <c r="AU461" s="724"/>
      <c r="AV461" s="724"/>
      <c r="AW461" s="719"/>
      <c r="AX461" s="719"/>
      <c r="AY461" s="719"/>
      <c r="AZ461" s="532"/>
    </row>
    <row r="462" spans="1:52" ht="15.75" hidden="1" customHeight="1">
      <c r="A462" s="716"/>
      <c r="B462" s="718"/>
      <c r="C462" s="789"/>
      <c r="D462" s="719"/>
      <c r="E462" s="719"/>
      <c r="F462" s="720"/>
      <c r="G462" s="721">
        <v>50</v>
      </c>
      <c r="H462" s="726"/>
      <c r="I462" s="726"/>
      <c r="J462" s="762"/>
      <c r="K462" s="719"/>
      <c r="L462" s="719"/>
      <c r="M462" s="719"/>
      <c r="N462" s="726"/>
      <c r="O462" s="726"/>
      <c r="P462" s="726"/>
      <c r="Q462" s="719"/>
      <c r="R462" s="719"/>
      <c r="S462" s="724">
        <f t="shared" ref="S462" si="116">AG463-AG461</f>
        <v>52.870000000002619</v>
      </c>
      <c r="T462" s="719"/>
      <c r="U462" s="719"/>
      <c r="V462" s="719"/>
      <c r="W462" s="719"/>
      <c r="X462" s="719"/>
      <c r="Y462" s="719"/>
      <c r="Z462" s="719"/>
      <c r="AA462" s="719"/>
      <c r="AB462" s="719"/>
      <c r="AC462" s="719"/>
      <c r="AD462" s="719"/>
      <c r="AE462" s="719"/>
      <c r="AF462" s="719"/>
      <c r="AG462" s="789"/>
      <c r="AH462" s="719"/>
      <c r="AI462" s="719"/>
      <c r="AJ462" s="719"/>
      <c r="AK462" s="719"/>
      <c r="AL462" s="719"/>
      <c r="AM462" s="719"/>
      <c r="AN462" s="719"/>
      <c r="AO462" s="719"/>
      <c r="AP462" s="719"/>
      <c r="AQ462" s="724">
        <f>+FL_2($T$463,$T$461,$G$462,1200,9.28, 1*$F$463)</f>
        <v>-0.33477011200000001</v>
      </c>
      <c r="AR462" s="724"/>
      <c r="AS462" s="724"/>
      <c r="AT462" s="724"/>
      <c r="AU462" s="724"/>
      <c r="AV462" s="724"/>
      <c r="AW462" s="719"/>
      <c r="AX462" s="719"/>
      <c r="AY462" s="719"/>
      <c r="AZ462" s="532"/>
    </row>
    <row r="463" spans="1:52" ht="15.75" hidden="1" customHeight="1">
      <c r="A463" s="716" t="s">
        <v>677</v>
      </c>
      <c r="B463" s="735" t="s">
        <v>1892</v>
      </c>
      <c r="C463" s="789">
        <f>+$C$461+$G$462</f>
        <v>41858</v>
      </c>
      <c r="D463" s="719"/>
      <c r="E463" s="719"/>
      <c r="F463" s="720">
        <v>0</v>
      </c>
      <c r="G463" s="721"/>
      <c r="H463" s="726"/>
      <c r="I463" s="726"/>
      <c r="J463" s="762"/>
      <c r="K463" s="719"/>
      <c r="L463" s="719" t="s">
        <v>241</v>
      </c>
      <c r="M463" s="719"/>
      <c r="N463" s="726" t="s">
        <v>695</v>
      </c>
      <c r="O463" s="726"/>
      <c r="P463" s="726"/>
      <c r="Q463" s="719">
        <v>0</v>
      </c>
      <c r="R463" s="719">
        <v>0</v>
      </c>
      <c r="S463" s="719"/>
      <c r="T463" s="719">
        <v>-30</v>
      </c>
      <c r="U463" s="719"/>
      <c r="V463" s="719"/>
      <c r="W463" s="719">
        <v>1.1000000000000001</v>
      </c>
      <c r="X463" s="719"/>
      <c r="Y463" s="719"/>
      <c r="Z463" s="719"/>
      <c r="AA463" s="719"/>
      <c r="AB463" s="719"/>
      <c r="AC463" s="719" t="s">
        <v>2979</v>
      </c>
      <c r="AD463" s="719"/>
      <c r="AE463" s="719"/>
      <c r="AF463" s="719">
        <v>200</v>
      </c>
      <c r="AG463" s="789">
        <v>41859.68</v>
      </c>
      <c r="AH463" s="719">
        <v>1496</v>
      </c>
      <c r="AI463" s="719">
        <v>-5166</v>
      </c>
      <c r="AJ463" s="719"/>
      <c r="AK463" s="719"/>
      <c r="AL463" s="719"/>
      <c r="AM463" s="719" t="s">
        <v>2609</v>
      </c>
      <c r="AN463" s="719">
        <v>5.25</v>
      </c>
      <c r="AO463" s="719"/>
      <c r="AP463" s="719"/>
      <c r="AQ463" s="724"/>
      <c r="AR463" s="724"/>
      <c r="AS463" s="724"/>
      <c r="AT463" s="724">
        <f>+ab($T$463,$T$461,$T$465,$G$462,$G$464, 1*$F$463,1200)</f>
        <v>-7.9442410717051439</v>
      </c>
      <c r="AU463" s="724"/>
      <c r="AV463" s="724"/>
      <c r="AW463" s="719"/>
      <c r="AX463" s="719"/>
      <c r="AY463" s="719"/>
      <c r="AZ463" s="532"/>
    </row>
    <row r="464" spans="1:52" ht="15.75" hidden="1" customHeight="1">
      <c r="A464" s="716"/>
      <c r="B464" s="718"/>
      <c r="C464" s="789"/>
      <c r="D464" s="719"/>
      <c r="E464" s="719"/>
      <c r="F464" s="720"/>
      <c r="G464" s="721">
        <v>50</v>
      </c>
      <c r="H464" s="726"/>
      <c r="I464" s="726"/>
      <c r="J464" s="762"/>
      <c r="K464" s="719"/>
      <c r="L464" s="719"/>
      <c r="M464" s="719"/>
      <c r="N464" s="726"/>
      <c r="O464" s="726"/>
      <c r="P464" s="726"/>
      <c r="Q464" s="719"/>
      <c r="R464" s="719"/>
      <c r="S464" s="724">
        <f t="shared" ref="S464" si="117">AG465-AG463</f>
        <v>47.970000000001164</v>
      </c>
      <c r="T464" s="719"/>
      <c r="U464" s="719"/>
      <c r="V464" s="719"/>
      <c r="W464" s="719"/>
      <c r="X464" s="719"/>
      <c r="Y464" s="719"/>
      <c r="Z464" s="719"/>
      <c r="AA464" s="719"/>
      <c r="AB464" s="719"/>
      <c r="AC464" s="719"/>
      <c r="AD464" s="719"/>
      <c r="AE464" s="719"/>
      <c r="AF464" s="719"/>
      <c r="AG464" s="789"/>
      <c r="AH464" s="719"/>
      <c r="AI464" s="719"/>
      <c r="AJ464" s="719"/>
      <c r="AK464" s="719"/>
      <c r="AL464" s="719"/>
      <c r="AM464" s="719"/>
      <c r="AN464" s="719"/>
      <c r="AO464" s="719"/>
      <c r="AP464" s="719"/>
      <c r="AQ464" s="724">
        <f>+FL_1($T$465,$T$463,$G$464,1200,9.28, 1*$F$465)</f>
        <v>0.33477011200000001</v>
      </c>
      <c r="AR464" s="724"/>
      <c r="AS464" s="724"/>
      <c r="AT464" s="724"/>
      <c r="AU464" s="724"/>
      <c r="AV464" s="724"/>
      <c r="AW464" s="719"/>
      <c r="AX464" s="719"/>
      <c r="AY464" s="719"/>
      <c r="AZ464" s="532"/>
    </row>
    <row r="465" spans="1:52" ht="15.75" hidden="1" customHeight="1">
      <c r="A465" s="716" t="s">
        <v>677</v>
      </c>
      <c r="B465" s="735" t="s">
        <v>1893</v>
      </c>
      <c r="C465" s="789">
        <f>+$C$463+$G$464</f>
        <v>41908</v>
      </c>
      <c r="D465" s="719"/>
      <c r="E465" s="719"/>
      <c r="F465" s="720">
        <v>0</v>
      </c>
      <c r="G465" s="721"/>
      <c r="H465" s="726"/>
      <c r="I465" s="726"/>
      <c r="J465" s="762"/>
      <c r="K465" s="719"/>
      <c r="L465" s="719" t="s">
        <v>241</v>
      </c>
      <c r="M465" s="719"/>
      <c r="N465" s="726" t="s">
        <v>696</v>
      </c>
      <c r="O465" s="726"/>
      <c r="P465" s="726"/>
      <c r="Q465" s="719">
        <v>0</v>
      </c>
      <c r="R465" s="719">
        <v>0</v>
      </c>
      <c r="S465" s="719"/>
      <c r="T465" s="719">
        <v>30</v>
      </c>
      <c r="U465" s="719"/>
      <c r="V465" s="719"/>
      <c r="W465" s="719">
        <v>1.1000000000000001</v>
      </c>
      <c r="X465" s="719"/>
      <c r="Y465" s="719"/>
      <c r="Z465" s="719"/>
      <c r="AA465" s="719"/>
      <c r="AB465" s="719"/>
      <c r="AC465" s="719" t="s">
        <v>2977</v>
      </c>
      <c r="AD465" s="719"/>
      <c r="AE465" s="719"/>
      <c r="AF465" s="719">
        <v>200</v>
      </c>
      <c r="AG465" s="789">
        <v>41907.65</v>
      </c>
      <c r="AH465" s="719">
        <v>1482</v>
      </c>
      <c r="AI465" s="719">
        <v>-5168</v>
      </c>
      <c r="AJ465" s="719"/>
      <c r="AK465" s="719"/>
      <c r="AL465" s="719"/>
      <c r="AM465" s="719" t="s">
        <v>2609</v>
      </c>
      <c r="AN465" s="719">
        <v>5.25</v>
      </c>
      <c r="AO465" s="719"/>
      <c r="AP465" s="719"/>
      <c r="AQ465" s="724"/>
      <c r="AR465" s="724"/>
      <c r="AS465" s="724"/>
      <c r="AT465" s="724">
        <f>+ab($T$465,$T$463,$T$467,$G$464,$G$466, 1*$F$465,1200)</f>
        <v>7.9442083933778509</v>
      </c>
      <c r="AU465" s="724"/>
      <c r="AV465" s="724"/>
      <c r="AW465" s="719"/>
      <c r="AX465" s="719"/>
      <c r="AY465" s="719"/>
      <c r="AZ465" s="532"/>
    </row>
    <row r="466" spans="1:52" ht="15.75" hidden="1" customHeight="1">
      <c r="A466" s="716"/>
      <c r="B466" s="718"/>
      <c r="C466" s="789"/>
      <c r="D466" s="719"/>
      <c r="E466" s="719"/>
      <c r="F466" s="720"/>
      <c r="G466" s="721">
        <v>50</v>
      </c>
      <c r="H466" s="726"/>
      <c r="I466" s="726"/>
      <c r="J466" s="762"/>
      <c r="K466" s="719"/>
      <c r="L466" s="719"/>
      <c r="M466" s="719"/>
      <c r="N466" s="726"/>
      <c r="O466" s="726"/>
      <c r="P466" s="726"/>
      <c r="Q466" s="719"/>
      <c r="R466" s="719"/>
      <c r="S466" s="724">
        <f t="shared" ref="S466" si="118">AG467-AG465</f>
        <v>51.239999999997963</v>
      </c>
      <c r="T466" s="719"/>
      <c r="U466" s="719"/>
      <c r="V466" s="719"/>
      <c r="W466" s="719"/>
      <c r="X466" s="719"/>
      <c r="Y466" s="719"/>
      <c r="Z466" s="719"/>
      <c r="AA466" s="719"/>
      <c r="AB466" s="719"/>
      <c r="AC466" s="719"/>
      <c r="AD466" s="719"/>
      <c r="AE466" s="719"/>
      <c r="AF466" s="719"/>
      <c r="AG466" s="789"/>
      <c r="AH466" s="719"/>
      <c r="AI466" s="719"/>
      <c r="AJ466" s="719"/>
      <c r="AK466" s="719"/>
      <c r="AL466" s="719"/>
      <c r="AM466" s="719"/>
      <c r="AN466" s="719"/>
      <c r="AO466" s="719"/>
      <c r="AP466" s="719"/>
      <c r="AQ466" s="724">
        <f>+FL_2($T$467,$T$465,$G$466,1200,9.28, 1*$F$467)</f>
        <v>-0.33477011200000001</v>
      </c>
      <c r="AR466" s="724"/>
      <c r="AS466" s="724"/>
      <c r="AT466" s="724"/>
      <c r="AU466" s="724"/>
      <c r="AV466" s="724"/>
      <c r="AW466" s="719"/>
      <c r="AX466" s="719"/>
      <c r="AY466" s="719"/>
      <c r="AZ466" s="532"/>
    </row>
    <row r="467" spans="1:52" ht="15.75" hidden="1" customHeight="1">
      <c r="A467" s="716" t="s">
        <v>677</v>
      </c>
      <c r="B467" s="735" t="s">
        <v>1894</v>
      </c>
      <c r="C467" s="789">
        <f>+$C$465+$G$466</f>
        <v>41958</v>
      </c>
      <c r="D467" s="719"/>
      <c r="E467" s="719"/>
      <c r="F467" s="720">
        <v>0</v>
      </c>
      <c r="G467" s="721"/>
      <c r="H467" s="726"/>
      <c r="I467" s="726"/>
      <c r="J467" s="762"/>
      <c r="K467" s="719"/>
      <c r="L467" s="719" t="s">
        <v>241</v>
      </c>
      <c r="M467" s="719"/>
      <c r="N467" s="726" t="s">
        <v>695</v>
      </c>
      <c r="O467" s="726"/>
      <c r="P467" s="726"/>
      <c r="Q467" s="719">
        <v>0</v>
      </c>
      <c r="R467" s="719">
        <v>0</v>
      </c>
      <c r="S467" s="719"/>
      <c r="T467" s="719">
        <v>-30</v>
      </c>
      <c r="U467" s="719"/>
      <c r="V467" s="719"/>
      <c r="W467" s="719">
        <v>1.1000000000000001</v>
      </c>
      <c r="X467" s="719"/>
      <c r="Y467" s="719"/>
      <c r="Z467" s="719"/>
      <c r="AA467" s="719"/>
      <c r="AB467" s="719"/>
      <c r="AC467" s="719" t="s">
        <v>2979</v>
      </c>
      <c r="AD467" s="719"/>
      <c r="AE467" s="719"/>
      <c r="AF467" s="719">
        <v>200</v>
      </c>
      <c r="AG467" s="789">
        <v>41958.89</v>
      </c>
      <c r="AH467" s="719">
        <v>1499</v>
      </c>
      <c r="AI467" s="719">
        <v>-5111</v>
      </c>
      <c r="AJ467" s="719"/>
      <c r="AK467" s="719"/>
      <c r="AL467" s="719"/>
      <c r="AM467" s="719" t="s">
        <v>2609</v>
      </c>
      <c r="AN467" s="719">
        <v>5.25</v>
      </c>
      <c r="AO467" s="719"/>
      <c r="AP467" s="719"/>
      <c r="AQ467" s="724"/>
      <c r="AR467" s="724"/>
      <c r="AS467" s="724"/>
      <c r="AT467" s="724">
        <f>+ab($T$467,$T$465,$T$469,$G$466,$G$468, 1*$F$467,1200)</f>
        <v>-7.9442410717051439</v>
      </c>
      <c r="AU467" s="724"/>
      <c r="AV467" s="724"/>
      <c r="AW467" s="719"/>
      <c r="AX467" s="719"/>
      <c r="AY467" s="719"/>
      <c r="AZ467" s="532"/>
    </row>
    <row r="468" spans="1:52" ht="15.75" hidden="1" customHeight="1">
      <c r="A468" s="716"/>
      <c r="B468" s="718"/>
      <c r="C468" s="789"/>
      <c r="D468" s="719"/>
      <c r="E468" s="719"/>
      <c r="F468" s="720"/>
      <c r="G468" s="721">
        <v>50</v>
      </c>
      <c r="H468" s="726"/>
      <c r="I468" s="726"/>
      <c r="J468" s="762"/>
      <c r="K468" s="719"/>
      <c r="L468" s="719"/>
      <c r="M468" s="719"/>
      <c r="N468" s="726"/>
      <c r="O468" s="726"/>
      <c r="P468" s="726"/>
      <c r="Q468" s="719"/>
      <c r="R468" s="719"/>
      <c r="S468" s="724">
        <f t="shared" ref="S468" si="119">AG469-AG467</f>
        <v>49.739999999997963</v>
      </c>
      <c r="T468" s="719"/>
      <c r="U468" s="719"/>
      <c r="V468" s="719"/>
      <c r="W468" s="719"/>
      <c r="X468" s="719"/>
      <c r="Y468" s="719"/>
      <c r="Z468" s="719"/>
      <c r="AA468" s="719"/>
      <c r="AB468" s="719"/>
      <c r="AC468" s="719"/>
      <c r="AD468" s="719"/>
      <c r="AE468" s="719"/>
      <c r="AF468" s="719"/>
      <c r="AG468" s="789"/>
      <c r="AH468" s="719"/>
      <c r="AI468" s="719"/>
      <c r="AJ468" s="719"/>
      <c r="AK468" s="719"/>
      <c r="AL468" s="719"/>
      <c r="AM468" s="719"/>
      <c r="AN468" s="719"/>
      <c r="AO468" s="719"/>
      <c r="AP468" s="719"/>
      <c r="AQ468" s="724">
        <f>+FL_1($T$469,$T$467,$G$468,1200,9.28, 1*$F$469)</f>
        <v>0.33477011200000001</v>
      </c>
      <c r="AR468" s="724"/>
      <c r="AS468" s="724"/>
      <c r="AT468" s="724"/>
      <c r="AU468" s="724"/>
      <c r="AV468" s="724"/>
      <c r="AW468" s="719"/>
      <c r="AX468" s="719"/>
      <c r="AY468" s="719"/>
      <c r="AZ468" s="532"/>
    </row>
    <row r="469" spans="1:52" ht="15.75" hidden="1" customHeight="1">
      <c r="A469" s="716" t="s">
        <v>677</v>
      </c>
      <c r="B469" s="735" t="s">
        <v>1895</v>
      </c>
      <c r="C469" s="789">
        <f>+$C$467+$G$468</f>
        <v>42008</v>
      </c>
      <c r="D469" s="719"/>
      <c r="E469" s="719"/>
      <c r="F469" s="720">
        <v>0</v>
      </c>
      <c r="G469" s="721"/>
      <c r="H469" s="726"/>
      <c r="I469" s="726"/>
      <c r="J469" s="762"/>
      <c r="K469" s="719"/>
      <c r="L469" s="719" t="s">
        <v>241</v>
      </c>
      <c r="M469" s="719"/>
      <c r="N469" s="726" t="s">
        <v>696</v>
      </c>
      <c r="O469" s="726"/>
      <c r="P469" s="726"/>
      <c r="Q469" s="719">
        <v>0</v>
      </c>
      <c r="R469" s="719">
        <v>0</v>
      </c>
      <c r="S469" s="719"/>
      <c r="T469" s="719">
        <v>30</v>
      </c>
      <c r="U469" s="719"/>
      <c r="V469" s="719"/>
      <c r="W469" s="719">
        <v>1.1000000000000001</v>
      </c>
      <c r="X469" s="719"/>
      <c r="Y469" s="719"/>
      <c r="Z469" s="719"/>
      <c r="AA469" s="719"/>
      <c r="AB469" s="719"/>
      <c r="AC469" s="719" t="s">
        <v>2977</v>
      </c>
      <c r="AD469" s="719"/>
      <c r="AE469" s="719"/>
      <c r="AF469" s="719">
        <v>200</v>
      </c>
      <c r="AG469" s="789">
        <v>42008.63</v>
      </c>
      <c r="AH469" s="719">
        <v>1500</v>
      </c>
      <c r="AI469" s="719">
        <v>-5087</v>
      </c>
      <c r="AJ469" s="719"/>
      <c r="AK469" s="719"/>
      <c r="AL469" s="719"/>
      <c r="AM469" s="719" t="s">
        <v>2609</v>
      </c>
      <c r="AN469" s="719">
        <v>5.25</v>
      </c>
      <c r="AO469" s="719"/>
      <c r="AP469" s="719"/>
      <c r="AQ469" s="724"/>
      <c r="AR469" s="724"/>
      <c r="AS469" s="724"/>
      <c r="AT469" s="724">
        <f>+ab($T$469,$T$467,$T$471,$G$468,$G$470, 1*$F$469,1200)</f>
        <v>7.9442083933778509</v>
      </c>
      <c r="AU469" s="724"/>
      <c r="AV469" s="724"/>
      <c r="AW469" s="719"/>
      <c r="AX469" s="719"/>
      <c r="AY469" s="719"/>
      <c r="AZ469" s="532"/>
    </row>
    <row r="470" spans="1:52" ht="15.75" hidden="1" customHeight="1">
      <c r="A470" s="716"/>
      <c r="B470" s="718"/>
      <c r="C470" s="789"/>
      <c r="D470" s="719"/>
      <c r="E470" s="719"/>
      <c r="F470" s="720"/>
      <c r="G470" s="721">
        <v>50</v>
      </c>
      <c r="H470" s="726"/>
      <c r="I470" s="726"/>
      <c r="J470" s="762"/>
      <c r="K470" s="719"/>
      <c r="L470" s="719"/>
      <c r="M470" s="719"/>
      <c r="N470" s="726"/>
      <c r="O470" s="726"/>
      <c r="P470" s="726"/>
      <c r="Q470" s="719"/>
      <c r="R470" s="719"/>
      <c r="S470" s="724">
        <f t="shared" ref="S470" si="120">AG471-AG469</f>
        <v>48</v>
      </c>
      <c r="T470" s="719"/>
      <c r="U470" s="719"/>
      <c r="V470" s="719"/>
      <c r="W470" s="719"/>
      <c r="X470" s="719"/>
      <c r="Y470" s="719"/>
      <c r="Z470" s="719"/>
      <c r="AA470" s="719"/>
      <c r="AB470" s="719"/>
      <c r="AC470" s="719"/>
      <c r="AD470" s="719"/>
      <c r="AE470" s="719"/>
      <c r="AF470" s="719"/>
      <c r="AG470" s="789"/>
      <c r="AH470" s="719"/>
      <c r="AI470" s="719"/>
      <c r="AJ470" s="719"/>
      <c r="AK470" s="719"/>
      <c r="AL470" s="719"/>
      <c r="AM470" s="719"/>
      <c r="AN470" s="719"/>
      <c r="AO470" s="719"/>
      <c r="AP470" s="719"/>
      <c r="AQ470" s="724">
        <f>+FL_2($T$471,$T$469,$G$470,1200,9.28, 1*$F$471)</f>
        <v>-0.33477011200000001</v>
      </c>
      <c r="AR470" s="724"/>
      <c r="AS470" s="724"/>
      <c r="AT470" s="724"/>
      <c r="AU470" s="724"/>
      <c r="AV470" s="724"/>
      <c r="AW470" s="719"/>
      <c r="AX470" s="719"/>
      <c r="AY470" s="719"/>
      <c r="AZ470" s="532"/>
    </row>
    <row r="471" spans="1:52" ht="15.75" customHeight="1">
      <c r="A471" s="716" t="s">
        <v>677</v>
      </c>
      <c r="B471" s="735" t="s">
        <v>1896</v>
      </c>
      <c r="C471" s="789">
        <f>+$C$469+$G$470</f>
        <v>42058</v>
      </c>
      <c r="D471" s="719"/>
      <c r="E471" s="719"/>
      <c r="F471" s="720">
        <v>0</v>
      </c>
      <c r="G471" s="721"/>
      <c r="H471" s="726" t="s">
        <v>1101</v>
      </c>
      <c r="I471" s="726"/>
      <c r="J471" s="762"/>
      <c r="K471" s="719"/>
      <c r="L471" s="719" t="s">
        <v>241</v>
      </c>
      <c r="M471" s="719"/>
      <c r="N471" s="726" t="s">
        <v>695</v>
      </c>
      <c r="O471" s="726"/>
      <c r="P471" s="726"/>
      <c r="Q471" s="719">
        <v>0</v>
      </c>
      <c r="R471" s="719">
        <v>0</v>
      </c>
      <c r="S471" s="719"/>
      <c r="T471" s="719">
        <v>-30</v>
      </c>
      <c r="U471" s="719"/>
      <c r="V471" s="719"/>
      <c r="W471" s="719">
        <v>1.1000000000000001</v>
      </c>
      <c r="X471" s="719"/>
      <c r="Y471" s="719"/>
      <c r="Z471" s="719"/>
      <c r="AA471" s="719"/>
      <c r="AB471" s="719"/>
      <c r="AC471" s="719" t="s">
        <v>2979</v>
      </c>
      <c r="AD471" s="719"/>
      <c r="AE471" s="719"/>
      <c r="AF471" s="719">
        <v>200</v>
      </c>
      <c r="AG471" s="789">
        <v>42056.63</v>
      </c>
      <c r="AH471" s="719">
        <v>1471</v>
      </c>
      <c r="AI471" s="719">
        <v>-5103</v>
      </c>
      <c r="AJ471" s="719"/>
      <c r="AK471" s="719"/>
      <c r="AL471" s="719"/>
      <c r="AM471" s="719" t="s">
        <v>2609</v>
      </c>
      <c r="AN471" s="719">
        <v>5.25</v>
      </c>
      <c r="AO471" s="719"/>
      <c r="AP471" s="719"/>
      <c r="AQ471" s="724"/>
      <c r="AR471" s="724"/>
      <c r="AS471" s="724"/>
      <c r="AT471" s="724">
        <f>+ab($T$471,$T$469,$T$473,$G$470,$G$472, 1*$F$471,1200)</f>
        <v>-7.9442410717051439</v>
      </c>
      <c r="AU471" s="724"/>
      <c r="AV471" s="724"/>
      <c r="AW471" s="719"/>
      <c r="AX471" s="719"/>
      <c r="AY471" s="719"/>
      <c r="AZ471" s="532"/>
    </row>
    <row r="472" spans="1:52" ht="15.75" hidden="1" customHeight="1">
      <c r="A472" s="716"/>
      <c r="B472" s="718"/>
      <c r="C472" s="789"/>
      <c r="D472" s="719"/>
      <c r="E472" s="719"/>
      <c r="F472" s="720"/>
      <c r="G472" s="721">
        <v>50</v>
      </c>
      <c r="H472" s="726"/>
      <c r="I472" s="726">
        <f>+SUM(G454:G472)</f>
        <v>500</v>
      </c>
      <c r="J472" s="762">
        <f>C471+1</f>
        <v>42059</v>
      </c>
      <c r="K472" s="719" t="s">
        <v>1102</v>
      </c>
      <c r="L472" s="719"/>
      <c r="M472" s="719"/>
      <c r="N472" s="726"/>
      <c r="O472" s="726"/>
      <c r="P472" s="726"/>
      <c r="Q472" s="719"/>
      <c r="R472" s="719"/>
      <c r="S472" s="724">
        <f t="shared" ref="S472" si="121">AG473-AG471</f>
        <v>51.209999999999127</v>
      </c>
      <c r="T472" s="719"/>
      <c r="U472" s="719"/>
      <c r="V472" s="719"/>
      <c r="W472" s="719"/>
      <c r="X472" s="719"/>
      <c r="Y472" s="719"/>
      <c r="Z472" s="719"/>
      <c r="AA472" s="719"/>
      <c r="AB472" s="719"/>
      <c r="AC472" s="719"/>
      <c r="AD472" s="719"/>
      <c r="AE472" s="719"/>
      <c r="AF472" s="719"/>
      <c r="AG472" s="789"/>
      <c r="AH472" s="719"/>
      <c r="AI472" s="719"/>
      <c r="AJ472" s="719"/>
      <c r="AK472" s="719"/>
      <c r="AL472" s="719"/>
      <c r="AM472" s="719"/>
      <c r="AN472" s="719"/>
      <c r="AO472" s="719"/>
      <c r="AP472" s="719"/>
      <c r="AQ472" s="724">
        <f>+FL_1($T$473,$T$471,$G$472,1200,9.28, 1*$F$473)</f>
        <v>0.33477011200000001</v>
      </c>
      <c r="AR472" s="724"/>
      <c r="AS472" s="724"/>
      <c r="AT472" s="724"/>
      <c r="AU472" s="724"/>
      <c r="AV472" s="724"/>
      <c r="AW472" s="719"/>
      <c r="AX472" s="719"/>
      <c r="AY472" s="719"/>
      <c r="AZ472" s="532"/>
    </row>
    <row r="473" spans="1:52" ht="15.75" customHeight="1">
      <c r="A473" s="716" t="s">
        <v>677</v>
      </c>
      <c r="B473" s="735" t="s">
        <v>1897</v>
      </c>
      <c r="C473" s="789">
        <f>+$C$471+$G$472</f>
        <v>42108</v>
      </c>
      <c r="D473" s="719"/>
      <c r="E473" s="719"/>
      <c r="F473" s="720">
        <v>0</v>
      </c>
      <c r="G473" s="721"/>
      <c r="H473" s="719" t="s">
        <v>997</v>
      </c>
      <c r="I473" s="720"/>
      <c r="J473" s="762"/>
      <c r="K473" s="719"/>
      <c r="L473" s="719" t="s">
        <v>241</v>
      </c>
      <c r="M473" s="719"/>
      <c r="N473" s="726" t="s">
        <v>696</v>
      </c>
      <c r="O473" s="726"/>
      <c r="P473" s="738"/>
      <c r="Q473" s="719">
        <v>0</v>
      </c>
      <c r="R473" s="719">
        <v>0</v>
      </c>
      <c r="S473" s="719"/>
      <c r="T473" s="719">
        <v>30</v>
      </c>
      <c r="U473" s="719"/>
      <c r="V473" s="719"/>
      <c r="W473" s="719">
        <v>1.1000000000000001</v>
      </c>
      <c r="X473" s="719"/>
      <c r="Y473" s="719"/>
      <c r="Z473" s="719"/>
      <c r="AA473" s="719"/>
      <c r="AB473" s="719"/>
      <c r="AC473" s="719" t="s">
        <v>2977</v>
      </c>
      <c r="AD473" s="719"/>
      <c r="AE473" s="719"/>
      <c r="AF473" s="719">
        <v>200</v>
      </c>
      <c r="AG473" s="789">
        <v>42107.839999999997</v>
      </c>
      <c r="AH473" s="719">
        <v>1509</v>
      </c>
      <c r="AI473" s="719">
        <v>-5123</v>
      </c>
      <c r="AJ473" s="719"/>
      <c r="AK473" s="719"/>
      <c r="AL473" s="719"/>
      <c r="AM473" s="719" t="s">
        <v>2609</v>
      </c>
      <c r="AN473" s="719">
        <v>5.25</v>
      </c>
      <c r="AO473" s="719"/>
      <c r="AP473" s="719"/>
      <c r="AQ473" s="724"/>
      <c r="AR473" s="724"/>
      <c r="AS473" s="724"/>
      <c r="AT473" s="724">
        <f>+ab($T$473,$T$471,$T$475,$G$472,$G$474, 1*$F$473,1200)</f>
        <v>7.9442083933778509</v>
      </c>
      <c r="AU473" s="724"/>
      <c r="AV473" s="724"/>
      <c r="AW473" s="719"/>
      <c r="AX473" s="719"/>
      <c r="AY473" s="719"/>
      <c r="AZ473" s="532"/>
    </row>
    <row r="474" spans="1:52" ht="15.75" hidden="1" customHeight="1">
      <c r="A474" s="716"/>
      <c r="B474" s="718"/>
      <c r="C474" s="789"/>
      <c r="D474" s="719"/>
      <c r="E474" s="719"/>
      <c r="F474" s="720"/>
      <c r="G474" s="721">
        <v>50</v>
      </c>
      <c r="H474" s="719"/>
      <c r="I474" s="720">
        <f>SUM(G474:G492)</f>
        <v>492</v>
      </c>
      <c r="J474" s="762">
        <f>C475-1</f>
        <v>42157</v>
      </c>
      <c r="K474" s="719" t="s">
        <v>1102</v>
      </c>
      <c r="L474" s="719"/>
      <c r="M474" s="719"/>
      <c r="N474" s="726"/>
      <c r="O474" s="726"/>
      <c r="P474" s="738"/>
      <c r="Q474" s="719"/>
      <c r="R474" s="719"/>
      <c r="S474" s="724">
        <f t="shared" ref="S474" si="122">AG475-AG473</f>
        <v>51.320000000006985</v>
      </c>
      <c r="T474" s="719"/>
      <c r="U474" s="719"/>
      <c r="V474" s="719"/>
      <c r="W474" s="719"/>
      <c r="X474" s="719"/>
      <c r="Y474" s="719"/>
      <c r="Z474" s="719"/>
      <c r="AA474" s="719"/>
      <c r="AB474" s="719"/>
      <c r="AC474" s="719"/>
      <c r="AD474" s="719"/>
      <c r="AE474" s="719"/>
      <c r="AF474" s="719"/>
      <c r="AG474" s="789"/>
      <c r="AH474" s="719"/>
      <c r="AI474" s="719"/>
      <c r="AJ474" s="719"/>
      <c r="AK474" s="719"/>
      <c r="AL474" s="719"/>
      <c r="AM474" s="719"/>
      <c r="AN474" s="719"/>
      <c r="AO474" s="719"/>
      <c r="AP474" s="719"/>
      <c r="AQ474" s="724">
        <f>+FL_2($T$475,$T$473,$G$474,1200,9.28, 1*$F$475)</f>
        <v>-0.33477011200000001</v>
      </c>
      <c r="AR474" s="724"/>
      <c r="AS474" s="724"/>
      <c r="AT474" s="724"/>
      <c r="AU474" s="724"/>
      <c r="AV474" s="724"/>
      <c r="AW474" s="719"/>
      <c r="AX474" s="719"/>
      <c r="AY474" s="719"/>
      <c r="AZ474" s="532"/>
    </row>
    <row r="475" spans="1:52" ht="15.75" customHeight="1">
      <c r="A475" s="716" t="s">
        <v>677</v>
      </c>
      <c r="B475" s="735" t="s">
        <v>1898</v>
      </c>
      <c r="C475" s="789">
        <f>+$C$473+$G$474</f>
        <v>42158</v>
      </c>
      <c r="D475" s="719"/>
      <c r="E475" s="719"/>
      <c r="F475" s="720">
        <v>0</v>
      </c>
      <c r="G475" s="721"/>
      <c r="H475" s="726" t="s">
        <v>1101</v>
      </c>
      <c r="I475" s="722"/>
      <c r="J475" s="762"/>
      <c r="K475" s="719"/>
      <c r="L475" s="719" t="s">
        <v>241</v>
      </c>
      <c r="M475" s="719"/>
      <c r="N475" s="726" t="s">
        <v>695</v>
      </c>
      <c r="O475" s="726"/>
      <c r="P475" s="726"/>
      <c r="Q475" s="719">
        <v>0</v>
      </c>
      <c r="R475" s="719">
        <v>0</v>
      </c>
      <c r="S475" s="719"/>
      <c r="T475" s="719">
        <v>-30</v>
      </c>
      <c r="U475" s="719"/>
      <c r="V475" s="719"/>
      <c r="W475" s="719">
        <v>1.1000000000000001</v>
      </c>
      <c r="X475" s="719"/>
      <c r="Y475" s="719"/>
      <c r="Z475" s="719"/>
      <c r="AA475" s="719"/>
      <c r="AB475" s="719"/>
      <c r="AC475" s="719" t="s">
        <v>2979</v>
      </c>
      <c r="AD475" s="719"/>
      <c r="AE475" s="719"/>
      <c r="AF475" s="719">
        <v>200</v>
      </c>
      <c r="AG475" s="789">
        <v>42159.16</v>
      </c>
      <c r="AH475" s="719">
        <v>1513</v>
      </c>
      <c r="AI475" s="719">
        <v>-5121</v>
      </c>
      <c r="AJ475" s="719"/>
      <c r="AK475" s="719"/>
      <c r="AL475" s="719"/>
      <c r="AM475" s="719" t="s">
        <v>2609</v>
      </c>
      <c r="AN475" s="719">
        <v>5.25</v>
      </c>
      <c r="AO475" s="719"/>
      <c r="AP475" s="719"/>
      <c r="AQ475" s="724"/>
      <c r="AR475" s="724"/>
      <c r="AS475" s="724"/>
      <c r="AT475" s="724">
        <f>+ab($T$475,$T$473,$T$477,$G$474,$G$476, 1*$F$475,1200)</f>
        <v>-7.9442410717051439</v>
      </c>
      <c r="AU475" s="724"/>
      <c r="AV475" s="724"/>
      <c r="AW475" s="719"/>
      <c r="AX475" s="719"/>
      <c r="AY475" s="719"/>
      <c r="AZ475" s="532"/>
    </row>
    <row r="476" spans="1:52" ht="15.75" hidden="1" customHeight="1">
      <c r="A476" s="716"/>
      <c r="B476" s="718"/>
      <c r="C476" s="789"/>
      <c r="D476" s="719"/>
      <c r="E476" s="719"/>
      <c r="F476" s="720"/>
      <c r="G476" s="721">
        <v>50</v>
      </c>
      <c r="H476" s="726"/>
      <c r="I476" s="726"/>
      <c r="J476" s="762"/>
      <c r="K476" s="719"/>
      <c r="L476" s="719"/>
      <c r="M476" s="719"/>
      <c r="N476" s="726"/>
      <c r="O476" s="726"/>
      <c r="P476" s="738"/>
      <c r="Q476" s="719"/>
      <c r="R476" s="719"/>
      <c r="S476" s="724">
        <f t="shared" ref="S476" si="123">AG477-AG475</f>
        <v>48.009999999994761</v>
      </c>
      <c r="T476" s="719"/>
      <c r="U476" s="719"/>
      <c r="V476" s="719"/>
      <c r="W476" s="719"/>
      <c r="X476" s="719"/>
      <c r="Y476" s="719"/>
      <c r="Z476" s="719"/>
      <c r="AA476" s="719"/>
      <c r="AB476" s="719"/>
      <c r="AC476" s="719"/>
      <c r="AD476" s="719"/>
      <c r="AE476" s="719"/>
      <c r="AF476" s="719"/>
      <c r="AG476" s="789"/>
      <c r="AH476" s="719"/>
      <c r="AI476" s="719"/>
      <c r="AJ476" s="719"/>
      <c r="AK476" s="719"/>
      <c r="AL476" s="719"/>
      <c r="AM476" s="719"/>
      <c r="AN476" s="719"/>
      <c r="AO476" s="719"/>
      <c r="AP476" s="719"/>
      <c r="AQ476" s="724">
        <f>+FL_1($T$477,$T$475,$G$476,1200,9.28, 1*$F$477)</f>
        <v>0.33477011200000001</v>
      </c>
      <c r="AR476" s="724"/>
      <c r="AS476" s="724"/>
      <c r="AT476" s="724"/>
      <c r="AU476" s="724"/>
      <c r="AV476" s="724"/>
      <c r="AW476" s="719"/>
      <c r="AX476" s="719"/>
      <c r="AY476" s="719"/>
      <c r="AZ476" s="532"/>
    </row>
    <row r="477" spans="1:52" ht="15.75" hidden="1" customHeight="1">
      <c r="A477" s="716" t="s">
        <v>677</v>
      </c>
      <c r="B477" s="735" t="s">
        <v>1899</v>
      </c>
      <c r="C477" s="789">
        <f>+$C$475+$G$476</f>
        <v>42208</v>
      </c>
      <c r="D477" s="719"/>
      <c r="E477" s="719"/>
      <c r="F477" s="720">
        <v>0</v>
      </c>
      <c r="G477" s="721"/>
      <c r="H477" s="726"/>
      <c r="I477" s="722"/>
      <c r="J477" s="762"/>
      <c r="K477" s="719"/>
      <c r="L477" s="719" t="s">
        <v>241</v>
      </c>
      <c r="M477" s="719"/>
      <c r="N477" s="726" t="s">
        <v>696</v>
      </c>
      <c r="O477" s="726"/>
      <c r="P477" s="726"/>
      <c r="Q477" s="719">
        <v>0</v>
      </c>
      <c r="R477" s="719">
        <v>0</v>
      </c>
      <c r="S477" s="719"/>
      <c r="T477" s="719">
        <v>30</v>
      </c>
      <c r="U477" s="719"/>
      <c r="V477" s="719"/>
      <c r="W477" s="719">
        <v>1.1000000000000001</v>
      </c>
      <c r="X477" s="719"/>
      <c r="Y477" s="719"/>
      <c r="Z477" s="719"/>
      <c r="AA477" s="719"/>
      <c r="AB477" s="719"/>
      <c r="AC477" s="719" t="s">
        <v>2977</v>
      </c>
      <c r="AD477" s="719"/>
      <c r="AE477" s="719"/>
      <c r="AF477" s="719">
        <v>200</v>
      </c>
      <c r="AG477" s="789">
        <v>42207.17</v>
      </c>
      <c r="AH477" s="719">
        <v>1467</v>
      </c>
      <c r="AI477" s="719">
        <v>-5154</v>
      </c>
      <c r="AJ477" s="719"/>
      <c r="AK477" s="719"/>
      <c r="AL477" s="719"/>
      <c r="AM477" s="719" t="s">
        <v>2609</v>
      </c>
      <c r="AN477" s="719">
        <v>5.25</v>
      </c>
      <c r="AO477" s="719"/>
      <c r="AP477" s="719"/>
      <c r="AQ477" s="724"/>
      <c r="AR477" s="724"/>
      <c r="AS477" s="724"/>
      <c r="AT477" s="724">
        <f>+ab($T$477,$T$475,$T$479,$G$476,$G$478, 1*$F$477,1200)</f>
        <v>7.9442083933778509</v>
      </c>
      <c r="AU477" s="724"/>
      <c r="AV477" s="724"/>
      <c r="AW477" s="719"/>
      <c r="AX477" s="719"/>
      <c r="AY477" s="719"/>
      <c r="AZ477" s="532"/>
    </row>
    <row r="478" spans="1:52" ht="15.75" hidden="1" customHeight="1">
      <c r="A478" s="716"/>
      <c r="B478" s="718"/>
      <c r="C478" s="789"/>
      <c r="D478" s="719"/>
      <c r="E478" s="719"/>
      <c r="F478" s="720"/>
      <c r="G478" s="721">
        <v>50</v>
      </c>
      <c r="H478" s="726"/>
      <c r="I478" s="726"/>
      <c r="J478" s="762"/>
      <c r="K478" s="719"/>
      <c r="L478" s="719"/>
      <c r="M478" s="719"/>
      <c r="N478" s="726"/>
      <c r="O478" s="726"/>
      <c r="P478" s="726"/>
      <c r="Q478" s="719"/>
      <c r="R478" s="719"/>
      <c r="S478" s="724">
        <f t="shared" ref="S478:S486" si="124">AG479-AG477</f>
        <v>51.209999999999127</v>
      </c>
      <c r="T478" s="719"/>
      <c r="U478" s="719"/>
      <c r="V478" s="719"/>
      <c r="W478" s="719"/>
      <c r="X478" s="719"/>
      <c r="Y478" s="719"/>
      <c r="Z478" s="719"/>
      <c r="AA478" s="719"/>
      <c r="AB478" s="719"/>
      <c r="AC478" s="719"/>
      <c r="AD478" s="719"/>
      <c r="AE478" s="719"/>
      <c r="AF478" s="719"/>
      <c r="AG478" s="789"/>
      <c r="AH478" s="719"/>
      <c r="AI478" s="719"/>
      <c r="AJ478" s="719"/>
      <c r="AK478" s="719"/>
      <c r="AL478" s="719"/>
      <c r="AM478" s="719"/>
      <c r="AN478" s="719"/>
      <c r="AO478" s="719"/>
      <c r="AP478" s="719"/>
      <c r="AQ478" s="724">
        <f>+FL_2($T$479,$T$477,$G$478,1200,9.28, 1*$F$479)</f>
        <v>-0.33477011200000001</v>
      </c>
      <c r="AR478" s="724"/>
      <c r="AS478" s="724"/>
      <c r="AT478" s="724"/>
      <c r="AU478" s="724"/>
      <c r="AV478" s="724"/>
      <c r="AW478" s="719"/>
      <c r="AX478" s="719"/>
      <c r="AY478" s="719"/>
      <c r="AZ478" s="532"/>
    </row>
    <row r="479" spans="1:52" ht="15.75" hidden="1" customHeight="1">
      <c r="A479" s="716" t="s">
        <v>677</v>
      </c>
      <c r="B479" s="735" t="s">
        <v>1900</v>
      </c>
      <c r="C479" s="789">
        <f>+$C$477+$G$478</f>
        <v>42258</v>
      </c>
      <c r="D479" s="719"/>
      <c r="E479" s="719"/>
      <c r="F479" s="720">
        <v>0</v>
      </c>
      <c r="G479" s="721"/>
      <c r="H479" s="726"/>
      <c r="I479" s="722"/>
      <c r="J479" s="762"/>
      <c r="K479" s="719"/>
      <c r="L479" s="719" t="s">
        <v>241</v>
      </c>
      <c r="M479" s="719"/>
      <c r="N479" s="726" t="s">
        <v>695</v>
      </c>
      <c r="O479" s="726"/>
      <c r="P479" s="726"/>
      <c r="Q479" s="719">
        <v>0</v>
      </c>
      <c r="R479" s="719">
        <v>0</v>
      </c>
      <c r="S479" s="719"/>
      <c r="T479" s="719">
        <v>-30</v>
      </c>
      <c r="U479" s="719"/>
      <c r="V479" s="719"/>
      <c r="W479" s="719">
        <v>1.1000000000000001</v>
      </c>
      <c r="X479" s="719"/>
      <c r="Y479" s="719"/>
      <c r="Z479" s="719"/>
      <c r="AA479" s="719"/>
      <c r="AB479" s="719"/>
      <c r="AC479" s="719" t="s">
        <v>2979</v>
      </c>
      <c r="AD479" s="719"/>
      <c r="AE479" s="719"/>
      <c r="AF479" s="719">
        <v>200</v>
      </c>
      <c r="AG479" s="789">
        <v>42258.38</v>
      </c>
      <c r="AH479" s="719">
        <v>1510</v>
      </c>
      <c r="AI479" s="719">
        <v>-5169</v>
      </c>
      <c r="AJ479" s="719"/>
      <c r="AK479" s="719"/>
      <c r="AL479" s="719"/>
      <c r="AM479" s="719" t="s">
        <v>2609</v>
      </c>
      <c r="AN479" s="719">
        <v>5.25</v>
      </c>
      <c r="AO479" s="719"/>
      <c r="AP479" s="719"/>
      <c r="AQ479" s="724"/>
      <c r="AR479" s="724"/>
      <c r="AS479" s="724"/>
      <c r="AT479" s="724">
        <f>+ab($T$479,$T$477,$T$481,$G$478,$G$480, 1*$F$479,1200)</f>
        <v>-7.9442410717051439</v>
      </c>
      <c r="AU479" s="724"/>
      <c r="AV479" s="724"/>
      <c r="AW479" s="719"/>
      <c r="AX479" s="719"/>
      <c r="AY479" s="719"/>
      <c r="AZ479" s="532"/>
    </row>
    <row r="480" spans="1:52" ht="15.75" hidden="1" customHeight="1">
      <c r="A480" s="716"/>
      <c r="B480" s="718"/>
      <c r="C480" s="789"/>
      <c r="D480" s="719"/>
      <c r="E480" s="719"/>
      <c r="F480" s="720"/>
      <c r="G480" s="721">
        <v>50</v>
      </c>
      <c r="H480" s="726"/>
      <c r="I480" s="726"/>
      <c r="J480" s="762"/>
      <c r="K480" s="719"/>
      <c r="L480" s="719"/>
      <c r="M480" s="719"/>
      <c r="N480" s="726"/>
      <c r="O480" s="726"/>
      <c r="P480" s="726"/>
      <c r="Q480" s="719"/>
      <c r="R480" s="719"/>
      <c r="S480" s="724">
        <f t="shared" si="124"/>
        <v>48.100000000005821</v>
      </c>
      <c r="T480" s="719"/>
      <c r="U480" s="719"/>
      <c r="V480" s="719"/>
      <c r="W480" s="719"/>
      <c r="X480" s="719"/>
      <c r="Y480" s="719"/>
      <c r="Z480" s="719"/>
      <c r="AA480" s="719"/>
      <c r="AB480" s="719"/>
      <c r="AC480" s="719"/>
      <c r="AD480" s="719"/>
      <c r="AE480" s="719"/>
      <c r="AF480" s="719"/>
      <c r="AG480" s="789"/>
      <c r="AH480" s="719"/>
      <c r="AI480" s="719"/>
      <c r="AJ480" s="719"/>
      <c r="AK480" s="719"/>
      <c r="AL480" s="719"/>
      <c r="AM480" s="719"/>
      <c r="AN480" s="719"/>
      <c r="AO480" s="719"/>
      <c r="AP480" s="719"/>
      <c r="AQ480" s="724">
        <f>+FL_1($T$481,$T$479,$G$480,1200,9.28, 1*$F$481)</f>
        <v>0.33477011200000001</v>
      </c>
      <c r="AR480" s="724"/>
      <c r="AS480" s="724"/>
      <c r="AT480" s="724"/>
      <c r="AU480" s="724"/>
      <c r="AV480" s="724"/>
      <c r="AW480" s="719"/>
      <c r="AX480" s="719"/>
      <c r="AY480" s="719"/>
      <c r="AZ480" s="532"/>
    </row>
    <row r="481" spans="1:52" ht="15.75" hidden="1" customHeight="1">
      <c r="A481" s="716" t="s">
        <v>677</v>
      </c>
      <c r="B481" s="735" t="s">
        <v>1901</v>
      </c>
      <c r="C481" s="789">
        <f>+$C$479+$G$480</f>
        <v>42308</v>
      </c>
      <c r="D481" s="719"/>
      <c r="E481" s="719"/>
      <c r="F481" s="720">
        <v>0</v>
      </c>
      <c r="G481" s="721"/>
      <c r="H481" s="726"/>
      <c r="I481" s="722"/>
      <c r="J481" s="762"/>
      <c r="K481" s="719"/>
      <c r="L481" s="719" t="s">
        <v>241</v>
      </c>
      <c r="M481" s="719"/>
      <c r="N481" s="726" t="s">
        <v>696</v>
      </c>
      <c r="O481" s="726"/>
      <c r="P481" s="726"/>
      <c r="Q481" s="719">
        <v>0</v>
      </c>
      <c r="R481" s="719">
        <v>0</v>
      </c>
      <c r="S481" s="719"/>
      <c r="T481" s="719">
        <v>30</v>
      </c>
      <c r="U481" s="719"/>
      <c r="V481" s="719"/>
      <c r="W481" s="719">
        <v>1.1000000000000001</v>
      </c>
      <c r="X481" s="719"/>
      <c r="Y481" s="719"/>
      <c r="Z481" s="719"/>
      <c r="AA481" s="719"/>
      <c r="AB481" s="719"/>
      <c r="AC481" s="719" t="s">
        <v>2977</v>
      </c>
      <c r="AD481" s="719"/>
      <c r="AE481" s="719"/>
      <c r="AF481" s="719">
        <v>200</v>
      </c>
      <c r="AG481" s="789">
        <v>42306.48</v>
      </c>
      <c r="AH481" s="719">
        <v>1490</v>
      </c>
      <c r="AI481" s="719">
        <v>-5102</v>
      </c>
      <c r="AJ481" s="719"/>
      <c r="AK481" s="719"/>
      <c r="AL481" s="719"/>
      <c r="AM481" s="719" t="s">
        <v>2609</v>
      </c>
      <c r="AN481" s="719">
        <v>5.25</v>
      </c>
      <c r="AO481" s="719"/>
      <c r="AP481" s="719"/>
      <c r="AQ481" s="724"/>
      <c r="AR481" s="724"/>
      <c r="AS481" s="724"/>
      <c r="AT481" s="724">
        <f>+ab($T$481,$T$479,$T$483,$G$480,$G$482, 1*$F$481,1200)</f>
        <v>7.6171702861100652</v>
      </c>
      <c r="AU481" s="724"/>
      <c r="AV481" s="724"/>
      <c r="AW481" s="719"/>
      <c r="AX481" s="719"/>
      <c r="AY481" s="719"/>
      <c r="AZ481" s="532"/>
    </row>
    <row r="482" spans="1:52" ht="15.75" hidden="1" customHeight="1">
      <c r="A482" s="716"/>
      <c r="B482" s="718"/>
      <c r="C482" s="789"/>
      <c r="D482" s="719"/>
      <c r="E482" s="719"/>
      <c r="F482" s="720"/>
      <c r="G482" s="721">
        <v>46</v>
      </c>
      <c r="H482" s="726"/>
      <c r="I482" s="722"/>
      <c r="J482" s="762"/>
      <c r="K482" s="719"/>
      <c r="L482" s="719"/>
      <c r="M482" s="719"/>
      <c r="N482" s="726"/>
      <c r="O482" s="726"/>
      <c r="P482" s="726"/>
      <c r="Q482" s="719"/>
      <c r="R482" s="719"/>
      <c r="S482" s="724">
        <f t="shared" si="124"/>
        <v>48.059999999997672</v>
      </c>
      <c r="T482" s="719"/>
      <c r="U482" s="719"/>
      <c r="V482" s="719"/>
      <c r="W482" s="719"/>
      <c r="X482" s="719"/>
      <c r="Y482" s="719"/>
      <c r="Z482" s="719"/>
      <c r="AA482" s="719"/>
      <c r="AB482" s="719"/>
      <c r="AC482" s="719"/>
      <c r="AD482" s="719"/>
      <c r="AE482" s="719"/>
      <c r="AF482" s="719"/>
      <c r="AG482" s="789"/>
      <c r="AH482" s="719"/>
      <c r="AI482" s="719"/>
      <c r="AJ482" s="719"/>
      <c r="AK482" s="719"/>
      <c r="AL482" s="719"/>
      <c r="AM482" s="719"/>
      <c r="AN482" s="719"/>
      <c r="AO482" s="719"/>
      <c r="AP482" s="719"/>
      <c r="AQ482" s="724">
        <f>+FL_2($T$483,$T$481,$G$482,1200,9.28, 1*$F$483)</f>
        <v>-0.31454601026086954</v>
      </c>
      <c r="AR482" s="724"/>
      <c r="AS482" s="724"/>
      <c r="AT482" s="724"/>
      <c r="AU482" s="724"/>
      <c r="AV482" s="724"/>
      <c r="AW482" s="719"/>
      <c r="AX482" s="719"/>
      <c r="AY482" s="719"/>
      <c r="AZ482" s="532"/>
    </row>
    <row r="483" spans="1:52" ht="15.75" hidden="1" customHeight="1">
      <c r="A483" s="716" t="s">
        <v>677</v>
      </c>
      <c r="B483" s="735" t="s">
        <v>1902</v>
      </c>
      <c r="C483" s="789">
        <f>+$C$481+$G$482</f>
        <v>42354</v>
      </c>
      <c r="D483" s="719"/>
      <c r="E483" s="719"/>
      <c r="F483" s="720">
        <v>0</v>
      </c>
      <c r="G483" s="721"/>
      <c r="H483" s="726"/>
      <c r="I483" s="726"/>
      <c r="J483" s="762"/>
      <c r="K483" s="719"/>
      <c r="L483" s="719" t="s">
        <v>241</v>
      </c>
      <c r="M483" s="719"/>
      <c r="N483" s="726" t="s">
        <v>695</v>
      </c>
      <c r="O483" s="726"/>
      <c r="P483" s="726"/>
      <c r="Q483" s="719">
        <v>0</v>
      </c>
      <c r="R483" s="719">
        <v>0</v>
      </c>
      <c r="S483" s="719"/>
      <c r="T483" s="719">
        <v>-30</v>
      </c>
      <c r="U483" s="719"/>
      <c r="V483" s="719"/>
      <c r="W483" s="719">
        <v>1.1000000000000001</v>
      </c>
      <c r="X483" s="719"/>
      <c r="Y483" s="719"/>
      <c r="Z483" s="719"/>
      <c r="AA483" s="719"/>
      <c r="AB483" s="719"/>
      <c r="AC483" s="719" t="s">
        <v>2979</v>
      </c>
      <c r="AD483" s="719"/>
      <c r="AE483" s="719"/>
      <c r="AF483" s="719">
        <v>200</v>
      </c>
      <c r="AG483" s="789">
        <v>42354.54</v>
      </c>
      <c r="AH483" s="719">
        <v>1490</v>
      </c>
      <c r="AI483" s="719">
        <v>-5096</v>
      </c>
      <c r="AJ483" s="719"/>
      <c r="AK483" s="719"/>
      <c r="AL483" s="719"/>
      <c r="AM483" s="719" t="s">
        <v>2609</v>
      </c>
      <c r="AN483" s="719">
        <v>5.25</v>
      </c>
      <c r="AO483" s="719"/>
      <c r="AP483" s="719"/>
      <c r="AQ483" s="724"/>
      <c r="AR483" s="724"/>
      <c r="AS483" s="724"/>
      <c r="AT483" s="724">
        <f>+ab($T$483,$T$481,$T$485,$G$482,$G$484, 1*$F$483,1200)</f>
        <v>-7.3158785391695931</v>
      </c>
      <c r="AU483" s="724"/>
      <c r="AV483" s="724"/>
      <c r="AW483" s="719"/>
      <c r="AX483" s="719"/>
      <c r="AY483" s="719"/>
      <c r="AZ483" s="532"/>
    </row>
    <row r="484" spans="1:52" ht="15.75" hidden="1" customHeight="1">
      <c r="A484" s="716"/>
      <c r="B484" s="718"/>
      <c r="C484" s="789"/>
      <c r="D484" s="719"/>
      <c r="E484" s="719"/>
      <c r="F484" s="720"/>
      <c r="G484" s="721">
        <v>46</v>
      </c>
      <c r="H484" s="726"/>
      <c r="I484" s="726"/>
      <c r="J484" s="762"/>
      <c r="K484" s="719"/>
      <c r="L484" s="719"/>
      <c r="M484" s="719"/>
      <c r="N484" s="726"/>
      <c r="O484" s="726"/>
      <c r="P484" s="726"/>
      <c r="Q484" s="719"/>
      <c r="R484" s="719"/>
      <c r="S484" s="724">
        <f t="shared" si="124"/>
        <v>41.629999999997381</v>
      </c>
      <c r="T484" s="719"/>
      <c r="U484" s="719"/>
      <c r="V484" s="719"/>
      <c r="W484" s="719"/>
      <c r="X484" s="719"/>
      <c r="Y484" s="719"/>
      <c r="Z484" s="719"/>
      <c r="AA484" s="719"/>
      <c r="AB484" s="719"/>
      <c r="AC484" s="719"/>
      <c r="AD484" s="719"/>
      <c r="AE484" s="719"/>
      <c r="AF484" s="719"/>
      <c r="AG484" s="789"/>
      <c r="AH484" s="719"/>
      <c r="AI484" s="719"/>
      <c r="AJ484" s="719"/>
      <c r="AK484" s="719"/>
      <c r="AL484" s="719"/>
      <c r="AM484" s="719"/>
      <c r="AN484" s="719"/>
      <c r="AO484" s="719"/>
      <c r="AP484" s="719"/>
      <c r="AQ484" s="724">
        <f>+FL_1($T$485,$T$483,$G$484,1200,9.28, 1*$F$485)</f>
        <v>0.31454601026086954</v>
      </c>
      <c r="AR484" s="724"/>
      <c r="AS484" s="724"/>
      <c r="AT484" s="724"/>
      <c r="AU484" s="724"/>
      <c r="AV484" s="724"/>
      <c r="AW484" s="719"/>
      <c r="AX484" s="719"/>
      <c r="AY484" s="719"/>
      <c r="AZ484" s="532"/>
    </row>
    <row r="485" spans="1:52" ht="15.75" hidden="1" customHeight="1">
      <c r="A485" s="716" t="s">
        <v>677</v>
      </c>
      <c r="B485" s="735" t="s">
        <v>1903</v>
      </c>
      <c r="C485" s="789">
        <f>+$C$483+$G$484</f>
        <v>42400</v>
      </c>
      <c r="D485" s="719"/>
      <c r="E485" s="719"/>
      <c r="F485" s="720">
        <v>0</v>
      </c>
      <c r="G485" s="721"/>
      <c r="H485" s="726"/>
      <c r="I485" s="726"/>
      <c r="J485" s="762"/>
      <c r="K485" s="719"/>
      <c r="L485" s="719" t="s">
        <v>241</v>
      </c>
      <c r="M485" s="719"/>
      <c r="N485" s="726" t="s">
        <v>696</v>
      </c>
      <c r="O485" s="726"/>
      <c r="P485" s="726"/>
      <c r="Q485" s="719">
        <v>0</v>
      </c>
      <c r="R485" s="719">
        <v>0</v>
      </c>
      <c r="S485" s="719"/>
      <c r="T485" s="719">
        <v>30</v>
      </c>
      <c r="U485" s="719"/>
      <c r="V485" s="719"/>
      <c r="W485" s="719">
        <v>1.1000000000000001</v>
      </c>
      <c r="X485" s="719"/>
      <c r="Y485" s="719"/>
      <c r="Z485" s="719"/>
      <c r="AA485" s="719"/>
      <c r="AB485" s="719"/>
      <c r="AC485" s="719" t="s">
        <v>2977</v>
      </c>
      <c r="AD485" s="719"/>
      <c r="AE485" s="719"/>
      <c r="AF485" s="719">
        <v>200</v>
      </c>
      <c r="AG485" s="789">
        <v>42396.17</v>
      </c>
      <c r="AH485" s="719">
        <v>1476</v>
      </c>
      <c r="AI485" s="719">
        <v>-5111</v>
      </c>
      <c r="AJ485" s="719"/>
      <c r="AK485" s="719"/>
      <c r="AL485" s="719"/>
      <c r="AM485" s="719" t="s">
        <v>2609</v>
      </c>
      <c r="AN485" s="719">
        <v>5.25</v>
      </c>
      <c r="AO485" s="719"/>
      <c r="AP485" s="719"/>
      <c r="AQ485" s="724"/>
      <c r="AR485" s="724"/>
      <c r="AS485" s="724"/>
      <c r="AT485" s="724">
        <f>+ab($T$485,$T$483,$T$487,$G$484,$G$486, 1*$F$485,1200)</f>
        <v>7.6171702861100652</v>
      </c>
      <c r="AU485" s="724"/>
      <c r="AV485" s="724"/>
      <c r="AW485" s="719"/>
      <c r="AX485" s="719"/>
      <c r="AY485" s="719"/>
      <c r="AZ485" s="532"/>
    </row>
    <row r="486" spans="1:52" ht="15.75" hidden="1" customHeight="1">
      <c r="A486" s="716"/>
      <c r="B486" s="718"/>
      <c r="C486" s="789"/>
      <c r="D486" s="719"/>
      <c r="E486" s="719"/>
      <c r="F486" s="720"/>
      <c r="G486" s="721">
        <v>50</v>
      </c>
      <c r="H486" s="722"/>
      <c r="I486" s="722"/>
      <c r="J486" s="762"/>
      <c r="K486" s="719"/>
      <c r="L486" s="719"/>
      <c r="M486" s="719"/>
      <c r="N486" s="726"/>
      <c r="O486" s="726"/>
      <c r="P486" s="726"/>
      <c r="Q486" s="719"/>
      <c r="R486" s="719"/>
      <c r="S486" s="724">
        <f t="shared" si="124"/>
        <v>54.389999999999418</v>
      </c>
      <c r="T486" s="719"/>
      <c r="U486" s="719"/>
      <c r="V486" s="719"/>
      <c r="W486" s="719"/>
      <c r="X486" s="719"/>
      <c r="Y486" s="719"/>
      <c r="Z486" s="719"/>
      <c r="AA486" s="719"/>
      <c r="AB486" s="719"/>
      <c r="AC486" s="719"/>
      <c r="AD486" s="719"/>
      <c r="AE486" s="719"/>
      <c r="AF486" s="719"/>
      <c r="AG486" s="789"/>
      <c r="AH486" s="719"/>
      <c r="AI486" s="719"/>
      <c r="AJ486" s="740"/>
      <c r="AK486" s="719"/>
      <c r="AL486" s="719"/>
      <c r="AM486" s="719"/>
      <c r="AN486" s="719"/>
      <c r="AO486" s="719"/>
      <c r="AP486" s="719"/>
      <c r="AQ486" s="724">
        <f>+FL_1($T$487,$T$485,$G$486,1200,9.28, 1*$F$487)</f>
        <v>0.33477011200000012</v>
      </c>
      <c r="AR486" s="724"/>
      <c r="AS486" s="724"/>
      <c r="AT486" s="724"/>
      <c r="AU486" s="724"/>
      <c r="AV486" s="724"/>
      <c r="AW486" s="719"/>
      <c r="AX486" s="719"/>
      <c r="AY486" s="719"/>
      <c r="AZ486" s="532"/>
    </row>
    <row r="487" spans="1:52" ht="15.75" hidden="1" customHeight="1">
      <c r="A487" s="716" t="s">
        <v>677</v>
      </c>
      <c r="B487" s="735" t="s">
        <v>1904</v>
      </c>
      <c r="C487" s="789">
        <f>+$C$485+$G$486</f>
        <v>42450</v>
      </c>
      <c r="D487" s="719"/>
      <c r="E487" s="719"/>
      <c r="F487" s="720">
        <v>0</v>
      </c>
      <c r="G487" s="721"/>
      <c r="H487" s="722" t="s">
        <v>138</v>
      </c>
      <c r="I487" s="722" t="s">
        <v>948</v>
      </c>
      <c r="J487" s="762"/>
      <c r="K487" s="719"/>
      <c r="L487" s="719" t="s">
        <v>241</v>
      </c>
      <c r="M487" s="719"/>
      <c r="N487" s="726" t="s">
        <v>695</v>
      </c>
      <c r="O487" s="726"/>
      <c r="P487" s="726"/>
      <c r="Q487" s="719">
        <v>0</v>
      </c>
      <c r="R487" s="719">
        <v>0</v>
      </c>
      <c r="S487" s="719"/>
      <c r="T487" s="719">
        <v>-30</v>
      </c>
      <c r="U487" s="719"/>
      <c r="V487" s="719"/>
      <c r="W487" s="719">
        <v>1.1000000000000001</v>
      </c>
      <c r="X487" s="719"/>
      <c r="Y487" s="719"/>
      <c r="Z487" s="719"/>
      <c r="AA487" s="719"/>
      <c r="AB487" s="719"/>
      <c r="AC487" s="719" t="s">
        <v>2612</v>
      </c>
      <c r="AD487" s="719"/>
      <c r="AE487" s="719"/>
      <c r="AF487" s="719">
        <v>200</v>
      </c>
      <c r="AG487" s="789">
        <v>42450.559999999998</v>
      </c>
      <c r="AH487" s="719">
        <v>1472</v>
      </c>
      <c r="AI487" s="719">
        <v>-5111</v>
      </c>
      <c r="AJ487" s="740"/>
      <c r="AK487" s="719"/>
      <c r="AL487" s="719"/>
      <c r="AM487" s="719" t="s">
        <v>2609</v>
      </c>
      <c r="AN487" s="719">
        <v>5.25</v>
      </c>
      <c r="AO487" s="719"/>
      <c r="AP487" s="719"/>
      <c r="AQ487" s="724"/>
      <c r="AR487" s="724"/>
      <c r="AS487" s="724"/>
      <c r="AT487" s="724">
        <f>+ab($T$487,$T$485,$T$489,$G$486,$G$488, 1*$F$487,1200)</f>
        <v>-8.2849467556123688</v>
      </c>
      <c r="AU487" s="724"/>
      <c r="AV487" s="724"/>
      <c r="AW487" s="719"/>
      <c r="AX487" s="719"/>
      <c r="AY487" s="719"/>
      <c r="AZ487" s="532"/>
    </row>
    <row r="488" spans="1:52" ht="15.75" hidden="1" customHeight="1">
      <c r="A488" s="716"/>
      <c r="B488" s="735"/>
      <c r="C488" s="789"/>
      <c r="D488" s="719"/>
      <c r="E488" s="719"/>
      <c r="F488" s="720"/>
      <c r="G488" s="721">
        <v>50</v>
      </c>
      <c r="H488" s="722"/>
      <c r="I488" s="722"/>
      <c r="J488" s="762">
        <f>C487+10</f>
        <v>42460</v>
      </c>
      <c r="K488" s="719" t="s">
        <v>1097</v>
      </c>
      <c r="L488" s="719"/>
      <c r="M488" s="719"/>
      <c r="N488" s="726"/>
      <c r="O488" s="726"/>
      <c r="P488" s="726"/>
      <c r="Q488" s="719"/>
      <c r="R488" s="719"/>
      <c r="S488" s="724">
        <f>AG489-AG487</f>
        <v>48.060000000004948</v>
      </c>
      <c r="T488" s="719"/>
      <c r="U488" s="719"/>
      <c r="V488" s="719"/>
      <c r="W488" s="719"/>
      <c r="X488" s="719"/>
      <c r="Y488" s="719"/>
      <c r="Z488" s="719"/>
      <c r="AA488" s="719"/>
      <c r="AB488" s="719"/>
      <c r="AC488" s="719"/>
      <c r="AD488" s="719"/>
      <c r="AE488" s="719"/>
      <c r="AF488" s="719"/>
      <c r="AG488" s="789"/>
      <c r="AH488" s="719"/>
      <c r="AI488" s="719"/>
      <c r="AJ488" s="740"/>
      <c r="AK488" s="719"/>
      <c r="AL488" s="719"/>
      <c r="AM488" s="719"/>
      <c r="AN488" s="719"/>
      <c r="AO488" s="719"/>
      <c r="AP488" s="719"/>
      <c r="AQ488" s="724">
        <f>+FL_2($U$489,$T$487,$G$488,1200,9.28, 1*$F$489)</f>
        <v>-0.39834769999999992</v>
      </c>
      <c r="AR488" s="724"/>
      <c r="AS488" s="724"/>
      <c r="AT488" s="724"/>
      <c r="AU488" s="724"/>
      <c r="AV488" s="724"/>
      <c r="AW488" s="719"/>
      <c r="AX488" s="719"/>
      <c r="AY488" s="719"/>
      <c r="AZ488" s="532"/>
    </row>
    <row r="489" spans="1:52" ht="15.75" hidden="1" customHeight="1">
      <c r="A489" s="716" t="s">
        <v>677</v>
      </c>
      <c r="B489" s="735" t="s">
        <v>1905</v>
      </c>
      <c r="C489" s="789">
        <f>+$C$487+$G$488</f>
        <v>42500</v>
      </c>
      <c r="D489" s="719"/>
      <c r="E489" s="719"/>
      <c r="F489" s="720">
        <v>0</v>
      </c>
      <c r="G489" s="721"/>
      <c r="H489" s="722" t="s">
        <v>668</v>
      </c>
      <c r="I489" s="722"/>
      <c r="J489" s="762"/>
      <c r="K489" s="719"/>
      <c r="L489" s="719" t="s">
        <v>465</v>
      </c>
      <c r="M489" s="719"/>
      <c r="N489" s="726" t="s">
        <v>697</v>
      </c>
      <c r="O489" s="726" t="s">
        <v>696</v>
      </c>
      <c r="P489" s="726"/>
      <c r="Q489" s="719">
        <v>0</v>
      </c>
      <c r="R489" s="719">
        <v>0</v>
      </c>
      <c r="S489" s="724">
        <f>AG490-AG489</f>
        <v>3.2199999999938882</v>
      </c>
      <c r="T489" s="719">
        <v>25</v>
      </c>
      <c r="U489" s="719">
        <v>5</v>
      </c>
      <c r="V489" s="719"/>
      <c r="W489" s="719">
        <v>1.1000000000000001</v>
      </c>
      <c r="X489" s="719">
        <v>1.2</v>
      </c>
      <c r="Y489" s="719"/>
      <c r="Z489" s="719">
        <v>0.45</v>
      </c>
      <c r="AA489" s="719"/>
      <c r="AB489" s="719"/>
      <c r="AC489" s="719"/>
      <c r="AD489" s="719" t="s">
        <v>2616</v>
      </c>
      <c r="AE489" s="719"/>
      <c r="AF489" s="719">
        <v>200</v>
      </c>
      <c r="AG489" s="789">
        <v>42498.62</v>
      </c>
      <c r="AH489" s="719">
        <v>1472</v>
      </c>
      <c r="AI489" s="719">
        <v>-5123</v>
      </c>
      <c r="AJ489" s="740"/>
      <c r="AK489" s="719"/>
      <c r="AL489" s="719"/>
      <c r="AM489" s="719" t="s">
        <v>2609</v>
      </c>
      <c r="AN489" s="719">
        <v>5.25</v>
      </c>
      <c r="AO489" s="719"/>
      <c r="AP489" s="719"/>
      <c r="AQ489" s="724"/>
      <c r="AR489" s="724"/>
      <c r="AS489" s="724"/>
      <c r="AT489" s="724">
        <f>+ab($U$489,$T$487,$U$491,$G$488,$G$490, 1*$F$489,1200)</f>
        <v>14.446766725215634</v>
      </c>
      <c r="AU489" s="724"/>
      <c r="AV489" s="724"/>
      <c r="AW489" s="719"/>
      <c r="AX489" s="719"/>
      <c r="AY489" s="719"/>
      <c r="AZ489" s="532"/>
    </row>
    <row r="490" spans="1:52" ht="15.75" hidden="1" customHeight="1">
      <c r="A490" s="716"/>
      <c r="B490" s="735"/>
      <c r="C490" s="789"/>
      <c r="D490" s="719"/>
      <c r="E490" s="719"/>
      <c r="F490" s="720"/>
      <c r="G490" s="721">
        <v>50</v>
      </c>
      <c r="H490" s="722"/>
      <c r="I490" s="722"/>
      <c r="J490" s="762"/>
      <c r="K490" s="719"/>
      <c r="L490" s="719"/>
      <c r="M490" s="719"/>
      <c r="N490" s="726"/>
      <c r="O490" s="726"/>
      <c r="P490" s="726"/>
      <c r="Q490" s="719"/>
      <c r="R490" s="719"/>
      <c r="S490" s="724">
        <f t="shared" ref="S490:S492" si="125">AG491-AG490</f>
        <v>44.910000000003492</v>
      </c>
      <c r="T490" s="719"/>
      <c r="U490" s="719"/>
      <c r="V490" s="719"/>
      <c r="W490" s="719"/>
      <c r="X490" s="719"/>
      <c r="Y490" s="719"/>
      <c r="Z490" s="719"/>
      <c r="AA490" s="719"/>
      <c r="AB490" s="719"/>
      <c r="AC490" s="719"/>
      <c r="AD490" s="719"/>
      <c r="AE490" s="719"/>
      <c r="AF490" s="719"/>
      <c r="AG490" s="789">
        <v>42501.84</v>
      </c>
      <c r="AH490" s="719">
        <v>1465</v>
      </c>
      <c r="AI490" s="719">
        <v>-5129</v>
      </c>
      <c r="AJ490" s="740"/>
      <c r="AK490" s="719"/>
      <c r="AL490" s="719"/>
      <c r="AM490" s="719"/>
      <c r="AN490" s="719"/>
      <c r="AO490" s="719"/>
      <c r="AP490" s="719"/>
      <c r="AQ490" s="724">
        <f>+FL_2($T$491,$U$489,$G$490,1200,9.28, 1*$F$491)</f>
        <v>-0.24425286799999996</v>
      </c>
      <c r="AR490" s="724"/>
      <c r="AS490" s="724"/>
      <c r="AT490" s="724"/>
      <c r="AU490" s="724"/>
      <c r="AV490" s="724"/>
      <c r="AW490" s="719"/>
      <c r="AX490" s="719"/>
      <c r="AY490" s="719"/>
      <c r="AZ490" s="532"/>
    </row>
    <row r="491" spans="1:52" ht="15.75" hidden="1" customHeight="1">
      <c r="A491" s="716" t="s">
        <v>677</v>
      </c>
      <c r="B491" s="735" t="s">
        <v>1906</v>
      </c>
      <c r="C491" s="789">
        <f>+$C$489+$G$490</f>
        <v>42550</v>
      </c>
      <c r="D491" s="719"/>
      <c r="E491" s="719"/>
      <c r="F491" s="720">
        <v>0</v>
      </c>
      <c r="G491" s="721"/>
      <c r="H491" s="722" t="s">
        <v>668</v>
      </c>
      <c r="I491" s="722"/>
      <c r="J491" s="762"/>
      <c r="K491" s="719"/>
      <c r="L491" s="719" t="s">
        <v>465</v>
      </c>
      <c r="M491" s="719"/>
      <c r="N491" s="726" t="s">
        <v>695</v>
      </c>
      <c r="O491" s="726" t="s">
        <v>697</v>
      </c>
      <c r="P491" s="726"/>
      <c r="Q491" s="719">
        <v>0</v>
      </c>
      <c r="R491" s="719">
        <v>0</v>
      </c>
      <c r="S491" s="724">
        <f>AG492-AG491</f>
        <v>3.2099999999991269</v>
      </c>
      <c r="T491" s="719">
        <v>-5</v>
      </c>
      <c r="U491" s="719">
        <v>-25</v>
      </c>
      <c r="V491" s="719"/>
      <c r="W491" s="719">
        <v>1.1000000000000001</v>
      </c>
      <c r="X491" s="719">
        <v>1.2</v>
      </c>
      <c r="Y491" s="719"/>
      <c r="Z491" s="719"/>
      <c r="AA491" s="719">
        <v>0.45</v>
      </c>
      <c r="AB491" s="719"/>
      <c r="AC491" s="719" t="s">
        <v>2613</v>
      </c>
      <c r="AD491" s="719"/>
      <c r="AE491" s="719"/>
      <c r="AF491" s="719">
        <v>200</v>
      </c>
      <c r="AG491" s="789">
        <v>42546.75</v>
      </c>
      <c r="AH491" s="719">
        <v>1478</v>
      </c>
      <c r="AI491" s="719">
        <v>-5141</v>
      </c>
      <c r="AJ491" s="740"/>
      <c r="AK491" s="719"/>
      <c r="AL491" s="719"/>
      <c r="AM491" s="719" t="s">
        <v>2609</v>
      </c>
      <c r="AN491" s="719">
        <v>5.25</v>
      </c>
      <c r="AO491" s="719"/>
      <c r="AP491" s="719"/>
      <c r="AQ491" s="724"/>
      <c r="AR491" s="724"/>
      <c r="AS491" s="724"/>
      <c r="AT491" s="724">
        <f>+ab($T$491,$T$489,$T$493,$G$490,$G$492, 1*$F$491,1200)</f>
        <v>-14.446873203935258</v>
      </c>
      <c r="AU491" s="724"/>
      <c r="AV491" s="724"/>
      <c r="AW491" s="719"/>
      <c r="AX491" s="719"/>
      <c r="AY491" s="719"/>
      <c r="AZ491" s="532"/>
    </row>
    <row r="492" spans="1:52" ht="15.75" hidden="1" customHeight="1">
      <c r="A492" s="716"/>
      <c r="B492" s="735"/>
      <c r="C492" s="789"/>
      <c r="D492" s="719"/>
      <c r="E492" s="719"/>
      <c r="F492" s="720"/>
      <c r="G492" s="721">
        <v>50</v>
      </c>
      <c r="H492" s="722"/>
      <c r="I492" s="722"/>
      <c r="J492" s="762">
        <f>C493-10</f>
        <v>42590</v>
      </c>
      <c r="K492" s="719" t="s">
        <v>1097</v>
      </c>
      <c r="L492" s="719"/>
      <c r="M492" s="719"/>
      <c r="N492" s="726"/>
      <c r="O492" s="726"/>
      <c r="P492" s="726"/>
      <c r="Q492" s="719"/>
      <c r="R492" s="719"/>
      <c r="S492" s="724">
        <f t="shared" si="125"/>
        <v>48.020000000004075</v>
      </c>
      <c r="T492" s="719"/>
      <c r="U492" s="719"/>
      <c r="V492" s="719"/>
      <c r="W492" s="719"/>
      <c r="X492" s="719"/>
      <c r="Y492" s="719"/>
      <c r="Z492" s="719"/>
      <c r="AA492" s="719"/>
      <c r="AB492" s="719"/>
      <c r="AC492" s="719"/>
      <c r="AD492" s="719"/>
      <c r="AE492" s="719"/>
      <c r="AF492" s="719"/>
      <c r="AG492" s="789">
        <v>42549.96</v>
      </c>
      <c r="AH492" s="719">
        <v>1477</v>
      </c>
      <c r="AI492" s="719">
        <v>-5132</v>
      </c>
      <c r="AJ492" s="740"/>
      <c r="AK492" s="719"/>
      <c r="AL492" s="719"/>
      <c r="AM492" s="719"/>
      <c r="AN492" s="719"/>
      <c r="AO492" s="719"/>
      <c r="AP492" s="719"/>
      <c r="AQ492" s="724">
        <f>+FL_1($T$493,$T$491,$G$492,1200,9.28, 1*$F$493)</f>
        <v>0.39834769999999997</v>
      </c>
      <c r="AR492" s="724"/>
      <c r="AS492" s="724"/>
      <c r="AT492" s="724"/>
      <c r="AU492" s="724"/>
      <c r="AV492" s="724"/>
      <c r="AW492" s="719"/>
      <c r="AX492" s="719"/>
      <c r="AY492" s="719"/>
      <c r="AZ492" s="532"/>
    </row>
    <row r="493" spans="1:52" ht="15.75" hidden="1" customHeight="1">
      <c r="A493" s="716" t="s">
        <v>677</v>
      </c>
      <c r="B493" s="735" t="s">
        <v>1907</v>
      </c>
      <c r="C493" s="789">
        <f>+$C$491+$G$492</f>
        <v>42600</v>
      </c>
      <c r="D493" s="719"/>
      <c r="E493" s="719"/>
      <c r="F493" s="720">
        <v>0</v>
      </c>
      <c r="G493" s="721"/>
      <c r="H493" s="722" t="s">
        <v>138</v>
      </c>
      <c r="I493" s="722" t="s">
        <v>948</v>
      </c>
      <c r="J493" s="762"/>
      <c r="K493" s="719"/>
      <c r="L493" s="719" t="s">
        <v>241</v>
      </c>
      <c r="M493" s="719"/>
      <c r="N493" s="726" t="s">
        <v>696</v>
      </c>
      <c r="O493" s="726"/>
      <c r="P493" s="726"/>
      <c r="Q493" s="719">
        <v>0</v>
      </c>
      <c r="R493" s="719">
        <v>0</v>
      </c>
      <c r="S493" s="719"/>
      <c r="T493" s="719">
        <v>30</v>
      </c>
      <c r="U493" s="719"/>
      <c r="V493" s="719"/>
      <c r="W493" s="719">
        <v>1.1000000000000001</v>
      </c>
      <c r="X493" s="719"/>
      <c r="Y493" s="719"/>
      <c r="Z493" s="719"/>
      <c r="AA493" s="719"/>
      <c r="AB493" s="719"/>
      <c r="AC493" s="719" t="s">
        <v>2612</v>
      </c>
      <c r="AD493" s="719"/>
      <c r="AE493" s="719"/>
      <c r="AF493" s="719">
        <v>200</v>
      </c>
      <c r="AG493" s="789">
        <v>42597.98</v>
      </c>
      <c r="AH493" s="719">
        <v>1485</v>
      </c>
      <c r="AI493" s="719">
        <v>-5108</v>
      </c>
      <c r="AJ493" s="719"/>
      <c r="AK493" s="719"/>
      <c r="AL493" s="719"/>
      <c r="AM493" s="719" t="s">
        <v>2609</v>
      </c>
      <c r="AN493" s="719">
        <v>5.25</v>
      </c>
      <c r="AO493" s="719"/>
      <c r="AP493" s="719"/>
      <c r="AQ493" s="724"/>
      <c r="AR493" s="724"/>
      <c r="AS493" s="724"/>
      <c r="AT493" s="724">
        <f>+ab($T$493,$T$491,$T$495,$G$492,$G$494, 1*$F$493,1200)</f>
        <v>9.9968917440918084</v>
      </c>
      <c r="AU493" s="724"/>
      <c r="AV493" s="724"/>
      <c r="AW493" s="719"/>
      <c r="AX493" s="719"/>
      <c r="AY493" s="719"/>
      <c r="AZ493" s="532"/>
    </row>
    <row r="494" spans="1:52" ht="15.75" hidden="1" customHeight="1">
      <c r="A494" s="716"/>
      <c r="B494" s="735"/>
      <c r="C494" s="789"/>
      <c r="D494" s="719"/>
      <c r="E494" s="719"/>
      <c r="F494" s="720"/>
      <c r="G494" s="721">
        <v>50</v>
      </c>
      <c r="H494" s="722"/>
      <c r="I494" s="722"/>
      <c r="J494" s="762"/>
      <c r="K494" s="719"/>
      <c r="L494" s="719"/>
      <c r="M494" s="719"/>
      <c r="N494" s="726"/>
      <c r="O494" s="726"/>
      <c r="P494" s="726"/>
      <c r="Q494" s="719"/>
      <c r="R494" s="719"/>
      <c r="S494" s="724">
        <f t="shared" ref="S494:S512" si="126">AG495-AG493</f>
        <v>51.229999999995925</v>
      </c>
      <c r="T494" s="719"/>
      <c r="U494" s="719"/>
      <c r="V494" s="719"/>
      <c r="W494" s="719"/>
      <c r="X494" s="719"/>
      <c r="Y494" s="719"/>
      <c r="Z494" s="719"/>
      <c r="AA494" s="719"/>
      <c r="AB494" s="719"/>
      <c r="AC494" s="719"/>
      <c r="AD494" s="719"/>
      <c r="AE494" s="719"/>
      <c r="AF494" s="719"/>
      <c r="AG494" s="789"/>
      <c r="AH494" s="719"/>
      <c r="AI494" s="719"/>
      <c r="AJ494" s="740"/>
      <c r="AK494" s="719"/>
      <c r="AL494" s="719"/>
      <c r="AM494" s="719"/>
      <c r="AN494" s="719"/>
      <c r="AO494" s="719"/>
      <c r="AP494" s="719"/>
      <c r="AQ494" s="724">
        <f>+FL_2($T$495,$T$493,$G$494,1200,9.28, 1*$F$495)</f>
        <v>-0.33477011200000001</v>
      </c>
      <c r="AR494" s="724"/>
      <c r="AS494" s="724"/>
      <c r="AT494" s="724"/>
      <c r="AU494" s="724"/>
      <c r="AV494" s="724"/>
      <c r="AW494" s="719"/>
      <c r="AX494" s="719"/>
      <c r="AY494" s="719"/>
      <c r="AZ494" s="532"/>
    </row>
    <row r="495" spans="1:52" ht="15.75" hidden="1" customHeight="1">
      <c r="A495" s="716" t="s">
        <v>677</v>
      </c>
      <c r="B495" s="735" t="s">
        <v>1908</v>
      </c>
      <c r="C495" s="789">
        <f>+$C$493+$G$494</f>
        <v>42650</v>
      </c>
      <c r="D495" s="719"/>
      <c r="E495" s="719"/>
      <c r="F495" s="720">
        <v>0</v>
      </c>
      <c r="G495" s="721"/>
      <c r="H495" s="722"/>
      <c r="I495" s="726"/>
      <c r="J495" s="762"/>
      <c r="K495" s="719"/>
      <c r="L495" s="719" t="s">
        <v>241</v>
      </c>
      <c r="M495" s="719"/>
      <c r="N495" s="726" t="s">
        <v>695</v>
      </c>
      <c r="O495" s="726"/>
      <c r="P495" s="738"/>
      <c r="Q495" s="719">
        <v>0</v>
      </c>
      <c r="R495" s="719">
        <v>0</v>
      </c>
      <c r="S495" s="719"/>
      <c r="T495" s="719">
        <v>-30</v>
      </c>
      <c r="U495" s="719"/>
      <c r="V495" s="719"/>
      <c r="W495" s="719">
        <v>1.1000000000000001</v>
      </c>
      <c r="X495" s="719"/>
      <c r="Y495" s="719"/>
      <c r="Z495" s="719"/>
      <c r="AA495" s="719"/>
      <c r="AB495" s="719"/>
      <c r="AC495" s="719" t="s">
        <v>2979</v>
      </c>
      <c r="AD495" s="719"/>
      <c r="AE495" s="719"/>
      <c r="AF495" s="719">
        <v>200</v>
      </c>
      <c r="AG495" s="789">
        <v>42649.21</v>
      </c>
      <c r="AH495" s="719">
        <v>1482</v>
      </c>
      <c r="AI495" s="719">
        <v>-5123</v>
      </c>
      <c r="AJ495" s="719"/>
      <c r="AK495" s="719"/>
      <c r="AL495" s="719"/>
      <c r="AM495" s="719" t="s">
        <v>2609</v>
      </c>
      <c r="AN495" s="719">
        <v>5.25</v>
      </c>
      <c r="AO495" s="719"/>
      <c r="AP495" s="719"/>
      <c r="AQ495" s="724"/>
      <c r="AR495" s="724"/>
      <c r="AS495" s="724"/>
      <c r="AT495" s="724">
        <f>+ab($T$495,$T$493,$T$497,$G$494,$G$496, 1*$F$495,1200)</f>
        <v>-7.9442410717051439</v>
      </c>
      <c r="AU495" s="724"/>
      <c r="AV495" s="724"/>
      <c r="AW495" s="719"/>
      <c r="AX495" s="719"/>
      <c r="AY495" s="719"/>
      <c r="AZ495" s="532"/>
    </row>
    <row r="496" spans="1:52" ht="15.75" hidden="1" customHeight="1">
      <c r="A496" s="716"/>
      <c r="B496" s="735"/>
      <c r="C496" s="789"/>
      <c r="D496" s="719"/>
      <c r="E496" s="719"/>
      <c r="F496" s="720"/>
      <c r="G496" s="721">
        <v>50</v>
      </c>
      <c r="H496" s="722"/>
      <c r="I496" s="726"/>
      <c r="J496" s="762"/>
      <c r="K496" s="719"/>
      <c r="L496" s="719"/>
      <c r="M496" s="719"/>
      <c r="N496" s="726"/>
      <c r="O496" s="726"/>
      <c r="P496" s="738"/>
      <c r="Q496" s="719"/>
      <c r="R496" s="719"/>
      <c r="S496" s="724">
        <f t="shared" si="126"/>
        <v>51.209999999999127</v>
      </c>
      <c r="T496" s="719"/>
      <c r="U496" s="719"/>
      <c r="V496" s="719"/>
      <c r="W496" s="719"/>
      <c r="X496" s="719"/>
      <c r="Y496" s="719"/>
      <c r="Z496" s="719"/>
      <c r="AA496" s="719"/>
      <c r="AB496" s="719"/>
      <c r="AC496" s="719"/>
      <c r="AD496" s="719"/>
      <c r="AE496" s="719"/>
      <c r="AF496" s="719"/>
      <c r="AG496" s="789"/>
      <c r="AH496" s="719"/>
      <c r="AI496" s="719"/>
      <c r="AJ496" s="719"/>
      <c r="AK496" s="719"/>
      <c r="AL496" s="719"/>
      <c r="AM496" s="719"/>
      <c r="AN496" s="719"/>
      <c r="AO496" s="719"/>
      <c r="AP496" s="719"/>
      <c r="AQ496" s="724">
        <f>+FL_1($T$497,$T$495,$G$496,1200,9.28, 1*$F$497)</f>
        <v>0.33477011200000001</v>
      </c>
      <c r="AR496" s="724"/>
      <c r="AS496" s="724"/>
      <c r="AT496" s="724"/>
      <c r="AU496" s="724"/>
      <c r="AV496" s="724"/>
      <c r="AW496" s="719"/>
      <c r="AX496" s="719"/>
      <c r="AY496" s="719"/>
      <c r="AZ496" s="532"/>
    </row>
    <row r="497" spans="1:52" ht="15.75" hidden="1" customHeight="1">
      <c r="A497" s="716" t="s">
        <v>677</v>
      </c>
      <c r="B497" s="735" t="s">
        <v>1909</v>
      </c>
      <c r="C497" s="789">
        <f>+$C$495+$G$496</f>
        <v>42700</v>
      </c>
      <c r="D497" s="719"/>
      <c r="E497" s="719"/>
      <c r="F497" s="720">
        <v>0</v>
      </c>
      <c r="G497" s="721"/>
      <c r="H497" s="726"/>
      <c r="I497" s="726"/>
      <c r="J497" s="762"/>
      <c r="K497" s="719"/>
      <c r="L497" s="719" t="s">
        <v>241</v>
      </c>
      <c r="M497" s="719"/>
      <c r="N497" s="726" t="s">
        <v>696</v>
      </c>
      <c r="O497" s="726"/>
      <c r="P497" s="738"/>
      <c r="Q497" s="719">
        <v>0</v>
      </c>
      <c r="R497" s="719">
        <v>0</v>
      </c>
      <c r="S497" s="719"/>
      <c r="T497" s="719">
        <v>30</v>
      </c>
      <c r="U497" s="719"/>
      <c r="V497" s="719"/>
      <c r="W497" s="719">
        <v>1.1000000000000001</v>
      </c>
      <c r="X497" s="719"/>
      <c r="Y497" s="719"/>
      <c r="Z497" s="719"/>
      <c r="AA497" s="719"/>
      <c r="AB497" s="719"/>
      <c r="AC497" s="719" t="s">
        <v>2977</v>
      </c>
      <c r="AD497" s="719"/>
      <c r="AE497" s="719"/>
      <c r="AF497" s="719">
        <v>200</v>
      </c>
      <c r="AG497" s="789">
        <v>42700.42</v>
      </c>
      <c r="AH497" s="719">
        <v>1473</v>
      </c>
      <c r="AI497" s="719">
        <v>-5136</v>
      </c>
      <c r="AJ497" s="740"/>
      <c r="AK497" s="719"/>
      <c r="AL497" s="719"/>
      <c r="AM497" s="719" t="s">
        <v>2609</v>
      </c>
      <c r="AN497" s="719">
        <v>5.25</v>
      </c>
      <c r="AO497" s="719"/>
      <c r="AP497" s="719"/>
      <c r="AQ497" s="724"/>
      <c r="AR497" s="724"/>
      <c r="AS497" s="724"/>
      <c r="AT497" s="724">
        <f>+ab($T$497,$T$495,$T$499,$G$496,$G$498, 1*$F$497,1200)</f>
        <v>7.9442083933778509</v>
      </c>
      <c r="AU497" s="724"/>
      <c r="AV497" s="724"/>
      <c r="AW497" s="719"/>
      <c r="AX497" s="719"/>
      <c r="AY497" s="719"/>
      <c r="AZ497" s="532"/>
    </row>
    <row r="498" spans="1:52" ht="15.75" hidden="1" customHeight="1">
      <c r="A498" s="716"/>
      <c r="B498" s="735"/>
      <c r="C498" s="789"/>
      <c r="D498" s="719"/>
      <c r="E498" s="719"/>
      <c r="F498" s="720"/>
      <c r="G498" s="721">
        <v>50</v>
      </c>
      <c r="H498" s="726"/>
      <c r="I498" s="726"/>
      <c r="J498" s="762"/>
      <c r="K498" s="719"/>
      <c r="L498" s="719"/>
      <c r="M498" s="719"/>
      <c r="N498" s="726"/>
      <c r="O498" s="726"/>
      <c r="P498" s="726"/>
      <c r="Q498" s="719"/>
      <c r="R498" s="719"/>
      <c r="S498" s="724">
        <f t="shared" si="126"/>
        <v>49.599999999998545</v>
      </c>
      <c r="T498" s="719"/>
      <c r="U498" s="719"/>
      <c r="V498" s="719"/>
      <c r="W498" s="719"/>
      <c r="X498" s="719"/>
      <c r="Y498" s="719"/>
      <c r="Z498" s="719"/>
      <c r="AA498" s="719"/>
      <c r="AB498" s="719"/>
      <c r="AC498" s="719"/>
      <c r="AD498" s="719"/>
      <c r="AE498" s="719"/>
      <c r="AF498" s="719"/>
      <c r="AG498" s="789"/>
      <c r="AH498" s="719"/>
      <c r="AI498" s="719"/>
      <c r="AJ498" s="719"/>
      <c r="AK498" s="719"/>
      <c r="AL498" s="719"/>
      <c r="AM498" s="719"/>
      <c r="AN498" s="719"/>
      <c r="AO498" s="719"/>
      <c r="AP498" s="719"/>
      <c r="AQ498" s="724">
        <f>+FL_2($T$499,$T$497,$G$498,1200,9.28, 1*$F$499)</f>
        <v>-0.33477011200000001</v>
      </c>
      <c r="AR498" s="724"/>
      <c r="AS498" s="724"/>
      <c r="AT498" s="724"/>
      <c r="AU498" s="724"/>
      <c r="AV498" s="724"/>
      <c r="AW498" s="719"/>
      <c r="AX498" s="719"/>
      <c r="AY498" s="719"/>
      <c r="AZ498" s="532"/>
    </row>
    <row r="499" spans="1:52" ht="15.75" hidden="1" customHeight="1">
      <c r="A499" s="716" t="s">
        <v>677</v>
      </c>
      <c r="B499" s="735" t="s">
        <v>1910</v>
      </c>
      <c r="C499" s="789">
        <f>+$C$497+$G$498</f>
        <v>42750</v>
      </c>
      <c r="D499" s="719"/>
      <c r="E499" s="719"/>
      <c r="F499" s="720">
        <v>0</v>
      </c>
      <c r="G499" s="721"/>
      <c r="H499" s="726"/>
      <c r="I499" s="726"/>
      <c r="J499" s="762"/>
      <c r="K499" s="719"/>
      <c r="L499" s="719" t="s">
        <v>241</v>
      </c>
      <c r="M499" s="719"/>
      <c r="N499" s="726" t="s">
        <v>695</v>
      </c>
      <c r="O499" s="726"/>
      <c r="P499" s="726"/>
      <c r="Q499" s="719">
        <v>0</v>
      </c>
      <c r="R499" s="719">
        <v>0</v>
      </c>
      <c r="S499" s="719"/>
      <c r="T499" s="719">
        <v>-30</v>
      </c>
      <c r="U499" s="719"/>
      <c r="V499" s="719"/>
      <c r="W499" s="719">
        <v>1.1000000000000001</v>
      </c>
      <c r="X499" s="719"/>
      <c r="Y499" s="719"/>
      <c r="Z499" s="719"/>
      <c r="AA499" s="719"/>
      <c r="AB499" s="719"/>
      <c r="AC499" s="719" t="s">
        <v>2979</v>
      </c>
      <c r="AD499" s="719"/>
      <c r="AE499" s="719"/>
      <c r="AF499" s="719">
        <v>200</v>
      </c>
      <c r="AG499" s="789">
        <v>42750.02</v>
      </c>
      <c r="AH499" s="719">
        <v>1492</v>
      </c>
      <c r="AI499" s="719">
        <v>-5109</v>
      </c>
      <c r="AJ499" s="719"/>
      <c r="AK499" s="719"/>
      <c r="AL499" s="719"/>
      <c r="AM499" s="719" t="s">
        <v>2609</v>
      </c>
      <c r="AN499" s="719">
        <v>5.25</v>
      </c>
      <c r="AO499" s="719"/>
      <c r="AP499" s="719"/>
      <c r="AQ499" s="724"/>
      <c r="AR499" s="724"/>
      <c r="AS499" s="724"/>
      <c r="AT499" s="724">
        <f>+ab($T$499,$T$497,$T$501,$G$498,$G$500, 1*$F$499,1200)</f>
        <v>-7.9442410717051439</v>
      </c>
      <c r="AU499" s="724"/>
      <c r="AV499" s="724"/>
      <c r="AW499" s="719"/>
      <c r="AX499" s="719"/>
      <c r="AY499" s="719"/>
      <c r="AZ499" s="532"/>
    </row>
    <row r="500" spans="1:52" ht="15.75" hidden="1" customHeight="1">
      <c r="A500" s="716"/>
      <c r="B500" s="735"/>
      <c r="C500" s="789"/>
      <c r="D500" s="719"/>
      <c r="E500" s="719"/>
      <c r="F500" s="720"/>
      <c r="G500" s="721">
        <v>50</v>
      </c>
      <c r="H500" s="726"/>
      <c r="I500" s="722"/>
      <c r="J500" s="762"/>
      <c r="K500" s="719"/>
      <c r="L500" s="719"/>
      <c r="M500" s="719"/>
      <c r="N500" s="726"/>
      <c r="O500" s="726"/>
      <c r="P500" s="726"/>
      <c r="Q500" s="719"/>
      <c r="R500" s="719"/>
      <c r="S500" s="724">
        <f t="shared" si="126"/>
        <v>49.740000000005239</v>
      </c>
      <c r="T500" s="719"/>
      <c r="U500" s="719"/>
      <c r="V500" s="719"/>
      <c r="W500" s="719"/>
      <c r="X500" s="719"/>
      <c r="Y500" s="719"/>
      <c r="Z500" s="719"/>
      <c r="AA500" s="719"/>
      <c r="AB500" s="719"/>
      <c r="AC500" s="719"/>
      <c r="AD500" s="719"/>
      <c r="AE500" s="719"/>
      <c r="AF500" s="719"/>
      <c r="AG500" s="789"/>
      <c r="AH500" s="719"/>
      <c r="AI500" s="719"/>
      <c r="AJ500" s="719"/>
      <c r="AK500" s="719"/>
      <c r="AL500" s="719"/>
      <c r="AM500" s="719"/>
      <c r="AN500" s="719"/>
      <c r="AO500" s="719"/>
      <c r="AP500" s="719"/>
      <c r="AQ500" s="724">
        <f>+FL_1($T$501,$T$499,$G$500,1200,9.28, 1*$F$501)</f>
        <v>0.33477011200000001</v>
      </c>
      <c r="AR500" s="724"/>
      <c r="AS500" s="724"/>
      <c r="AT500" s="724"/>
      <c r="AU500" s="724"/>
      <c r="AV500" s="724"/>
      <c r="AW500" s="719"/>
      <c r="AX500" s="719"/>
      <c r="AY500" s="719"/>
      <c r="AZ500" s="532"/>
    </row>
    <row r="501" spans="1:52" ht="15.75" hidden="1" customHeight="1">
      <c r="A501" s="716" t="s">
        <v>677</v>
      </c>
      <c r="B501" s="735" t="s">
        <v>1911</v>
      </c>
      <c r="C501" s="789">
        <f>+$C$499+$G$500</f>
        <v>42800</v>
      </c>
      <c r="D501" s="719"/>
      <c r="E501" s="719"/>
      <c r="F501" s="720">
        <v>0</v>
      </c>
      <c r="G501" s="721"/>
      <c r="H501" s="726"/>
      <c r="I501" s="722"/>
      <c r="J501" s="762"/>
      <c r="K501" s="719"/>
      <c r="L501" s="719" t="s">
        <v>241</v>
      </c>
      <c r="M501" s="719"/>
      <c r="N501" s="726" t="s">
        <v>696</v>
      </c>
      <c r="O501" s="726"/>
      <c r="P501" s="726"/>
      <c r="Q501" s="719">
        <v>0</v>
      </c>
      <c r="R501" s="719">
        <v>0</v>
      </c>
      <c r="S501" s="719"/>
      <c r="T501" s="719">
        <v>30</v>
      </c>
      <c r="U501" s="719"/>
      <c r="V501" s="719"/>
      <c r="W501" s="719">
        <v>1.1000000000000001</v>
      </c>
      <c r="X501" s="719"/>
      <c r="Y501" s="719"/>
      <c r="Z501" s="719"/>
      <c r="AA501" s="719"/>
      <c r="AB501" s="719"/>
      <c r="AC501" s="719" t="s">
        <v>2977</v>
      </c>
      <c r="AD501" s="719"/>
      <c r="AE501" s="719"/>
      <c r="AF501" s="719">
        <v>200</v>
      </c>
      <c r="AG501" s="789">
        <v>42799.76</v>
      </c>
      <c r="AH501" s="719">
        <v>1476</v>
      </c>
      <c r="AI501" s="719">
        <v>-5127</v>
      </c>
      <c r="AJ501" s="719"/>
      <c r="AK501" s="719"/>
      <c r="AL501" s="719"/>
      <c r="AM501" s="719" t="s">
        <v>2609</v>
      </c>
      <c r="AN501" s="719">
        <v>5.25</v>
      </c>
      <c r="AO501" s="719"/>
      <c r="AP501" s="719"/>
      <c r="AQ501" s="724"/>
      <c r="AR501" s="724"/>
      <c r="AS501" s="724"/>
      <c r="AT501" s="724">
        <f>+ab($T$501,$T$499,$T$503,$G$500,$G$502, 1*$F$501,1200)</f>
        <v>7.9442083933778509</v>
      </c>
      <c r="AU501" s="724"/>
      <c r="AV501" s="724"/>
      <c r="AW501" s="719"/>
      <c r="AX501" s="719"/>
      <c r="AY501" s="719"/>
      <c r="AZ501" s="532"/>
    </row>
    <row r="502" spans="1:52" ht="15.75" hidden="1" customHeight="1">
      <c r="A502" s="716"/>
      <c r="B502" s="735"/>
      <c r="C502" s="789"/>
      <c r="D502" s="719"/>
      <c r="E502" s="719"/>
      <c r="F502" s="720"/>
      <c r="G502" s="721">
        <v>50</v>
      </c>
      <c r="H502" s="726"/>
      <c r="I502" s="722"/>
      <c r="J502" s="762"/>
      <c r="K502" s="719"/>
      <c r="L502" s="719"/>
      <c r="M502" s="719"/>
      <c r="N502" s="726"/>
      <c r="O502" s="726"/>
      <c r="P502" s="726"/>
      <c r="Q502" s="719"/>
      <c r="R502" s="719"/>
      <c r="S502" s="724">
        <f t="shared" si="126"/>
        <v>49.589999999996508</v>
      </c>
      <c r="T502" s="719"/>
      <c r="U502" s="719"/>
      <c r="V502" s="719"/>
      <c r="W502" s="719"/>
      <c r="X502" s="719"/>
      <c r="Y502" s="719"/>
      <c r="Z502" s="719"/>
      <c r="AA502" s="719"/>
      <c r="AB502" s="719"/>
      <c r="AC502" s="719"/>
      <c r="AD502" s="719"/>
      <c r="AE502" s="719"/>
      <c r="AF502" s="719"/>
      <c r="AG502" s="789"/>
      <c r="AH502" s="719"/>
      <c r="AI502" s="719"/>
      <c r="AJ502" s="719"/>
      <c r="AK502" s="719"/>
      <c r="AL502" s="719"/>
      <c r="AM502" s="719"/>
      <c r="AN502" s="719"/>
      <c r="AO502" s="719"/>
      <c r="AP502" s="719"/>
      <c r="AQ502" s="724">
        <f>+FL_2($T$503,$T$501,$G$502,1200,9.28, 1*$F$503)</f>
        <v>-0.33477011200000001</v>
      </c>
      <c r="AR502" s="724"/>
      <c r="AS502" s="724"/>
      <c r="AT502" s="724"/>
      <c r="AU502" s="724"/>
      <c r="AV502" s="724"/>
      <c r="AW502" s="719"/>
      <c r="AX502" s="719"/>
      <c r="AY502" s="719"/>
      <c r="AZ502" s="533"/>
    </row>
    <row r="503" spans="1:52" ht="15.75" customHeight="1">
      <c r="A503" s="716" t="s">
        <v>677</v>
      </c>
      <c r="B503" s="735" t="s">
        <v>1912</v>
      </c>
      <c r="C503" s="789">
        <f>+$C$501+$G$502</f>
        <v>42850</v>
      </c>
      <c r="D503" s="719"/>
      <c r="E503" s="719"/>
      <c r="F503" s="720">
        <v>0</v>
      </c>
      <c r="G503" s="721"/>
      <c r="H503" s="726" t="s">
        <v>1101</v>
      </c>
      <c r="I503" s="722"/>
      <c r="J503" s="762"/>
      <c r="K503" s="719"/>
      <c r="L503" s="719" t="s">
        <v>241</v>
      </c>
      <c r="M503" s="719"/>
      <c r="N503" s="726" t="s">
        <v>695</v>
      </c>
      <c r="O503" s="726"/>
      <c r="P503" s="726"/>
      <c r="Q503" s="719">
        <v>0</v>
      </c>
      <c r="R503" s="719">
        <v>0</v>
      </c>
      <c r="S503" s="719"/>
      <c r="T503" s="719">
        <v>-30</v>
      </c>
      <c r="U503" s="719"/>
      <c r="V503" s="719"/>
      <c r="W503" s="719">
        <v>1.1000000000000001</v>
      </c>
      <c r="X503" s="719"/>
      <c r="Y503" s="719"/>
      <c r="Z503" s="719"/>
      <c r="AA503" s="719"/>
      <c r="AB503" s="719"/>
      <c r="AC503" s="719" t="s">
        <v>2979</v>
      </c>
      <c r="AD503" s="719"/>
      <c r="AE503" s="719"/>
      <c r="AF503" s="719">
        <v>200</v>
      </c>
      <c r="AG503" s="789">
        <v>42849.35</v>
      </c>
      <c r="AH503" s="719">
        <v>1467</v>
      </c>
      <c r="AI503" s="719">
        <v>-5103</v>
      </c>
      <c r="AJ503" s="719"/>
      <c r="AK503" s="719"/>
      <c r="AL503" s="719"/>
      <c r="AM503" s="719" t="s">
        <v>2609</v>
      </c>
      <c r="AN503" s="719">
        <v>5.25</v>
      </c>
      <c r="AO503" s="719"/>
      <c r="AP503" s="719"/>
      <c r="AQ503" s="724"/>
      <c r="AR503" s="724"/>
      <c r="AS503" s="724"/>
      <c r="AT503" s="724">
        <f>+ab($T$503,$T$501,$T$505,$G$502,$G$504, 1*$F$503,1200)</f>
        <v>-7.9442410717051439</v>
      </c>
      <c r="AU503" s="724"/>
      <c r="AV503" s="724"/>
      <c r="AW503" s="719"/>
      <c r="AX503" s="719"/>
      <c r="AY503" s="719"/>
      <c r="AZ503" s="533"/>
    </row>
    <row r="504" spans="1:52" ht="15.75" hidden="1" customHeight="1">
      <c r="A504" s="716"/>
      <c r="B504" s="735"/>
      <c r="C504" s="789"/>
      <c r="D504" s="719"/>
      <c r="E504" s="719"/>
      <c r="F504" s="720"/>
      <c r="G504" s="721">
        <v>50</v>
      </c>
      <c r="H504" s="726"/>
      <c r="I504" s="726">
        <f>+SUM(G488:G504)</f>
        <v>450</v>
      </c>
      <c r="J504" s="762">
        <f>C503+1</f>
        <v>42851</v>
      </c>
      <c r="K504" s="719" t="s">
        <v>1102</v>
      </c>
      <c r="L504" s="719"/>
      <c r="M504" s="719"/>
      <c r="N504" s="726"/>
      <c r="O504" s="726"/>
      <c r="P504" s="726"/>
      <c r="Q504" s="719"/>
      <c r="R504" s="719"/>
      <c r="S504" s="724">
        <f t="shared" si="126"/>
        <v>49.650000000001455</v>
      </c>
      <c r="T504" s="719"/>
      <c r="U504" s="719"/>
      <c r="V504" s="719"/>
      <c r="W504" s="719"/>
      <c r="X504" s="719"/>
      <c r="Y504" s="719"/>
      <c r="Z504" s="719"/>
      <c r="AA504" s="719"/>
      <c r="AB504" s="719"/>
      <c r="AC504" s="719"/>
      <c r="AD504" s="719"/>
      <c r="AE504" s="719"/>
      <c r="AF504" s="719"/>
      <c r="AG504" s="789"/>
      <c r="AH504" s="719"/>
      <c r="AI504" s="719"/>
      <c r="AJ504" s="719"/>
      <c r="AK504" s="719"/>
      <c r="AL504" s="719"/>
      <c r="AM504" s="719"/>
      <c r="AN504" s="719"/>
      <c r="AO504" s="719"/>
      <c r="AP504" s="719"/>
      <c r="AQ504" s="724">
        <f>+FL_1($T$505,$T$503,$G$504,1200,9.28, 1*$F$505)</f>
        <v>0.33477011200000001</v>
      </c>
      <c r="AR504" s="724"/>
      <c r="AS504" s="724"/>
      <c r="AT504" s="724"/>
      <c r="AU504" s="724"/>
      <c r="AV504" s="724"/>
      <c r="AW504" s="719"/>
      <c r="AX504" s="719"/>
      <c r="AY504" s="719"/>
      <c r="AZ504" s="533"/>
    </row>
    <row r="505" spans="1:52" ht="15.75" customHeight="1">
      <c r="A505" s="716" t="s">
        <v>677</v>
      </c>
      <c r="B505" s="735" t="s">
        <v>1913</v>
      </c>
      <c r="C505" s="789">
        <f>+$C$503+$G$504</f>
        <v>42900</v>
      </c>
      <c r="D505" s="719"/>
      <c r="E505" s="719"/>
      <c r="F505" s="720">
        <v>0</v>
      </c>
      <c r="G505" s="721"/>
      <c r="H505" s="726" t="s">
        <v>997</v>
      </c>
      <c r="I505" s="722"/>
      <c r="J505" s="762"/>
      <c r="K505" s="719"/>
      <c r="L505" s="719" t="s">
        <v>241</v>
      </c>
      <c r="M505" s="719"/>
      <c r="N505" s="726" t="s">
        <v>696</v>
      </c>
      <c r="O505" s="726"/>
      <c r="P505" s="726"/>
      <c r="Q505" s="719">
        <v>0</v>
      </c>
      <c r="R505" s="719">
        <v>0</v>
      </c>
      <c r="S505" s="719"/>
      <c r="T505" s="719">
        <v>30</v>
      </c>
      <c r="U505" s="719"/>
      <c r="V505" s="719"/>
      <c r="W505" s="719">
        <v>1.1000000000000001</v>
      </c>
      <c r="X505" s="719"/>
      <c r="Y505" s="719"/>
      <c r="Z505" s="719"/>
      <c r="AA505" s="719"/>
      <c r="AB505" s="719"/>
      <c r="AC505" s="719" t="s">
        <v>2977</v>
      </c>
      <c r="AD505" s="719"/>
      <c r="AE505" s="719"/>
      <c r="AF505" s="719">
        <v>200</v>
      </c>
      <c r="AG505" s="789">
        <v>42899</v>
      </c>
      <c r="AH505" s="719">
        <v>1512</v>
      </c>
      <c r="AI505" s="719">
        <v>-5121</v>
      </c>
      <c r="AJ505" s="719"/>
      <c r="AK505" s="719"/>
      <c r="AL505" s="719"/>
      <c r="AM505" s="719" t="s">
        <v>2609</v>
      </c>
      <c r="AN505" s="719">
        <v>5.25</v>
      </c>
      <c r="AO505" s="719"/>
      <c r="AP505" s="719"/>
      <c r="AQ505" s="724"/>
      <c r="AR505" s="724"/>
      <c r="AS505" s="724"/>
      <c r="AT505" s="724">
        <f>+ab($T$505,$T$503,$T$507,$G$504,$G$506, 1*$F$505,1200)</f>
        <v>7.9442083933778509</v>
      </c>
      <c r="AU505" s="724"/>
      <c r="AV505" s="724"/>
      <c r="AW505" s="719"/>
      <c r="AX505" s="719"/>
      <c r="AY505" s="719"/>
      <c r="AZ505" s="533"/>
    </row>
    <row r="506" spans="1:52" ht="15.75" hidden="1" customHeight="1">
      <c r="A506" s="716"/>
      <c r="B506" s="735"/>
      <c r="C506" s="789"/>
      <c r="D506" s="719"/>
      <c r="E506" s="719"/>
      <c r="F506" s="720"/>
      <c r="G506" s="721">
        <v>50</v>
      </c>
      <c r="H506" s="726"/>
      <c r="I506" s="726">
        <f>SUM(G506:G522)</f>
        <v>450</v>
      </c>
      <c r="J506" s="762">
        <f>C507-1</f>
        <v>42949</v>
      </c>
      <c r="K506" s="719" t="s">
        <v>1102</v>
      </c>
      <c r="L506" s="719"/>
      <c r="M506" s="719"/>
      <c r="N506" s="726"/>
      <c r="O506" s="726"/>
      <c r="P506" s="726"/>
      <c r="Q506" s="719"/>
      <c r="R506" s="719"/>
      <c r="S506" s="724">
        <f t="shared" si="126"/>
        <v>51.260000000002037</v>
      </c>
      <c r="T506" s="719"/>
      <c r="U506" s="719"/>
      <c r="V506" s="719"/>
      <c r="W506" s="719"/>
      <c r="X506" s="719"/>
      <c r="Y506" s="719"/>
      <c r="Z506" s="719"/>
      <c r="AA506" s="719"/>
      <c r="AB506" s="719"/>
      <c r="AC506" s="719"/>
      <c r="AD506" s="719"/>
      <c r="AE506" s="719"/>
      <c r="AF506" s="719"/>
      <c r="AG506" s="789"/>
      <c r="AH506" s="719"/>
      <c r="AI506" s="719"/>
      <c r="AJ506" s="719"/>
      <c r="AK506" s="719"/>
      <c r="AL506" s="719"/>
      <c r="AM506" s="719"/>
      <c r="AN506" s="719"/>
      <c r="AO506" s="719"/>
      <c r="AP506" s="719"/>
      <c r="AQ506" s="724">
        <f>+FL_2($T$507,$T$505,$G$506,1200,9.28, 1*$F$507)</f>
        <v>-0.33477011200000001</v>
      </c>
      <c r="AR506" s="724"/>
      <c r="AS506" s="724"/>
      <c r="AT506" s="724"/>
      <c r="AU506" s="724"/>
      <c r="AV506" s="724"/>
      <c r="AW506" s="719"/>
      <c r="AX506" s="719"/>
      <c r="AY506" s="719"/>
      <c r="AZ506" s="533"/>
    </row>
    <row r="507" spans="1:52" ht="15.75" customHeight="1">
      <c r="A507" s="716" t="s">
        <v>677</v>
      </c>
      <c r="B507" s="735" t="s">
        <v>1914</v>
      </c>
      <c r="C507" s="789">
        <f>+$C$505+$G$506</f>
        <v>42950</v>
      </c>
      <c r="D507" s="719"/>
      <c r="E507" s="719"/>
      <c r="F507" s="720">
        <v>0</v>
      </c>
      <c r="G507" s="721"/>
      <c r="H507" s="726" t="s">
        <v>1101</v>
      </c>
      <c r="I507" s="722"/>
      <c r="J507" s="762"/>
      <c r="K507" s="719"/>
      <c r="L507" s="719" t="s">
        <v>241</v>
      </c>
      <c r="M507" s="719"/>
      <c r="N507" s="726" t="s">
        <v>695</v>
      </c>
      <c r="O507" s="726"/>
      <c r="P507" s="726"/>
      <c r="Q507" s="719">
        <v>0</v>
      </c>
      <c r="R507" s="719">
        <v>0</v>
      </c>
      <c r="S507" s="719"/>
      <c r="T507" s="719">
        <v>-30</v>
      </c>
      <c r="U507" s="719"/>
      <c r="V507" s="719"/>
      <c r="W507" s="719">
        <v>1.1000000000000001</v>
      </c>
      <c r="X507" s="719"/>
      <c r="Y507" s="719"/>
      <c r="Z507" s="719"/>
      <c r="AA507" s="719"/>
      <c r="AB507" s="719"/>
      <c r="AC507" s="719" t="s">
        <v>2979</v>
      </c>
      <c r="AD507" s="719"/>
      <c r="AE507" s="719"/>
      <c r="AF507" s="719">
        <v>200</v>
      </c>
      <c r="AG507" s="789">
        <v>42950.26</v>
      </c>
      <c r="AH507" s="719">
        <v>1463</v>
      </c>
      <c r="AI507" s="719">
        <v>-5183</v>
      </c>
      <c r="AJ507" s="719"/>
      <c r="AK507" s="719"/>
      <c r="AL507" s="719"/>
      <c r="AM507" s="719" t="s">
        <v>2609</v>
      </c>
      <c r="AN507" s="719">
        <v>5.25</v>
      </c>
      <c r="AO507" s="719"/>
      <c r="AP507" s="719"/>
      <c r="AQ507" s="724"/>
      <c r="AR507" s="724"/>
      <c r="AS507" s="724"/>
      <c r="AT507" s="724">
        <f>+ab($T$507,$T$505,$T$509,$G$506,$G$508, 1*$F$507,1200)</f>
        <v>-7.9442410717051439</v>
      </c>
      <c r="AU507" s="724"/>
      <c r="AV507" s="724"/>
      <c r="AW507" s="719"/>
      <c r="AX507" s="719"/>
      <c r="AY507" s="719"/>
      <c r="AZ507" s="533"/>
    </row>
    <row r="508" spans="1:52" ht="15.75" hidden="1" customHeight="1">
      <c r="A508" s="716"/>
      <c r="B508" s="735"/>
      <c r="C508" s="789"/>
      <c r="D508" s="719"/>
      <c r="E508" s="719"/>
      <c r="F508" s="720"/>
      <c r="G508" s="721">
        <v>50</v>
      </c>
      <c r="H508" s="726"/>
      <c r="I508" s="726"/>
      <c r="J508" s="762"/>
      <c r="K508" s="719"/>
      <c r="L508" s="719"/>
      <c r="M508" s="719"/>
      <c r="N508" s="726"/>
      <c r="O508" s="726"/>
      <c r="P508" s="726"/>
      <c r="Q508" s="719"/>
      <c r="R508" s="719"/>
      <c r="S508" s="724">
        <f t="shared" si="126"/>
        <v>49.659999999996217</v>
      </c>
      <c r="T508" s="719"/>
      <c r="U508" s="719"/>
      <c r="V508" s="719"/>
      <c r="W508" s="719"/>
      <c r="X508" s="719"/>
      <c r="Y508" s="719"/>
      <c r="Z508" s="719"/>
      <c r="AA508" s="719"/>
      <c r="AB508" s="719"/>
      <c r="AC508" s="719"/>
      <c r="AD508" s="719"/>
      <c r="AE508" s="719"/>
      <c r="AF508" s="719"/>
      <c r="AG508" s="789"/>
      <c r="AH508" s="719"/>
      <c r="AI508" s="719"/>
      <c r="AJ508" s="719"/>
      <c r="AK508" s="719"/>
      <c r="AL508" s="719"/>
      <c r="AM508" s="719"/>
      <c r="AN508" s="719"/>
      <c r="AO508" s="719"/>
      <c r="AP508" s="719"/>
      <c r="AQ508" s="724">
        <f>+FL_1($T$509,$T$507,$G$508,1200,9.28, 1*$F$509)</f>
        <v>0.33477011200000001</v>
      </c>
      <c r="AR508" s="724"/>
      <c r="AS508" s="724"/>
      <c r="AT508" s="724"/>
      <c r="AU508" s="724"/>
      <c r="AV508" s="724"/>
      <c r="AW508" s="719"/>
      <c r="AX508" s="719"/>
      <c r="AY508" s="719"/>
      <c r="AZ508" s="533"/>
    </row>
    <row r="509" spans="1:52" ht="15.75" hidden="1" customHeight="1">
      <c r="A509" s="716" t="s">
        <v>677</v>
      </c>
      <c r="B509" s="735" t="s">
        <v>1915</v>
      </c>
      <c r="C509" s="789">
        <f>+$C$507+$G$508</f>
        <v>43000</v>
      </c>
      <c r="D509" s="719"/>
      <c r="E509" s="719"/>
      <c r="F509" s="720">
        <v>0</v>
      </c>
      <c r="G509" s="721"/>
      <c r="H509" s="726"/>
      <c r="I509" s="722"/>
      <c r="J509" s="762"/>
      <c r="K509" s="719"/>
      <c r="L509" s="719" t="s">
        <v>241</v>
      </c>
      <c r="M509" s="719"/>
      <c r="N509" s="726" t="s">
        <v>696</v>
      </c>
      <c r="O509" s="726"/>
      <c r="P509" s="726"/>
      <c r="Q509" s="719">
        <v>0</v>
      </c>
      <c r="R509" s="719">
        <v>0</v>
      </c>
      <c r="S509" s="719"/>
      <c r="T509" s="719">
        <v>30</v>
      </c>
      <c r="U509" s="719"/>
      <c r="V509" s="719"/>
      <c r="W509" s="719">
        <v>1.1000000000000001</v>
      </c>
      <c r="X509" s="719"/>
      <c r="Y509" s="719"/>
      <c r="Z509" s="719"/>
      <c r="AA509" s="719"/>
      <c r="AB509" s="719"/>
      <c r="AC509" s="719" t="s">
        <v>2977</v>
      </c>
      <c r="AD509" s="719"/>
      <c r="AE509" s="719"/>
      <c r="AF509" s="719">
        <v>200</v>
      </c>
      <c r="AG509" s="789">
        <v>42999.92</v>
      </c>
      <c r="AH509" s="719">
        <v>1508</v>
      </c>
      <c r="AI509" s="719">
        <v>-5171</v>
      </c>
      <c r="AJ509" s="719"/>
      <c r="AK509" s="719"/>
      <c r="AL509" s="719"/>
      <c r="AM509" s="719" t="s">
        <v>2609</v>
      </c>
      <c r="AN509" s="719">
        <v>5.25</v>
      </c>
      <c r="AO509" s="719"/>
      <c r="AP509" s="719"/>
      <c r="AQ509" s="724"/>
      <c r="AR509" s="724"/>
      <c r="AS509" s="724"/>
      <c r="AT509" s="724">
        <f>+ab($T$509,$T$507,$T$511,$G$508,$G$510, 1*$F$509,1200)</f>
        <v>7.9442083933778509</v>
      </c>
      <c r="AU509" s="724"/>
      <c r="AV509" s="724"/>
      <c r="AW509" s="719"/>
      <c r="AX509" s="719"/>
      <c r="AY509" s="719"/>
      <c r="AZ509" s="533"/>
    </row>
    <row r="510" spans="1:52" ht="15.75" hidden="1" customHeight="1">
      <c r="A510" s="716"/>
      <c r="B510" s="735"/>
      <c r="C510" s="789"/>
      <c r="D510" s="719"/>
      <c r="E510" s="719"/>
      <c r="F510" s="720"/>
      <c r="G510" s="721">
        <v>50</v>
      </c>
      <c r="H510" s="726"/>
      <c r="I510" s="726"/>
      <c r="J510" s="762"/>
      <c r="K510" s="719"/>
      <c r="L510" s="719"/>
      <c r="M510" s="719"/>
      <c r="N510" s="726"/>
      <c r="O510" s="726"/>
      <c r="P510" s="726"/>
      <c r="Q510" s="719"/>
      <c r="R510" s="719"/>
      <c r="S510" s="724">
        <f t="shared" si="126"/>
        <v>49.440000000002328</v>
      </c>
      <c r="T510" s="719"/>
      <c r="U510" s="719"/>
      <c r="V510" s="719"/>
      <c r="W510" s="719"/>
      <c r="X510" s="719"/>
      <c r="Y510" s="719"/>
      <c r="Z510" s="719"/>
      <c r="AA510" s="719"/>
      <c r="AB510" s="719"/>
      <c r="AC510" s="719"/>
      <c r="AD510" s="719"/>
      <c r="AE510" s="719"/>
      <c r="AF510" s="719"/>
      <c r="AG510" s="789"/>
      <c r="AH510" s="719"/>
      <c r="AI510" s="719"/>
      <c r="AJ510" s="719"/>
      <c r="AK510" s="719"/>
      <c r="AL510" s="719"/>
      <c r="AM510" s="719"/>
      <c r="AN510" s="719"/>
      <c r="AO510" s="719"/>
      <c r="AP510" s="719"/>
      <c r="AQ510" s="724">
        <f>+FL_2($T$511,$T$509,$G$510,1200,9.28, 1*$F$511)</f>
        <v>-0.33477011200000001</v>
      </c>
      <c r="AR510" s="724"/>
      <c r="AS510" s="724"/>
      <c r="AT510" s="724"/>
      <c r="AU510" s="724"/>
      <c r="AV510" s="724"/>
      <c r="AW510" s="719"/>
      <c r="AX510" s="719"/>
      <c r="AY510" s="719"/>
      <c r="AZ510" s="533"/>
    </row>
    <row r="511" spans="1:52" ht="15.75" hidden="1" customHeight="1">
      <c r="A511" s="716" t="s">
        <v>677</v>
      </c>
      <c r="B511" s="735" t="s">
        <v>1916</v>
      </c>
      <c r="C511" s="789">
        <f>+$C$509+$G$510</f>
        <v>43050</v>
      </c>
      <c r="D511" s="719"/>
      <c r="E511" s="719"/>
      <c r="F511" s="720">
        <v>0</v>
      </c>
      <c r="G511" s="721"/>
      <c r="H511" s="726"/>
      <c r="I511" s="722"/>
      <c r="J511" s="762"/>
      <c r="K511" s="719"/>
      <c r="L511" s="719" t="s">
        <v>241</v>
      </c>
      <c r="M511" s="719"/>
      <c r="N511" s="726" t="s">
        <v>695</v>
      </c>
      <c r="O511" s="726"/>
      <c r="P511" s="726"/>
      <c r="Q511" s="719">
        <v>0</v>
      </c>
      <c r="R511" s="719">
        <v>0</v>
      </c>
      <c r="S511" s="719"/>
      <c r="T511" s="719">
        <v>-30</v>
      </c>
      <c r="U511" s="719"/>
      <c r="V511" s="719"/>
      <c r="W511" s="719">
        <v>1.1000000000000001</v>
      </c>
      <c r="X511" s="719"/>
      <c r="Y511" s="719"/>
      <c r="Z511" s="719"/>
      <c r="AA511" s="719"/>
      <c r="AB511" s="719"/>
      <c r="AC511" s="719" t="s">
        <v>2979</v>
      </c>
      <c r="AD511" s="719"/>
      <c r="AE511" s="719"/>
      <c r="AF511" s="719">
        <v>200</v>
      </c>
      <c r="AG511" s="789">
        <v>43049.36</v>
      </c>
      <c r="AH511" s="719">
        <v>1433</v>
      </c>
      <c r="AI511" s="719">
        <v>-5100</v>
      </c>
      <c r="AJ511" s="719"/>
      <c r="AK511" s="719"/>
      <c r="AL511" s="719"/>
      <c r="AM511" s="719" t="s">
        <v>2609</v>
      </c>
      <c r="AN511" s="719">
        <v>5.25</v>
      </c>
      <c r="AO511" s="719"/>
      <c r="AP511" s="719"/>
      <c r="AQ511" s="724"/>
      <c r="AR511" s="724"/>
      <c r="AS511" s="724"/>
      <c r="AT511" s="724">
        <f>+ab($T$511,$T$509,$T$513,$G$510,$G$512, 1*$F$511,1200)</f>
        <v>-7.9442410717051439</v>
      </c>
      <c r="AU511" s="724"/>
      <c r="AV511" s="724"/>
      <c r="AW511" s="719"/>
      <c r="AX511" s="719"/>
      <c r="AY511" s="719"/>
      <c r="AZ511" s="533"/>
    </row>
    <row r="512" spans="1:52" ht="15.75" hidden="1" customHeight="1">
      <c r="A512" s="716"/>
      <c r="B512" s="735"/>
      <c r="C512" s="789"/>
      <c r="D512" s="719"/>
      <c r="E512" s="719"/>
      <c r="F512" s="720"/>
      <c r="G512" s="721">
        <v>50</v>
      </c>
      <c r="H512" s="726"/>
      <c r="I512" s="726"/>
      <c r="J512" s="762"/>
      <c r="K512" s="719"/>
      <c r="L512" s="719"/>
      <c r="M512" s="719"/>
      <c r="N512" s="726"/>
      <c r="O512" s="726"/>
      <c r="P512" s="726"/>
      <c r="Q512" s="719"/>
      <c r="R512" s="719"/>
      <c r="S512" s="724">
        <f t="shared" si="126"/>
        <v>50.720000000001164</v>
      </c>
      <c r="T512" s="719"/>
      <c r="U512" s="719"/>
      <c r="V512" s="719"/>
      <c r="W512" s="719"/>
      <c r="X512" s="719"/>
      <c r="Y512" s="719"/>
      <c r="Z512" s="719"/>
      <c r="AA512" s="719"/>
      <c r="AB512" s="719"/>
      <c r="AC512" s="719"/>
      <c r="AD512" s="719"/>
      <c r="AE512" s="719"/>
      <c r="AF512" s="719"/>
      <c r="AG512" s="789"/>
      <c r="AH512" s="719"/>
      <c r="AI512" s="719"/>
      <c r="AJ512" s="719"/>
      <c r="AK512" s="719"/>
      <c r="AL512" s="719"/>
      <c r="AM512" s="719"/>
      <c r="AN512" s="719"/>
      <c r="AO512" s="719"/>
      <c r="AP512" s="719"/>
      <c r="AQ512" s="724">
        <f>+FL_1($T$513,$T$511,$G$512,1200,9.28, 1*$F$513)</f>
        <v>0.33477011200000001</v>
      </c>
      <c r="AR512" s="724"/>
      <c r="AS512" s="724"/>
      <c r="AT512" s="724"/>
      <c r="AU512" s="724"/>
      <c r="AV512" s="724"/>
      <c r="AW512" s="719"/>
      <c r="AX512" s="719"/>
      <c r="AY512" s="719"/>
      <c r="AZ512" s="533"/>
    </row>
    <row r="513" spans="1:52" ht="15.75" hidden="1" customHeight="1">
      <c r="A513" s="716" t="s">
        <v>676</v>
      </c>
      <c r="B513" s="735" t="s">
        <v>1917</v>
      </c>
      <c r="C513" s="789">
        <f>+$C$511+$G$512</f>
        <v>43100</v>
      </c>
      <c r="D513" s="719"/>
      <c r="E513" s="719"/>
      <c r="F513" s="720">
        <v>0</v>
      </c>
      <c r="G513" s="721"/>
      <c r="H513" s="726"/>
      <c r="I513" s="722"/>
      <c r="J513" s="762"/>
      <c r="K513" s="719"/>
      <c r="L513" s="719" t="s">
        <v>241</v>
      </c>
      <c r="M513" s="719"/>
      <c r="N513" s="726" t="s">
        <v>696</v>
      </c>
      <c r="O513" s="726"/>
      <c r="P513" s="726"/>
      <c r="Q513" s="719">
        <v>0</v>
      </c>
      <c r="R513" s="719">
        <v>0</v>
      </c>
      <c r="S513" s="719"/>
      <c r="T513" s="719">
        <v>30</v>
      </c>
      <c r="U513" s="719"/>
      <c r="V513" s="719"/>
      <c r="W513" s="719">
        <v>1.1000000000000001</v>
      </c>
      <c r="X513" s="719"/>
      <c r="Y513" s="719"/>
      <c r="Z513" s="719"/>
      <c r="AA513" s="719"/>
      <c r="AB513" s="719"/>
      <c r="AC513" s="719" t="s">
        <v>2977</v>
      </c>
      <c r="AD513" s="719"/>
      <c r="AE513" s="719"/>
      <c r="AF513" s="719">
        <v>200</v>
      </c>
      <c r="AG513" s="789">
        <v>43100.08</v>
      </c>
      <c r="AH513" s="719">
        <v>1371</v>
      </c>
      <c r="AI513" s="719">
        <v>-5120</v>
      </c>
      <c r="AJ513" s="719"/>
      <c r="AK513" s="719"/>
      <c r="AL513" s="719"/>
      <c r="AM513" s="719" t="s">
        <v>2609</v>
      </c>
      <c r="AN513" s="719">
        <v>5.25</v>
      </c>
      <c r="AO513" s="719"/>
      <c r="AP513" s="719"/>
      <c r="AQ513" s="724"/>
      <c r="AR513" s="724"/>
      <c r="AS513" s="724"/>
      <c r="AT513" s="724">
        <f>+ab($T$513,$T$511,$T$515,$G$512,$G$514, 1*$F$513,1200)</f>
        <v>7.9442083933778509</v>
      </c>
      <c r="AU513" s="724"/>
      <c r="AV513" s="724"/>
      <c r="AW513" s="719"/>
      <c r="AX513" s="719"/>
      <c r="AY513" s="719"/>
      <c r="AZ513" s="533"/>
    </row>
    <row r="514" spans="1:52" ht="15.75" hidden="1" customHeight="1">
      <c r="A514" s="716"/>
      <c r="B514" s="735"/>
      <c r="C514" s="789"/>
      <c r="D514" s="719"/>
      <c r="E514" s="719"/>
      <c r="F514" s="720"/>
      <c r="G514" s="721">
        <v>50</v>
      </c>
      <c r="H514" s="726"/>
      <c r="I514" s="726"/>
      <c r="J514" s="762"/>
      <c r="K514" s="719"/>
      <c r="L514" s="719"/>
      <c r="M514" s="719"/>
      <c r="N514" s="726"/>
      <c r="O514" s="726"/>
      <c r="P514" s="726"/>
      <c r="Q514" s="719"/>
      <c r="R514" s="719"/>
      <c r="S514" s="724">
        <f>AG515-AG513</f>
        <v>49.889999999999418</v>
      </c>
      <c r="T514" s="719"/>
      <c r="U514" s="719"/>
      <c r="V514" s="719"/>
      <c r="W514" s="719"/>
      <c r="X514" s="719"/>
      <c r="Y514" s="719"/>
      <c r="Z514" s="719"/>
      <c r="AA514" s="719"/>
      <c r="AB514" s="719"/>
      <c r="AC514" s="719"/>
      <c r="AD514" s="719"/>
      <c r="AE514" s="719"/>
      <c r="AF514" s="719"/>
      <c r="AG514" s="789"/>
      <c r="AH514" s="719"/>
      <c r="AI514" s="719"/>
      <c r="AJ514" s="719"/>
      <c r="AK514" s="719"/>
      <c r="AL514" s="719"/>
      <c r="AM514" s="719"/>
      <c r="AN514" s="719"/>
      <c r="AO514" s="719"/>
      <c r="AP514" s="719"/>
      <c r="AQ514" s="724">
        <f>+FL_2($T$515,$T$513,$G$514,1200,9.28, 1*$F$515)</f>
        <v>-0.33477011200000001</v>
      </c>
      <c r="AR514" s="724"/>
      <c r="AS514" s="724"/>
      <c r="AT514" s="724"/>
      <c r="AU514" s="724"/>
      <c r="AV514" s="724"/>
      <c r="AW514" s="719"/>
      <c r="AX514" s="719"/>
      <c r="AY514" s="719"/>
      <c r="AZ514" s="533"/>
    </row>
    <row r="515" spans="1:52" ht="15.75" hidden="1" customHeight="1">
      <c r="A515" s="716" t="s">
        <v>676</v>
      </c>
      <c r="B515" s="735" t="s">
        <v>1918</v>
      </c>
      <c r="C515" s="789">
        <f>+$C$513+$G$514</f>
        <v>43150</v>
      </c>
      <c r="D515" s="719"/>
      <c r="E515" s="719"/>
      <c r="F515" s="720">
        <v>0</v>
      </c>
      <c r="G515" s="721"/>
      <c r="H515" s="726"/>
      <c r="I515" s="726"/>
      <c r="J515" s="762"/>
      <c r="K515" s="719"/>
      <c r="L515" s="719" t="s">
        <v>241</v>
      </c>
      <c r="M515" s="719"/>
      <c r="N515" s="726" t="s">
        <v>695</v>
      </c>
      <c r="O515" s="726"/>
      <c r="P515" s="726"/>
      <c r="Q515" s="719">
        <v>0</v>
      </c>
      <c r="R515" s="719">
        <v>0</v>
      </c>
      <c r="S515" s="719"/>
      <c r="T515" s="719">
        <v>-30</v>
      </c>
      <c r="U515" s="719"/>
      <c r="V515" s="719"/>
      <c r="W515" s="719">
        <v>1.1000000000000001</v>
      </c>
      <c r="X515" s="719"/>
      <c r="Y515" s="719"/>
      <c r="Z515" s="719"/>
      <c r="AA515" s="719"/>
      <c r="AB515" s="719"/>
      <c r="AC515" s="719" t="s">
        <v>2977</v>
      </c>
      <c r="AD515" s="719"/>
      <c r="AE515" s="719"/>
      <c r="AF515" s="719">
        <v>200</v>
      </c>
      <c r="AG515" s="789">
        <v>43149.97</v>
      </c>
      <c r="AH515" s="719">
        <v>1403</v>
      </c>
      <c r="AI515" s="719">
        <v>-5088</v>
      </c>
      <c r="AJ515" s="719"/>
      <c r="AK515" s="719"/>
      <c r="AL515" s="719"/>
      <c r="AM515" s="719" t="s">
        <v>2609</v>
      </c>
      <c r="AN515" s="719">
        <v>5.25</v>
      </c>
      <c r="AO515" s="719"/>
      <c r="AP515" s="719"/>
      <c r="AQ515" s="724"/>
      <c r="AR515" s="724"/>
      <c r="AS515" s="724"/>
      <c r="AT515" s="724">
        <f>+ab($T$515,$T$513,$T$517,$G$514,$G$516, 1*$F$515,1200)</f>
        <v>-7.9442410717051439</v>
      </c>
      <c r="AU515" s="724"/>
      <c r="AV515" s="724"/>
      <c r="AW515" s="719"/>
      <c r="AX515" s="719"/>
      <c r="AY515" s="719"/>
      <c r="AZ515" s="532"/>
    </row>
    <row r="516" spans="1:52" ht="15.75" hidden="1" customHeight="1">
      <c r="A516" s="716"/>
      <c r="B516" s="735"/>
      <c r="C516" s="789"/>
      <c r="D516" s="719"/>
      <c r="E516" s="719"/>
      <c r="F516" s="720"/>
      <c r="G516" s="721">
        <v>50</v>
      </c>
      <c r="H516" s="726"/>
      <c r="I516" s="726"/>
      <c r="J516" s="762"/>
      <c r="K516" s="719"/>
      <c r="L516" s="719"/>
      <c r="M516" s="719"/>
      <c r="N516" s="726"/>
      <c r="O516" s="726"/>
      <c r="P516" s="726"/>
      <c r="Q516" s="719"/>
      <c r="R516" s="719"/>
      <c r="S516" s="719">
        <f t="shared" ref="S516" si="127">AG517-AG515</f>
        <v>50.040000000000873</v>
      </c>
      <c r="T516" s="719"/>
      <c r="U516" s="719"/>
      <c r="V516" s="719"/>
      <c r="W516" s="719"/>
      <c r="X516" s="719"/>
      <c r="Y516" s="719"/>
      <c r="Z516" s="719"/>
      <c r="AA516" s="719"/>
      <c r="AB516" s="719"/>
      <c r="AC516" s="719"/>
      <c r="AD516" s="719"/>
      <c r="AE516" s="719"/>
      <c r="AF516" s="719"/>
      <c r="AG516" s="789"/>
      <c r="AH516" s="719"/>
      <c r="AI516" s="719"/>
      <c r="AJ516" s="719"/>
      <c r="AK516" s="719"/>
      <c r="AL516" s="719"/>
      <c r="AM516" s="719"/>
      <c r="AN516" s="719"/>
      <c r="AO516" s="719"/>
      <c r="AP516" s="719"/>
      <c r="AQ516" s="724">
        <f>+FL_1($T$517,$T$515,$G$516,1200,9.28, 1*$F$517)</f>
        <v>0.33477011200000001</v>
      </c>
      <c r="AR516" s="724"/>
      <c r="AS516" s="724"/>
      <c r="AT516" s="724"/>
      <c r="AU516" s="724"/>
      <c r="AV516" s="724"/>
      <c r="AW516" s="719"/>
      <c r="AX516" s="719"/>
      <c r="AY516" s="719"/>
      <c r="AZ516" s="532"/>
    </row>
    <row r="517" spans="1:52" ht="15.75" hidden="1" customHeight="1">
      <c r="A517" s="716" t="s">
        <v>676</v>
      </c>
      <c r="B517" s="735" t="s">
        <v>1919</v>
      </c>
      <c r="C517" s="789">
        <f>+$C$515+$G$516</f>
        <v>43200</v>
      </c>
      <c r="D517" s="719"/>
      <c r="E517" s="719"/>
      <c r="F517" s="720">
        <v>0</v>
      </c>
      <c r="G517" s="721"/>
      <c r="H517" s="726" t="s">
        <v>138</v>
      </c>
      <c r="I517" s="726" t="s">
        <v>948</v>
      </c>
      <c r="J517" s="762"/>
      <c r="K517" s="719"/>
      <c r="L517" s="719" t="s">
        <v>241</v>
      </c>
      <c r="M517" s="719"/>
      <c r="N517" s="726" t="s">
        <v>696</v>
      </c>
      <c r="O517" s="726"/>
      <c r="P517" s="726"/>
      <c r="Q517" s="719">
        <v>0</v>
      </c>
      <c r="R517" s="719">
        <v>0</v>
      </c>
      <c r="S517" s="719"/>
      <c r="T517" s="719">
        <v>30</v>
      </c>
      <c r="U517" s="719"/>
      <c r="V517" s="719"/>
      <c r="W517" s="719">
        <v>1.1000000000000001</v>
      </c>
      <c r="X517" s="719"/>
      <c r="Y517" s="719"/>
      <c r="Z517" s="719"/>
      <c r="AA517" s="719"/>
      <c r="AB517" s="719"/>
      <c r="AC517" s="719" t="s">
        <v>2612</v>
      </c>
      <c r="AD517" s="719"/>
      <c r="AE517" s="719"/>
      <c r="AF517" s="719">
        <v>200</v>
      </c>
      <c r="AG517" s="789">
        <v>43200.01</v>
      </c>
      <c r="AH517" s="719">
        <v>1399</v>
      </c>
      <c r="AI517" s="719">
        <v>-5065</v>
      </c>
      <c r="AJ517" s="719"/>
      <c r="AK517" s="719"/>
      <c r="AL517" s="719"/>
      <c r="AM517" s="719" t="s">
        <v>2609</v>
      </c>
      <c r="AN517" s="719">
        <v>5.25</v>
      </c>
      <c r="AO517" s="719"/>
      <c r="AP517" s="719"/>
      <c r="AQ517" s="724"/>
      <c r="AR517" s="724"/>
      <c r="AS517" s="724"/>
      <c r="AT517" s="724">
        <f>+ab($T$517,$T$515,$T$519,$G$516,$G$518, 1*$F$517,1200)</f>
        <v>9.9968917440918084</v>
      </c>
      <c r="AU517" s="724"/>
      <c r="AV517" s="724"/>
      <c r="AW517" s="719"/>
      <c r="AX517" s="719"/>
      <c r="AY517" s="719"/>
      <c r="AZ517" s="532"/>
    </row>
    <row r="518" spans="1:52" ht="15.75" hidden="1" customHeight="1">
      <c r="A518" s="716"/>
      <c r="B518" s="735"/>
      <c r="C518" s="789"/>
      <c r="D518" s="719"/>
      <c r="E518" s="719"/>
      <c r="F518" s="720"/>
      <c r="G518" s="721">
        <v>50</v>
      </c>
      <c r="H518" s="726"/>
      <c r="I518" s="726"/>
      <c r="J518" s="762">
        <f>C517+10</f>
        <v>43210</v>
      </c>
      <c r="K518" s="719" t="s">
        <v>1097</v>
      </c>
      <c r="L518" s="719"/>
      <c r="M518" s="719"/>
      <c r="N518" s="726"/>
      <c r="O518" s="726"/>
      <c r="P518" s="726"/>
      <c r="Q518" s="719"/>
      <c r="R518" s="719"/>
      <c r="S518" s="719">
        <f t="shared" ref="S518" si="128">AG519-AG517</f>
        <v>49.279999999998836</v>
      </c>
      <c r="T518" s="719"/>
      <c r="U518" s="719"/>
      <c r="V518" s="719"/>
      <c r="W518" s="719"/>
      <c r="X518" s="719"/>
      <c r="Y518" s="719"/>
      <c r="Z518" s="719"/>
      <c r="AA518" s="719"/>
      <c r="AB518" s="719"/>
      <c r="AC518" s="719"/>
      <c r="AD518" s="719"/>
      <c r="AE518" s="719"/>
      <c r="AF518" s="719"/>
      <c r="AG518" s="789"/>
      <c r="AH518" s="719"/>
      <c r="AI518" s="719"/>
      <c r="AJ518" s="719"/>
      <c r="AK518" s="719"/>
      <c r="AL518" s="719"/>
      <c r="AM518" s="719"/>
      <c r="AN518" s="719"/>
      <c r="AO518" s="719"/>
      <c r="AP518" s="719"/>
      <c r="AQ518" s="724">
        <f>+FL_2($U$519,$T$517,$G$518,1200,9.28, 1*$F$519)</f>
        <v>-0.29489941866666664</v>
      </c>
      <c r="AR518" s="724"/>
      <c r="AS518" s="724"/>
      <c r="AT518" s="724"/>
      <c r="AU518" s="724"/>
      <c r="AV518" s="724"/>
      <c r="AW518" s="719"/>
      <c r="AX518" s="719"/>
      <c r="AY518" s="719"/>
      <c r="AZ518" s="532"/>
    </row>
    <row r="519" spans="1:52" ht="15.75" hidden="1" customHeight="1">
      <c r="A519" s="716" t="s">
        <v>676</v>
      </c>
      <c r="B519" s="735" t="s">
        <v>1920</v>
      </c>
      <c r="C519" s="789">
        <f>+$C$517+$G$518</f>
        <v>43250</v>
      </c>
      <c r="D519" s="719"/>
      <c r="E519" s="719"/>
      <c r="F519" s="720">
        <v>0</v>
      </c>
      <c r="G519" s="721"/>
      <c r="H519" s="726" t="s">
        <v>668</v>
      </c>
      <c r="I519" s="726"/>
      <c r="J519" s="762"/>
      <c r="K519" s="719"/>
      <c r="L519" s="719" t="s">
        <v>465</v>
      </c>
      <c r="M519" s="719"/>
      <c r="N519" s="726" t="s">
        <v>697</v>
      </c>
      <c r="O519" s="726" t="s">
        <v>695</v>
      </c>
      <c r="P519" s="726"/>
      <c r="Q519" s="719">
        <v>0</v>
      </c>
      <c r="R519" s="719">
        <v>0</v>
      </c>
      <c r="S519" s="719">
        <f>AG520-AG519</f>
        <v>1.5400000000008731</v>
      </c>
      <c r="T519" s="719">
        <v>-5</v>
      </c>
      <c r="U519" s="719">
        <v>-25</v>
      </c>
      <c r="V519" s="719"/>
      <c r="W519" s="719">
        <v>1.1000000000000001</v>
      </c>
      <c r="X519" s="719">
        <v>1.2</v>
      </c>
      <c r="Y519" s="719"/>
      <c r="Z519" s="719">
        <v>0.45</v>
      </c>
      <c r="AA519" s="719"/>
      <c r="AB519" s="719"/>
      <c r="AC519" s="719"/>
      <c r="AD519" s="719" t="s">
        <v>2612</v>
      </c>
      <c r="AE519" s="719"/>
      <c r="AF519" s="719">
        <v>200</v>
      </c>
      <c r="AG519" s="789">
        <v>43249.29</v>
      </c>
      <c r="AH519" s="719">
        <v>1399</v>
      </c>
      <c r="AI519" s="719">
        <v>-5096</v>
      </c>
      <c r="AJ519" s="719"/>
      <c r="AK519" s="719"/>
      <c r="AL519" s="719"/>
      <c r="AM519" s="719" t="s">
        <v>2609</v>
      </c>
      <c r="AN519" s="719">
        <v>5.25</v>
      </c>
      <c r="AO519" s="719"/>
      <c r="AP519" s="719"/>
      <c r="AQ519" s="724"/>
      <c r="AR519" s="724"/>
      <c r="AS519" s="724"/>
      <c r="AT519" s="724">
        <f>+ab($U$519,$T$517,$U$521,$G$518,$G$520, 1*$F$519,1200)</f>
        <v>-11.145107873316856</v>
      </c>
      <c r="AU519" s="724"/>
      <c r="AV519" s="724"/>
      <c r="AW519" s="719"/>
      <c r="AX519" s="719"/>
      <c r="AY519" s="719"/>
      <c r="AZ519" s="532"/>
    </row>
    <row r="520" spans="1:52" ht="15.75" hidden="1" customHeight="1">
      <c r="A520" s="716"/>
      <c r="B520" s="735"/>
      <c r="C520" s="789"/>
      <c r="D520" s="719"/>
      <c r="E520" s="719"/>
      <c r="F520" s="720"/>
      <c r="G520" s="721">
        <v>50</v>
      </c>
      <c r="H520" s="726"/>
      <c r="I520" s="726"/>
      <c r="J520" s="762"/>
      <c r="K520" s="719"/>
      <c r="L520" s="719"/>
      <c r="M520" s="719"/>
      <c r="N520" s="726"/>
      <c r="O520" s="726"/>
      <c r="P520" s="726"/>
      <c r="Q520" s="719"/>
      <c r="R520" s="719"/>
      <c r="S520" s="719">
        <f t="shared" ref="S520:S521" si="129">AG521-AG520</f>
        <v>47.479999999995925</v>
      </c>
      <c r="T520" s="719"/>
      <c r="U520" s="719"/>
      <c r="V520" s="719"/>
      <c r="W520" s="719"/>
      <c r="X520" s="719"/>
      <c r="Y520" s="719"/>
      <c r="Z520" s="719"/>
      <c r="AA520" s="719"/>
      <c r="AB520" s="719"/>
      <c r="AC520" s="719"/>
      <c r="AD520" s="719"/>
      <c r="AE520" s="719"/>
      <c r="AF520" s="719"/>
      <c r="AG520" s="789">
        <v>43250.83</v>
      </c>
      <c r="AH520" s="719">
        <v>1412</v>
      </c>
      <c r="AI520" s="719">
        <v>-5080</v>
      </c>
      <c r="AJ520" s="719"/>
      <c r="AK520" s="719"/>
      <c r="AL520" s="719"/>
      <c r="AM520" s="719"/>
      <c r="AN520" s="719"/>
      <c r="AO520" s="719"/>
      <c r="AP520" s="719"/>
      <c r="AQ520" s="724">
        <f>+FL_1($T$521,$U$519,$G$520,1200,9.28, 1*$F$521)</f>
        <v>0.30632183866666668</v>
      </c>
      <c r="AR520" s="724"/>
      <c r="AS520" s="724"/>
      <c r="AT520" s="724"/>
      <c r="AU520" s="724"/>
      <c r="AV520" s="724"/>
      <c r="AW520" s="719"/>
      <c r="AX520" s="719"/>
      <c r="AY520" s="719"/>
      <c r="AZ520" s="533"/>
    </row>
    <row r="521" spans="1:52" ht="15.75" hidden="1" customHeight="1">
      <c r="A521" s="716" t="s">
        <v>676</v>
      </c>
      <c r="B521" s="735" t="s">
        <v>1921</v>
      </c>
      <c r="C521" s="789">
        <f>+$C$519+$G$520</f>
        <v>43300</v>
      </c>
      <c r="D521" s="719"/>
      <c r="E521" s="719"/>
      <c r="F521" s="720">
        <v>0</v>
      </c>
      <c r="G521" s="721"/>
      <c r="H521" s="726" t="s">
        <v>668</v>
      </c>
      <c r="I521" s="726"/>
      <c r="J521" s="762"/>
      <c r="K521" s="719"/>
      <c r="L521" s="719" t="s">
        <v>465</v>
      </c>
      <c r="M521" s="719"/>
      <c r="N521" s="726" t="s">
        <v>696</v>
      </c>
      <c r="O521" s="726" t="s">
        <v>697</v>
      </c>
      <c r="P521" s="726"/>
      <c r="Q521" s="719">
        <v>0</v>
      </c>
      <c r="R521" s="719">
        <v>0</v>
      </c>
      <c r="S521" s="719">
        <f t="shared" si="129"/>
        <v>1.5100000000020373</v>
      </c>
      <c r="T521" s="719">
        <v>25</v>
      </c>
      <c r="U521" s="719">
        <v>5</v>
      </c>
      <c r="V521" s="719"/>
      <c r="W521" s="719">
        <v>1.1000000000000001</v>
      </c>
      <c r="X521" s="719">
        <v>1.2</v>
      </c>
      <c r="Y521" s="719"/>
      <c r="Z521" s="719"/>
      <c r="AA521" s="719">
        <v>0.45</v>
      </c>
      <c r="AB521" s="719"/>
      <c r="AC521" s="719" t="s">
        <v>2612</v>
      </c>
      <c r="AD521" s="719"/>
      <c r="AE521" s="719"/>
      <c r="AF521" s="719">
        <v>200</v>
      </c>
      <c r="AG521" s="789">
        <v>43298.31</v>
      </c>
      <c r="AH521" s="719">
        <v>1392</v>
      </c>
      <c r="AI521" s="719">
        <v>-5074</v>
      </c>
      <c r="AJ521" s="719"/>
      <c r="AK521" s="719"/>
      <c r="AL521" s="719"/>
      <c r="AM521" s="719" t="s">
        <v>2609</v>
      </c>
      <c r="AN521" s="719">
        <v>5.25</v>
      </c>
      <c r="AO521" s="719"/>
      <c r="AP521" s="719"/>
      <c r="AQ521" s="724"/>
      <c r="AR521" s="724"/>
      <c r="AS521" s="724"/>
      <c r="AT521" s="724">
        <f>+ab($T$521,$T$519,$T$523,$G$520,$G$522, 1*$F$521,1200)</f>
        <v>11.14504395531122</v>
      </c>
      <c r="AU521" s="724"/>
      <c r="AV521" s="724"/>
      <c r="AW521" s="719"/>
      <c r="AX521" s="719"/>
      <c r="AY521" s="719"/>
      <c r="AZ521" s="533"/>
    </row>
    <row r="522" spans="1:52" ht="15.75" hidden="1" customHeight="1">
      <c r="A522" s="716"/>
      <c r="B522" s="735"/>
      <c r="C522" s="789"/>
      <c r="D522" s="719"/>
      <c r="E522" s="719"/>
      <c r="F522" s="720"/>
      <c r="G522" s="721">
        <v>50</v>
      </c>
      <c r="H522" s="726"/>
      <c r="I522" s="726"/>
      <c r="J522" s="762">
        <f>C523-10</f>
        <v>43340</v>
      </c>
      <c r="K522" s="719" t="s">
        <v>1097</v>
      </c>
      <c r="L522" s="719"/>
      <c r="M522" s="719"/>
      <c r="N522" s="726"/>
      <c r="O522" s="726"/>
      <c r="P522" s="726"/>
      <c r="Q522" s="719"/>
      <c r="R522" s="719"/>
      <c r="S522" s="719">
        <f>AG523-AG522</f>
        <v>50.180000000000291</v>
      </c>
      <c r="T522" s="719"/>
      <c r="U522" s="719"/>
      <c r="V522" s="719"/>
      <c r="W522" s="719"/>
      <c r="X522" s="719"/>
      <c r="Y522" s="719"/>
      <c r="Z522" s="719"/>
      <c r="AA522" s="719"/>
      <c r="AB522" s="719"/>
      <c r="AC522" s="719"/>
      <c r="AD522" s="719"/>
      <c r="AE522" s="719"/>
      <c r="AF522" s="719"/>
      <c r="AG522" s="789">
        <v>43299.82</v>
      </c>
      <c r="AH522" s="719">
        <v>1400</v>
      </c>
      <c r="AI522" s="719">
        <v>-5077</v>
      </c>
      <c r="AJ522" s="719"/>
      <c r="AK522" s="719"/>
      <c r="AL522" s="719"/>
      <c r="AM522" s="719"/>
      <c r="AN522" s="719"/>
      <c r="AO522" s="719"/>
      <c r="AP522" s="719"/>
      <c r="AQ522" s="724">
        <f>+FL_1($T$523,$T$521,$G$522,1200,9.28, 1*$F$523)</f>
        <v>0.29489941866666669</v>
      </c>
      <c r="AR522" s="724"/>
      <c r="AS522" s="724"/>
      <c r="AT522" s="724"/>
      <c r="AU522" s="724"/>
      <c r="AV522" s="724"/>
      <c r="AW522" s="719"/>
      <c r="AX522" s="719"/>
      <c r="AY522" s="719"/>
      <c r="AZ522" s="533"/>
    </row>
    <row r="523" spans="1:52" ht="15.75" hidden="1" customHeight="1">
      <c r="A523" s="716" t="s">
        <v>676</v>
      </c>
      <c r="B523" s="735" t="s">
        <v>1922</v>
      </c>
      <c r="C523" s="789">
        <f>+$C$521+$G$522</f>
        <v>43350</v>
      </c>
      <c r="D523" s="719"/>
      <c r="E523" s="719"/>
      <c r="F523" s="720">
        <v>0</v>
      </c>
      <c r="G523" s="721"/>
      <c r="H523" s="726" t="s">
        <v>138</v>
      </c>
      <c r="I523" s="726" t="s">
        <v>948</v>
      </c>
      <c r="J523" s="762"/>
      <c r="K523" s="719"/>
      <c r="L523" s="719" t="s">
        <v>241</v>
      </c>
      <c r="M523" s="719"/>
      <c r="N523" s="726" t="s">
        <v>695</v>
      </c>
      <c r="O523" s="726"/>
      <c r="P523" s="726"/>
      <c r="Q523" s="719">
        <v>0</v>
      </c>
      <c r="R523" s="719">
        <v>0</v>
      </c>
      <c r="S523" s="719"/>
      <c r="T523" s="719">
        <v>-30</v>
      </c>
      <c r="U523" s="719"/>
      <c r="V523" s="719"/>
      <c r="W523" s="719">
        <v>1.1000000000000001</v>
      </c>
      <c r="X523" s="719"/>
      <c r="Y523" s="719"/>
      <c r="Z523" s="719"/>
      <c r="AA523" s="719"/>
      <c r="AB523" s="719"/>
      <c r="AC523" s="719" t="s">
        <v>2977</v>
      </c>
      <c r="AD523" s="719"/>
      <c r="AE523" s="719"/>
      <c r="AF523" s="719">
        <v>200</v>
      </c>
      <c r="AG523" s="789">
        <v>43350</v>
      </c>
      <c r="AH523" s="719">
        <v>1392</v>
      </c>
      <c r="AI523" s="719">
        <v>-5108</v>
      </c>
      <c r="AJ523" s="719"/>
      <c r="AK523" s="719"/>
      <c r="AL523" s="719"/>
      <c r="AM523" s="719" t="s">
        <v>2609</v>
      </c>
      <c r="AN523" s="719">
        <v>5.25</v>
      </c>
      <c r="AO523" s="719"/>
      <c r="AP523" s="719"/>
      <c r="AQ523" s="724"/>
      <c r="AR523" s="724"/>
      <c r="AS523" s="724"/>
      <c r="AT523" s="724">
        <f>+ab($T$523,$T$521,$T$525,$G$522,$G$524, 1*$F$523,1200)</f>
        <v>-8.2849467556123688</v>
      </c>
      <c r="AU523" s="724"/>
      <c r="AV523" s="724"/>
      <c r="AW523" s="719"/>
      <c r="AX523" s="719"/>
      <c r="AY523" s="719"/>
      <c r="AZ523" s="533"/>
    </row>
    <row r="524" spans="1:52" ht="15.75" hidden="1" customHeight="1">
      <c r="A524" s="716"/>
      <c r="B524" s="735"/>
      <c r="C524" s="789"/>
      <c r="D524" s="719"/>
      <c r="E524" s="719"/>
      <c r="F524" s="720"/>
      <c r="G524" s="721">
        <v>50</v>
      </c>
      <c r="H524" s="726"/>
      <c r="I524" s="726"/>
      <c r="J524" s="762"/>
      <c r="K524" s="719"/>
      <c r="L524" s="719"/>
      <c r="M524" s="719"/>
      <c r="N524" s="726"/>
      <c r="O524" s="726"/>
      <c r="P524" s="726"/>
      <c r="Q524" s="719"/>
      <c r="R524" s="719"/>
      <c r="S524" s="719">
        <f t="shared" ref="S524" si="130">AG525-AG523</f>
        <v>50.019999999996799</v>
      </c>
      <c r="T524" s="719"/>
      <c r="U524" s="719"/>
      <c r="V524" s="719"/>
      <c r="W524" s="719"/>
      <c r="X524" s="719"/>
      <c r="Y524" s="719"/>
      <c r="Z524" s="719"/>
      <c r="AA524" s="719"/>
      <c r="AB524" s="719"/>
      <c r="AC524" s="719"/>
      <c r="AD524" s="719"/>
      <c r="AE524" s="719"/>
      <c r="AF524" s="719"/>
      <c r="AG524" s="789"/>
      <c r="AH524" s="719"/>
      <c r="AI524" s="719"/>
      <c r="AJ524" s="719"/>
      <c r="AK524" s="719"/>
      <c r="AL524" s="719"/>
      <c r="AM524" s="719"/>
      <c r="AN524" s="719"/>
      <c r="AO524" s="719"/>
      <c r="AP524" s="719"/>
      <c r="AQ524" s="724">
        <f>+FL_1($T$525,$T$523,$G$524,1200,9.28, 1*$F$525)</f>
        <v>0.33477011200000001</v>
      </c>
      <c r="AR524" s="724"/>
      <c r="AS524" s="724"/>
      <c r="AT524" s="724"/>
      <c r="AU524" s="724"/>
      <c r="AV524" s="724"/>
      <c r="AW524" s="719"/>
      <c r="AX524" s="719"/>
      <c r="AY524" s="719"/>
      <c r="AZ524" s="533"/>
    </row>
    <row r="525" spans="1:52" ht="15.75" hidden="1" customHeight="1">
      <c r="A525" s="716" t="s">
        <v>676</v>
      </c>
      <c r="B525" s="735" t="s">
        <v>1923</v>
      </c>
      <c r="C525" s="789">
        <f>+$C$523+$G$524</f>
        <v>43400</v>
      </c>
      <c r="D525" s="719"/>
      <c r="E525" s="719"/>
      <c r="F525" s="720">
        <v>0</v>
      </c>
      <c r="G525" s="721"/>
      <c r="H525" s="726"/>
      <c r="I525" s="726"/>
      <c r="J525" s="762"/>
      <c r="K525" s="719"/>
      <c r="L525" s="719" t="s">
        <v>241</v>
      </c>
      <c r="M525" s="719"/>
      <c r="N525" s="726" t="s">
        <v>696</v>
      </c>
      <c r="O525" s="726"/>
      <c r="P525" s="726"/>
      <c r="Q525" s="719">
        <v>0</v>
      </c>
      <c r="R525" s="719">
        <v>0</v>
      </c>
      <c r="S525" s="719"/>
      <c r="T525" s="719">
        <v>30</v>
      </c>
      <c r="U525" s="719"/>
      <c r="V525" s="719"/>
      <c r="W525" s="719">
        <v>1.1000000000000001</v>
      </c>
      <c r="X525" s="719"/>
      <c r="Y525" s="719"/>
      <c r="Z525" s="719"/>
      <c r="AA525" s="719"/>
      <c r="AB525" s="719"/>
      <c r="AC525" s="719" t="s">
        <v>2977</v>
      </c>
      <c r="AD525" s="719"/>
      <c r="AE525" s="719"/>
      <c r="AF525" s="719">
        <v>200</v>
      </c>
      <c r="AG525" s="789">
        <v>43400.02</v>
      </c>
      <c r="AH525" s="719">
        <v>1429</v>
      </c>
      <c r="AI525" s="719">
        <v>-5067</v>
      </c>
      <c r="AJ525" s="719"/>
      <c r="AK525" s="719"/>
      <c r="AL525" s="719"/>
      <c r="AM525" s="719" t="s">
        <v>2609</v>
      </c>
      <c r="AN525" s="719">
        <v>5.25</v>
      </c>
      <c r="AO525" s="719"/>
      <c r="AP525" s="719"/>
      <c r="AQ525" s="724"/>
      <c r="AR525" s="724"/>
      <c r="AS525" s="724"/>
      <c r="AT525" s="724">
        <f>+ab($T$525,$T$523,$T$527,$G$524,$G$526, 1*$F$525,1200)</f>
        <v>7.9442083933778509</v>
      </c>
      <c r="AU525" s="724"/>
      <c r="AV525" s="724"/>
      <c r="AW525" s="719"/>
      <c r="AX525" s="719"/>
      <c r="AY525" s="719"/>
      <c r="AZ525" s="532"/>
    </row>
    <row r="526" spans="1:52" ht="15.75" hidden="1" customHeight="1">
      <c r="A526" s="716"/>
      <c r="B526" s="735"/>
      <c r="C526" s="789"/>
      <c r="D526" s="719"/>
      <c r="E526" s="719"/>
      <c r="F526" s="720"/>
      <c r="G526" s="721">
        <v>50</v>
      </c>
      <c r="H526" s="726"/>
      <c r="I526" s="726"/>
      <c r="J526" s="762"/>
      <c r="K526" s="719"/>
      <c r="L526" s="719"/>
      <c r="M526" s="719"/>
      <c r="N526" s="726"/>
      <c r="O526" s="726"/>
      <c r="P526" s="726"/>
      <c r="Q526" s="719"/>
      <c r="R526" s="719"/>
      <c r="S526" s="719">
        <f t="shared" ref="S526" si="131">AG527-AG525</f>
        <v>49.970000000001164</v>
      </c>
      <c r="T526" s="719"/>
      <c r="U526" s="719"/>
      <c r="V526" s="719"/>
      <c r="W526" s="719"/>
      <c r="X526" s="719"/>
      <c r="Y526" s="719"/>
      <c r="Z526" s="719"/>
      <c r="AA526" s="719"/>
      <c r="AB526" s="719"/>
      <c r="AC526" s="719"/>
      <c r="AD526" s="719"/>
      <c r="AE526" s="719"/>
      <c r="AF526" s="719"/>
      <c r="AG526" s="789"/>
      <c r="AH526" s="719"/>
      <c r="AI526" s="719"/>
      <c r="AJ526" s="719"/>
      <c r="AK526" s="719"/>
      <c r="AL526" s="719"/>
      <c r="AM526" s="719"/>
      <c r="AN526" s="719"/>
      <c r="AO526" s="719"/>
      <c r="AP526" s="719"/>
      <c r="AQ526" s="724">
        <f>+FL_2($T$527,$T$525,$G$526,1200,9.28, 1*$F$527)</f>
        <v>-0.33477011200000001</v>
      </c>
      <c r="AR526" s="724"/>
      <c r="AS526" s="724"/>
      <c r="AT526" s="724"/>
      <c r="AU526" s="724"/>
      <c r="AV526" s="724"/>
      <c r="AW526" s="719"/>
      <c r="AX526" s="719"/>
      <c r="AY526" s="719"/>
      <c r="AZ526" s="532"/>
    </row>
    <row r="527" spans="1:52" ht="15.75" hidden="1" customHeight="1">
      <c r="A527" s="716" t="s">
        <v>676</v>
      </c>
      <c r="B527" s="735" t="s">
        <v>1924</v>
      </c>
      <c r="C527" s="789">
        <f>+$C$525+$G$526</f>
        <v>43450</v>
      </c>
      <c r="D527" s="719"/>
      <c r="E527" s="719"/>
      <c r="F527" s="720">
        <v>0</v>
      </c>
      <c r="G527" s="721"/>
      <c r="H527" s="726"/>
      <c r="I527" s="726"/>
      <c r="J527" s="762"/>
      <c r="K527" s="719"/>
      <c r="L527" s="719" t="s">
        <v>241</v>
      </c>
      <c r="M527" s="719"/>
      <c r="N527" s="726" t="s">
        <v>695</v>
      </c>
      <c r="O527" s="726"/>
      <c r="P527" s="726"/>
      <c r="Q527" s="719">
        <v>0</v>
      </c>
      <c r="R527" s="719">
        <v>0</v>
      </c>
      <c r="S527" s="719"/>
      <c r="T527" s="719">
        <v>-30</v>
      </c>
      <c r="U527" s="719"/>
      <c r="V527" s="719"/>
      <c r="W527" s="719">
        <v>1.1000000000000001</v>
      </c>
      <c r="X527" s="719"/>
      <c r="Y527" s="719"/>
      <c r="Z527" s="719"/>
      <c r="AA527" s="719"/>
      <c r="AB527" s="719"/>
      <c r="AC527" s="719" t="s">
        <v>2977</v>
      </c>
      <c r="AD527" s="719"/>
      <c r="AE527" s="719"/>
      <c r="AF527" s="719">
        <v>200</v>
      </c>
      <c r="AG527" s="789">
        <v>43449.99</v>
      </c>
      <c r="AH527" s="719">
        <v>1393</v>
      </c>
      <c r="AI527" s="719">
        <v>-5090</v>
      </c>
      <c r="AJ527" s="719"/>
      <c r="AK527" s="719"/>
      <c r="AL527" s="719"/>
      <c r="AM527" s="719" t="s">
        <v>2609</v>
      </c>
      <c r="AN527" s="719">
        <v>5.25</v>
      </c>
      <c r="AO527" s="719"/>
      <c r="AP527" s="719"/>
      <c r="AQ527" s="724"/>
      <c r="AR527" s="724"/>
      <c r="AS527" s="724"/>
      <c r="AT527" s="724">
        <f>+ab($T$527,$T$525,$T$529,$G$526,$G$528, 1*$F$527,1200)</f>
        <v>-7.9442410717051439</v>
      </c>
      <c r="AU527" s="724"/>
      <c r="AV527" s="724"/>
      <c r="AW527" s="719"/>
      <c r="AX527" s="719"/>
      <c r="AY527" s="719"/>
      <c r="AZ527" s="532"/>
    </row>
    <row r="528" spans="1:52" ht="15.75" hidden="1" customHeight="1">
      <c r="A528" s="716"/>
      <c r="B528" s="735"/>
      <c r="C528" s="789"/>
      <c r="D528" s="719"/>
      <c r="E528" s="719"/>
      <c r="F528" s="720"/>
      <c r="G528" s="721">
        <v>50</v>
      </c>
      <c r="H528" s="726"/>
      <c r="I528" s="726"/>
      <c r="J528" s="762"/>
      <c r="K528" s="719"/>
      <c r="L528" s="719"/>
      <c r="M528" s="719"/>
      <c r="N528" s="726"/>
      <c r="O528" s="726"/>
      <c r="P528" s="726"/>
      <c r="Q528" s="719"/>
      <c r="R528" s="719"/>
      <c r="S528" s="719">
        <f t="shared" ref="S528" si="132">AG529-AG527</f>
        <v>49.950000000004366</v>
      </c>
      <c r="T528" s="719"/>
      <c r="U528" s="719"/>
      <c r="V528" s="719"/>
      <c r="W528" s="719"/>
      <c r="X528" s="719"/>
      <c r="Y528" s="719"/>
      <c r="Z528" s="719"/>
      <c r="AA528" s="719"/>
      <c r="AB528" s="719"/>
      <c r="AC528" s="719"/>
      <c r="AD528" s="719"/>
      <c r="AE528" s="719"/>
      <c r="AF528" s="719"/>
      <c r="AG528" s="789"/>
      <c r="AH528" s="719"/>
      <c r="AI528" s="719"/>
      <c r="AJ528" s="719"/>
      <c r="AK528" s="719"/>
      <c r="AL528" s="719"/>
      <c r="AM528" s="719"/>
      <c r="AN528" s="719"/>
      <c r="AO528" s="719"/>
      <c r="AP528" s="719"/>
      <c r="AQ528" s="724">
        <f>+FL_1($T$529,$T$527,$G$528,1200,9.28, 1*$F$529)</f>
        <v>0.33477011200000001</v>
      </c>
      <c r="AR528" s="724"/>
      <c r="AS528" s="724"/>
      <c r="AT528" s="724"/>
      <c r="AU528" s="724"/>
      <c r="AV528" s="724"/>
      <c r="AW528" s="719"/>
      <c r="AX528" s="719"/>
      <c r="AY528" s="719"/>
      <c r="AZ528" s="533"/>
    </row>
    <row r="529" spans="1:52" ht="15.75" customHeight="1">
      <c r="A529" s="716" t="s">
        <v>676</v>
      </c>
      <c r="B529" s="735" t="s">
        <v>1925</v>
      </c>
      <c r="C529" s="789">
        <f>+$C$527+$G$528</f>
        <v>43500</v>
      </c>
      <c r="D529" s="719"/>
      <c r="E529" s="719"/>
      <c r="F529" s="720">
        <v>0</v>
      </c>
      <c r="G529" s="721"/>
      <c r="H529" s="726" t="s">
        <v>1101</v>
      </c>
      <c r="I529" s="722"/>
      <c r="J529" s="762"/>
      <c r="K529" s="719"/>
      <c r="L529" s="719" t="s">
        <v>241</v>
      </c>
      <c r="M529" s="719"/>
      <c r="N529" s="726" t="s">
        <v>696</v>
      </c>
      <c r="O529" s="726"/>
      <c r="P529" s="726"/>
      <c r="Q529" s="719">
        <v>0</v>
      </c>
      <c r="R529" s="719">
        <v>0</v>
      </c>
      <c r="S529" s="719"/>
      <c r="T529" s="719">
        <v>30</v>
      </c>
      <c r="U529" s="719"/>
      <c r="V529" s="719"/>
      <c r="W529" s="719">
        <v>1.1000000000000001</v>
      </c>
      <c r="X529" s="719"/>
      <c r="Y529" s="719"/>
      <c r="Z529" s="719"/>
      <c r="AA529" s="719"/>
      <c r="AB529" s="719"/>
      <c r="AC529" s="719" t="s">
        <v>2977</v>
      </c>
      <c r="AD529" s="719"/>
      <c r="AE529" s="719"/>
      <c r="AF529" s="719">
        <v>200</v>
      </c>
      <c r="AG529" s="789">
        <v>43499.94</v>
      </c>
      <c r="AH529" s="719">
        <v>1406</v>
      </c>
      <c r="AI529" s="719">
        <v>-5091</v>
      </c>
      <c r="AJ529" s="719"/>
      <c r="AK529" s="719"/>
      <c r="AL529" s="719"/>
      <c r="AM529" s="719" t="s">
        <v>2609</v>
      </c>
      <c r="AN529" s="719">
        <v>5.25</v>
      </c>
      <c r="AO529" s="719"/>
      <c r="AP529" s="719"/>
      <c r="AQ529" s="724"/>
      <c r="AR529" s="724"/>
      <c r="AS529" s="724"/>
      <c r="AT529" s="724">
        <f>+ab($T$529,$T$527,$T$531,$G$528,$G$530, 1*$F$529,1200)</f>
        <v>7.9442083933778509</v>
      </c>
      <c r="AU529" s="724"/>
      <c r="AV529" s="724"/>
      <c r="AW529" s="719"/>
      <c r="AX529" s="719"/>
      <c r="AY529" s="719"/>
      <c r="AZ529" s="533"/>
    </row>
    <row r="530" spans="1:52" ht="15.75" hidden="1" customHeight="1">
      <c r="A530" s="716"/>
      <c r="B530" s="735"/>
      <c r="C530" s="789"/>
      <c r="D530" s="719"/>
      <c r="E530" s="719"/>
      <c r="F530" s="720"/>
      <c r="G530" s="721">
        <v>50</v>
      </c>
      <c r="H530" s="726"/>
      <c r="I530" s="726">
        <f>+SUM(G518:G530)</f>
        <v>350</v>
      </c>
      <c r="J530" s="762">
        <f>C529+1</f>
        <v>43501</v>
      </c>
      <c r="K530" s="719" t="s">
        <v>1102</v>
      </c>
      <c r="L530" s="719"/>
      <c r="M530" s="719"/>
      <c r="N530" s="726"/>
      <c r="O530" s="726"/>
      <c r="P530" s="726"/>
      <c r="Q530" s="719"/>
      <c r="R530" s="719"/>
      <c r="S530" s="719">
        <f t="shared" ref="S530" si="133">AG531-AG529</f>
        <v>49.979999999995925</v>
      </c>
      <c r="T530" s="719"/>
      <c r="U530" s="719"/>
      <c r="V530" s="719"/>
      <c r="W530" s="719"/>
      <c r="X530" s="719"/>
      <c r="Y530" s="719"/>
      <c r="Z530" s="719"/>
      <c r="AA530" s="719"/>
      <c r="AB530" s="719"/>
      <c r="AC530" s="719"/>
      <c r="AD530" s="719"/>
      <c r="AE530" s="719"/>
      <c r="AF530" s="719"/>
      <c r="AG530" s="789"/>
      <c r="AH530" s="719"/>
      <c r="AI530" s="719"/>
      <c r="AJ530" s="719"/>
      <c r="AK530" s="719"/>
      <c r="AL530" s="719"/>
      <c r="AM530" s="719"/>
      <c r="AN530" s="719"/>
      <c r="AO530" s="719"/>
      <c r="AP530" s="719"/>
      <c r="AQ530" s="724">
        <f>+FL_2($T$531,$T$529,$G$530,1200,9.28, 1*$F$531)</f>
        <v>-0.33477011200000001</v>
      </c>
      <c r="AR530" s="724"/>
      <c r="AS530" s="724"/>
      <c r="AT530" s="724"/>
      <c r="AU530" s="724"/>
      <c r="AV530" s="724"/>
      <c r="AW530" s="719"/>
      <c r="AX530" s="719"/>
      <c r="AY530" s="719"/>
      <c r="AZ530" s="533"/>
    </row>
    <row r="531" spans="1:52" ht="15.75" customHeight="1">
      <c r="A531" s="716" t="s">
        <v>676</v>
      </c>
      <c r="B531" s="735" t="s">
        <v>1926</v>
      </c>
      <c r="C531" s="789">
        <f>+$C$529+$G$530</f>
        <v>43550</v>
      </c>
      <c r="D531" s="719"/>
      <c r="E531" s="719"/>
      <c r="F531" s="720">
        <v>0</v>
      </c>
      <c r="G531" s="721"/>
      <c r="H531" s="726" t="s">
        <v>997</v>
      </c>
      <c r="I531" s="722"/>
      <c r="J531" s="762"/>
      <c r="K531" s="719"/>
      <c r="L531" s="719" t="s">
        <v>241</v>
      </c>
      <c r="M531" s="719"/>
      <c r="N531" s="726" t="s">
        <v>695</v>
      </c>
      <c r="O531" s="726"/>
      <c r="P531" s="726"/>
      <c r="Q531" s="719">
        <v>0</v>
      </c>
      <c r="R531" s="719">
        <v>0</v>
      </c>
      <c r="S531" s="719"/>
      <c r="T531" s="719">
        <v>-30</v>
      </c>
      <c r="U531" s="719"/>
      <c r="V531" s="719"/>
      <c r="W531" s="719">
        <v>1.1000000000000001</v>
      </c>
      <c r="X531" s="719"/>
      <c r="Y531" s="719"/>
      <c r="Z531" s="719"/>
      <c r="AA531" s="719"/>
      <c r="AB531" s="719"/>
      <c r="AC531" s="719" t="s">
        <v>2977</v>
      </c>
      <c r="AD531" s="719"/>
      <c r="AE531" s="719"/>
      <c r="AF531" s="719">
        <v>200</v>
      </c>
      <c r="AG531" s="789">
        <v>43549.919999999998</v>
      </c>
      <c r="AH531" s="719">
        <v>1408</v>
      </c>
      <c r="AI531" s="719">
        <v>-5029</v>
      </c>
      <c r="AJ531" s="719"/>
      <c r="AK531" s="719"/>
      <c r="AL531" s="719"/>
      <c r="AM531" s="719" t="s">
        <v>2609</v>
      </c>
      <c r="AN531" s="719">
        <v>5.25</v>
      </c>
      <c r="AO531" s="719"/>
      <c r="AP531" s="719"/>
      <c r="AQ531" s="724"/>
      <c r="AR531" s="724"/>
      <c r="AS531" s="724"/>
      <c r="AT531" s="724">
        <f>+ab($T$531,$T$529,$T$533,$G$530,$G$532, 1*$F$531,1200)</f>
        <v>-7.9442410717051439</v>
      </c>
      <c r="AU531" s="724"/>
      <c r="AV531" s="724"/>
      <c r="AW531" s="719"/>
      <c r="AX531" s="719"/>
      <c r="AY531" s="719"/>
      <c r="AZ531" s="533"/>
    </row>
    <row r="532" spans="1:52" ht="15.75" hidden="1" customHeight="1">
      <c r="A532" s="716"/>
      <c r="B532" s="735"/>
      <c r="C532" s="789"/>
      <c r="D532" s="719"/>
      <c r="E532" s="719"/>
      <c r="F532" s="720"/>
      <c r="G532" s="721">
        <v>50</v>
      </c>
      <c r="H532" s="726"/>
      <c r="I532" s="726">
        <f>SUM(G532:G546)</f>
        <v>379</v>
      </c>
      <c r="J532" s="762">
        <f>C533-1</f>
        <v>43599</v>
      </c>
      <c r="K532" s="719" t="s">
        <v>1102</v>
      </c>
      <c r="L532" s="719"/>
      <c r="M532" s="719"/>
      <c r="N532" s="726"/>
      <c r="O532" s="726"/>
      <c r="P532" s="726"/>
      <c r="Q532" s="719"/>
      <c r="R532" s="719"/>
      <c r="S532" s="719">
        <f t="shared" ref="S532" si="134">AG533-AG531</f>
        <v>50.090000000003783</v>
      </c>
      <c r="T532" s="719"/>
      <c r="U532" s="719"/>
      <c r="V532" s="719"/>
      <c r="W532" s="719"/>
      <c r="X532" s="719"/>
      <c r="Y532" s="719"/>
      <c r="Z532" s="719"/>
      <c r="AA532" s="719"/>
      <c r="AB532" s="719"/>
      <c r="AC532" s="719"/>
      <c r="AD532" s="719"/>
      <c r="AE532" s="719"/>
      <c r="AF532" s="719"/>
      <c r="AG532" s="789"/>
      <c r="AH532" s="719"/>
      <c r="AI532" s="719"/>
      <c r="AJ532" s="719"/>
      <c r="AK532" s="719"/>
      <c r="AL532" s="719"/>
      <c r="AM532" s="719"/>
      <c r="AN532" s="719"/>
      <c r="AO532" s="719"/>
      <c r="AP532" s="719"/>
      <c r="AQ532" s="724">
        <f>+FL_1($T$533,$T$531,$G$532,1200,9.28, 1*$F$533)</f>
        <v>0.33477011200000001</v>
      </c>
      <c r="AR532" s="724"/>
      <c r="AS532" s="724"/>
      <c r="AT532" s="724"/>
      <c r="AU532" s="724"/>
      <c r="AV532" s="724"/>
      <c r="AW532" s="719"/>
      <c r="AX532" s="719"/>
      <c r="AY532" s="719"/>
      <c r="AZ532" s="533"/>
    </row>
    <row r="533" spans="1:52" ht="15.75" customHeight="1">
      <c r="A533" s="716" t="s">
        <v>676</v>
      </c>
      <c r="B533" s="735" t="s">
        <v>1927</v>
      </c>
      <c r="C533" s="789">
        <f>+$C$531+$G$532</f>
        <v>43600</v>
      </c>
      <c r="D533" s="719"/>
      <c r="E533" s="719"/>
      <c r="F533" s="720">
        <v>0</v>
      </c>
      <c r="G533" s="721"/>
      <c r="H533" s="726" t="s">
        <v>1101</v>
      </c>
      <c r="I533" s="722"/>
      <c r="J533" s="762"/>
      <c r="K533" s="719"/>
      <c r="L533" s="719" t="s">
        <v>241</v>
      </c>
      <c r="M533" s="719"/>
      <c r="N533" s="726" t="s">
        <v>696</v>
      </c>
      <c r="O533" s="726"/>
      <c r="P533" s="726"/>
      <c r="Q533" s="719">
        <v>0</v>
      </c>
      <c r="R533" s="719">
        <v>0</v>
      </c>
      <c r="S533" s="719"/>
      <c r="T533" s="719">
        <v>30</v>
      </c>
      <c r="U533" s="719"/>
      <c r="V533" s="719"/>
      <c r="W533" s="719">
        <v>1.1000000000000001</v>
      </c>
      <c r="X533" s="719"/>
      <c r="Y533" s="719"/>
      <c r="Z533" s="719"/>
      <c r="AA533" s="719"/>
      <c r="AB533" s="719"/>
      <c r="AC533" s="719" t="s">
        <v>2977</v>
      </c>
      <c r="AD533" s="719"/>
      <c r="AE533" s="719"/>
      <c r="AF533" s="719">
        <v>200</v>
      </c>
      <c r="AG533" s="789">
        <v>43600.01</v>
      </c>
      <c r="AH533" s="719">
        <v>1391</v>
      </c>
      <c r="AI533" s="719">
        <v>-5070</v>
      </c>
      <c r="AJ533" s="719"/>
      <c r="AK533" s="719"/>
      <c r="AL533" s="719"/>
      <c r="AM533" s="719" t="s">
        <v>2609</v>
      </c>
      <c r="AN533" s="719">
        <v>5.25</v>
      </c>
      <c r="AO533" s="719"/>
      <c r="AP533" s="719"/>
      <c r="AQ533" s="724"/>
      <c r="AR533" s="724"/>
      <c r="AS533" s="724"/>
      <c r="AT533" s="724">
        <f>+ab($T$533,$T$531,$T$535,$G$532,$G$534, 1*$F$533,1200)</f>
        <v>7.9442083933778509</v>
      </c>
      <c r="AU533" s="724"/>
      <c r="AV533" s="724"/>
      <c r="AW533" s="719"/>
      <c r="AX533" s="719"/>
      <c r="AY533" s="719"/>
      <c r="AZ533" s="533"/>
    </row>
    <row r="534" spans="1:52" ht="15.75" hidden="1" customHeight="1">
      <c r="A534" s="716"/>
      <c r="B534" s="735"/>
      <c r="C534" s="789"/>
      <c r="D534" s="719"/>
      <c r="E534" s="719"/>
      <c r="F534" s="720"/>
      <c r="G534" s="721">
        <v>50</v>
      </c>
      <c r="H534" s="726"/>
      <c r="I534" s="722"/>
      <c r="J534" s="762"/>
      <c r="K534" s="719"/>
      <c r="L534" s="719"/>
      <c r="M534" s="719"/>
      <c r="N534" s="726"/>
      <c r="O534" s="726"/>
      <c r="P534" s="726"/>
      <c r="Q534" s="719"/>
      <c r="R534" s="719"/>
      <c r="S534" s="719">
        <f t="shared" ref="S534" si="135">AG535-AG533</f>
        <v>49.900000000001455</v>
      </c>
      <c r="T534" s="719"/>
      <c r="U534" s="719"/>
      <c r="V534" s="719"/>
      <c r="W534" s="719"/>
      <c r="X534" s="719"/>
      <c r="Y534" s="719"/>
      <c r="Z534" s="719"/>
      <c r="AA534" s="719"/>
      <c r="AB534" s="719"/>
      <c r="AC534" s="719"/>
      <c r="AD534" s="719"/>
      <c r="AE534" s="719"/>
      <c r="AF534" s="719"/>
      <c r="AG534" s="789"/>
      <c r="AH534" s="719"/>
      <c r="AI534" s="719"/>
      <c r="AJ534" s="719"/>
      <c r="AK534" s="719"/>
      <c r="AL534" s="719"/>
      <c r="AM534" s="719"/>
      <c r="AN534" s="719"/>
      <c r="AO534" s="719"/>
      <c r="AP534" s="719"/>
      <c r="AQ534" s="724">
        <f>+FL_2($T$535,$T$533,$G$534,1200,9.28, 1*$F$535)</f>
        <v>-0.33477011200000001</v>
      </c>
      <c r="AR534" s="724"/>
      <c r="AS534" s="724"/>
      <c r="AT534" s="724"/>
      <c r="AU534" s="724"/>
      <c r="AV534" s="724"/>
      <c r="AW534" s="719"/>
      <c r="AX534" s="719"/>
      <c r="AY534" s="719"/>
      <c r="AZ534" s="533"/>
    </row>
    <row r="535" spans="1:52" ht="15.75" hidden="1" customHeight="1">
      <c r="A535" s="716" t="s">
        <v>676</v>
      </c>
      <c r="B535" s="735" t="s">
        <v>1928</v>
      </c>
      <c r="C535" s="789">
        <f>+$C$533+$G$534</f>
        <v>43650</v>
      </c>
      <c r="D535" s="719"/>
      <c r="E535" s="719"/>
      <c r="F535" s="720">
        <v>0</v>
      </c>
      <c r="G535" s="721"/>
      <c r="H535" s="726"/>
      <c r="I535" s="722"/>
      <c r="J535" s="762"/>
      <c r="K535" s="719"/>
      <c r="L535" s="719" t="s">
        <v>241</v>
      </c>
      <c r="M535" s="719"/>
      <c r="N535" s="726" t="s">
        <v>695</v>
      </c>
      <c r="O535" s="726"/>
      <c r="P535" s="726"/>
      <c r="Q535" s="719">
        <v>0</v>
      </c>
      <c r="R535" s="719">
        <v>0</v>
      </c>
      <c r="S535" s="719"/>
      <c r="T535" s="719">
        <v>-30</v>
      </c>
      <c r="U535" s="719"/>
      <c r="V535" s="719"/>
      <c r="W535" s="719">
        <v>1.1000000000000001</v>
      </c>
      <c r="X535" s="719"/>
      <c r="Y535" s="719"/>
      <c r="Z535" s="719"/>
      <c r="AA535" s="719"/>
      <c r="AB535" s="719"/>
      <c r="AC535" s="719" t="s">
        <v>2977</v>
      </c>
      <c r="AD535" s="719"/>
      <c r="AE535" s="719"/>
      <c r="AF535" s="719">
        <v>200</v>
      </c>
      <c r="AG535" s="789">
        <v>43649.91</v>
      </c>
      <c r="AH535" s="719">
        <v>1382</v>
      </c>
      <c r="AI535" s="719">
        <v>-5091</v>
      </c>
      <c r="AJ535" s="719"/>
      <c r="AK535" s="719"/>
      <c r="AL535" s="719"/>
      <c r="AM535" s="719" t="s">
        <v>2609</v>
      </c>
      <c r="AN535" s="719">
        <v>5.25</v>
      </c>
      <c r="AO535" s="719"/>
      <c r="AP535" s="719"/>
      <c r="AQ535" s="724"/>
      <c r="AR535" s="724"/>
      <c r="AS535" s="724"/>
      <c r="AT535" s="724">
        <f>+ab($T$535,$T$533,$T$537,$G$534,$G$536, 1*$F$535,1200)</f>
        <v>-7.9442410717051439</v>
      </c>
      <c r="AU535" s="724"/>
      <c r="AV535" s="724"/>
      <c r="AW535" s="719"/>
      <c r="AX535" s="719"/>
      <c r="AY535" s="719"/>
      <c r="AZ535" s="532"/>
    </row>
    <row r="536" spans="1:52" ht="15.75" hidden="1" customHeight="1">
      <c r="A536" s="716"/>
      <c r="B536" s="735"/>
      <c r="C536" s="789"/>
      <c r="D536" s="719"/>
      <c r="E536" s="719"/>
      <c r="F536" s="720"/>
      <c r="G536" s="721">
        <v>50</v>
      </c>
      <c r="H536" s="726"/>
      <c r="I536" s="726"/>
      <c r="J536" s="762"/>
      <c r="K536" s="719"/>
      <c r="L536" s="719"/>
      <c r="M536" s="719"/>
      <c r="N536" s="726"/>
      <c r="O536" s="726"/>
      <c r="P536" s="726"/>
      <c r="Q536" s="719"/>
      <c r="R536" s="719"/>
      <c r="S536" s="719">
        <f t="shared" ref="S536" si="136">AG537-AG535</f>
        <v>50.069999999999709</v>
      </c>
      <c r="T536" s="719"/>
      <c r="U536" s="719"/>
      <c r="V536" s="719"/>
      <c r="W536" s="719"/>
      <c r="X536" s="719"/>
      <c r="Y536" s="719"/>
      <c r="Z536" s="719"/>
      <c r="AA536" s="719"/>
      <c r="AB536" s="719"/>
      <c r="AC536" s="719"/>
      <c r="AD536" s="719"/>
      <c r="AE536" s="719"/>
      <c r="AF536" s="719"/>
      <c r="AG536" s="789"/>
      <c r="AH536" s="719"/>
      <c r="AI536" s="719"/>
      <c r="AJ536" s="719"/>
      <c r="AK536" s="719"/>
      <c r="AL536" s="719"/>
      <c r="AM536" s="719"/>
      <c r="AN536" s="719"/>
      <c r="AO536" s="719"/>
      <c r="AP536" s="719"/>
      <c r="AQ536" s="724">
        <f>+FL_1($T$537,$T$535,$G$536,1200,9.28, 1*$F$537)</f>
        <v>0.33477011200000001</v>
      </c>
      <c r="AR536" s="724"/>
      <c r="AS536" s="724"/>
      <c r="AT536" s="724"/>
      <c r="AU536" s="724"/>
      <c r="AV536" s="724"/>
      <c r="AW536" s="719"/>
      <c r="AX536" s="719"/>
      <c r="AY536" s="719"/>
      <c r="AZ536" s="532"/>
    </row>
    <row r="537" spans="1:52" ht="15.75" hidden="1" customHeight="1">
      <c r="A537" s="716" t="s">
        <v>676</v>
      </c>
      <c r="B537" s="735" t="s">
        <v>1929</v>
      </c>
      <c r="C537" s="789">
        <f>+$C$535+$G$536</f>
        <v>43700</v>
      </c>
      <c r="D537" s="719"/>
      <c r="E537" s="719"/>
      <c r="F537" s="720">
        <v>0</v>
      </c>
      <c r="G537" s="721"/>
      <c r="H537" s="726"/>
      <c r="I537" s="726"/>
      <c r="J537" s="762"/>
      <c r="K537" s="719"/>
      <c r="L537" s="719" t="s">
        <v>241</v>
      </c>
      <c r="M537" s="719"/>
      <c r="N537" s="726" t="s">
        <v>696</v>
      </c>
      <c r="O537" s="726"/>
      <c r="P537" s="726"/>
      <c r="Q537" s="719">
        <v>0</v>
      </c>
      <c r="R537" s="719">
        <v>0</v>
      </c>
      <c r="S537" s="719"/>
      <c r="T537" s="719">
        <v>30</v>
      </c>
      <c r="U537" s="719"/>
      <c r="V537" s="719"/>
      <c r="W537" s="719">
        <v>1.1000000000000001</v>
      </c>
      <c r="X537" s="719"/>
      <c r="Y537" s="719"/>
      <c r="Z537" s="719"/>
      <c r="AA537" s="719"/>
      <c r="AB537" s="719"/>
      <c r="AC537" s="719" t="s">
        <v>2977</v>
      </c>
      <c r="AD537" s="719"/>
      <c r="AE537" s="719"/>
      <c r="AF537" s="719">
        <v>200</v>
      </c>
      <c r="AG537" s="789">
        <v>43699.98</v>
      </c>
      <c r="AH537" s="719">
        <v>1382</v>
      </c>
      <c r="AI537" s="719">
        <v>-5084</v>
      </c>
      <c r="AJ537" s="719"/>
      <c r="AK537" s="719"/>
      <c r="AL537" s="719"/>
      <c r="AM537" s="719" t="s">
        <v>2609</v>
      </c>
      <c r="AN537" s="719">
        <v>5.25</v>
      </c>
      <c r="AO537" s="719"/>
      <c r="AP537" s="719"/>
      <c r="AQ537" s="724"/>
      <c r="AR537" s="724"/>
      <c r="AS537" s="724"/>
      <c r="AT537" s="724">
        <f>+ab($T$537,$T$535,$T$539,$G$536,$G$538, 1*$F$537,1200)</f>
        <v>7.9442083933778509</v>
      </c>
      <c r="AU537" s="724"/>
      <c r="AV537" s="724"/>
      <c r="AW537" s="719"/>
      <c r="AX537" s="719"/>
      <c r="AY537" s="719"/>
      <c r="AZ537" s="532"/>
    </row>
    <row r="538" spans="1:52" ht="15.75" hidden="1" customHeight="1">
      <c r="A538" s="716"/>
      <c r="B538" s="735"/>
      <c r="C538" s="789"/>
      <c r="D538" s="719"/>
      <c r="E538" s="719"/>
      <c r="F538" s="720"/>
      <c r="G538" s="721">
        <v>50</v>
      </c>
      <c r="H538" s="726"/>
      <c r="I538" s="726"/>
      <c r="J538" s="762"/>
      <c r="K538" s="719"/>
      <c r="L538" s="719"/>
      <c r="M538" s="719"/>
      <c r="N538" s="726"/>
      <c r="O538" s="726"/>
      <c r="P538" s="726"/>
      <c r="Q538" s="719"/>
      <c r="R538" s="719"/>
      <c r="S538" s="719">
        <f t="shared" ref="S538" si="137">AG539-AG537</f>
        <v>49.989999999997963</v>
      </c>
      <c r="T538" s="719"/>
      <c r="U538" s="719"/>
      <c r="V538" s="719"/>
      <c r="W538" s="719"/>
      <c r="X538" s="719"/>
      <c r="Y538" s="719"/>
      <c r="Z538" s="719"/>
      <c r="AA538" s="719"/>
      <c r="AB538" s="719"/>
      <c r="AC538" s="719"/>
      <c r="AD538" s="719"/>
      <c r="AE538" s="719"/>
      <c r="AF538" s="719"/>
      <c r="AG538" s="789"/>
      <c r="AH538" s="719"/>
      <c r="AI538" s="719"/>
      <c r="AJ538" s="719"/>
      <c r="AK538" s="719"/>
      <c r="AL538" s="719"/>
      <c r="AM538" s="719"/>
      <c r="AN538" s="719"/>
      <c r="AO538" s="719"/>
      <c r="AP538" s="719"/>
      <c r="AQ538" s="724">
        <f>+FL_2($T$539,$T$537,$G$538,1200,9.28, 1*$F$539)</f>
        <v>-0.33477011200000001</v>
      </c>
      <c r="AR538" s="724"/>
      <c r="AS538" s="724"/>
      <c r="AT538" s="724"/>
      <c r="AU538" s="724"/>
      <c r="AV538" s="724"/>
      <c r="AW538" s="719"/>
      <c r="AX538" s="719"/>
      <c r="AY538" s="719"/>
      <c r="AZ538" s="532"/>
    </row>
    <row r="539" spans="1:52" ht="15.75" hidden="1" customHeight="1">
      <c r="A539" s="716" t="s">
        <v>676</v>
      </c>
      <c r="B539" s="735" t="s">
        <v>1930</v>
      </c>
      <c r="C539" s="789">
        <f>+$C$537+$G$538</f>
        <v>43750</v>
      </c>
      <c r="D539" s="719"/>
      <c r="E539" s="719"/>
      <c r="F539" s="720">
        <v>0</v>
      </c>
      <c r="G539" s="721"/>
      <c r="H539" s="726"/>
      <c r="I539" s="726"/>
      <c r="J539" s="762"/>
      <c r="K539" s="719"/>
      <c r="L539" s="719" t="s">
        <v>241</v>
      </c>
      <c r="M539" s="719"/>
      <c r="N539" s="726" t="s">
        <v>695</v>
      </c>
      <c r="O539" s="726"/>
      <c r="P539" s="726"/>
      <c r="Q539" s="719">
        <v>0</v>
      </c>
      <c r="R539" s="719">
        <v>0</v>
      </c>
      <c r="S539" s="719"/>
      <c r="T539" s="719">
        <v>-30</v>
      </c>
      <c r="U539" s="719"/>
      <c r="V539" s="719"/>
      <c r="W539" s="719">
        <v>1.1000000000000001</v>
      </c>
      <c r="X539" s="719"/>
      <c r="Y539" s="719"/>
      <c r="Z539" s="719"/>
      <c r="AA539" s="719"/>
      <c r="AB539" s="719"/>
      <c r="AC539" s="719" t="s">
        <v>2977</v>
      </c>
      <c r="AD539" s="719"/>
      <c r="AE539" s="719"/>
      <c r="AF539" s="719">
        <v>200</v>
      </c>
      <c r="AG539" s="789">
        <v>43749.97</v>
      </c>
      <c r="AH539" s="719">
        <v>1398</v>
      </c>
      <c r="AI539" s="719">
        <v>-5078</v>
      </c>
      <c r="AJ539" s="719"/>
      <c r="AK539" s="719"/>
      <c r="AL539" s="719"/>
      <c r="AM539" s="719" t="s">
        <v>2609</v>
      </c>
      <c r="AN539" s="719">
        <v>5.25</v>
      </c>
      <c r="AO539" s="719"/>
      <c r="AP539" s="719"/>
      <c r="AQ539" s="724"/>
      <c r="AR539" s="724"/>
      <c r="AS539" s="724"/>
      <c r="AT539" s="724">
        <f>+ab($T$539,$T$537,$T$541,$G$538,$G$540, 1*$F$539,1200)</f>
        <v>-7.7015369211015612</v>
      </c>
      <c r="AU539" s="724"/>
      <c r="AV539" s="724"/>
      <c r="AW539" s="719"/>
      <c r="AX539" s="719"/>
      <c r="AY539" s="719"/>
      <c r="AZ539" s="532"/>
    </row>
    <row r="540" spans="1:52" ht="15.75" hidden="1" customHeight="1">
      <c r="A540" s="716"/>
      <c r="B540" s="735"/>
      <c r="C540" s="789"/>
      <c r="D540" s="719"/>
      <c r="E540" s="719"/>
      <c r="F540" s="720"/>
      <c r="G540" s="721">
        <v>47</v>
      </c>
      <c r="H540" s="726"/>
      <c r="I540" s="726"/>
      <c r="J540" s="762"/>
      <c r="K540" s="719"/>
      <c r="L540" s="719"/>
      <c r="M540" s="719"/>
      <c r="N540" s="726"/>
      <c r="O540" s="726"/>
      <c r="P540" s="738"/>
      <c r="Q540" s="719"/>
      <c r="R540" s="719"/>
      <c r="S540" s="719">
        <f t="shared" ref="S540" si="138">AG541-AG539</f>
        <v>47</v>
      </c>
      <c r="T540" s="719"/>
      <c r="U540" s="719"/>
      <c r="V540" s="719"/>
      <c r="W540" s="719"/>
      <c r="X540" s="719"/>
      <c r="Y540" s="719"/>
      <c r="Z540" s="719"/>
      <c r="AA540" s="719"/>
      <c r="AB540" s="719"/>
      <c r="AC540" s="719"/>
      <c r="AD540" s="719"/>
      <c r="AE540" s="719"/>
      <c r="AF540" s="719"/>
      <c r="AG540" s="789"/>
      <c r="AH540" s="719"/>
      <c r="AI540" s="719"/>
      <c r="AJ540" s="719"/>
      <c r="AK540" s="719"/>
      <c r="AL540" s="719"/>
      <c r="AM540" s="719"/>
      <c r="AN540" s="719"/>
      <c r="AO540" s="719"/>
      <c r="AP540" s="719"/>
      <c r="AQ540" s="724">
        <f>+FL_2($T$541,$T$539,$G$540,1200,9.28, 1*$F$541)</f>
        <v>-0.31890498544680856</v>
      </c>
      <c r="AR540" s="724"/>
      <c r="AS540" s="724"/>
      <c r="AT540" s="724"/>
      <c r="AU540" s="724"/>
      <c r="AV540" s="724"/>
      <c r="AW540" s="719"/>
      <c r="AX540" s="719"/>
      <c r="AY540" s="719"/>
      <c r="AZ540" s="532"/>
    </row>
    <row r="541" spans="1:52" ht="15.75" hidden="1" customHeight="1">
      <c r="A541" s="716" t="s">
        <v>676</v>
      </c>
      <c r="B541" s="735" t="s">
        <v>1931</v>
      </c>
      <c r="C541" s="789">
        <f>+$C$539+$G$540</f>
        <v>43797</v>
      </c>
      <c r="D541" s="719"/>
      <c r="E541" s="719"/>
      <c r="F541" s="720">
        <v>0</v>
      </c>
      <c r="G541" s="721"/>
      <c r="H541" s="726" t="s">
        <v>138</v>
      </c>
      <c r="I541" s="726" t="s">
        <v>948</v>
      </c>
      <c r="J541" s="762"/>
      <c r="K541" s="719"/>
      <c r="L541" s="719" t="s">
        <v>241</v>
      </c>
      <c r="M541" s="719"/>
      <c r="N541" s="726" t="s">
        <v>696</v>
      </c>
      <c r="O541" s="726"/>
      <c r="P541" s="738"/>
      <c r="Q541" s="719">
        <v>0</v>
      </c>
      <c r="R541" s="719">
        <v>0</v>
      </c>
      <c r="S541" s="719"/>
      <c r="T541" s="719">
        <v>30</v>
      </c>
      <c r="U541" s="719"/>
      <c r="V541" s="719"/>
      <c r="W541" s="719">
        <v>1.1000000000000001</v>
      </c>
      <c r="X541" s="719"/>
      <c r="Y541" s="719"/>
      <c r="Z541" s="719"/>
      <c r="AA541" s="719"/>
      <c r="AB541" s="719"/>
      <c r="AC541" s="719" t="s">
        <v>2977</v>
      </c>
      <c r="AD541" s="719"/>
      <c r="AE541" s="719"/>
      <c r="AF541" s="719">
        <v>200</v>
      </c>
      <c r="AG541" s="789">
        <v>43796.97</v>
      </c>
      <c r="AH541" s="719">
        <v>1385</v>
      </c>
      <c r="AI541" s="719">
        <v>-5049</v>
      </c>
      <c r="AJ541" s="719"/>
      <c r="AK541" s="719"/>
      <c r="AL541" s="719"/>
      <c r="AM541" s="719" t="s">
        <v>2609</v>
      </c>
      <c r="AN541" s="719">
        <v>5.25</v>
      </c>
      <c r="AO541" s="719"/>
      <c r="AP541" s="719"/>
      <c r="AQ541" s="724"/>
      <c r="AR541" s="724"/>
      <c r="AS541" s="724"/>
      <c r="AT541" s="724">
        <f>+ab($T$541,$T$539,$T$543,$G$540,$G$542, 1*$F$541,1200)</f>
        <v>8.9348142731330871</v>
      </c>
      <c r="AU541" s="724"/>
      <c r="AV541" s="724"/>
      <c r="AW541" s="719"/>
      <c r="AX541" s="719"/>
      <c r="AY541" s="719"/>
      <c r="AZ541" s="532"/>
    </row>
    <row r="542" spans="1:52" ht="15.75" hidden="1" customHeight="1">
      <c r="A542" s="716"/>
      <c r="B542" s="735"/>
      <c r="C542" s="789"/>
      <c r="D542" s="719"/>
      <c r="E542" s="719"/>
      <c r="F542" s="720"/>
      <c r="G542" s="721">
        <v>41</v>
      </c>
      <c r="H542" s="726"/>
      <c r="I542" s="726"/>
      <c r="J542" s="762">
        <f>C541+10</f>
        <v>43807</v>
      </c>
      <c r="K542" s="719" t="s">
        <v>1097</v>
      </c>
      <c r="L542" s="719"/>
      <c r="M542" s="719"/>
      <c r="N542" s="726"/>
      <c r="O542" s="726"/>
      <c r="P542" s="738"/>
      <c r="Q542" s="719"/>
      <c r="R542" s="719"/>
      <c r="S542" s="719">
        <f t="shared" ref="S542" si="139">AG543-AG541</f>
        <v>40.379999999997381</v>
      </c>
      <c r="T542" s="719"/>
      <c r="U542" s="719"/>
      <c r="V542" s="719"/>
      <c r="W542" s="719"/>
      <c r="X542" s="719"/>
      <c r="Y542" s="719"/>
      <c r="Z542" s="719"/>
      <c r="AA542" s="719"/>
      <c r="AB542" s="719"/>
      <c r="AC542" s="719"/>
      <c r="AD542" s="719"/>
      <c r="AE542" s="719"/>
      <c r="AF542" s="719"/>
      <c r="AG542" s="789"/>
      <c r="AH542" s="719"/>
      <c r="AI542" s="719"/>
      <c r="AJ542" s="719"/>
      <c r="AK542" s="719"/>
      <c r="AL542" s="719"/>
      <c r="AM542" s="719"/>
      <c r="AN542" s="719"/>
      <c r="AO542" s="719"/>
      <c r="AP542" s="719"/>
      <c r="AQ542" s="724">
        <f>+FL_2($U$543,$T$541,$G$542,1200,9.28, 1*$F$543)</f>
        <v>-0.25384520243902442</v>
      </c>
      <c r="AR542" s="724"/>
      <c r="AS542" s="724"/>
      <c r="AT542" s="724"/>
      <c r="AU542" s="724"/>
      <c r="AV542" s="724"/>
      <c r="AW542" s="719"/>
      <c r="AX542" s="719"/>
      <c r="AY542" s="719"/>
      <c r="AZ542" s="532"/>
    </row>
    <row r="543" spans="1:52" ht="15.75" hidden="1" customHeight="1">
      <c r="A543" s="716" t="s">
        <v>676</v>
      </c>
      <c r="B543" s="735" t="s">
        <v>1932</v>
      </c>
      <c r="C543" s="789">
        <f>+$C$541+$G$542</f>
        <v>43838</v>
      </c>
      <c r="D543" s="719"/>
      <c r="E543" s="719"/>
      <c r="F543" s="720">
        <v>0</v>
      </c>
      <c r="G543" s="721"/>
      <c r="H543" s="726" t="s">
        <v>668</v>
      </c>
      <c r="I543" s="726"/>
      <c r="J543" s="762"/>
      <c r="K543" s="719"/>
      <c r="L543" s="719" t="s">
        <v>465</v>
      </c>
      <c r="M543" s="719"/>
      <c r="N543" s="726" t="s">
        <v>697</v>
      </c>
      <c r="O543" s="726" t="s">
        <v>695</v>
      </c>
      <c r="P543" s="726"/>
      <c r="Q543" s="719">
        <v>0</v>
      </c>
      <c r="R543" s="719">
        <v>0</v>
      </c>
      <c r="S543" s="719">
        <f>AG544-AG543</f>
        <v>1.4899999999979627</v>
      </c>
      <c r="T543" s="719">
        <v>-5</v>
      </c>
      <c r="U543" s="719">
        <v>-25</v>
      </c>
      <c r="V543" s="719"/>
      <c r="W543" s="719">
        <v>1.1000000000000001</v>
      </c>
      <c r="X543" s="719">
        <v>1.2</v>
      </c>
      <c r="Y543" s="719"/>
      <c r="Z543" s="719">
        <v>0.45</v>
      </c>
      <c r="AA543" s="719"/>
      <c r="AB543" s="719"/>
      <c r="AC543" s="719"/>
      <c r="AD543" s="719" t="s">
        <v>2612</v>
      </c>
      <c r="AE543" s="719"/>
      <c r="AF543" s="719">
        <v>200</v>
      </c>
      <c r="AG543" s="789">
        <v>43837.35</v>
      </c>
      <c r="AH543" s="719">
        <v>1306</v>
      </c>
      <c r="AI543" s="719">
        <v>-5125</v>
      </c>
      <c r="AJ543" s="719"/>
      <c r="AK543" s="719"/>
      <c r="AL543" s="719"/>
      <c r="AM543" s="719" t="s">
        <v>2609</v>
      </c>
      <c r="AN543" s="724">
        <v>5.25</v>
      </c>
      <c r="AO543" s="719"/>
      <c r="AP543" s="719"/>
      <c r="AQ543" s="724"/>
      <c r="AR543" s="724"/>
      <c r="AS543" s="724"/>
      <c r="AT543" s="724">
        <f>+ab($U$543,$T$541,$U$545,$G$542,$G$544, 1*$F$543,1200)</f>
        <v>-9.7876110191190797</v>
      </c>
      <c r="AU543" s="724"/>
      <c r="AV543" s="724"/>
      <c r="AW543" s="719"/>
      <c r="AX543" s="719"/>
      <c r="AY543" s="719"/>
      <c r="AZ543" s="532"/>
    </row>
    <row r="544" spans="1:52" ht="15.75" hidden="1" customHeight="1">
      <c r="A544" s="716"/>
      <c r="B544" s="718"/>
      <c r="C544" s="789"/>
      <c r="D544" s="719"/>
      <c r="E544" s="719"/>
      <c r="F544" s="720"/>
      <c r="G544" s="721">
        <v>50</v>
      </c>
      <c r="H544" s="726"/>
      <c r="I544" s="722"/>
      <c r="J544" s="762"/>
      <c r="K544" s="719"/>
      <c r="L544" s="719"/>
      <c r="M544" s="719"/>
      <c r="N544" s="726"/>
      <c r="O544" s="726"/>
      <c r="P544" s="726"/>
      <c r="Q544" s="719"/>
      <c r="R544" s="719"/>
      <c r="S544" s="719">
        <f t="shared" ref="S544:S545" si="140">AG545-AG544</f>
        <v>48.020000000004075</v>
      </c>
      <c r="T544" s="719"/>
      <c r="U544" s="719"/>
      <c r="V544" s="719"/>
      <c r="W544" s="719"/>
      <c r="X544" s="719"/>
      <c r="Y544" s="719"/>
      <c r="Z544" s="719"/>
      <c r="AA544" s="719"/>
      <c r="AB544" s="719"/>
      <c r="AC544" s="719"/>
      <c r="AD544" s="719"/>
      <c r="AE544" s="719"/>
      <c r="AF544" s="719">
        <v>200</v>
      </c>
      <c r="AG544" s="789">
        <v>43838.84</v>
      </c>
      <c r="AH544" s="719">
        <v>1324</v>
      </c>
      <c r="AI544" s="719">
        <v>-5124</v>
      </c>
      <c r="AJ544" s="719"/>
      <c r="AK544" s="719"/>
      <c r="AL544" s="719"/>
      <c r="AM544" s="719"/>
      <c r="AN544" s="724"/>
      <c r="AO544" s="719"/>
      <c r="AP544" s="719"/>
      <c r="AQ544" s="724">
        <f>+FL_1($T$545,$U$543,$G$544,1200,9.28, 1*$F$545)</f>
        <v>0.30632183866666668</v>
      </c>
      <c r="AR544" s="724"/>
      <c r="AS544" s="724"/>
      <c r="AT544" s="724"/>
      <c r="AU544" s="724"/>
      <c r="AV544" s="724"/>
      <c r="AW544" s="719"/>
      <c r="AX544" s="719"/>
      <c r="AY544" s="719"/>
      <c r="AZ544" s="532"/>
    </row>
    <row r="545" spans="1:52" ht="15.75" hidden="1" customHeight="1">
      <c r="A545" s="716" t="s">
        <v>676</v>
      </c>
      <c r="B545" s="718" t="s">
        <v>1933</v>
      </c>
      <c r="C545" s="789">
        <f>+$C$543+$G$544</f>
        <v>43888</v>
      </c>
      <c r="D545" s="719"/>
      <c r="E545" s="719"/>
      <c r="F545" s="720">
        <v>0</v>
      </c>
      <c r="G545" s="721"/>
      <c r="H545" s="726" t="s">
        <v>668</v>
      </c>
      <c r="I545" s="722"/>
      <c r="J545" s="762"/>
      <c r="K545" s="719"/>
      <c r="L545" s="719" t="s">
        <v>465</v>
      </c>
      <c r="M545" s="719"/>
      <c r="N545" s="726" t="s">
        <v>696</v>
      </c>
      <c r="O545" s="726" t="s">
        <v>697</v>
      </c>
      <c r="P545" s="726"/>
      <c r="Q545" s="719">
        <v>0</v>
      </c>
      <c r="R545" s="719">
        <v>0</v>
      </c>
      <c r="S545" s="719">
        <f t="shared" si="140"/>
        <v>1.5299999999988358</v>
      </c>
      <c r="T545" s="719">
        <v>25</v>
      </c>
      <c r="U545" s="719">
        <v>5</v>
      </c>
      <c r="V545" s="719"/>
      <c r="W545" s="719">
        <v>1.1000000000000001</v>
      </c>
      <c r="X545" s="719">
        <v>1.2</v>
      </c>
      <c r="Y545" s="719"/>
      <c r="Z545" s="719"/>
      <c r="AA545" s="719">
        <v>0.45</v>
      </c>
      <c r="AB545" s="719"/>
      <c r="AC545" s="719" t="s">
        <v>2616</v>
      </c>
      <c r="AD545" s="719"/>
      <c r="AE545" s="719"/>
      <c r="AF545" s="719">
        <v>200</v>
      </c>
      <c r="AG545" s="789">
        <v>43886.86</v>
      </c>
      <c r="AH545" s="719">
        <v>1365</v>
      </c>
      <c r="AI545" s="719">
        <v>-5034</v>
      </c>
      <c r="AJ545" s="719"/>
      <c r="AK545" s="719"/>
      <c r="AL545" s="719"/>
      <c r="AM545" s="719" t="s">
        <v>2609</v>
      </c>
      <c r="AN545" s="724">
        <v>5.26</v>
      </c>
      <c r="AO545" s="719"/>
      <c r="AP545" s="719"/>
      <c r="AQ545" s="724"/>
      <c r="AR545" s="724"/>
      <c r="AS545" s="724"/>
      <c r="AT545" s="724">
        <f>+ab($T$545,$T$543,$T$547,$G$544,$G$546, 1*$F$545,1200)</f>
        <v>9.7875660301704084</v>
      </c>
      <c r="AU545" s="724"/>
      <c r="AV545" s="724"/>
      <c r="AW545" s="719"/>
      <c r="AX545" s="719"/>
      <c r="AY545" s="719"/>
      <c r="AZ545" s="532"/>
    </row>
    <row r="546" spans="1:52" ht="15.75" hidden="1" customHeight="1">
      <c r="A546" s="716"/>
      <c r="B546" s="718"/>
      <c r="C546" s="789"/>
      <c r="D546" s="719"/>
      <c r="E546" s="719"/>
      <c r="F546" s="720"/>
      <c r="G546" s="721">
        <v>41</v>
      </c>
      <c r="H546" s="726"/>
      <c r="I546" s="722"/>
      <c r="J546" s="762">
        <f>C547-10</f>
        <v>43919</v>
      </c>
      <c r="K546" s="719" t="s">
        <v>1097</v>
      </c>
      <c r="L546" s="719"/>
      <c r="M546" s="719"/>
      <c r="N546" s="726"/>
      <c r="O546" s="726"/>
      <c r="P546" s="726"/>
      <c r="Q546" s="719"/>
      <c r="R546" s="719"/>
      <c r="S546" s="719">
        <f>AG547-AG546</f>
        <v>40.569999999999709</v>
      </c>
      <c r="T546" s="719"/>
      <c r="U546" s="719"/>
      <c r="V546" s="719"/>
      <c r="W546" s="719"/>
      <c r="X546" s="719"/>
      <c r="Y546" s="719"/>
      <c r="Z546" s="719"/>
      <c r="AA546" s="719"/>
      <c r="AB546" s="719"/>
      <c r="AC546" s="719"/>
      <c r="AD546" s="719"/>
      <c r="AE546" s="719"/>
      <c r="AF546" s="719">
        <v>200</v>
      </c>
      <c r="AG546" s="789">
        <v>43888.39</v>
      </c>
      <c r="AH546" s="719">
        <v>1364</v>
      </c>
      <c r="AI546" s="719">
        <v>-5024</v>
      </c>
      <c r="AJ546" s="719"/>
      <c r="AK546" s="719"/>
      <c r="AL546" s="719"/>
      <c r="AM546" s="719"/>
      <c r="AN546" s="724"/>
      <c r="AO546" s="719"/>
      <c r="AP546" s="719"/>
      <c r="AQ546" s="724">
        <f>+FL_1($T$547,$T$545,$G$546,1200,9.28, 1*$F$547)</f>
        <v>0.25384520243902448</v>
      </c>
      <c r="AR546" s="724"/>
      <c r="AS546" s="724"/>
      <c r="AT546" s="724"/>
      <c r="AU546" s="724"/>
      <c r="AV546" s="724"/>
      <c r="AW546" s="719"/>
      <c r="AX546" s="719"/>
      <c r="AY546" s="719"/>
      <c r="AZ546" s="532"/>
    </row>
    <row r="547" spans="1:52" ht="15.75" hidden="1" customHeight="1">
      <c r="A547" s="716" t="s">
        <v>676</v>
      </c>
      <c r="B547" s="718" t="s">
        <v>1934</v>
      </c>
      <c r="C547" s="789">
        <f>+$C$545+$G$546</f>
        <v>43929</v>
      </c>
      <c r="D547" s="719"/>
      <c r="E547" s="719"/>
      <c r="F547" s="720">
        <v>0</v>
      </c>
      <c r="G547" s="721"/>
      <c r="H547" s="726" t="s">
        <v>138</v>
      </c>
      <c r="I547" s="722" t="s">
        <v>948</v>
      </c>
      <c r="J547" s="762"/>
      <c r="K547" s="719"/>
      <c r="L547" s="719" t="s">
        <v>241</v>
      </c>
      <c r="M547" s="719"/>
      <c r="N547" s="719" t="s">
        <v>695</v>
      </c>
      <c r="O547" s="726"/>
      <c r="P547" s="726"/>
      <c r="Q547" s="719">
        <v>0</v>
      </c>
      <c r="R547" s="719">
        <v>0</v>
      </c>
      <c r="S547" s="719"/>
      <c r="T547" s="719">
        <v>-30</v>
      </c>
      <c r="U547" s="719"/>
      <c r="V547" s="719"/>
      <c r="W547" s="719">
        <v>1.1000000000000001</v>
      </c>
      <c r="X547" s="719"/>
      <c r="Y547" s="719"/>
      <c r="Z547" s="719"/>
      <c r="AA547" s="719"/>
      <c r="AB547" s="719"/>
      <c r="AC547" s="719" t="s">
        <v>2977</v>
      </c>
      <c r="AD547" s="719"/>
      <c r="AE547" s="719"/>
      <c r="AF547" s="719">
        <v>200</v>
      </c>
      <c r="AG547" s="789">
        <v>43928.959999999999</v>
      </c>
      <c r="AH547" s="719">
        <v>1425</v>
      </c>
      <c r="AI547" s="719">
        <v>-5088</v>
      </c>
      <c r="AJ547" s="719"/>
      <c r="AK547" s="719"/>
      <c r="AL547" s="719"/>
      <c r="AM547" s="719" t="s">
        <v>2609</v>
      </c>
      <c r="AN547" s="724">
        <v>5.33</v>
      </c>
      <c r="AO547" s="719"/>
      <c r="AP547" s="719"/>
      <c r="AQ547" s="724"/>
      <c r="AR547" s="724"/>
      <c r="AS547" s="724"/>
      <c r="AT547" s="724">
        <f>+ab($T$547,$T$545,$T$549,$G$546,$G$548, 1*$F$547,1200)</f>
        <v>-6.9324797150878279</v>
      </c>
      <c r="AU547" s="724"/>
      <c r="AV547" s="724"/>
      <c r="AW547" s="719"/>
      <c r="AX547" s="719"/>
      <c r="AY547" s="719"/>
      <c r="AZ547" s="532"/>
    </row>
    <row r="548" spans="1:52" ht="15.75" hidden="1" customHeight="1">
      <c r="A548" s="742" t="s">
        <v>1103</v>
      </c>
      <c r="B548" s="718"/>
      <c r="C548" s="789"/>
      <c r="D548" s="719"/>
      <c r="E548" s="719"/>
      <c r="F548" s="720"/>
      <c r="G548" s="721">
        <v>46</v>
      </c>
      <c r="H548" s="726"/>
      <c r="I548" s="722" t="s">
        <v>2053</v>
      </c>
      <c r="J548" s="762"/>
      <c r="K548" s="719" t="s">
        <v>1102</v>
      </c>
      <c r="L548" s="719"/>
      <c r="M548" s="719"/>
      <c r="N548" s="719"/>
      <c r="O548" s="726"/>
      <c r="P548" s="726"/>
      <c r="Q548" s="719"/>
      <c r="R548" s="719"/>
      <c r="S548" s="719">
        <f>AG549-AG547</f>
        <v>46.410000000003492</v>
      </c>
      <c r="T548" s="719"/>
      <c r="U548" s="719"/>
      <c r="V548" s="719"/>
      <c r="W548" s="719"/>
      <c r="X548" s="719"/>
      <c r="Y548" s="719"/>
      <c r="Z548" s="719"/>
      <c r="AA548" s="719"/>
      <c r="AB548" s="719"/>
      <c r="AC548" s="719"/>
      <c r="AD548" s="719"/>
      <c r="AE548" s="719"/>
      <c r="AF548" s="719"/>
      <c r="AG548" s="789"/>
      <c r="AH548" s="719"/>
      <c r="AI548" s="719"/>
      <c r="AJ548" s="719"/>
      <c r="AK548" s="719"/>
      <c r="AL548" s="719"/>
      <c r="AM548" s="719"/>
      <c r="AN548" s="724"/>
      <c r="AO548" s="719"/>
      <c r="AP548" s="719"/>
      <c r="AQ548" s="724">
        <f>+FL_1($T$549,$T$547,$G$548,1200,9.28, 1*$F$549)</f>
        <v>0.3586431221449275</v>
      </c>
      <c r="AR548" s="724"/>
      <c r="AS548" s="724"/>
      <c r="AT548" s="724"/>
      <c r="AU548" s="724"/>
      <c r="AV548" s="724"/>
      <c r="AW548" s="719"/>
      <c r="AX548" s="719"/>
      <c r="AY548" s="719"/>
      <c r="AZ548" s="532"/>
    </row>
    <row r="549" spans="1:52" ht="15.75" hidden="1" customHeight="1">
      <c r="A549" s="701" t="s">
        <v>2949</v>
      </c>
      <c r="B549" s="703" t="s">
        <v>2595</v>
      </c>
      <c r="C549" s="1331">
        <f>+$C$547+$G$548</f>
        <v>43975</v>
      </c>
      <c r="D549" s="704"/>
      <c r="E549" s="704"/>
      <c r="F549" s="705">
        <v>0</v>
      </c>
      <c r="G549" s="706"/>
      <c r="H549" s="707"/>
      <c r="I549" s="708"/>
      <c r="J549" s="760"/>
      <c r="K549" s="704"/>
      <c r="L549" s="704" t="s">
        <v>232</v>
      </c>
      <c r="M549" s="704" t="s">
        <v>2633</v>
      </c>
      <c r="N549" s="704" t="s">
        <v>145</v>
      </c>
      <c r="O549" s="707"/>
      <c r="P549" s="707"/>
      <c r="Q549" s="704">
        <v>0</v>
      </c>
      <c r="R549" s="704">
        <v>0</v>
      </c>
      <c r="S549" s="704"/>
      <c r="T549" s="704">
        <v>35</v>
      </c>
      <c r="U549" s="704"/>
      <c r="V549" s="704"/>
      <c r="W549" s="704">
        <v>1.4</v>
      </c>
      <c r="X549" s="704"/>
      <c r="Y549" s="704"/>
      <c r="Z549" s="704"/>
      <c r="AA549" s="704"/>
      <c r="AB549" s="704"/>
      <c r="AC549" s="704" t="s">
        <v>2978</v>
      </c>
      <c r="AD549" s="704"/>
      <c r="AE549" s="704"/>
      <c r="AF549" s="704">
        <v>5400</v>
      </c>
      <c r="AG549" s="1331">
        <v>43975.37</v>
      </c>
      <c r="AH549" s="704">
        <v>2615</v>
      </c>
      <c r="AI549" s="704">
        <v>-69</v>
      </c>
      <c r="AJ549" s="704" t="s">
        <v>2466</v>
      </c>
      <c r="AK549" s="704"/>
      <c r="AL549" s="704"/>
      <c r="AM549" s="704" t="s">
        <v>2054</v>
      </c>
      <c r="AN549" s="711">
        <v>5.4</v>
      </c>
      <c r="AO549" s="704"/>
      <c r="AP549" s="704"/>
      <c r="AQ549" s="711"/>
      <c r="AR549" s="711"/>
      <c r="AS549" s="711"/>
      <c r="AT549" s="711">
        <f>+ab($T$549,$T$547,$T$551,$G$548,$G$550, 1*$F$549,1200)</f>
        <v>6.8949621543930721</v>
      </c>
      <c r="AU549" s="711"/>
      <c r="AV549" s="711"/>
      <c r="AW549" s="704"/>
      <c r="AX549" s="704"/>
      <c r="AY549" s="704"/>
      <c r="AZ549" s="532"/>
    </row>
    <row r="550" spans="1:52" ht="15.75" hidden="1" customHeight="1">
      <c r="A550" s="766" t="s">
        <v>3152</v>
      </c>
      <c r="B550" s="768"/>
      <c r="C550" s="1330"/>
      <c r="D550" s="769"/>
      <c r="E550" s="769"/>
      <c r="F550" s="770"/>
      <c r="G550" s="771">
        <v>51.6</v>
      </c>
      <c r="H550" s="772"/>
      <c r="I550" s="775"/>
      <c r="J550" s="773"/>
      <c r="K550" s="769"/>
      <c r="L550" s="769"/>
      <c r="M550" s="769"/>
      <c r="N550" s="769"/>
      <c r="O550" s="772"/>
      <c r="P550" s="772"/>
      <c r="Q550" s="769"/>
      <c r="R550" s="769"/>
      <c r="S550" s="769">
        <f>AG551-AG549</f>
        <v>51.279999999998836</v>
      </c>
      <c r="T550" s="769"/>
      <c r="U550" s="769"/>
      <c r="V550" s="769"/>
      <c r="W550" s="769"/>
      <c r="X550" s="769"/>
      <c r="Y550" s="769"/>
      <c r="Z550" s="769"/>
      <c r="AA550" s="769"/>
      <c r="AB550" s="769"/>
      <c r="AC550" s="769"/>
      <c r="AD550" s="769"/>
      <c r="AE550" s="769"/>
      <c r="AF550" s="769"/>
      <c r="AG550" s="1330"/>
      <c r="AH550" s="769"/>
      <c r="AI550" s="769"/>
      <c r="AJ550" s="704" t="s">
        <v>2976</v>
      </c>
      <c r="AK550" s="769"/>
      <c r="AL550" s="769"/>
      <c r="AM550" s="769"/>
      <c r="AN550" s="774"/>
      <c r="AO550" s="769"/>
      <c r="AP550" s="769"/>
      <c r="AQ550" s="774">
        <f>+FL_1($T$551,$T$549,$G$550,1200,12.44, 1*$F$551)</f>
        <v>0.43378548754651158</v>
      </c>
      <c r="AR550" s="774"/>
      <c r="AS550" s="774"/>
      <c r="AT550" s="774"/>
      <c r="AU550" s="774"/>
      <c r="AV550" s="774"/>
      <c r="AW550" s="769"/>
      <c r="AX550" s="769"/>
      <c r="AY550" s="769"/>
      <c r="AZ550" s="532"/>
    </row>
    <row r="551" spans="1:52" ht="15.75" hidden="1" customHeight="1">
      <c r="A551" s="766" t="s">
        <v>1104</v>
      </c>
      <c r="B551" s="768" t="s">
        <v>1935</v>
      </c>
      <c r="C551" s="1330">
        <f>+$C$549+$G$550</f>
        <v>44026.6</v>
      </c>
      <c r="D551" s="769"/>
      <c r="E551" s="769"/>
      <c r="F551" s="770">
        <v>0</v>
      </c>
      <c r="G551" s="771"/>
      <c r="H551" s="772"/>
      <c r="I551" s="775"/>
      <c r="J551" s="773"/>
      <c r="K551" s="769"/>
      <c r="L551" s="769" t="s">
        <v>1118</v>
      </c>
      <c r="M551" s="769" t="s">
        <v>2669</v>
      </c>
      <c r="N551" s="769" t="s">
        <v>144</v>
      </c>
      <c r="O551" s="772"/>
      <c r="P551" s="772"/>
      <c r="Q551" s="769">
        <v>0</v>
      </c>
      <c r="R551" s="769">
        <v>0</v>
      </c>
      <c r="S551" s="769"/>
      <c r="T551" s="769">
        <v>-35</v>
      </c>
      <c r="U551" s="769"/>
      <c r="V551" s="769"/>
      <c r="W551" s="769">
        <v>1.4</v>
      </c>
      <c r="X551" s="769"/>
      <c r="Y551" s="769"/>
      <c r="Z551" s="769"/>
      <c r="AA551" s="769"/>
      <c r="AB551" s="769"/>
      <c r="AC551" s="769" t="s">
        <v>2978</v>
      </c>
      <c r="AD551" s="769"/>
      <c r="AE551" s="769"/>
      <c r="AF551" s="769">
        <v>5400</v>
      </c>
      <c r="AG551" s="1330">
        <v>44026.65</v>
      </c>
      <c r="AH551" s="769">
        <v>3126</v>
      </c>
      <c r="AI551" s="769">
        <v>31</v>
      </c>
      <c r="AJ551" s="769" t="s">
        <v>3151</v>
      </c>
      <c r="AK551" s="769"/>
      <c r="AL551" s="769"/>
      <c r="AM551" s="769" t="s">
        <v>2054</v>
      </c>
      <c r="AN551" s="774">
        <v>5.45</v>
      </c>
      <c r="AO551" s="769"/>
      <c r="AP551" s="769"/>
      <c r="AQ551" s="774"/>
      <c r="AR551" s="774"/>
      <c r="AS551" s="774"/>
      <c r="AT551" s="774">
        <f>+ab($T$551,$T$549,$T$553,$G$550,$G$552, 1*$F$551,1200)</f>
        <v>-6.7401656135631649</v>
      </c>
      <c r="AU551" s="774"/>
      <c r="AV551" s="774"/>
      <c r="AW551" s="769"/>
      <c r="AX551" s="769"/>
      <c r="AY551" s="769"/>
      <c r="AZ551" s="532"/>
    </row>
    <row r="552" spans="1:52" ht="15.75" hidden="1" customHeight="1">
      <c r="A552" s="766"/>
      <c r="B552" s="768"/>
      <c r="C552" s="1330"/>
      <c r="D552" s="769"/>
      <c r="E552" s="769"/>
      <c r="F552" s="770"/>
      <c r="G552" s="771">
        <v>44</v>
      </c>
      <c r="H552" s="772"/>
      <c r="I552" s="775"/>
      <c r="J552" s="773"/>
      <c r="K552" s="769"/>
      <c r="L552" s="769"/>
      <c r="M552" s="769"/>
      <c r="N552" s="769"/>
      <c r="O552" s="772"/>
      <c r="P552" s="772"/>
      <c r="Q552" s="769"/>
      <c r="R552" s="769"/>
      <c r="S552" s="769">
        <f>AG553-AG551</f>
        <v>43.900000000001455</v>
      </c>
      <c r="T552" s="769"/>
      <c r="U552" s="769"/>
      <c r="V552" s="769"/>
      <c r="W552" s="769"/>
      <c r="X552" s="769"/>
      <c r="Y552" s="769"/>
      <c r="Z552" s="769"/>
      <c r="AA552" s="769"/>
      <c r="AB552" s="769"/>
      <c r="AC552" s="769"/>
      <c r="AD552" s="769"/>
      <c r="AE552" s="769"/>
      <c r="AF552" s="769"/>
      <c r="AG552" s="1330"/>
      <c r="AH552" s="769"/>
      <c r="AI552" s="769"/>
      <c r="AJ552" s="769"/>
      <c r="AK552" s="769"/>
      <c r="AL552" s="769"/>
      <c r="AM552" s="769"/>
      <c r="AN552" s="774"/>
      <c r="AO552" s="769"/>
      <c r="AP552" s="769"/>
      <c r="AQ552" s="774">
        <f>+FL_2($T$553,$T$551,$G$552,1200,13.97, 1*$F$553)</f>
        <v>-0.41561398775577096</v>
      </c>
      <c r="AR552" s="774"/>
      <c r="AS552" s="774"/>
      <c r="AT552" s="774"/>
      <c r="AU552" s="774"/>
      <c r="AV552" s="774"/>
      <c r="AW552" s="769"/>
      <c r="AX552" s="769"/>
      <c r="AY552" s="769"/>
      <c r="AZ552" s="532"/>
    </row>
    <row r="553" spans="1:52" ht="15.75" hidden="1" customHeight="1">
      <c r="A553" s="766"/>
      <c r="B553" s="768" t="s">
        <v>1936</v>
      </c>
      <c r="C553" s="1330">
        <f>+$C$551+$G$552</f>
        <v>44070.6</v>
      </c>
      <c r="D553" s="769"/>
      <c r="E553" s="769"/>
      <c r="F553" s="770">
        <f>315700/(C553-44042)</f>
        <v>11038.461538462099</v>
      </c>
      <c r="G553" s="771"/>
      <c r="H553" s="772"/>
      <c r="I553" s="775"/>
      <c r="J553" s="773"/>
      <c r="K553" s="769"/>
      <c r="L553" s="769" t="s">
        <v>1118</v>
      </c>
      <c r="M553" s="769" t="s">
        <v>2668</v>
      </c>
      <c r="N553" s="769" t="s">
        <v>145</v>
      </c>
      <c r="O553" s="772"/>
      <c r="P553" s="772"/>
      <c r="Q553" s="769">
        <v>10</v>
      </c>
      <c r="R553" s="769">
        <v>136092.96</v>
      </c>
      <c r="S553" s="769"/>
      <c r="T553" s="769">
        <v>30</v>
      </c>
      <c r="U553" s="769"/>
      <c r="V553" s="769"/>
      <c r="W553" s="769">
        <v>1.4</v>
      </c>
      <c r="X553" s="769"/>
      <c r="Y553" s="769"/>
      <c r="Z553" s="769"/>
      <c r="AA553" s="769"/>
      <c r="AB553" s="769"/>
      <c r="AC553" s="769" t="s">
        <v>2978</v>
      </c>
      <c r="AD553" s="769"/>
      <c r="AE553" s="769"/>
      <c r="AF553" s="769">
        <v>5400</v>
      </c>
      <c r="AG553" s="1330">
        <v>44070.55</v>
      </c>
      <c r="AH553" s="769">
        <v>3165</v>
      </c>
      <c r="AI553" s="769">
        <v>78</v>
      </c>
      <c r="AJ553" s="769"/>
      <c r="AK553" s="769"/>
      <c r="AL553" s="769"/>
      <c r="AM553" s="769" t="s">
        <v>2054</v>
      </c>
      <c r="AN553" s="774">
        <v>5.5</v>
      </c>
      <c r="AO553" s="769"/>
      <c r="AP553" s="769"/>
      <c r="AQ553" s="774"/>
      <c r="AR553" s="774"/>
      <c r="AS553" s="774"/>
      <c r="AT553" s="774">
        <f>+ab($T$553,$T$551,$T$555,$G$552,$G$554, 1*$F$553,1200)</f>
        <v>5.7038378112339263</v>
      </c>
      <c r="AU553" s="774"/>
      <c r="AV553" s="774"/>
      <c r="AW553" s="769"/>
      <c r="AX553" s="769"/>
      <c r="AY553" s="769"/>
      <c r="AZ553" s="532"/>
    </row>
    <row r="554" spans="1:52" ht="15.75" hidden="1" customHeight="1">
      <c r="A554" s="766"/>
      <c r="B554" s="768"/>
      <c r="C554" s="1330"/>
      <c r="D554" s="769"/>
      <c r="E554" s="769"/>
      <c r="F554" s="770"/>
      <c r="G554" s="771">
        <v>44</v>
      </c>
      <c r="H554" s="772"/>
      <c r="I554" s="775"/>
      <c r="J554" s="773"/>
      <c r="K554" s="769"/>
      <c r="L554" s="769"/>
      <c r="M554" s="769"/>
      <c r="N554" s="769"/>
      <c r="O554" s="772"/>
      <c r="P554" s="772"/>
      <c r="Q554" s="769"/>
      <c r="R554" s="769"/>
      <c r="S554" s="769">
        <f t="shared" ref="S554" si="141">AG555-AG553</f>
        <v>44.049999999995634</v>
      </c>
      <c r="T554" s="769"/>
      <c r="U554" s="769"/>
      <c r="V554" s="769"/>
      <c r="W554" s="769"/>
      <c r="X554" s="769"/>
      <c r="Y554" s="769"/>
      <c r="Z554" s="769"/>
      <c r="AA554" s="769"/>
      <c r="AB554" s="769"/>
      <c r="AC554" s="769"/>
      <c r="AD554" s="769"/>
      <c r="AE554" s="769"/>
      <c r="AF554" s="769"/>
      <c r="AG554" s="1330"/>
      <c r="AH554" s="769"/>
      <c r="AI554" s="769"/>
      <c r="AJ554" s="769"/>
      <c r="AK554" s="769"/>
      <c r="AL554" s="769"/>
      <c r="AM554" s="769"/>
      <c r="AN554" s="774"/>
      <c r="AO554" s="769"/>
      <c r="AP554" s="769"/>
      <c r="AQ554" s="774">
        <f>+FL_2($T$555,$T$553,$G$554,1200,13.38, 1*$F$555)</f>
        <v>-0.43161154555499981</v>
      </c>
      <c r="AR554" s="774"/>
      <c r="AS554" s="774"/>
      <c r="AT554" s="774"/>
      <c r="AU554" s="774"/>
      <c r="AV554" s="774"/>
      <c r="AW554" s="769"/>
      <c r="AX554" s="769"/>
      <c r="AY554" s="769"/>
      <c r="AZ554" s="532"/>
    </row>
    <row r="555" spans="1:52" ht="15.75" hidden="1" customHeight="1">
      <c r="A555" s="766"/>
      <c r="B555" s="768" t="s">
        <v>1937</v>
      </c>
      <c r="C555" s="1330">
        <f>+$C$553+$G$554</f>
        <v>44114.6</v>
      </c>
      <c r="D555" s="769"/>
      <c r="E555" s="769"/>
      <c r="F555" s="770">
        <f t="shared" ref="F555" si="142">315700/(C555-44042)</f>
        <v>4348.4848484849354</v>
      </c>
      <c r="G555" s="771"/>
      <c r="H555" s="772"/>
      <c r="I555" s="775"/>
      <c r="J555" s="773"/>
      <c r="K555" s="769"/>
      <c r="L555" s="769" t="s">
        <v>1118</v>
      </c>
      <c r="M555" s="769" t="s">
        <v>2668</v>
      </c>
      <c r="N555" s="769" t="s">
        <v>145</v>
      </c>
      <c r="O555" s="772"/>
      <c r="P555" s="772"/>
      <c r="Q555" s="769"/>
      <c r="R555" s="769">
        <v>4348.4848484849354</v>
      </c>
      <c r="S555" s="769"/>
      <c r="T555" s="769">
        <v>-35</v>
      </c>
      <c r="U555" s="769"/>
      <c r="V555" s="769"/>
      <c r="W555" s="769">
        <v>1.4</v>
      </c>
      <c r="X555" s="769"/>
      <c r="Y555" s="769"/>
      <c r="Z555" s="769"/>
      <c r="AA555" s="769"/>
      <c r="AB555" s="769"/>
      <c r="AC555" s="769" t="s">
        <v>2978</v>
      </c>
      <c r="AD555" s="769"/>
      <c r="AE555" s="769"/>
      <c r="AF555" s="769">
        <v>5400</v>
      </c>
      <c r="AG555" s="1330">
        <v>44114.6</v>
      </c>
      <c r="AH555" s="769">
        <v>3250</v>
      </c>
      <c r="AI555" s="769">
        <v>50</v>
      </c>
      <c r="AJ555" s="769"/>
      <c r="AK555" s="769"/>
      <c r="AL555" s="769"/>
      <c r="AM555" s="769" t="s">
        <v>2054</v>
      </c>
      <c r="AN555" s="774">
        <v>5.5</v>
      </c>
      <c r="AO555" s="769"/>
      <c r="AP555" s="769"/>
      <c r="AQ555" s="774"/>
      <c r="AR555" s="774"/>
      <c r="AS555" s="774"/>
      <c r="AT555" s="774">
        <f>+ab($T$555,$T$553,$T$557,$G$554,$G$556, 1*$F$555,1200)</f>
        <v>-9.7814849226376612</v>
      </c>
      <c r="AU555" s="774"/>
      <c r="AV555" s="774"/>
      <c r="AW555" s="769"/>
      <c r="AX555" s="769"/>
      <c r="AY555" s="769"/>
      <c r="AZ555" s="532"/>
    </row>
    <row r="556" spans="1:52" ht="15.75" hidden="1" customHeight="1">
      <c r="A556" s="766"/>
      <c r="B556" s="768"/>
      <c r="C556" s="1330"/>
      <c r="D556" s="769"/>
      <c r="E556" s="769"/>
      <c r="F556" s="770"/>
      <c r="G556" s="771">
        <v>44</v>
      </c>
      <c r="H556" s="772"/>
      <c r="I556" s="772"/>
      <c r="J556" s="773"/>
      <c r="K556" s="769"/>
      <c r="L556" s="769"/>
      <c r="M556" s="769"/>
      <c r="N556" s="772"/>
      <c r="O556" s="772"/>
      <c r="P556" s="772"/>
      <c r="Q556" s="769"/>
      <c r="R556" s="769"/>
      <c r="S556" s="769">
        <f t="shared" ref="S556" si="143">AG557-AG555</f>
        <v>43.720000000001164</v>
      </c>
      <c r="T556" s="769"/>
      <c r="U556" s="769"/>
      <c r="V556" s="769"/>
      <c r="W556" s="769"/>
      <c r="X556" s="769"/>
      <c r="Y556" s="769"/>
      <c r="Z556" s="769"/>
      <c r="AA556" s="769"/>
      <c r="AB556" s="769"/>
      <c r="AC556" s="769"/>
      <c r="AD556" s="769"/>
      <c r="AE556" s="769"/>
      <c r="AF556" s="769"/>
      <c r="AG556" s="1330"/>
      <c r="AH556" s="769"/>
      <c r="AI556" s="769"/>
      <c r="AJ556" s="769"/>
      <c r="AK556" s="769"/>
      <c r="AL556" s="769"/>
      <c r="AM556" s="769"/>
      <c r="AN556" s="774"/>
      <c r="AO556" s="769"/>
      <c r="AP556" s="769"/>
      <c r="AQ556" s="774">
        <f>+FL_2($T$557,$T$555,$G$556,1200,12.26, 1*$F$557)</f>
        <v>-0.44006854357724934</v>
      </c>
      <c r="AR556" s="774"/>
      <c r="AS556" s="774"/>
      <c r="AT556" s="774"/>
      <c r="AU556" s="774"/>
      <c r="AV556" s="774"/>
      <c r="AW556" s="769"/>
      <c r="AX556" s="769"/>
      <c r="AY556" s="769"/>
      <c r="AZ556" s="532"/>
    </row>
    <row r="557" spans="1:52" ht="15.75" hidden="1" customHeight="1">
      <c r="A557" s="766"/>
      <c r="B557" s="768" t="s">
        <v>1938</v>
      </c>
      <c r="C557" s="1330">
        <f>+$C$555+$G$556</f>
        <v>44158.6</v>
      </c>
      <c r="D557" s="769"/>
      <c r="E557" s="769"/>
      <c r="F557" s="770">
        <f t="shared" ref="F557" si="144">315700/(C557-44042)</f>
        <v>2707.5471698113547</v>
      </c>
      <c r="G557" s="771"/>
      <c r="H557" s="772"/>
      <c r="I557" s="772"/>
      <c r="J557" s="773"/>
      <c r="K557" s="769"/>
      <c r="L557" s="769" t="s">
        <v>1118</v>
      </c>
      <c r="M557" s="769" t="s">
        <v>2668</v>
      </c>
      <c r="N557" s="772" t="s">
        <v>145</v>
      </c>
      <c r="O557" s="772"/>
      <c r="P557" s="772"/>
      <c r="Q557" s="769">
        <v>68</v>
      </c>
      <c r="R557" s="769">
        <v>3290.4</v>
      </c>
      <c r="S557" s="769"/>
      <c r="T557" s="769">
        <v>30</v>
      </c>
      <c r="U557" s="769"/>
      <c r="V557" s="769"/>
      <c r="W557" s="769">
        <v>1.4</v>
      </c>
      <c r="X557" s="769"/>
      <c r="Y557" s="769"/>
      <c r="Z557" s="769"/>
      <c r="AA557" s="769"/>
      <c r="AB557" s="769"/>
      <c r="AC557" s="769" t="s">
        <v>2978</v>
      </c>
      <c r="AD557" s="769"/>
      <c r="AE557" s="769"/>
      <c r="AF557" s="769">
        <v>5400</v>
      </c>
      <c r="AG557" s="1330">
        <v>44158.32</v>
      </c>
      <c r="AH557" s="769">
        <v>3365</v>
      </c>
      <c r="AI557" s="769">
        <v>-7</v>
      </c>
      <c r="AJ557" s="769"/>
      <c r="AK557" s="769"/>
      <c r="AL557" s="769"/>
      <c r="AM557" s="769" t="s">
        <v>2054</v>
      </c>
      <c r="AN557" s="774">
        <v>5.44</v>
      </c>
      <c r="AO557" s="769"/>
      <c r="AP557" s="769"/>
      <c r="AQ557" s="774"/>
      <c r="AR557" s="774"/>
      <c r="AS557" s="774"/>
      <c r="AT557" s="774">
        <f>+ab($T$557,$T$555,$T$559,$G$556,$G$558, 1*$F$557,1200)</f>
        <v>6.1243308075101739</v>
      </c>
      <c r="AU557" s="774"/>
      <c r="AV557" s="774"/>
      <c r="AW557" s="769"/>
      <c r="AX557" s="769"/>
      <c r="AY557" s="769"/>
      <c r="AZ557" s="532"/>
    </row>
    <row r="558" spans="1:52" ht="15.75" hidden="1" customHeight="1">
      <c r="A558" s="766" t="s">
        <v>1105</v>
      </c>
      <c r="B558" s="768"/>
      <c r="C558" s="1330"/>
      <c r="D558" s="769"/>
      <c r="E558" s="769"/>
      <c r="F558" s="770"/>
      <c r="G558" s="771">
        <v>50.4</v>
      </c>
      <c r="H558" s="772"/>
      <c r="I558" s="772"/>
      <c r="J558" s="773"/>
      <c r="K558" s="769"/>
      <c r="L558" s="769"/>
      <c r="M558" s="769"/>
      <c r="N558" s="772"/>
      <c r="O558" s="772"/>
      <c r="P558" s="772"/>
      <c r="Q558" s="769"/>
      <c r="R558" s="769"/>
      <c r="S558" s="769">
        <f t="shared" ref="S558" si="145">AG559-AG557</f>
        <v>50.680000000000291</v>
      </c>
      <c r="T558" s="769"/>
      <c r="U558" s="769"/>
      <c r="V558" s="769"/>
      <c r="W558" s="769"/>
      <c r="X558" s="769"/>
      <c r="Y558" s="769"/>
      <c r="Z558" s="769"/>
      <c r="AA558" s="769"/>
      <c r="AB558" s="769"/>
      <c r="AC558" s="769"/>
      <c r="AD558" s="769"/>
      <c r="AE558" s="769"/>
      <c r="AF558" s="769"/>
      <c r="AG558" s="1330"/>
      <c r="AH558" s="769"/>
      <c r="AI558" s="769"/>
      <c r="AJ558" s="769"/>
      <c r="AK558" s="769"/>
      <c r="AL558" s="769"/>
      <c r="AM558" s="769"/>
      <c r="AN558" s="774"/>
      <c r="AO558" s="769"/>
      <c r="AP558" s="769"/>
      <c r="AQ558" s="774">
        <f>+FL_1($T$559,$T$557,$G$558,1200,12.26, 1*$F$559)</f>
        <v>0.48242828524924386</v>
      </c>
      <c r="AR558" s="774"/>
      <c r="AS558" s="774"/>
      <c r="AT558" s="774"/>
      <c r="AU558" s="774"/>
      <c r="AV558" s="774"/>
      <c r="AW558" s="769"/>
      <c r="AX558" s="769"/>
      <c r="AY558" s="769"/>
      <c r="AZ558" s="532"/>
    </row>
    <row r="559" spans="1:52" ht="15.75" hidden="1" customHeight="1">
      <c r="A559" s="701"/>
      <c r="B559" s="703" t="s">
        <v>1939</v>
      </c>
      <c r="C559" s="1331">
        <f>+$C$557+$G$558</f>
        <v>44209</v>
      </c>
      <c r="D559" s="704"/>
      <c r="E559" s="704"/>
      <c r="F559" s="705">
        <f>315700/(C559-44042)</f>
        <v>1890.4191616766468</v>
      </c>
      <c r="G559" s="706"/>
      <c r="H559" s="707"/>
      <c r="I559" s="707"/>
      <c r="J559" s="760"/>
      <c r="K559" s="704"/>
      <c r="L559" s="704" t="s">
        <v>233</v>
      </c>
      <c r="M559" s="704" t="s">
        <v>3154</v>
      </c>
      <c r="N559" s="707" t="s">
        <v>145</v>
      </c>
      <c r="O559" s="707"/>
      <c r="P559" s="707"/>
      <c r="Q559" s="704"/>
      <c r="R559" s="704">
        <v>1890.4191616766468</v>
      </c>
      <c r="S559" s="704"/>
      <c r="T559" s="704">
        <v>35</v>
      </c>
      <c r="U559" s="704"/>
      <c r="V559" s="704"/>
      <c r="W559" s="704">
        <v>1.4</v>
      </c>
      <c r="X559" s="704"/>
      <c r="Y559" s="704"/>
      <c r="Z559" s="704"/>
      <c r="AA559" s="704"/>
      <c r="AB559" s="704"/>
      <c r="AC559" s="704" t="s">
        <v>2616</v>
      </c>
      <c r="AD559" s="704"/>
      <c r="AE559" s="704"/>
      <c r="AF559" s="704">
        <v>2300</v>
      </c>
      <c r="AG559" s="1331">
        <v>44209</v>
      </c>
      <c r="AH559" s="704">
        <v>3080</v>
      </c>
      <c r="AI559" s="704">
        <v>-3090</v>
      </c>
      <c r="AJ559" s="704"/>
      <c r="AK559" s="704"/>
      <c r="AL559" s="704"/>
      <c r="AM559" s="704" t="s">
        <v>2054</v>
      </c>
      <c r="AN559" s="711">
        <v>5.31</v>
      </c>
      <c r="AO559" s="704"/>
      <c r="AP559" s="704"/>
      <c r="AQ559" s="711"/>
      <c r="AR559" s="711"/>
      <c r="AS559" s="711"/>
      <c r="AT559" s="711">
        <f>+ab($T$559,$T$557,$T$561,$G$558,$G$560, 1*$F$559,1200)</f>
        <v>7.2338058671554499</v>
      </c>
      <c r="AU559" s="711"/>
      <c r="AV559" s="711"/>
      <c r="AW559" s="704"/>
      <c r="AX559" s="704"/>
      <c r="AY559" s="704"/>
      <c r="AZ559" s="532"/>
    </row>
    <row r="560" spans="1:52" ht="15.75" hidden="1" customHeight="1">
      <c r="A560" s="742" t="s">
        <v>1106</v>
      </c>
      <c r="B560" s="718"/>
      <c r="C560" s="789"/>
      <c r="D560" s="719"/>
      <c r="E560" s="719"/>
      <c r="F560" s="720"/>
      <c r="G560" s="721">
        <v>41</v>
      </c>
      <c r="H560" s="726"/>
      <c r="I560" s="726"/>
      <c r="J560" s="762"/>
      <c r="K560" s="719"/>
      <c r="L560" s="719"/>
      <c r="M560" s="719"/>
      <c r="N560" s="726"/>
      <c r="O560" s="726"/>
      <c r="P560" s="726"/>
      <c r="Q560" s="719"/>
      <c r="R560" s="719"/>
      <c r="S560" s="719">
        <f>AG561-AG559</f>
        <v>41.69999999999709</v>
      </c>
      <c r="T560" s="719"/>
      <c r="U560" s="719"/>
      <c r="V560" s="719"/>
      <c r="W560" s="719"/>
      <c r="X560" s="719"/>
      <c r="Y560" s="719"/>
      <c r="Z560" s="719"/>
      <c r="AA560" s="719"/>
      <c r="AB560" s="719"/>
      <c r="AC560" s="719"/>
      <c r="AD560" s="719"/>
      <c r="AE560" s="719"/>
      <c r="AF560" s="719"/>
      <c r="AG560" s="789"/>
      <c r="AH560" s="719"/>
      <c r="AI560" s="719"/>
      <c r="AJ560" s="719"/>
      <c r="AK560" s="719"/>
      <c r="AL560" s="719"/>
      <c r="AM560" s="719"/>
      <c r="AN560" s="724"/>
      <c r="AO560" s="719"/>
      <c r="AP560" s="719"/>
      <c r="AQ560" s="724">
        <f>+FL_1($T$561,$T$559,$G$560,1200,9.28, 1*$F$561)</f>
        <v>0.35704593225894832</v>
      </c>
      <c r="AR560" s="724"/>
      <c r="AS560" s="724"/>
      <c r="AT560" s="724"/>
      <c r="AU560" s="724"/>
      <c r="AV560" s="724"/>
      <c r="AW560" s="719"/>
      <c r="AX560" s="719"/>
      <c r="AY560" s="719"/>
      <c r="AZ560" s="532"/>
    </row>
    <row r="561" spans="1:52" ht="15.75" customHeight="1">
      <c r="A561" s="764"/>
      <c r="B561" s="718" t="s">
        <v>1940</v>
      </c>
      <c r="C561" s="789">
        <f>+$C$559+$G$560</f>
        <v>44250</v>
      </c>
      <c r="D561" s="719"/>
      <c r="E561" s="719">
        <v>130</v>
      </c>
      <c r="F561" s="720">
        <v>1540</v>
      </c>
      <c r="G561" s="721"/>
      <c r="H561" s="726" t="s">
        <v>1101</v>
      </c>
      <c r="I561" s="726" t="s">
        <v>2053</v>
      </c>
      <c r="J561" s="762"/>
      <c r="K561" s="719" t="s">
        <v>1102</v>
      </c>
      <c r="L561" s="719" t="s">
        <v>241</v>
      </c>
      <c r="M561" s="719"/>
      <c r="N561" s="726" t="s">
        <v>696</v>
      </c>
      <c r="O561" s="726"/>
      <c r="P561" s="726"/>
      <c r="Q561" s="719">
        <v>130</v>
      </c>
      <c r="R561" s="719">
        <v>1540</v>
      </c>
      <c r="S561" s="719"/>
      <c r="T561" s="719">
        <v>30</v>
      </c>
      <c r="U561" s="719"/>
      <c r="V561" s="719"/>
      <c r="W561" s="719">
        <v>1.1000000000000001</v>
      </c>
      <c r="X561" s="719"/>
      <c r="Y561" s="719"/>
      <c r="Z561" s="719"/>
      <c r="AA561" s="719"/>
      <c r="AB561" s="719"/>
      <c r="AC561" s="719" t="s">
        <v>2979</v>
      </c>
      <c r="AD561" s="719"/>
      <c r="AE561" s="719"/>
      <c r="AF561" s="719">
        <v>300</v>
      </c>
      <c r="AG561" s="789">
        <v>44250.7</v>
      </c>
      <c r="AH561" s="719">
        <v>1513</v>
      </c>
      <c r="AI561" s="719">
        <v>-5018</v>
      </c>
      <c r="AJ561" s="719"/>
      <c r="AK561" s="719"/>
      <c r="AL561" s="719"/>
      <c r="AM561" s="719" t="s">
        <v>2609</v>
      </c>
      <c r="AN561" s="724">
        <v>5.25</v>
      </c>
      <c r="AO561" s="719"/>
      <c r="AP561" s="719"/>
      <c r="AQ561" s="724"/>
      <c r="AR561" s="724"/>
      <c r="AS561" s="724"/>
      <c r="AT561" s="724">
        <f>+ab($T$561,$T$559,$T$563,$G$560,$G$562, 1*$F$561,1200)</f>
        <v>6.743142926062454</v>
      </c>
      <c r="AU561" s="724"/>
      <c r="AV561" s="724"/>
      <c r="AW561" s="719"/>
      <c r="AX561" s="719"/>
      <c r="AY561" s="719"/>
      <c r="AZ561" s="532"/>
    </row>
    <row r="562" spans="1:52" ht="15.75" hidden="1" customHeight="1">
      <c r="A562" s="716"/>
      <c r="B562" s="718"/>
      <c r="C562" s="789"/>
      <c r="D562" s="719"/>
      <c r="E562" s="719"/>
      <c r="F562" s="720"/>
      <c r="G562" s="721">
        <v>50</v>
      </c>
      <c r="H562" s="726"/>
      <c r="I562" s="726">
        <f>+SUM(G542:G562)</f>
        <v>503</v>
      </c>
      <c r="J562" s="762">
        <f>C561+1</f>
        <v>44251</v>
      </c>
      <c r="K562" s="719" t="s">
        <v>1102</v>
      </c>
      <c r="L562" s="719"/>
      <c r="M562" s="719"/>
      <c r="N562" s="726"/>
      <c r="O562" s="726"/>
      <c r="P562" s="726"/>
      <c r="Q562" s="719"/>
      <c r="R562" s="719"/>
      <c r="S562" s="719">
        <f>AG563-AG561</f>
        <v>49.340000000003783</v>
      </c>
      <c r="T562" s="719"/>
      <c r="U562" s="719"/>
      <c r="V562" s="719"/>
      <c r="W562" s="719"/>
      <c r="X562" s="719"/>
      <c r="Y562" s="719"/>
      <c r="Z562" s="719"/>
      <c r="AA562" s="719"/>
      <c r="AB562" s="719"/>
      <c r="AC562" s="719"/>
      <c r="AD562" s="719"/>
      <c r="AE562" s="719"/>
      <c r="AF562" s="719"/>
      <c r="AG562" s="789"/>
      <c r="AH562" s="719"/>
      <c r="AI562" s="719"/>
      <c r="AJ562" s="719"/>
      <c r="AK562" s="719"/>
      <c r="AL562" s="719"/>
      <c r="AM562" s="719"/>
      <c r="AN562" s="724"/>
      <c r="AO562" s="719"/>
      <c r="AP562" s="719"/>
      <c r="AQ562" s="724">
        <f>+FL_1($T$563,$T$561,$G$562,1200,9.28, 1*$F$563)</f>
        <v>0.33873121770686032</v>
      </c>
      <c r="AR562" s="724"/>
      <c r="AS562" s="724"/>
      <c r="AT562" s="724"/>
      <c r="AU562" s="724"/>
      <c r="AV562" s="724"/>
      <c r="AW562" s="719"/>
      <c r="AX562" s="719"/>
      <c r="AY562" s="719"/>
      <c r="AZ562" s="532"/>
    </row>
    <row r="563" spans="1:52" ht="15.75" customHeight="1">
      <c r="A563" s="716" t="s">
        <v>676</v>
      </c>
      <c r="B563" s="718" t="s">
        <v>1941</v>
      </c>
      <c r="C563" s="789">
        <f>+$C$561+$G$562</f>
        <v>44300</v>
      </c>
      <c r="D563" s="719"/>
      <c r="E563" s="719">
        <v>130</v>
      </c>
      <c r="F563" s="720">
        <v>1540</v>
      </c>
      <c r="G563" s="721"/>
      <c r="H563" s="726" t="s">
        <v>997</v>
      </c>
      <c r="I563" s="722"/>
      <c r="J563" s="762"/>
      <c r="K563" s="719"/>
      <c r="L563" s="719" t="s">
        <v>241</v>
      </c>
      <c r="M563" s="719"/>
      <c r="N563" s="726" t="s">
        <v>696</v>
      </c>
      <c r="O563" s="726"/>
      <c r="P563" s="726"/>
      <c r="Q563" s="719">
        <v>132</v>
      </c>
      <c r="R563" s="719">
        <v>1540</v>
      </c>
      <c r="S563" s="719"/>
      <c r="T563" s="719">
        <v>30</v>
      </c>
      <c r="U563" s="719"/>
      <c r="V563" s="719"/>
      <c r="W563" s="719">
        <v>1.1000000000000001</v>
      </c>
      <c r="X563" s="719"/>
      <c r="Y563" s="719"/>
      <c r="Z563" s="719"/>
      <c r="AA563" s="719"/>
      <c r="AB563" s="719"/>
      <c r="AC563" s="719" t="s">
        <v>2979</v>
      </c>
      <c r="AD563" s="719"/>
      <c r="AE563" s="719"/>
      <c r="AF563" s="719">
        <v>300</v>
      </c>
      <c r="AG563" s="789">
        <v>44300.04</v>
      </c>
      <c r="AH563" s="719">
        <v>1525</v>
      </c>
      <c r="AI563" s="719">
        <v>-5011</v>
      </c>
      <c r="AJ563" s="719"/>
      <c r="AK563" s="719"/>
      <c r="AL563" s="719"/>
      <c r="AM563" s="719" t="s">
        <v>2609</v>
      </c>
      <c r="AN563" s="724">
        <v>5.25</v>
      </c>
      <c r="AO563" s="719"/>
      <c r="AP563" s="719"/>
      <c r="AQ563" s="724"/>
      <c r="AR563" s="724"/>
      <c r="AS563" s="724"/>
      <c r="AT563" s="724">
        <f>+ab($T$563,$T$561,$T$565,$G$562,$G$564, 1*$F$563,1200)</f>
        <v>5.8894634979760827</v>
      </c>
      <c r="AU563" s="724"/>
      <c r="AV563" s="724"/>
      <c r="AW563" s="719"/>
      <c r="AX563" s="719"/>
      <c r="AY563" s="719"/>
      <c r="AZ563" s="532"/>
    </row>
    <row r="564" spans="1:52" ht="15.75" hidden="1" customHeight="1">
      <c r="A564" s="716"/>
      <c r="B564" s="718"/>
      <c r="C564" s="789"/>
      <c r="D564" s="719"/>
      <c r="E564" s="719"/>
      <c r="F564" s="720"/>
      <c r="G564" s="721">
        <v>50</v>
      </c>
      <c r="H564" s="726"/>
      <c r="I564" s="722">
        <f>SUM(G564:G580)</f>
        <v>448</v>
      </c>
      <c r="J564" s="762">
        <f>C565-1</f>
        <v>44349</v>
      </c>
      <c r="K564" s="719" t="s">
        <v>1102</v>
      </c>
      <c r="L564" s="719"/>
      <c r="M564" s="719"/>
      <c r="N564" s="726"/>
      <c r="O564" s="726"/>
      <c r="P564" s="726"/>
      <c r="Q564" s="719"/>
      <c r="R564" s="719"/>
      <c r="S564" s="719">
        <f t="shared" ref="S564" si="146">AG565-AG563</f>
        <v>49.919999999998254</v>
      </c>
      <c r="T564" s="719"/>
      <c r="U564" s="719"/>
      <c r="V564" s="719"/>
      <c r="W564" s="719"/>
      <c r="X564" s="719"/>
      <c r="Y564" s="719"/>
      <c r="Z564" s="719"/>
      <c r="AA564" s="719"/>
      <c r="AB564" s="719"/>
      <c r="AC564" s="719"/>
      <c r="AD564" s="719"/>
      <c r="AE564" s="719"/>
      <c r="AF564" s="719"/>
      <c r="AG564" s="789"/>
      <c r="AH564" s="719"/>
      <c r="AI564" s="719"/>
      <c r="AJ564" s="719"/>
      <c r="AK564" s="719"/>
      <c r="AL564" s="719"/>
      <c r="AM564" s="719"/>
      <c r="AN564" s="724"/>
      <c r="AO564" s="719"/>
      <c r="AP564" s="719"/>
      <c r="AQ564" s="724">
        <f>+FL_1($T$565,$T$563,$G$564,1200,9.28, 1*$F$565)</f>
        <v>0.33873121770686032</v>
      </c>
      <c r="AR564" s="724"/>
      <c r="AS564" s="724"/>
      <c r="AT564" s="724"/>
      <c r="AU564" s="724"/>
      <c r="AV564" s="724"/>
      <c r="AW564" s="719"/>
      <c r="AX564" s="719"/>
      <c r="AY564" s="719"/>
      <c r="AZ564" s="532"/>
    </row>
    <row r="565" spans="1:52" ht="15.75" customHeight="1">
      <c r="A565" s="716" t="s">
        <v>676</v>
      </c>
      <c r="B565" s="718" t="s">
        <v>1942</v>
      </c>
      <c r="C565" s="789">
        <f>+$C$563+$G$564</f>
        <v>44350</v>
      </c>
      <c r="D565" s="719"/>
      <c r="E565" s="719">
        <v>130</v>
      </c>
      <c r="F565" s="720">
        <v>1540</v>
      </c>
      <c r="G565" s="721"/>
      <c r="H565" s="726" t="s">
        <v>1101</v>
      </c>
      <c r="I565" s="722"/>
      <c r="J565" s="762"/>
      <c r="K565" s="719"/>
      <c r="L565" s="719" t="s">
        <v>241</v>
      </c>
      <c r="M565" s="719"/>
      <c r="N565" s="726" t="s">
        <v>696</v>
      </c>
      <c r="O565" s="726"/>
      <c r="P565" s="726"/>
      <c r="Q565" s="719">
        <v>131</v>
      </c>
      <c r="R565" s="719">
        <v>1540</v>
      </c>
      <c r="S565" s="719"/>
      <c r="T565" s="719">
        <v>30</v>
      </c>
      <c r="U565" s="719"/>
      <c r="V565" s="719"/>
      <c r="W565" s="719">
        <v>1.1000000000000001</v>
      </c>
      <c r="X565" s="719"/>
      <c r="Y565" s="719"/>
      <c r="Z565" s="719"/>
      <c r="AA565" s="719"/>
      <c r="AB565" s="719"/>
      <c r="AC565" s="719" t="s">
        <v>2979</v>
      </c>
      <c r="AD565" s="719"/>
      <c r="AE565" s="719"/>
      <c r="AF565" s="719">
        <v>300</v>
      </c>
      <c r="AG565" s="789">
        <v>44349.96</v>
      </c>
      <c r="AH565" s="719">
        <v>1501</v>
      </c>
      <c r="AI565" s="719">
        <v>-5074</v>
      </c>
      <c r="AJ565" s="719"/>
      <c r="AK565" s="719"/>
      <c r="AL565" s="719"/>
      <c r="AM565" s="719" t="s">
        <v>2609</v>
      </c>
      <c r="AN565" s="719">
        <v>5.25</v>
      </c>
      <c r="AO565" s="719"/>
      <c r="AP565" s="719"/>
      <c r="AQ565" s="724"/>
      <c r="AR565" s="724"/>
      <c r="AS565" s="724"/>
      <c r="AT565" s="724">
        <f>+ab($T$565,$T$563,$T$567,$G$564,$G$566, 1*$F$565,1200)</f>
        <v>5.8894634979760827</v>
      </c>
      <c r="AU565" s="724"/>
      <c r="AV565" s="724"/>
      <c r="AW565" s="719"/>
      <c r="AX565" s="719"/>
      <c r="AY565" s="719"/>
      <c r="AZ565" s="532"/>
    </row>
    <row r="566" spans="1:52" ht="15.75" hidden="1" customHeight="1">
      <c r="A566" s="716"/>
      <c r="B566" s="718"/>
      <c r="C566" s="789"/>
      <c r="D566" s="719"/>
      <c r="E566" s="719"/>
      <c r="F566" s="720"/>
      <c r="G566" s="721">
        <v>50</v>
      </c>
      <c r="H566" s="726"/>
      <c r="I566" s="726"/>
      <c r="J566" s="762"/>
      <c r="K566" s="719"/>
      <c r="L566" s="719"/>
      <c r="M566" s="719"/>
      <c r="N566" s="726"/>
      <c r="O566" s="726"/>
      <c r="P566" s="726"/>
      <c r="Q566" s="719"/>
      <c r="R566" s="719"/>
      <c r="S566" s="719">
        <f t="shared" ref="S566" si="147">AG567-AG565</f>
        <v>49.989999999997963</v>
      </c>
      <c r="T566" s="719"/>
      <c r="U566" s="719"/>
      <c r="V566" s="719"/>
      <c r="W566" s="719"/>
      <c r="X566" s="719"/>
      <c r="Y566" s="719"/>
      <c r="Z566" s="719"/>
      <c r="AA566" s="719"/>
      <c r="AB566" s="719"/>
      <c r="AC566" s="719"/>
      <c r="AD566" s="719"/>
      <c r="AE566" s="719"/>
      <c r="AF566" s="719"/>
      <c r="AG566" s="789"/>
      <c r="AH566" s="719"/>
      <c r="AI566" s="719"/>
      <c r="AJ566" s="719"/>
      <c r="AK566" s="719"/>
      <c r="AL566" s="719"/>
      <c r="AM566" s="719"/>
      <c r="AN566" s="719"/>
      <c r="AO566" s="719"/>
      <c r="AP566" s="719"/>
      <c r="AQ566" s="724">
        <f>+FL_1($T$567,$T$565,$G$566,1200,9.28, 1*$F$567)</f>
        <v>0.33873121770686032</v>
      </c>
      <c r="AR566" s="724"/>
      <c r="AS566" s="724"/>
      <c r="AT566" s="724"/>
      <c r="AU566" s="724"/>
      <c r="AV566" s="724"/>
      <c r="AW566" s="719"/>
      <c r="AX566" s="719"/>
      <c r="AY566" s="719"/>
      <c r="AZ566" s="532"/>
    </row>
    <row r="567" spans="1:52" ht="15.75" hidden="1" customHeight="1">
      <c r="A567" s="716" t="s">
        <v>676</v>
      </c>
      <c r="B567" s="718" t="s">
        <v>1943</v>
      </c>
      <c r="C567" s="789">
        <f>+$C$565+$G$566</f>
        <v>44400</v>
      </c>
      <c r="D567" s="719"/>
      <c r="E567" s="719">
        <v>130</v>
      </c>
      <c r="F567" s="720">
        <v>1540</v>
      </c>
      <c r="G567" s="721"/>
      <c r="H567" s="726"/>
      <c r="I567" s="722"/>
      <c r="J567" s="762"/>
      <c r="K567" s="719"/>
      <c r="L567" s="719" t="s">
        <v>241</v>
      </c>
      <c r="M567" s="719"/>
      <c r="N567" s="726" t="s">
        <v>696</v>
      </c>
      <c r="O567" s="726"/>
      <c r="P567" s="726"/>
      <c r="Q567" s="719">
        <v>132</v>
      </c>
      <c r="R567" s="719">
        <v>1540</v>
      </c>
      <c r="S567" s="719"/>
      <c r="T567" s="719">
        <v>30</v>
      </c>
      <c r="U567" s="719"/>
      <c r="V567" s="719"/>
      <c r="W567" s="719">
        <v>1.1000000000000001</v>
      </c>
      <c r="X567" s="719"/>
      <c r="Y567" s="719"/>
      <c r="Z567" s="719"/>
      <c r="AA567" s="719"/>
      <c r="AB567" s="719"/>
      <c r="AC567" s="719" t="s">
        <v>2979</v>
      </c>
      <c r="AD567" s="719"/>
      <c r="AE567" s="719"/>
      <c r="AF567" s="719">
        <v>300</v>
      </c>
      <c r="AG567" s="789">
        <v>44399.95</v>
      </c>
      <c r="AH567" s="719">
        <v>1515</v>
      </c>
      <c r="AI567" s="719">
        <v>-5046</v>
      </c>
      <c r="AJ567" s="719"/>
      <c r="AK567" s="719"/>
      <c r="AL567" s="719"/>
      <c r="AM567" s="719" t="s">
        <v>2609</v>
      </c>
      <c r="AN567" s="719">
        <v>5.25</v>
      </c>
      <c r="AO567" s="719"/>
      <c r="AP567" s="719"/>
      <c r="AQ567" s="724"/>
      <c r="AR567" s="724"/>
      <c r="AS567" s="724"/>
      <c r="AT567" s="724">
        <f>+ab($T$567,$T$565,$T$569,$G$566,$G$568, 1*$F$567,1200)</f>
        <v>5.8894634979760827</v>
      </c>
      <c r="AU567" s="724"/>
      <c r="AV567" s="724"/>
      <c r="AW567" s="719"/>
      <c r="AX567" s="719"/>
      <c r="AY567" s="719"/>
      <c r="AZ567" s="532"/>
    </row>
    <row r="568" spans="1:52" ht="15.75" hidden="1" customHeight="1">
      <c r="A568" s="716"/>
      <c r="B568" s="718"/>
      <c r="C568" s="789"/>
      <c r="D568" s="719"/>
      <c r="E568" s="719"/>
      <c r="F568" s="720"/>
      <c r="G568" s="721">
        <v>50</v>
      </c>
      <c r="H568" s="726"/>
      <c r="I568" s="726"/>
      <c r="J568" s="762"/>
      <c r="K568" s="719"/>
      <c r="L568" s="719"/>
      <c r="M568" s="719"/>
      <c r="N568" s="726"/>
      <c r="O568" s="726"/>
      <c r="P568" s="726"/>
      <c r="Q568" s="719"/>
      <c r="R568" s="719"/>
      <c r="S568" s="719">
        <f t="shared" ref="S568" si="148">AG569-AG567</f>
        <v>51.210000000006403</v>
      </c>
      <c r="T568" s="719"/>
      <c r="U568" s="719"/>
      <c r="V568" s="719"/>
      <c r="W568" s="719"/>
      <c r="X568" s="719"/>
      <c r="Y568" s="719"/>
      <c r="Z568" s="719"/>
      <c r="AA568" s="719"/>
      <c r="AB568" s="719"/>
      <c r="AC568" s="719"/>
      <c r="AD568" s="719"/>
      <c r="AE568" s="719"/>
      <c r="AF568" s="719"/>
      <c r="AG568" s="789"/>
      <c r="AH568" s="719"/>
      <c r="AI568" s="719"/>
      <c r="AJ568" s="719"/>
      <c r="AK568" s="719"/>
      <c r="AL568" s="719"/>
      <c r="AM568" s="719"/>
      <c r="AN568" s="719"/>
      <c r="AO568" s="719"/>
      <c r="AP568" s="719"/>
      <c r="AQ568" s="724">
        <f>+FL_1($T$569,$T$567,$G$568,1200,9.28, 1*$F$569)</f>
        <v>0.33873121770686032</v>
      </c>
      <c r="AR568" s="724"/>
      <c r="AS568" s="724"/>
      <c r="AT568" s="724"/>
      <c r="AU568" s="724"/>
      <c r="AV568" s="724"/>
      <c r="AW568" s="719"/>
      <c r="AX568" s="719"/>
      <c r="AY568" s="719"/>
      <c r="AZ568" s="532"/>
    </row>
    <row r="569" spans="1:52" ht="15.75" hidden="1" customHeight="1">
      <c r="A569" s="716" t="s">
        <v>676</v>
      </c>
      <c r="B569" s="718" t="s">
        <v>1944</v>
      </c>
      <c r="C569" s="789">
        <f>+$C$567+$G$568</f>
        <v>44450</v>
      </c>
      <c r="D569" s="719"/>
      <c r="E569" s="719">
        <v>130</v>
      </c>
      <c r="F569" s="720">
        <v>1540</v>
      </c>
      <c r="G569" s="721"/>
      <c r="H569" s="726"/>
      <c r="I569" s="722"/>
      <c r="J569" s="762"/>
      <c r="K569" s="719"/>
      <c r="L569" s="719" t="s">
        <v>241</v>
      </c>
      <c r="M569" s="719"/>
      <c r="N569" s="726" t="s">
        <v>696</v>
      </c>
      <c r="O569" s="726"/>
      <c r="P569" s="726"/>
      <c r="Q569" s="719">
        <v>131</v>
      </c>
      <c r="R569" s="719">
        <v>1540</v>
      </c>
      <c r="S569" s="719"/>
      <c r="T569" s="719">
        <v>30</v>
      </c>
      <c r="U569" s="719"/>
      <c r="V569" s="719"/>
      <c r="W569" s="719">
        <v>1.1000000000000001</v>
      </c>
      <c r="X569" s="719"/>
      <c r="Y569" s="719"/>
      <c r="Z569" s="719"/>
      <c r="AA569" s="719"/>
      <c r="AB569" s="719"/>
      <c r="AC569" s="719" t="s">
        <v>2979</v>
      </c>
      <c r="AD569" s="719"/>
      <c r="AE569" s="719"/>
      <c r="AF569" s="719">
        <v>300</v>
      </c>
      <c r="AG569" s="789">
        <v>44451.16</v>
      </c>
      <c r="AH569" s="719">
        <v>1424</v>
      </c>
      <c r="AI569" s="719">
        <v>-5048</v>
      </c>
      <c r="AJ569" s="719"/>
      <c r="AK569" s="719"/>
      <c r="AL569" s="719"/>
      <c r="AM569" s="719" t="s">
        <v>2609</v>
      </c>
      <c r="AN569" s="719">
        <v>5.25</v>
      </c>
      <c r="AO569" s="719"/>
      <c r="AP569" s="719"/>
      <c r="AQ569" s="724"/>
      <c r="AR569" s="724"/>
      <c r="AS569" s="724"/>
      <c r="AT569" s="724">
        <f>+ab($T$569,$T$567,$T$571,$G$568,$G$570, 1*$F$569,1200)</f>
        <v>5.8894634979760827</v>
      </c>
      <c r="AU569" s="724"/>
      <c r="AV569" s="724"/>
      <c r="AW569" s="719"/>
      <c r="AX569" s="719"/>
      <c r="AY569" s="719"/>
      <c r="AZ569" s="532"/>
    </row>
    <row r="570" spans="1:52" ht="15.75" hidden="1" customHeight="1">
      <c r="A570" s="716"/>
      <c r="B570" s="718"/>
      <c r="C570" s="789"/>
      <c r="D570" s="719"/>
      <c r="E570" s="719"/>
      <c r="F570" s="720"/>
      <c r="G570" s="721">
        <v>50</v>
      </c>
      <c r="H570" s="726"/>
      <c r="I570" s="726"/>
      <c r="J570" s="762"/>
      <c r="K570" s="719"/>
      <c r="L570" s="719"/>
      <c r="M570" s="719"/>
      <c r="N570" s="726"/>
      <c r="O570" s="726"/>
      <c r="P570" s="726"/>
      <c r="Q570" s="719"/>
      <c r="R570" s="719"/>
      <c r="S570" s="719">
        <f t="shared" ref="S570" si="149">AG571-AG569</f>
        <v>48.839999999996508</v>
      </c>
      <c r="T570" s="719"/>
      <c r="U570" s="719"/>
      <c r="V570" s="719"/>
      <c r="W570" s="719"/>
      <c r="X570" s="719"/>
      <c r="Y570" s="719"/>
      <c r="Z570" s="719"/>
      <c r="AA570" s="719"/>
      <c r="AB570" s="719"/>
      <c r="AC570" s="719"/>
      <c r="AD570" s="719"/>
      <c r="AE570" s="719"/>
      <c r="AF570" s="719"/>
      <c r="AG570" s="789"/>
      <c r="AH570" s="719"/>
      <c r="AI570" s="719"/>
      <c r="AJ570" s="719"/>
      <c r="AK570" s="719"/>
      <c r="AL570" s="719"/>
      <c r="AM570" s="719"/>
      <c r="AN570" s="719"/>
      <c r="AO570" s="719"/>
      <c r="AP570" s="719"/>
      <c r="AQ570" s="724">
        <f>+FL_1($T$571,$T$569,$G$570,1200,9.28, 1*$F$571)</f>
        <v>0.33873121770686032</v>
      </c>
      <c r="AR570" s="724"/>
      <c r="AS570" s="724"/>
      <c r="AT570" s="724"/>
      <c r="AU570" s="724"/>
      <c r="AV570" s="724"/>
      <c r="AW570" s="719"/>
      <c r="AX570" s="719"/>
      <c r="AY570" s="719"/>
      <c r="AZ570" s="532"/>
    </row>
    <row r="571" spans="1:52" ht="15.75" hidden="1" customHeight="1">
      <c r="A571" s="716" t="s">
        <v>676</v>
      </c>
      <c r="B571" s="718" t="s">
        <v>1945</v>
      </c>
      <c r="C571" s="789">
        <f>+$C$569+$G$570</f>
        <v>44500</v>
      </c>
      <c r="D571" s="719"/>
      <c r="E571" s="719">
        <v>130</v>
      </c>
      <c r="F571" s="720">
        <v>1540</v>
      </c>
      <c r="G571" s="721"/>
      <c r="H571" s="726"/>
      <c r="I571" s="726"/>
      <c r="J571" s="762"/>
      <c r="K571" s="719"/>
      <c r="L571" s="719" t="s">
        <v>241</v>
      </c>
      <c r="M571" s="719"/>
      <c r="N571" s="726" t="s">
        <v>696</v>
      </c>
      <c r="O571" s="726"/>
      <c r="P571" s="726"/>
      <c r="Q571" s="719">
        <v>131</v>
      </c>
      <c r="R571" s="719">
        <v>1540</v>
      </c>
      <c r="S571" s="719"/>
      <c r="T571" s="719">
        <v>30</v>
      </c>
      <c r="U571" s="719"/>
      <c r="V571" s="719"/>
      <c r="W571" s="719">
        <v>1.1000000000000001</v>
      </c>
      <c r="X571" s="719"/>
      <c r="Y571" s="719"/>
      <c r="Z571" s="719"/>
      <c r="AA571" s="719"/>
      <c r="AB571" s="719"/>
      <c r="AC571" s="719" t="s">
        <v>2979</v>
      </c>
      <c r="AD571" s="719"/>
      <c r="AE571" s="719"/>
      <c r="AF571" s="719">
        <v>300</v>
      </c>
      <c r="AG571" s="789">
        <v>44500</v>
      </c>
      <c r="AH571" s="719">
        <v>1583</v>
      </c>
      <c r="AI571" s="719">
        <v>-5020</v>
      </c>
      <c r="AJ571" s="719"/>
      <c r="AK571" s="719"/>
      <c r="AL571" s="719"/>
      <c r="AM571" s="719" t="s">
        <v>2609</v>
      </c>
      <c r="AN571" s="719">
        <v>5.25</v>
      </c>
      <c r="AO571" s="719"/>
      <c r="AP571" s="719"/>
      <c r="AQ571" s="724"/>
      <c r="AR571" s="724"/>
      <c r="AS571" s="724"/>
      <c r="AT571" s="724">
        <f>+ab($T$571,$T$569,$T$573,$G$570,$G$572, 1*$F$571,1200)</f>
        <v>5.8894634979760827</v>
      </c>
      <c r="AU571" s="724"/>
      <c r="AV571" s="724"/>
      <c r="AW571" s="719"/>
      <c r="AX571" s="719"/>
      <c r="AY571" s="719"/>
      <c r="AZ571" s="532"/>
    </row>
    <row r="572" spans="1:52" ht="15.75" hidden="1" customHeight="1">
      <c r="A572" s="716"/>
      <c r="B572" s="718"/>
      <c r="C572" s="789"/>
      <c r="D572" s="719"/>
      <c r="E572" s="719"/>
      <c r="F572" s="720"/>
      <c r="G572" s="721">
        <v>50</v>
      </c>
      <c r="H572" s="726"/>
      <c r="I572" s="726"/>
      <c r="J572" s="762"/>
      <c r="K572" s="719"/>
      <c r="L572" s="719"/>
      <c r="M572" s="719"/>
      <c r="N572" s="726"/>
      <c r="O572" s="726"/>
      <c r="P572" s="726"/>
      <c r="Q572" s="719"/>
      <c r="R572" s="719"/>
      <c r="S572" s="719">
        <f t="shared" ref="S572" si="150">AG573-AG571</f>
        <v>49.360000000000582</v>
      </c>
      <c r="T572" s="719"/>
      <c r="U572" s="719"/>
      <c r="V572" s="719"/>
      <c r="W572" s="719"/>
      <c r="X572" s="719"/>
      <c r="Y572" s="719"/>
      <c r="Z572" s="719"/>
      <c r="AA572" s="719"/>
      <c r="AB572" s="719"/>
      <c r="AC572" s="719"/>
      <c r="AD572" s="719"/>
      <c r="AE572" s="719"/>
      <c r="AF572" s="719"/>
      <c r="AG572" s="789"/>
      <c r="AH572" s="719"/>
      <c r="AI572" s="719"/>
      <c r="AJ572" s="719"/>
      <c r="AK572" s="719"/>
      <c r="AL572" s="719"/>
      <c r="AM572" s="719"/>
      <c r="AN572" s="719"/>
      <c r="AO572" s="719"/>
      <c r="AP572" s="719"/>
      <c r="AQ572" s="724">
        <f>+FL_1($T$573,$T$571,$G$572,1200,9.28, 1*$F$573)</f>
        <v>0.33873121770686032</v>
      </c>
      <c r="AR572" s="724"/>
      <c r="AS572" s="724"/>
      <c r="AT572" s="724"/>
      <c r="AU572" s="724"/>
      <c r="AV572" s="724"/>
      <c r="AW572" s="719"/>
      <c r="AX572" s="719"/>
      <c r="AY572" s="719"/>
      <c r="AZ572" s="532"/>
    </row>
    <row r="573" spans="1:52" ht="15.75" hidden="1" customHeight="1">
      <c r="A573" s="716" t="s">
        <v>676</v>
      </c>
      <c r="B573" s="718" t="s">
        <v>1946</v>
      </c>
      <c r="C573" s="789">
        <f>+$C$571+$G$572</f>
        <v>44550</v>
      </c>
      <c r="D573" s="719"/>
      <c r="E573" s="719">
        <v>130</v>
      </c>
      <c r="F573" s="720">
        <v>1540</v>
      </c>
      <c r="G573" s="721"/>
      <c r="H573" s="726"/>
      <c r="I573" s="726"/>
      <c r="J573" s="762"/>
      <c r="K573" s="719"/>
      <c r="L573" s="719" t="s">
        <v>241</v>
      </c>
      <c r="M573" s="719"/>
      <c r="N573" s="726" t="s">
        <v>696</v>
      </c>
      <c r="O573" s="726"/>
      <c r="P573" s="726"/>
      <c r="Q573" s="719">
        <v>132</v>
      </c>
      <c r="R573" s="719">
        <v>1540</v>
      </c>
      <c r="S573" s="719"/>
      <c r="T573" s="719">
        <v>30</v>
      </c>
      <c r="U573" s="719"/>
      <c r="V573" s="719"/>
      <c r="W573" s="719">
        <v>1.1000000000000001</v>
      </c>
      <c r="X573" s="719"/>
      <c r="Y573" s="719"/>
      <c r="Z573" s="719"/>
      <c r="AA573" s="719"/>
      <c r="AB573" s="719"/>
      <c r="AC573" s="719" t="s">
        <v>2979</v>
      </c>
      <c r="AD573" s="719"/>
      <c r="AE573" s="719"/>
      <c r="AF573" s="719">
        <v>300</v>
      </c>
      <c r="AG573" s="789">
        <v>44549.36</v>
      </c>
      <c r="AH573" s="719">
        <v>1542</v>
      </c>
      <c r="AI573" s="719">
        <v>-5030</v>
      </c>
      <c r="AJ573" s="719"/>
      <c r="AK573" s="719"/>
      <c r="AL573" s="719"/>
      <c r="AM573" s="719" t="s">
        <v>2609</v>
      </c>
      <c r="AN573" s="719">
        <v>5.25</v>
      </c>
      <c r="AO573" s="719"/>
      <c r="AP573" s="719"/>
      <c r="AQ573" s="724"/>
      <c r="AR573" s="724"/>
      <c r="AS573" s="724"/>
      <c r="AT573" s="724">
        <f>+ab($T$573,$T$571,$T$575,$G$572,$G$574, 1*$F$573,1200)</f>
        <v>5.8894634979760827</v>
      </c>
      <c r="AU573" s="724"/>
      <c r="AV573" s="724"/>
      <c r="AW573" s="719"/>
      <c r="AX573" s="719"/>
      <c r="AY573" s="719"/>
      <c r="AZ573" s="532"/>
    </row>
    <row r="574" spans="1:52" ht="15.75" hidden="1" customHeight="1">
      <c r="A574" s="716"/>
      <c r="B574" s="718"/>
      <c r="C574" s="789"/>
      <c r="D574" s="719"/>
      <c r="E574" s="719"/>
      <c r="F574" s="720"/>
      <c r="G574" s="721">
        <v>50</v>
      </c>
      <c r="H574" s="726"/>
      <c r="I574" s="726"/>
      <c r="J574" s="762"/>
      <c r="K574" s="719"/>
      <c r="L574" s="719"/>
      <c r="M574" s="719"/>
      <c r="N574" s="726"/>
      <c r="O574" s="726"/>
      <c r="P574" s="726"/>
      <c r="Q574" s="719"/>
      <c r="R574" s="719"/>
      <c r="S574" s="719">
        <f t="shared" ref="S574" si="151">AG575-AG573</f>
        <v>50.650000000001455</v>
      </c>
      <c r="T574" s="719"/>
      <c r="U574" s="719"/>
      <c r="V574" s="719"/>
      <c r="W574" s="719"/>
      <c r="X574" s="719"/>
      <c r="Y574" s="719"/>
      <c r="Z574" s="719"/>
      <c r="AA574" s="719"/>
      <c r="AB574" s="719"/>
      <c r="AC574" s="719"/>
      <c r="AD574" s="719"/>
      <c r="AE574" s="719"/>
      <c r="AF574" s="719"/>
      <c r="AG574" s="789"/>
      <c r="AH574" s="719"/>
      <c r="AI574" s="719"/>
      <c r="AJ574" s="719"/>
      <c r="AK574" s="719"/>
      <c r="AL574" s="719"/>
      <c r="AM574" s="719"/>
      <c r="AN574" s="719"/>
      <c r="AO574" s="719"/>
      <c r="AP574" s="719"/>
      <c r="AQ574" s="724">
        <f>+FL_1($T$575,$T$573,$G$574,1200,9.28, 1*$F$575)</f>
        <v>0.33873121770686032</v>
      </c>
      <c r="AR574" s="724"/>
      <c r="AS574" s="724"/>
      <c r="AT574" s="724"/>
      <c r="AU574" s="724"/>
      <c r="AV574" s="724"/>
      <c r="AW574" s="719"/>
      <c r="AX574" s="719"/>
      <c r="AY574" s="719"/>
      <c r="AZ574" s="532"/>
    </row>
    <row r="575" spans="1:52" ht="15.75" hidden="1" customHeight="1">
      <c r="A575" s="716" t="s">
        <v>676</v>
      </c>
      <c r="B575" s="1271" t="s">
        <v>1947</v>
      </c>
      <c r="C575" s="1333">
        <f>+$C$573+$G$574</f>
        <v>44600</v>
      </c>
      <c r="D575" s="719"/>
      <c r="E575" s="719">
        <v>130</v>
      </c>
      <c r="F575" s="720">
        <v>1540</v>
      </c>
      <c r="G575" s="721"/>
      <c r="H575" s="726" t="s">
        <v>138</v>
      </c>
      <c r="I575" s="726" t="s">
        <v>2827</v>
      </c>
      <c r="J575" s="762"/>
      <c r="K575" s="719"/>
      <c r="L575" s="719" t="s">
        <v>241</v>
      </c>
      <c r="M575" s="719"/>
      <c r="N575" s="726" t="s">
        <v>696</v>
      </c>
      <c r="O575" s="726"/>
      <c r="P575" s="726"/>
      <c r="Q575" s="719">
        <v>132</v>
      </c>
      <c r="R575" s="719">
        <v>1540</v>
      </c>
      <c r="S575" s="719"/>
      <c r="T575" s="719">
        <v>30</v>
      </c>
      <c r="U575" s="719"/>
      <c r="V575" s="719"/>
      <c r="W575" s="719">
        <v>1.1000000000000001</v>
      </c>
      <c r="X575" s="719"/>
      <c r="Y575" s="719"/>
      <c r="Z575" s="719"/>
      <c r="AA575" s="719"/>
      <c r="AB575" s="719"/>
      <c r="AC575" s="719" t="s">
        <v>2979</v>
      </c>
      <c r="AD575" s="719"/>
      <c r="AE575" s="719"/>
      <c r="AF575" s="719">
        <v>300</v>
      </c>
      <c r="AG575" s="1333">
        <v>44600.01</v>
      </c>
      <c r="AH575" s="719">
        <v>1517</v>
      </c>
      <c r="AI575" s="719">
        <v>-5000</v>
      </c>
      <c r="AJ575" s="719"/>
      <c r="AK575" s="719"/>
      <c r="AL575" s="719"/>
      <c r="AM575" s="719" t="s">
        <v>2609</v>
      </c>
      <c r="AN575" s="719">
        <v>5.25</v>
      </c>
      <c r="AO575" s="719"/>
      <c r="AP575" s="719"/>
      <c r="AQ575" s="724"/>
      <c r="AR575" s="724"/>
      <c r="AS575" s="724"/>
      <c r="AT575" s="724">
        <f>+ab($T$575,$T$573,$T$577,$G$574,$G$576, 1*$F$575,1200)</f>
        <v>5.714670565714564</v>
      </c>
      <c r="AU575" s="724"/>
      <c r="AV575" s="724"/>
      <c r="AW575" s="719"/>
      <c r="AX575" s="719"/>
      <c r="AY575" s="719"/>
      <c r="AZ575" s="532"/>
    </row>
    <row r="576" spans="1:52" ht="15.75" hidden="1" customHeight="1">
      <c r="A576" s="716"/>
      <c r="B576" s="1271"/>
      <c r="C576" s="1333"/>
      <c r="D576" s="719"/>
      <c r="E576" s="719"/>
      <c r="F576" s="720"/>
      <c r="G576" s="721">
        <v>50</v>
      </c>
      <c r="H576" s="726"/>
      <c r="I576" s="726"/>
      <c r="J576" s="762">
        <f>C575+10</f>
        <v>44610</v>
      </c>
      <c r="K576" s="719" t="s">
        <v>1097</v>
      </c>
      <c r="L576" s="719"/>
      <c r="M576" s="719"/>
      <c r="N576" s="726"/>
      <c r="O576" s="726"/>
      <c r="P576" s="726"/>
      <c r="Q576" s="719"/>
      <c r="R576" s="719"/>
      <c r="S576" s="719">
        <f>AG577-AG575+0.75</f>
        <v>50.709999999999127</v>
      </c>
      <c r="T576" s="719"/>
      <c r="U576" s="719"/>
      <c r="V576" s="719"/>
      <c r="W576" s="719"/>
      <c r="X576" s="719"/>
      <c r="Y576" s="719"/>
      <c r="Z576" s="719"/>
      <c r="AA576" s="719"/>
      <c r="AB576" s="719"/>
      <c r="AC576" s="719"/>
      <c r="AD576" s="719"/>
      <c r="AE576" s="719"/>
      <c r="AF576" s="719"/>
      <c r="AG576" s="1333"/>
      <c r="AH576" s="719"/>
      <c r="AI576" s="719"/>
      <c r="AJ576" s="719"/>
      <c r="AK576" s="719"/>
      <c r="AL576" s="719"/>
      <c r="AM576" s="719"/>
      <c r="AN576" s="719"/>
      <c r="AO576" s="719"/>
      <c r="AP576" s="719"/>
      <c r="AQ576" s="724">
        <f>+FL_1($U$577,$T$575,$G$576,1200,9.28, 1*$F$577)</f>
        <v>0.30001899812120814</v>
      </c>
      <c r="AR576" s="724"/>
      <c r="AS576" s="724"/>
      <c r="AT576" s="724"/>
      <c r="AU576" s="724"/>
      <c r="AV576" s="724"/>
      <c r="AW576" s="719"/>
      <c r="AX576" s="719"/>
      <c r="AY576" s="719"/>
      <c r="AZ576" s="532"/>
    </row>
    <row r="577" spans="1:52" ht="15.75" hidden="1" customHeight="1">
      <c r="A577" s="716" t="s">
        <v>676</v>
      </c>
      <c r="B577" s="1271" t="s">
        <v>1948</v>
      </c>
      <c r="C577" s="1333">
        <f>+$C$575+$G$576</f>
        <v>44650</v>
      </c>
      <c r="D577" s="719"/>
      <c r="E577" s="719">
        <v>130</v>
      </c>
      <c r="F577" s="720">
        <v>1540</v>
      </c>
      <c r="G577" s="721"/>
      <c r="H577" s="726" t="s">
        <v>668</v>
      </c>
      <c r="I577" s="726"/>
      <c r="J577" s="762"/>
      <c r="K577" s="719"/>
      <c r="L577" s="719" t="s">
        <v>465</v>
      </c>
      <c r="M577" s="719"/>
      <c r="N577" s="726" t="s">
        <v>697</v>
      </c>
      <c r="O577" s="726" t="s">
        <v>696</v>
      </c>
      <c r="P577" s="726"/>
      <c r="Q577" s="719">
        <v>131</v>
      </c>
      <c r="R577" s="719">
        <v>1540</v>
      </c>
      <c r="S577" s="719"/>
      <c r="T577" s="719">
        <v>25</v>
      </c>
      <c r="U577" s="719">
        <v>5</v>
      </c>
      <c r="V577" s="719"/>
      <c r="W577" s="719">
        <v>1.1000000000000001</v>
      </c>
      <c r="X577" s="719">
        <v>1.2</v>
      </c>
      <c r="Y577" s="719"/>
      <c r="Z577" s="719">
        <v>0.45</v>
      </c>
      <c r="AA577" s="719"/>
      <c r="AB577" s="719"/>
      <c r="AC577" s="719"/>
      <c r="AD577" s="719" t="s">
        <v>2978</v>
      </c>
      <c r="AE577" s="719"/>
      <c r="AF577" s="719">
        <v>300</v>
      </c>
      <c r="AG577" s="1333">
        <v>44649.97</v>
      </c>
      <c r="AH577" s="719">
        <v>1497</v>
      </c>
      <c r="AI577" s="719">
        <v>-5027</v>
      </c>
      <c r="AJ577" s="719"/>
      <c r="AK577" s="719"/>
      <c r="AL577" s="719"/>
      <c r="AM577" s="719" t="s">
        <v>2609</v>
      </c>
      <c r="AN577" s="719">
        <v>5.25</v>
      </c>
      <c r="AO577" s="719"/>
      <c r="AP577" s="719"/>
      <c r="AQ577" s="724"/>
      <c r="AR577" s="724"/>
      <c r="AS577" s="724"/>
      <c r="AT577" s="724">
        <f>+ab($U$577,$T$575,$U$579,$G$576,$G$578, 1*$F$577,1200)</f>
        <v>7.1184657494239634</v>
      </c>
      <c r="AU577" s="724"/>
      <c r="AV577" s="724"/>
      <c r="AW577" s="719"/>
      <c r="AX577" s="719"/>
      <c r="AY577" s="719"/>
      <c r="AZ577" s="532"/>
    </row>
    <row r="578" spans="1:52" ht="15.75" hidden="1" customHeight="1">
      <c r="A578" s="716"/>
      <c r="B578" s="1271"/>
      <c r="C578" s="1333"/>
      <c r="D578" s="719"/>
      <c r="E578" s="719"/>
      <c r="F578" s="720"/>
      <c r="G578" s="721">
        <v>48</v>
      </c>
      <c r="H578" s="726"/>
      <c r="I578" s="726"/>
      <c r="J578" s="762"/>
      <c r="K578" s="719"/>
      <c r="L578" s="719"/>
      <c r="M578" s="719"/>
      <c r="N578" s="726"/>
      <c r="O578" s="726"/>
      <c r="P578" s="726"/>
      <c r="Q578" s="719">
        <v>132</v>
      </c>
      <c r="R578" s="719">
        <v>1540</v>
      </c>
      <c r="S578" s="719">
        <f t="shared" ref="S578" si="152">AG579-AG577</f>
        <v>47.989999999997963</v>
      </c>
      <c r="T578" s="719"/>
      <c r="U578" s="719"/>
      <c r="V578" s="719"/>
      <c r="W578" s="719"/>
      <c r="X578" s="719"/>
      <c r="Y578" s="719"/>
      <c r="Z578" s="719"/>
      <c r="AA578" s="719"/>
      <c r="AB578" s="719"/>
      <c r="AC578" s="719"/>
      <c r="AD578" s="719"/>
      <c r="AE578" s="719"/>
      <c r="AF578" s="719"/>
      <c r="AG578" s="1333">
        <v>44651.46</v>
      </c>
      <c r="AH578" s="719">
        <v>1507</v>
      </c>
      <c r="AI578" s="719">
        <v>-5033</v>
      </c>
      <c r="AJ578" s="719"/>
      <c r="AK578" s="719"/>
      <c r="AL578" s="719"/>
      <c r="AM578" s="719"/>
      <c r="AN578" s="719"/>
      <c r="AO578" s="719"/>
      <c r="AP578" s="719"/>
      <c r="AQ578" s="724">
        <f>+FL_1($T$579,$U$577,$G$578,1200,9.28, 1*$F$579)</f>
        <v>0.24999999999999997</v>
      </c>
      <c r="AR578" s="724"/>
      <c r="AS578" s="724"/>
      <c r="AT578" s="724"/>
      <c r="AU578" s="724"/>
      <c r="AV578" s="724"/>
      <c r="AW578" s="719"/>
      <c r="AX578" s="719"/>
      <c r="AY578" s="719"/>
      <c r="AZ578" s="532"/>
    </row>
    <row r="579" spans="1:52" ht="15.75" hidden="1" customHeight="1">
      <c r="A579" s="716" t="s">
        <v>676</v>
      </c>
      <c r="B579" s="1271" t="s">
        <v>1949</v>
      </c>
      <c r="C579" s="1333">
        <f>+$C$577+$G$578</f>
        <v>44698</v>
      </c>
      <c r="D579" s="719"/>
      <c r="E579" s="719">
        <v>130</v>
      </c>
      <c r="F579" s="720">
        <v>1540</v>
      </c>
      <c r="G579" s="721"/>
      <c r="H579" s="726" t="s">
        <v>668</v>
      </c>
      <c r="I579" s="726"/>
      <c r="J579" s="762"/>
      <c r="K579" s="719"/>
      <c r="L579" s="719" t="s">
        <v>465</v>
      </c>
      <c r="M579" s="719"/>
      <c r="N579" s="726" t="s">
        <v>696</v>
      </c>
      <c r="O579" s="726" t="s">
        <v>697</v>
      </c>
      <c r="P579" s="726"/>
      <c r="Q579" s="719">
        <v>132</v>
      </c>
      <c r="R579" s="719">
        <v>1540</v>
      </c>
      <c r="S579" s="719"/>
      <c r="T579" s="719">
        <v>25</v>
      </c>
      <c r="U579" s="719">
        <v>5</v>
      </c>
      <c r="V579" s="719"/>
      <c r="W579" s="719">
        <v>1.1000000000000001</v>
      </c>
      <c r="X579" s="719">
        <v>1.2</v>
      </c>
      <c r="Y579" s="719"/>
      <c r="Z579" s="719"/>
      <c r="AA579" s="719">
        <v>0.45</v>
      </c>
      <c r="AB579" s="719"/>
      <c r="AC579" s="719" t="s">
        <v>2978</v>
      </c>
      <c r="AD579" s="719"/>
      <c r="AE579" s="719"/>
      <c r="AF579" s="719">
        <v>300</v>
      </c>
      <c r="AG579" s="1333">
        <v>44697.96</v>
      </c>
      <c r="AH579" s="719">
        <v>1569</v>
      </c>
      <c r="AI579" s="719">
        <v>-5008</v>
      </c>
      <c r="AJ579" s="719"/>
      <c r="AK579" s="719"/>
      <c r="AL579" s="719"/>
      <c r="AM579" s="719" t="s">
        <v>2609</v>
      </c>
      <c r="AN579" s="719">
        <v>5.25</v>
      </c>
      <c r="AO579" s="719"/>
      <c r="AP579" s="719"/>
      <c r="AQ579" s="724"/>
      <c r="AR579" s="724"/>
      <c r="AS579" s="724"/>
      <c r="AT579" s="724">
        <f>+ab($T$579,$T$577,$T$581,$G$578,$G$580, 1*$F$579,1200)</f>
        <v>6.2022653220470145</v>
      </c>
      <c r="AU579" s="724"/>
      <c r="AV579" s="724"/>
      <c r="AW579" s="719"/>
      <c r="AX579" s="719"/>
      <c r="AY579" s="719"/>
      <c r="AZ579" s="532"/>
    </row>
    <row r="580" spans="1:52" ht="15.75" hidden="1" customHeight="1">
      <c r="A580" s="716"/>
      <c r="B580" s="1271"/>
      <c r="C580" s="1333"/>
      <c r="D580" s="719"/>
      <c r="E580" s="719"/>
      <c r="F580" s="720"/>
      <c r="G580" s="721">
        <v>50</v>
      </c>
      <c r="H580" s="726"/>
      <c r="I580" s="726"/>
      <c r="J580" s="762">
        <f>C581-10</f>
        <v>44738</v>
      </c>
      <c r="K580" s="719" t="s">
        <v>1097</v>
      </c>
      <c r="L580" s="719"/>
      <c r="M580" s="719"/>
      <c r="N580" s="726"/>
      <c r="O580" s="726"/>
      <c r="P580" s="726"/>
      <c r="Q580" s="719">
        <v>130</v>
      </c>
      <c r="R580" s="719">
        <v>1540</v>
      </c>
      <c r="S580" s="719">
        <f>AG581-AG579</f>
        <v>50.090000000003783</v>
      </c>
      <c r="T580" s="719"/>
      <c r="U580" s="719"/>
      <c r="V580" s="719"/>
      <c r="W580" s="719"/>
      <c r="X580" s="719"/>
      <c r="Y580" s="719"/>
      <c r="Z580" s="719"/>
      <c r="AA580" s="719"/>
      <c r="AB580" s="719"/>
      <c r="AC580" s="719"/>
      <c r="AD580" s="719"/>
      <c r="AE580" s="719"/>
      <c r="AF580" s="719"/>
      <c r="AG580" s="1333">
        <v>44699.44</v>
      </c>
      <c r="AH580" s="719">
        <v>1591</v>
      </c>
      <c r="AI580" s="719">
        <v>-5016</v>
      </c>
      <c r="AJ580" s="719"/>
      <c r="AK580" s="719"/>
      <c r="AL580" s="719"/>
      <c r="AM580" s="719"/>
      <c r="AN580" s="719"/>
      <c r="AO580" s="719"/>
      <c r="AP580" s="719"/>
      <c r="AQ580" s="724">
        <f>+FL_1($T$581,$T$579,$G$580,1200,9.28, 1*$F$581)</f>
        <v>0.31776667924858737</v>
      </c>
      <c r="AR580" s="724"/>
      <c r="AS580" s="724"/>
      <c r="AT580" s="724"/>
      <c r="AU580" s="724"/>
      <c r="AV580" s="724"/>
      <c r="AW580" s="719"/>
      <c r="AX580" s="719"/>
      <c r="AY580" s="719"/>
      <c r="AZ580" s="532"/>
    </row>
    <row r="581" spans="1:52" ht="15.75" hidden="1" customHeight="1">
      <c r="A581" s="716" t="s">
        <v>676</v>
      </c>
      <c r="B581" s="1273" t="s">
        <v>1950</v>
      </c>
      <c r="C581" s="1333">
        <f>+$C$579+$G$580</f>
        <v>44748</v>
      </c>
      <c r="D581" s="719"/>
      <c r="E581" s="719">
        <v>130</v>
      </c>
      <c r="F581" s="720">
        <v>1540</v>
      </c>
      <c r="G581" s="721"/>
      <c r="H581" s="726" t="s">
        <v>138</v>
      </c>
      <c r="I581" s="726" t="s">
        <v>948</v>
      </c>
      <c r="J581" s="762"/>
      <c r="K581" s="719"/>
      <c r="L581" s="719" t="s">
        <v>241</v>
      </c>
      <c r="M581" s="719"/>
      <c r="N581" s="726" t="s">
        <v>696</v>
      </c>
      <c r="O581" s="726"/>
      <c r="P581" s="726"/>
      <c r="Q581" s="719">
        <v>132</v>
      </c>
      <c r="R581" s="719">
        <v>1540</v>
      </c>
      <c r="S581" s="719"/>
      <c r="T581" s="719">
        <v>30</v>
      </c>
      <c r="U581" s="719"/>
      <c r="V581" s="719"/>
      <c r="W581" s="719">
        <v>1.1000000000000001</v>
      </c>
      <c r="X581" s="719"/>
      <c r="Y581" s="719"/>
      <c r="Z581" s="719"/>
      <c r="AA581" s="719"/>
      <c r="AB581" s="719"/>
      <c r="AC581" s="719" t="s">
        <v>2979</v>
      </c>
      <c r="AD581" s="719"/>
      <c r="AE581" s="719"/>
      <c r="AF581" s="719">
        <v>300</v>
      </c>
      <c r="AG581" s="1333">
        <v>44748.05</v>
      </c>
      <c r="AH581" s="719">
        <v>1498</v>
      </c>
      <c r="AI581" s="719">
        <v>-5004</v>
      </c>
      <c r="AJ581" s="719"/>
      <c r="AK581" s="719"/>
      <c r="AL581" s="719"/>
      <c r="AM581" s="719" t="s">
        <v>2609</v>
      </c>
      <c r="AN581" s="719">
        <v>5.25</v>
      </c>
      <c r="AO581" s="719"/>
      <c r="AP581" s="719"/>
      <c r="AQ581" s="724"/>
      <c r="AR581" s="724"/>
      <c r="AS581" s="724"/>
      <c r="AT581" s="724">
        <f>+ab($T$581,$T$579,$T$583,$G$580,$G$582, 1*$F$581,1200)</f>
        <v>5.714670565714564</v>
      </c>
      <c r="AU581" s="724"/>
      <c r="AV581" s="724"/>
      <c r="AW581" s="719"/>
      <c r="AX581" s="719"/>
      <c r="AY581" s="719"/>
      <c r="AZ581" s="532"/>
    </row>
    <row r="582" spans="1:52" ht="15.75" hidden="1" customHeight="1">
      <c r="A582" s="716"/>
      <c r="B582" s="1273"/>
      <c r="C582" s="1333"/>
      <c r="D582" s="719"/>
      <c r="E582" s="719"/>
      <c r="F582" s="720"/>
      <c r="G582" s="721">
        <v>50</v>
      </c>
      <c r="H582" s="726"/>
      <c r="I582" s="726"/>
      <c r="J582" s="762"/>
      <c r="K582" s="719"/>
      <c r="L582" s="719"/>
      <c r="M582" s="719"/>
      <c r="N582" s="726"/>
      <c r="O582" s="726"/>
      <c r="P582" s="726"/>
      <c r="Q582" s="719"/>
      <c r="R582" s="719"/>
      <c r="S582" s="719">
        <f t="shared" ref="S582" si="153">AG583-AG581</f>
        <v>49.959999999999127</v>
      </c>
      <c r="T582" s="719"/>
      <c r="U582" s="719"/>
      <c r="V582" s="719"/>
      <c r="W582" s="719"/>
      <c r="X582" s="719"/>
      <c r="Y582" s="719"/>
      <c r="Z582" s="719"/>
      <c r="AA582" s="719"/>
      <c r="AB582" s="719"/>
      <c r="AC582" s="719"/>
      <c r="AD582" s="719"/>
      <c r="AE582" s="719"/>
      <c r="AF582" s="719"/>
      <c r="AG582" s="1333"/>
      <c r="AH582" s="719"/>
      <c r="AI582" s="719"/>
      <c r="AJ582" s="719"/>
      <c r="AK582" s="719"/>
      <c r="AL582" s="719"/>
      <c r="AM582" s="719"/>
      <c r="AN582" s="719"/>
      <c r="AO582" s="719"/>
      <c r="AP582" s="719"/>
      <c r="AQ582" s="724">
        <f>+FL_1($T$583,$T$581,$G$582,1200,9.28, 1*$F$583)</f>
        <v>0.33873121770686032</v>
      </c>
      <c r="AR582" s="724"/>
      <c r="AS582" s="724"/>
      <c r="AT582" s="724"/>
      <c r="AU582" s="724"/>
      <c r="AV582" s="724"/>
      <c r="AW582" s="719"/>
      <c r="AX582" s="719"/>
      <c r="AY582" s="719"/>
      <c r="AZ582" s="532"/>
    </row>
    <row r="583" spans="1:52" ht="15.75" hidden="1" customHeight="1">
      <c r="A583" s="716" t="s">
        <v>676</v>
      </c>
      <c r="B583" s="1273" t="s">
        <v>1951</v>
      </c>
      <c r="C583" s="1333">
        <f>+$C$581+$G$582</f>
        <v>44798</v>
      </c>
      <c r="D583" s="719"/>
      <c r="E583" s="719">
        <v>130</v>
      </c>
      <c r="F583" s="720">
        <v>1540</v>
      </c>
      <c r="G583" s="721"/>
      <c r="H583" s="726"/>
      <c r="I583" s="726"/>
      <c r="J583" s="762"/>
      <c r="K583" s="719"/>
      <c r="L583" s="719" t="s">
        <v>241</v>
      </c>
      <c r="M583" s="719"/>
      <c r="N583" s="726" t="s">
        <v>696</v>
      </c>
      <c r="O583" s="726"/>
      <c r="P583" s="726"/>
      <c r="Q583" s="719">
        <v>132</v>
      </c>
      <c r="R583" s="719">
        <v>1540</v>
      </c>
      <c r="S583" s="719"/>
      <c r="T583" s="719">
        <v>30</v>
      </c>
      <c r="U583" s="719"/>
      <c r="V583" s="719"/>
      <c r="W583" s="719">
        <v>1.1000000000000001</v>
      </c>
      <c r="X583" s="719"/>
      <c r="Y583" s="719"/>
      <c r="Z583" s="719"/>
      <c r="AA583" s="719"/>
      <c r="AB583" s="719"/>
      <c r="AC583" s="719" t="s">
        <v>2979</v>
      </c>
      <c r="AD583" s="719"/>
      <c r="AE583" s="719"/>
      <c r="AF583" s="719">
        <v>300</v>
      </c>
      <c r="AG583" s="1333">
        <v>44798.01</v>
      </c>
      <c r="AH583" s="719">
        <v>1499</v>
      </c>
      <c r="AI583" s="719">
        <v>-5029</v>
      </c>
      <c r="AJ583" s="719"/>
      <c r="AK583" s="719"/>
      <c r="AL583" s="719"/>
      <c r="AM583" s="719" t="s">
        <v>2609</v>
      </c>
      <c r="AN583" s="719">
        <v>5.25</v>
      </c>
      <c r="AO583" s="719"/>
      <c r="AP583" s="719"/>
      <c r="AQ583" s="724"/>
      <c r="AR583" s="724"/>
      <c r="AS583" s="724"/>
      <c r="AT583" s="724">
        <f>+ab($T$583,$T$581,$T$585,$G$582,$G$584, 1*$F$583,1200)</f>
        <v>5.8894634979760827</v>
      </c>
      <c r="AU583" s="724"/>
      <c r="AV583" s="724"/>
      <c r="AW583" s="719"/>
      <c r="AX583" s="719"/>
      <c r="AY583" s="719"/>
      <c r="AZ583" s="532"/>
    </row>
    <row r="584" spans="1:52" ht="15.75" hidden="1" customHeight="1">
      <c r="A584" s="716"/>
      <c r="B584" s="1273"/>
      <c r="C584" s="1333"/>
      <c r="D584" s="719"/>
      <c r="E584" s="719"/>
      <c r="F584" s="720"/>
      <c r="G584" s="721">
        <v>50</v>
      </c>
      <c r="H584" s="726"/>
      <c r="I584" s="726"/>
      <c r="J584" s="762"/>
      <c r="K584" s="719"/>
      <c r="L584" s="719"/>
      <c r="M584" s="719"/>
      <c r="N584" s="726"/>
      <c r="O584" s="726"/>
      <c r="P584" s="726"/>
      <c r="Q584" s="719"/>
      <c r="R584" s="719"/>
      <c r="S584" s="719">
        <f t="shared" ref="S584" si="154">AG585-AG583</f>
        <v>49.94999999999709</v>
      </c>
      <c r="T584" s="719"/>
      <c r="U584" s="719"/>
      <c r="V584" s="719"/>
      <c r="W584" s="719"/>
      <c r="X584" s="719"/>
      <c r="Y584" s="719"/>
      <c r="Z584" s="719"/>
      <c r="AA584" s="719"/>
      <c r="AB584" s="719"/>
      <c r="AC584" s="719"/>
      <c r="AD584" s="719"/>
      <c r="AE584" s="719"/>
      <c r="AF584" s="719"/>
      <c r="AG584" s="1333"/>
      <c r="AH584" s="719"/>
      <c r="AI584" s="719"/>
      <c r="AJ584" s="719"/>
      <c r="AK584" s="719"/>
      <c r="AL584" s="719"/>
      <c r="AM584" s="719"/>
      <c r="AN584" s="719"/>
      <c r="AO584" s="719"/>
      <c r="AP584" s="719"/>
      <c r="AQ584" s="724">
        <f>+FL_1($T$585,$T$583,$G$584,1200,9.28, 1*$F$585)</f>
        <v>0.33873121770686032</v>
      </c>
      <c r="AR584" s="724"/>
      <c r="AS584" s="724"/>
      <c r="AT584" s="724"/>
      <c r="AU584" s="724"/>
      <c r="AV584" s="724"/>
      <c r="AW584" s="719"/>
      <c r="AX584" s="719"/>
      <c r="AY584" s="719"/>
      <c r="AZ584" s="532"/>
    </row>
    <row r="585" spans="1:52" ht="15.75" hidden="1" customHeight="1">
      <c r="A585" s="716" t="s">
        <v>676</v>
      </c>
      <c r="B585" s="1273" t="s">
        <v>1952</v>
      </c>
      <c r="C585" s="1333">
        <f>+$C$583+$G$584</f>
        <v>44848</v>
      </c>
      <c r="D585" s="719"/>
      <c r="E585" s="719">
        <v>130</v>
      </c>
      <c r="F585" s="720">
        <v>1540</v>
      </c>
      <c r="G585" s="721"/>
      <c r="H585" s="726"/>
      <c r="I585" s="726"/>
      <c r="J585" s="762"/>
      <c r="K585" s="719"/>
      <c r="L585" s="719" t="s">
        <v>241</v>
      </c>
      <c r="M585" s="719"/>
      <c r="N585" s="726" t="s">
        <v>696</v>
      </c>
      <c r="O585" s="726"/>
      <c r="P585" s="726"/>
      <c r="Q585" s="719">
        <v>131</v>
      </c>
      <c r="R585" s="719">
        <v>1540</v>
      </c>
      <c r="S585" s="719"/>
      <c r="T585" s="719">
        <v>30</v>
      </c>
      <c r="U585" s="719"/>
      <c r="V585" s="719"/>
      <c r="W585" s="719">
        <v>1.1000000000000001</v>
      </c>
      <c r="X585" s="719"/>
      <c r="Y585" s="719"/>
      <c r="Z585" s="719"/>
      <c r="AA585" s="719"/>
      <c r="AB585" s="719"/>
      <c r="AC585" s="719" t="s">
        <v>2979</v>
      </c>
      <c r="AD585" s="719"/>
      <c r="AE585" s="719"/>
      <c r="AF585" s="719">
        <v>300</v>
      </c>
      <c r="AG585" s="1333">
        <v>44847.96</v>
      </c>
      <c r="AH585" s="719">
        <v>1514</v>
      </c>
      <c r="AI585" s="719">
        <v>-5053</v>
      </c>
      <c r="AJ585" s="719"/>
      <c r="AK585" s="719"/>
      <c r="AL585" s="719"/>
      <c r="AM585" s="719" t="s">
        <v>2609</v>
      </c>
      <c r="AN585" s="719">
        <v>5.25</v>
      </c>
      <c r="AO585" s="719"/>
      <c r="AP585" s="719"/>
      <c r="AQ585" s="724"/>
      <c r="AR585" s="724"/>
      <c r="AS585" s="724"/>
      <c r="AT585" s="724">
        <f>+ab($T$585,$T$583,$T$587,$G$584,$G$586, 1*$F$585,1200)</f>
        <v>5.8894634979760827</v>
      </c>
      <c r="AU585" s="724"/>
      <c r="AV585" s="724"/>
      <c r="AW585" s="719"/>
      <c r="AX585" s="719"/>
      <c r="AY585" s="719"/>
      <c r="AZ585" s="532"/>
    </row>
    <row r="586" spans="1:52" ht="15.75" hidden="1" customHeight="1">
      <c r="A586" s="716"/>
      <c r="B586" s="1273"/>
      <c r="C586" s="1333"/>
      <c r="D586" s="719"/>
      <c r="E586" s="719"/>
      <c r="F586" s="720"/>
      <c r="G586" s="721">
        <v>50</v>
      </c>
      <c r="H586" s="726"/>
      <c r="I586" s="726"/>
      <c r="J586" s="762"/>
      <c r="K586" s="719"/>
      <c r="L586" s="719"/>
      <c r="M586" s="719"/>
      <c r="N586" s="726"/>
      <c r="O586" s="726"/>
      <c r="P586" s="726"/>
      <c r="Q586" s="719"/>
      <c r="R586" s="719"/>
      <c r="S586" s="719">
        <f t="shared" ref="S586" si="155">AG587-AG585</f>
        <v>50.010000000002037</v>
      </c>
      <c r="T586" s="719"/>
      <c r="U586" s="719"/>
      <c r="V586" s="719"/>
      <c r="W586" s="719"/>
      <c r="X586" s="719"/>
      <c r="Y586" s="719"/>
      <c r="Z586" s="719"/>
      <c r="AA586" s="719"/>
      <c r="AB586" s="719"/>
      <c r="AC586" s="719"/>
      <c r="AD586" s="719"/>
      <c r="AE586" s="719"/>
      <c r="AF586" s="719"/>
      <c r="AG586" s="1333"/>
      <c r="AH586" s="719"/>
      <c r="AI586" s="719"/>
      <c r="AJ586" s="719"/>
      <c r="AK586" s="719"/>
      <c r="AL586" s="719"/>
      <c r="AM586" s="719"/>
      <c r="AN586" s="719"/>
      <c r="AO586" s="719"/>
      <c r="AP586" s="719"/>
      <c r="AQ586" s="724">
        <f>+FL_1($T$587,$T$585,$G$586,1200,9.28, 1*$F$587)</f>
        <v>0.33873121770686032</v>
      </c>
      <c r="AR586" s="724"/>
      <c r="AS586" s="724"/>
      <c r="AT586" s="724"/>
      <c r="AU586" s="724"/>
      <c r="AV586" s="724"/>
      <c r="AW586" s="719"/>
      <c r="AX586" s="719"/>
      <c r="AY586" s="719"/>
      <c r="AZ586" s="532"/>
    </row>
    <row r="587" spans="1:52" ht="15.75" customHeight="1">
      <c r="A587" s="716" t="s">
        <v>676</v>
      </c>
      <c r="B587" s="1273" t="s">
        <v>1953</v>
      </c>
      <c r="C587" s="1333">
        <f>+$C$585+$G$586</f>
        <v>44898</v>
      </c>
      <c r="D587" s="719"/>
      <c r="E587" s="719">
        <v>130</v>
      </c>
      <c r="F587" s="720">
        <v>1540</v>
      </c>
      <c r="G587" s="721"/>
      <c r="H587" s="726" t="s">
        <v>1101</v>
      </c>
      <c r="I587" s="726"/>
      <c r="J587" s="762"/>
      <c r="K587" s="719"/>
      <c r="L587" s="719" t="s">
        <v>241</v>
      </c>
      <c r="M587" s="719"/>
      <c r="N587" s="726" t="s">
        <v>696</v>
      </c>
      <c r="O587" s="726"/>
      <c r="P587" s="726"/>
      <c r="Q587" s="719">
        <v>132</v>
      </c>
      <c r="R587" s="719">
        <v>1540</v>
      </c>
      <c r="S587" s="719"/>
      <c r="T587" s="719">
        <v>30</v>
      </c>
      <c r="U587" s="719"/>
      <c r="V587" s="719"/>
      <c r="W587" s="719">
        <v>1.1000000000000001</v>
      </c>
      <c r="X587" s="719"/>
      <c r="Y587" s="719"/>
      <c r="Z587" s="719"/>
      <c r="AA587" s="719"/>
      <c r="AB587" s="719"/>
      <c r="AC587" s="719" t="s">
        <v>2979</v>
      </c>
      <c r="AD587" s="719"/>
      <c r="AE587" s="719"/>
      <c r="AF587" s="719">
        <v>300</v>
      </c>
      <c r="AG587" s="1333">
        <v>44897.97</v>
      </c>
      <c r="AH587" s="719">
        <v>1536</v>
      </c>
      <c r="AI587" s="719">
        <v>-5051</v>
      </c>
      <c r="AJ587" s="719"/>
      <c r="AK587" s="719"/>
      <c r="AL587" s="719"/>
      <c r="AM587" s="719" t="s">
        <v>2609</v>
      </c>
      <c r="AN587" s="719">
        <v>5.25</v>
      </c>
      <c r="AO587" s="719"/>
      <c r="AP587" s="719"/>
      <c r="AQ587" s="724"/>
      <c r="AR587" s="724"/>
      <c r="AS587" s="724"/>
      <c r="AT587" s="724">
        <f>+ab($T$587,$T$585,$T$589,$G$586,$G$588, 1*$F$587,1200)</f>
        <v>5.7747720142131778</v>
      </c>
      <c r="AU587" s="724"/>
      <c r="AV587" s="724"/>
      <c r="AW587" s="719"/>
      <c r="AX587" s="719"/>
      <c r="AY587" s="719"/>
      <c r="AZ587" s="532"/>
    </row>
    <row r="588" spans="1:52" ht="15.75" hidden="1" customHeight="1">
      <c r="A588" s="716"/>
      <c r="B588" s="1273"/>
      <c r="C588" s="1333"/>
      <c r="D588" s="719"/>
      <c r="E588" s="719"/>
      <c r="F588" s="720"/>
      <c r="G588" s="721">
        <v>52</v>
      </c>
      <c r="H588" s="726"/>
      <c r="I588" s="726">
        <f>+SUM(G576:G588)</f>
        <v>350</v>
      </c>
      <c r="J588" s="762">
        <f>C587+10</f>
        <v>44908</v>
      </c>
      <c r="K588" s="719" t="s">
        <v>1102</v>
      </c>
      <c r="L588" s="719"/>
      <c r="M588" s="719"/>
      <c r="N588" s="726"/>
      <c r="O588" s="726"/>
      <c r="P588" s="726"/>
      <c r="Q588" s="719"/>
      <c r="R588" s="719"/>
      <c r="S588" s="719">
        <f t="shared" ref="S588" si="156">AG589-AG587</f>
        <v>51.010000000002037</v>
      </c>
      <c r="T588" s="719"/>
      <c r="U588" s="719"/>
      <c r="V588" s="719"/>
      <c r="W588" s="719"/>
      <c r="X588" s="719"/>
      <c r="Y588" s="719"/>
      <c r="Z588" s="719"/>
      <c r="AA588" s="719"/>
      <c r="AB588" s="719"/>
      <c r="AC588" s="719"/>
      <c r="AD588" s="719"/>
      <c r="AE588" s="719"/>
      <c r="AF588" s="719"/>
      <c r="AG588" s="1333"/>
      <c r="AH588" s="719"/>
      <c r="AI588" s="719"/>
      <c r="AJ588" s="719"/>
      <c r="AK588" s="719"/>
      <c r="AL588" s="719"/>
      <c r="AM588" s="719"/>
      <c r="AN588" s="719"/>
      <c r="AO588" s="719"/>
      <c r="AP588" s="719"/>
      <c r="AQ588" s="724">
        <f>+FL_1($T$589,$T$587,$G$588,1200,9.28, 1*$F$589)</f>
        <v>0.34189050479486405</v>
      </c>
      <c r="AR588" s="724"/>
      <c r="AS588" s="724"/>
      <c r="AT588" s="724"/>
      <c r="AU588" s="724"/>
      <c r="AV588" s="724"/>
      <c r="AW588" s="719"/>
      <c r="AX588" s="719"/>
      <c r="AY588" s="719"/>
      <c r="AZ588" s="532"/>
    </row>
    <row r="589" spans="1:52" ht="15.75" customHeight="1">
      <c r="A589" s="716" t="s">
        <v>676</v>
      </c>
      <c r="B589" s="1273" t="s">
        <v>1954</v>
      </c>
      <c r="C589" s="1333">
        <f>+$C$587+$G$588</f>
        <v>44950</v>
      </c>
      <c r="D589" s="719"/>
      <c r="E589" s="719">
        <v>130</v>
      </c>
      <c r="F589" s="720">
        <v>1540</v>
      </c>
      <c r="G589" s="721"/>
      <c r="H589" s="726" t="s">
        <v>997</v>
      </c>
      <c r="I589" s="726"/>
      <c r="J589" s="762"/>
      <c r="K589" s="719"/>
      <c r="L589" s="719" t="s">
        <v>241</v>
      </c>
      <c r="M589" s="719"/>
      <c r="N589" s="726" t="s">
        <v>696</v>
      </c>
      <c r="O589" s="726"/>
      <c r="P589" s="726"/>
      <c r="Q589" s="719">
        <v>130</v>
      </c>
      <c r="R589" s="719">
        <v>1540</v>
      </c>
      <c r="S589" s="719"/>
      <c r="T589" s="719">
        <v>30</v>
      </c>
      <c r="U589" s="719"/>
      <c r="V589" s="719"/>
      <c r="W589" s="719">
        <v>1.1000000000000001</v>
      </c>
      <c r="X589" s="719"/>
      <c r="Y589" s="719"/>
      <c r="Z589" s="719"/>
      <c r="AA589" s="719"/>
      <c r="AB589" s="719"/>
      <c r="AC589" s="719" t="s">
        <v>2979</v>
      </c>
      <c r="AD589" s="719"/>
      <c r="AE589" s="719"/>
      <c r="AF589" s="719">
        <v>300</v>
      </c>
      <c r="AG589" s="1333">
        <v>44948.98</v>
      </c>
      <c r="AH589" s="719">
        <v>1491</v>
      </c>
      <c r="AI589" s="719">
        <v>-5047</v>
      </c>
      <c r="AJ589" s="719"/>
      <c r="AK589" s="719"/>
      <c r="AL589" s="719"/>
      <c r="AM589" s="719" t="s">
        <v>2609</v>
      </c>
      <c r="AN589" s="719">
        <v>5.26</v>
      </c>
      <c r="AO589" s="719"/>
      <c r="AP589" s="719"/>
      <c r="AQ589" s="724"/>
      <c r="AR589" s="724"/>
      <c r="AS589" s="724"/>
      <c r="AT589" s="724">
        <f>+ab($T$589,$T$587,$T$591,$G$588,$G$590, 1*$F$589,1200)</f>
        <v>6.0702720386473414</v>
      </c>
      <c r="AU589" s="724"/>
      <c r="AV589" s="724"/>
      <c r="AW589" s="719"/>
      <c r="AX589" s="719"/>
      <c r="AY589" s="719"/>
      <c r="AZ589" s="532"/>
    </row>
    <row r="590" spans="1:52" ht="15.75" hidden="1" customHeight="1">
      <c r="A590" s="716"/>
      <c r="B590" s="1273"/>
      <c r="C590" s="1333"/>
      <c r="D590" s="719"/>
      <c r="E590" s="719"/>
      <c r="F590" s="720"/>
      <c r="G590" s="721">
        <v>45</v>
      </c>
      <c r="H590" s="726"/>
      <c r="I590" s="726">
        <f>SUM(G590:G606)</f>
        <v>420</v>
      </c>
      <c r="J590" s="762">
        <f>C591-10</f>
        <v>44985</v>
      </c>
      <c r="K590" s="719" t="s">
        <v>1102</v>
      </c>
      <c r="L590" s="719"/>
      <c r="M590" s="719"/>
      <c r="N590" s="726"/>
      <c r="O590" s="726"/>
      <c r="P590" s="726"/>
      <c r="Q590" s="719"/>
      <c r="R590" s="719"/>
      <c r="S590" s="719">
        <f t="shared" ref="S590:S592" si="157">AG591-AG589</f>
        <v>45.959999999999127</v>
      </c>
      <c r="T590" s="719"/>
      <c r="U590" s="719"/>
      <c r="V590" s="719"/>
      <c r="W590" s="719"/>
      <c r="X590" s="719"/>
      <c r="Y590" s="719"/>
      <c r="Z590" s="719"/>
      <c r="AA590" s="719"/>
      <c r="AB590" s="719"/>
      <c r="AC590" s="719"/>
      <c r="AD590" s="719"/>
      <c r="AE590" s="719"/>
      <c r="AF590" s="719"/>
      <c r="AG590" s="1333"/>
      <c r="AH590" s="719"/>
      <c r="AI590" s="719"/>
      <c r="AJ590" s="719"/>
      <c r="AK590" s="719"/>
      <c r="AL590" s="719"/>
      <c r="AM590" s="719"/>
      <c r="AN590" s="719"/>
      <c r="AO590" s="719"/>
      <c r="AP590" s="719"/>
      <c r="AQ590" s="724">
        <f>+FL_1($T$591,$T$589,$G$590,1200,9.28, 1*$F$591)</f>
        <v>0.33137434436498731</v>
      </c>
      <c r="AR590" s="724"/>
      <c r="AS590" s="724"/>
      <c r="AT590" s="724"/>
      <c r="AU590" s="724"/>
      <c r="AV590" s="724"/>
      <c r="AW590" s="719"/>
      <c r="AX590" s="719"/>
      <c r="AY590" s="719"/>
      <c r="AZ590" s="532"/>
    </row>
    <row r="591" spans="1:52" ht="15.75" customHeight="1">
      <c r="A591" s="716" t="s">
        <v>676</v>
      </c>
      <c r="B591" s="1273" t="s">
        <v>1955</v>
      </c>
      <c r="C591" s="1333">
        <f>+$C$589+$G$590</f>
        <v>44995</v>
      </c>
      <c r="D591" s="719"/>
      <c r="E591" s="719">
        <v>130</v>
      </c>
      <c r="F591" s="720">
        <v>1540</v>
      </c>
      <c r="G591" s="721"/>
      <c r="H591" s="726" t="s">
        <v>1101</v>
      </c>
      <c r="I591" s="726"/>
      <c r="J591" s="762"/>
      <c r="K591" s="719"/>
      <c r="L591" s="719" t="s">
        <v>241</v>
      </c>
      <c r="M591" s="719"/>
      <c r="N591" s="726" t="s">
        <v>696</v>
      </c>
      <c r="O591" s="726"/>
      <c r="P591" s="726"/>
      <c r="Q591" s="719">
        <v>131</v>
      </c>
      <c r="R591" s="719">
        <v>1540</v>
      </c>
      <c r="S591" s="719"/>
      <c r="T591" s="719">
        <v>30</v>
      </c>
      <c r="U591" s="719"/>
      <c r="V591" s="719"/>
      <c r="W591" s="719">
        <v>1.1000000000000001</v>
      </c>
      <c r="X591" s="719"/>
      <c r="Y591" s="719"/>
      <c r="Z591" s="719"/>
      <c r="AA591" s="719"/>
      <c r="AB591" s="719"/>
      <c r="AC591" s="719" t="s">
        <v>2979</v>
      </c>
      <c r="AD591" s="719"/>
      <c r="AE591" s="719"/>
      <c r="AF591" s="719">
        <v>300</v>
      </c>
      <c r="AG591" s="1333">
        <v>44994.94</v>
      </c>
      <c r="AH591" s="719">
        <v>1511</v>
      </c>
      <c r="AI591" s="719">
        <v>-4995</v>
      </c>
      <c r="AJ591" s="719"/>
      <c r="AK591" s="719"/>
      <c r="AL591" s="719"/>
      <c r="AM591" s="719" t="s">
        <v>2609</v>
      </c>
      <c r="AN591" s="719">
        <v>5.33</v>
      </c>
      <c r="AO591" s="719"/>
      <c r="AP591" s="719"/>
      <c r="AQ591" s="724"/>
      <c r="AR591" s="724"/>
      <c r="AS591" s="724"/>
      <c r="AT591" s="724">
        <f>+ab($T$591,$T$589,$T$593,$G$590,$G$592, 1*$F$591,1200)</f>
        <v>6.538461570000373</v>
      </c>
      <c r="AU591" s="724"/>
      <c r="AV591" s="724"/>
      <c r="AW591" s="719"/>
      <c r="AX591" s="719"/>
      <c r="AY591" s="719"/>
      <c r="AZ591" s="532"/>
    </row>
    <row r="592" spans="1:52" ht="15.75" hidden="1" customHeight="1">
      <c r="A592" s="716" t="s">
        <v>1107</v>
      </c>
      <c r="B592" s="1273"/>
      <c r="C592" s="1333"/>
      <c r="D592" s="719"/>
      <c r="E592" s="719"/>
      <c r="F592" s="720"/>
      <c r="G592" s="721">
        <v>45</v>
      </c>
      <c r="H592" s="726"/>
      <c r="I592" s="726" t="s">
        <v>2053</v>
      </c>
      <c r="J592" s="762"/>
      <c r="K592" s="719" t="s">
        <v>1102</v>
      </c>
      <c r="L592" s="719"/>
      <c r="M592" s="719"/>
      <c r="N592" s="726"/>
      <c r="O592" s="726"/>
      <c r="P592" s="726"/>
      <c r="Q592" s="719"/>
      <c r="R592" s="719"/>
      <c r="S592" s="719">
        <f t="shared" si="157"/>
        <v>45.011999999995169</v>
      </c>
      <c r="T592" s="719"/>
      <c r="U592" s="719"/>
      <c r="V592" s="719"/>
      <c r="W592" s="719"/>
      <c r="X592" s="719"/>
      <c r="Y592" s="719"/>
      <c r="Z592" s="719"/>
      <c r="AA592" s="719"/>
      <c r="AB592" s="719"/>
      <c r="AC592" s="719"/>
      <c r="AD592" s="719"/>
      <c r="AE592" s="719"/>
      <c r="AF592" s="719"/>
      <c r="AG592" s="1333"/>
      <c r="AH592" s="719"/>
      <c r="AI592" s="719"/>
      <c r="AJ592" s="719"/>
      <c r="AK592" s="719"/>
      <c r="AL592" s="719"/>
      <c r="AM592" s="719"/>
      <c r="AN592" s="719"/>
      <c r="AO592" s="719"/>
      <c r="AP592" s="719"/>
      <c r="AQ592" s="724">
        <f>+FL_1($T$593,$T$591,$G$592,1200,9.28, 1*$F$593)</f>
        <v>0.33137434436498731</v>
      </c>
      <c r="AR592" s="724"/>
      <c r="AS592" s="724"/>
      <c r="AT592" s="724"/>
      <c r="AU592" s="724"/>
      <c r="AV592" s="724"/>
      <c r="AW592" s="719"/>
      <c r="AX592" s="719"/>
      <c r="AY592" s="719"/>
      <c r="AZ592" s="532"/>
    </row>
    <row r="593" spans="1:52" ht="15.75" hidden="1" customHeight="1">
      <c r="A593" s="701"/>
      <c r="B593" s="1273" t="s">
        <v>1956</v>
      </c>
      <c r="C593" s="1333">
        <f>+$C$591+$G$592</f>
        <v>45040</v>
      </c>
      <c r="D593" s="704"/>
      <c r="E593" s="704">
        <v>130</v>
      </c>
      <c r="F593" s="705">
        <v>1540</v>
      </c>
      <c r="G593" s="706"/>
      <c r="H593" s="707"/>
      <c r="I593" s="707"/>
      <c r="J593" s="760"/>
      <c r="K593" s="704"/>
      <c r="L593" s="704" t="s">
        <v>233</v>
      </c>
      <c r="M593" s="704" t="s">
        <v>2634</v>
      </c>
      <c r="N593" s="707" t="s">
        <v>145</v>
      </c>
      <c r="O593" s="707"/>
      <c r="P593" s="707"/>
      <c r="Q593" s="704">
        <v>132</v>
      </c>
      <c r="R593" s="704">
        <v>1540</v>
      </c>
      <c r="S593" s="704"/>
      <c r="T593" s="704">
        <v>30</v>
      </c>
      <c r="U593" s="704"/>
      <c r="V593" s="704"/>
      <c r="W593" s="704">
        <v>1.4</v>
      </c>
      <c r="X593" s="704"/>
      <c r="Y593" s="704"/>
      <c r="Z593" s="704"/>
      <c r="AA593" s="704"/>
      <c r="AB593" s="704"/>
      <c r="AC593" s="704" t="s">
        <v>2978</v>
      </c>
      <c r="AD593" s="704"/>
      <c r="AE593" s="704"/>
      <c r="AF593" s="704">
        <v>5000</v>
      </c>
      <c r="AG593" s="1333">
        <v>45039.951999999997</v>
      </c>
      <c r="AH593" s="704">
        <v>2488</v>
      </c>
      <c r="AI593" s="704">
        <v>-425</v>
      </c>
      <c r="AJ593" s="704"/>
      <c r="AK593" s="704"/>
      <c r="AL593" s="704"/>
      <c r="AM593" s="704" t="s">
        <v>2054</v>
      </c>
      <c r="AN593" s="711">
        <v>5.4</v>
      </c>
      <c r="AO593" s="704"/>
      <c r="AP593" s="704"/>
      <c r="AQ593" s="711"/>
      <c r="AR593" s="711"/>
      <c r="AS593" s="711"/>
      <c r="AT593" s="711">
        <f>+ab($T$593,$T$591,$T$595,$G$592,$G$594, 1*$F$593,1200)</f>
        <v>6.309096284659339</v>
      </c>
      <c r="AU593" s="711"/>
      <c r="AV593" s="711"/>
      <c r="AW593" s="704"/>
      <c r="AX593" s="704"/>
      <c r="AY593" s="704"/>
      <c r="AZ593" s="532"/>
    </row>
    <row r="594" spans="1:52" ht="15.75" hidden="1" customHeight="1">
      <c r="A594" s="766" t="s">
        <v>2596</v>
      </c>
      <c r="B594" s="1273"/>
      <c r="C594" s="1333"/>
      <c r="D594" s="769"/>
      <c r="E594" s="769"/>
      <c r="F594" s="770"/>
      <c r="G594" s="771">
        <v>48.3</v>
      </c>
      <c r="H594" s="772"/>
      <c r="I594" s="772"/>
      <c r="J594" s="783"/>
      <c r="K594" s="769"/>
      <c r="L594" s="769"/>
      <c r="M594" s="769"/>
      <c r="N594" s="772"/>
      <c r="O594" s="772"/>
      <c r="P594" s="772"/>
      <c r="Q594" s="769"/>
      <c r="R594" s="769"/>
      <c r="S594" s="774">
        <f>AG595-AG593</f>
        <v>48.364000000001397</v>
      </c>
      <c r="T594" s="769"/>
      <c r="U594" s="769"/>
      <c r="V594" s="769"/>
      <c r="W594" s="769"/>
      <c r="X594" s="769"/>
      <c r="Y594" s="769"/>
      <c r="Z594" s="769"/>
      <c r="AA594" s="769"/>
      <c r="AB594" s="769"/>
      <c r="AC594" s="769"/>
      <c r="AD594" s="769"/>
      <c r="AE594" s="769"/>
      <c r="AF594" s="769"/>
      <c r="AG594" s="1333"/>
      <c r="AH594" s="769"/>
      <c r="AI594" s="769"/>
      <c r="AJ594" s="769"/>
      <c r="AK594" s="769"/>
      <c r="AL594" s="769"/>
      <c r="AM594" s="769"/>
      <c r="AN594" s="774"/>
      <c r="AO594" s="769"/>
      <c r="AP594" s="769"/>
      <c r="AQ594" s="774">
        <f>+FL_1($T$595,$T$593,$G$594,1200,9.28, 1*$F$595)</f>
        <v>0.33614310232311317</v>
      </c>
      <c r="AR594" s="774"/>
      <c r="AS594" s="774"/>
      <c r="AT594" s="774"/>
      <c r="AU594" s="774"/>
      <c r="AV594" s="774"/>
      <c r="AW594" s="769"/>
      <c r="AX594" s="769"/>
      <c r="AY594" s="769"/>
      <c r="AZ594" s="532"/>
    </row>
    <row r="595" spans="1:52" ht="15.75" hidden="1" customHeight="1">
      <c r="A595" s="766" t="s">
        <v>2954</v>
      </c>
      <c r="B595" s="1273" t="s">
        <v>1957</v>
      </c>
      <c r="C595" s="1333">
        <f>+$C$593+$G$594</f>
        <v>45088.3</v>
      </c>
      <c r="D595" s="769"/>
      <c r="E595" s="769">
        <v>130</v>
      </c>
      <c r="F595" s="770">
        <v>1540</v>
      </c>
      <c r="G595" s="771"/>
      <c r="H595" s="772"/>
      <c r="I595" s="772"/>
      <c r="J595" s="783"/>
      <c r="K595" s="769"/>
      <c r="L595" s="769" t="s">
        <v>1118</v>
      </c>
      <c r="M595" s="769" t="s">
        <v>2670</v>
      </c>
      <c r="N595" s="772" t="s">
        <v>145</v>
      </c>
      <c r="O595" s="772"/>
      <c r="P595" s="772"/>
      <c r="Q595" s="769">
        <v>129</v>
      </c>
      <c r="R595" s="769">
        <v>1540</v>
      </c>
      <c r="S595" s="769"/>
      <c r="T595" s="769">
        <v>30</v>
      </c>
      <c r="U595" s="769"/>
      <c r="V595" s="769"/>
      <c r="W595" s="769">
        <v>1.4</v>
      </c>
      <c r="X595" s="769"/>
      <c r="Y595" s="769"/>
      <c r="Z595" s="769"/>
      <c r="AA595" s="769"/>
      <c r="AB595" s="769"/>
      <c r="AC595" s="769" t="s">
        <v>2978</v>
      </c>
      <c r="AD595" s="769"/>
      <c r="AE595" s="769"/>
      <c r="AF595" s="769">
        <v>5400</v>
      </c>
      <c r="AG595" s="1333">
        <v>45088.315999999999</v>
      </c>
      <c r="AH595" s="769">
        <v>3207</v>
      </c>
      <c r="AI595" s="769">
        <v>-32</v>
      </c>
      <c r="AJ595" s="769" t="s">
        <v>2466</v>
      </c>
      <c r="AK595" s="769"/>
      <c r="AL595" s="769"/>
      <c r="AM595" s="769" t="s">
        <v>2054</v>
      </c>
      <c r="AN595" s="774">
        <v>5.45</v>
      </c>
      <c r="AO595" s="769"/>
      <c r="AP595" s="769"/>
      <c r="AQ595" s="774"/>
      <c r="AR595" s="774"/>
      <c r="AS595" s="774"/>
      <c r="AT595" s="774">
        <f>+ab($T$595,$T$593,$T$597,$G$594,$G$596, 1*$F$595,1200)</f>
        <v>6.6112806152645982</v>
      </c>
      <c r="AU595" s="774"/>
      <c r="AV595" s="774"/>
      <c r="AW595" s="769"/>
      <c r="AX595" s="769"/>
      <c r="AY595" s="769"/>
      <c r="AZ595" s="532"/>
    </row>
    <row r="596" spans="1:52" ht="15.75" hidden="1" customHeight="1">
      <c r="A596" s="766"/>
      <c r="B596" s="1273"/>
      <c r="C596" s="1333"/>
      <c r="D596" s="769"/>
      <c r="E596" s="769"/>
      <c r="F596" s="770"/>
      <c r="G596" s="771">
        <v>40.700000000000003</v>
      </c>
      <c r="H596" s="772"/>
      <c r="I596" s="772"/>
      <c r="J596" s="783"/>
      <c r="K596" s="769"/>
      <c r="L596" s="769"/>
      <c r="M596" s="769"/>
      <c r="N596" s="772"/>
      <c r="O596" s="772"/>
      <c r="P596" s="772"/>
      <c r="Q596" s="769"/>
      <c r="R596" s="769"/>
      <c r="S596" s="774">
        <f>AG597-AG595</f>
        <v>40.874000000003434</v>
      </c>
      <c r="T596" s="769"/>
      <c r="U596" s="769"/>
      <c r="V596" s="769"/>
      <c r="W596" s="769"/>
      <c r="X596" s="769"/>
      <c r="Y596" s="769"/>
      <c r="Z596" s="769"/>
      <c r="AA596" s="769"/>
      <c r="AB596" s="769"/>
      <c r="AC596" s="769"/>
      <c r="AD596" s="769"/>
      <c r="AE596" s="769"/>
      <c r="AF596" s="769"/>
      <c r="AG596" s="1333"/>
      <c r="AH596" s="769"/>
      <c r="AI596" s="769"/>
      <c r="AJ596" s="769" t="s">
        <v>2976</v>
      </c>
      <c r="AK596" s="769"/>
      <c r="AL596" s="769"/>
      <c r="AM596" s="769"/>
      <c r="AN596" s="769"/>
      <c r="AO596" s="769"/>
      <c r="AP596" s="769"/>
      <c r="AQ596" s="774">
        <f>+FL_1($T$597,$T$595,$G$596,1200,9.28, 1*$F$597)</f>
        <v>0.32566613945182421</v>
      </c>
      <c r="AR596" s="774"/>
      <c r="AS596" s="774"/>
      <c r="AT596" s="774"/>
      <c r="AU596" s="774"/>
      <c r="AV596" s="774"/>
      <c r="AW596" s="769"/>
      <c r="AX596" s="769"/>
      <c r="AY596" s="769"/>
      <c r="AZ596" s="532"/>
    </row>
    <row r="597" spans="1:52" ht="15.75" hidden="1" customHeight="1">
      <c r="A597" s="766"/>
      <c r="B597" s="1273" t="s">
        <v>1958</v>
      </c>
      <c r="C597" s="1333">
        <f>+$C$595+$G$596</f>
        <v>45129</v>
      </c>
      <c r="D597" s="769"/>
      <c r="E597" s="769">
        <v>130</v>
      </c>
      <c r="F597" s="770">
        <v>1540</v>
      </c>
      <c r="G597" s="771"/>
      <c r="H597" s="772"/>
      <c r="I597" s="772"/>
      <c r="J597" s="783"/>
      <c r="K597" s="769"/>
      <c r="L597" s="769" t="s">
        <v>1120</v>
      </c>
      <c r="M597" s="769" t="s">
        <v>2667</v>
      </c>
      <c r="N597" s="772" t="s">
        <v>145</v>
      </c>
      <c r="O597" s="772"/>
      <c r="P597" s="772"/>
      <c r="Q597" s="769">
        <v>131</v>
      </c>
      <c r="R597" s="769">
        <v>1540</v>
      </c>
      <c r="S597" s="769"/>
      <c r="T597" s="769">
        <v>30</v>
      </c>
      <c r="U597" s="769"/>
      <c r="V597" s="769"/>
      <c r="W597" s="769">
        <v>1.4</v>
      </c>
      <c r="X597" s="769"/>
      <c r="Y597" s="769"/>
      <c r="Z597" s="769"/>
      <c r="AA597" s="769"/>
      <c r="AB597" s="769"/>
      <c r="AC597" s="769" t="s">
        <v>2978</v>
      </c>
      <c r="AD597" s="769"/>
      <c r="AE597" s="769"/>
      <c r="AF597" s="769">
        <v>5200</v>
      </c>
      <c r="AG597" s="1333">
        <v>45129.19</v>
      </c>
      <c r="AH597" s="769">
        <v>3114</v>
      </c>
      <c r="AI597" s="769">
        <v>-259</v>
      </c>
      <c r="AJ597" s="769"/>
      <c r="AK597" s="769"/>
      <c r="AL597" s="769"/>
      <c r="AM597" s="769" t="s">
        <v>2054</v>
      </c>
      <c r="AN597" s="774">
        <v>5.5</v>
      </c>
      <c r="AO597" s="769"/>
      <c r="AP597" s="769"/>
      <c r="AQ597" s="774"/>
      <c r="AR597" s="774"/>
      <c r="AS597" s="774"/>
      <c r="AT597" s="774">
        <f>+ab($T$597,$T$595,$T$599,$G$596,$G$598, 1*$F$597,1200)</f>
        <v>6.249297494157438</v>
      </c>
      <c r="AU597" s="774"/>
      <c r="AV597" s="774"/>
      <c r="AW597" s="769"/>
      <c r="AX597" s="769"/>
      <c r="AY597" s="769"/>
      <c r="AZ597" s="532"/>
    </row>
    <row r="598" spans="1:52" ht="15.75" hidden="1" customHeight="1">
      <c r="A598" s="766"/>
      <c r="B598" s="1273"/>
      <c r="C598" s="1333"/>
      <c r="D598" s="769"/>
      <c r="E598" s="769"/>
      <c r="F598" s="770"/>
      <c r="G598" s="771">
        <v>53.5</v>
      </c>
      <c r="H598" s="772"/>
      <c r="I598" s="772"/>
      <c r="J598" s="783"/>
      <c r="K598" s="769"/>
      <c r="L598" s="769"/>
      <c r="M598" s="769"/>
      <c r="N598" s="772"/>
      <c r="O598" s="772"/>
      <c r="P598" s="772"/>
      <c r="Q598" s="769"/>
      <c r="R598" s="769"/>
      <c r="S598" s="774">
        <f t="shared" ref="S598" si="158">AG599-AG597</f>
        <v>53.44999999999709</v>
      </c>
      <c r="T598" s="769"/>
      <c r="U598" s="769"/>
      <c r="V598" s="769"/>
      <c r="W598" s="769"/>
      <c r="X598" s="769"/>
      <c r="Y598" s="769"/>
      <c r="Z598" s="769"/>
      <c r="AA598" s="769"/>
      <c r="AB598" s="769"/>
      <c r="AC598" s="769"/>
      <c r="AD598" s="769"/>
      <c r="AE598" s="769"/>
      <c r="AF598" s="769"/>
      <c r="AG598" s="1333"/>
      <c r="AH598" s="769"/>
      <c r="AI598" s="769"/>
      <c r="AJ598" s="769"/>
      <c r="AK598" s="769"/>
      <c r="AL598" s="769"/>
      <c r="AM598" s="769"/>
      <c r="AN598" s="774"/>
      <c r="AO598" s="769"/>
      <c r="AP598" s="769"/>
      <c r="AQ598" s="774">
        <f>+FL_1($T$599,$T$597,$G$598,1200,11.88, 1*$F$599)</f>
        <v>0.42186042344931562</v>
      </c>
      <c r="AR598" s="774"/>
      <c r="AS598" s="774"/>
      <c r="AT598" s="774"/>
      <c r="AU598" s="774"/>
      <c r="AV598" s="774"/>
      <c r="AW598" s="769"/>
      <c r="AX598" s="769"/>
      <c r="AY598" s="769"/>
      <c r="AZ598" s="532"/>
    </row>
    <row r="599" spans="1:52" ht="15.75" hidden="1" customHeight="1">
      <c r="A599" s="766"/>
      <c r="B599" s="1273" t="s">
        <v>1959</v>
      </c>
      <c r="C599" s="1333">
        <f>+$C$597+$G$598</f>
        <v>45182.5</v>
      </c>
      <c r="D599" s="769"/>
      <c r="E599" s="769">
        <v>130</v>
      </c>
      <c r="F599" s="770">
        <v>1540</v>
      </c>
      <c r="G599" s="771"/>
      <c r="H599" s="772" t="s">
        <v>138</v>
      </c>
      <c r="I599" s="772" t="s">
        <v>2831</v>
      </c>
      <c r="J599" s="783"/>
      <c r="K599" s="769"/>
      <c r="L599" s="769" t="s">
        <v>2710</v>
      </c>
      <c r="M599" s="769" t="s">
        <v>2671</v>
      </c>
      <c r="N599" s="772" t="s">
        <v>145</v>
      </c>
      <c r="O599" s="772"/>
      <c r="P599" s="772"/>
      <c r="Q599" s="769">
        <v>133</v>
      </c>
      <c r="R599" s="769">
        <v>1540</v>
      </c>
      <c r="S599" s="769"/>
      <c r="T599" s="769">
        <v>30</v>
      </c>
      <c r="U599" s="769"/>
      <c r="V599" s="769"/>
      <c r="W599" s="769">
        <v>1.4</v>
      </c>
      <c r="X599" s="769"/>
      <c r="Y599" s="769"/>
      <c r="Z599" s="769"/>
      <c r="AA599" s="769"/>
      <c r="AB599" s="769"/>
      <c r="AC599" s="769" t="s">
        <v>2978</v>
      </c>
      <c r="AD599" s="769"/>
      <c r="AE599" s="769"/>
      <c r="AF599" s="769">
        <v>5400</v>
      </c>
      <c r="AG599" s="1333">
        <v>45182.64</v>
      </c>
      <c r="AH599" s="769">
        <v>3170</v>
      </c>
      <c r="AI599" s="769">
        <v>456</v>
      </c>
      <c r="AJ599" s="769"/>
      <c r="AK599" s="769"/>
      <c r="AL599" s="769"/>
      <c r="AM599" s="769" t="s">
        <v>2054</v>
      </c>
      <c r="AN599" s="774">
        <v>5.5</v>
      </c>
      <c r="AO599" s="769"/>
      <c r="AP599" s="769"/>
      <c r="AQ599" s="774"/>
      <c r="AR599" s="774"/>
      <c r="AS599" s="774"/>
      <c r="AT599" s="774">
        <f>+ab($T$599,$T$597,$T$601,$G$598,$G$600, 1*$F$599,1200)</f>
        <v>7.2493172903672969</v>
      </c>
      <c r="AU599" s="774"/>
      <c r="AV599" s="774"/>
      <c r="AW599" s="769"/>
      <c r="AX599" s="769"/>
      <c r="AY599" s="769"/>
      <c r="AZ599" s="532"/>
    </row>
    <row r="600" spans="1:52" ht="15.75" hidden="1" customHeight="1">
      <c r="A600" s="766"/>
      <c r="B600" s="1273"/>
      <c r="C600" s="1333"/>
      <c r="D600" s="769"/>
      <c r="E600" s="769"/>
      <c r="F600" s="770"/>
      <c r="G600" s="771">
        <v>53.5</v>
      </c>
      <c r="H600" s="772"/>
      <c r="I600" s="772"/>
      <c r="J600" s="783"/>
      <c r="K600" s="769"/>
      <c r="L600" s="769"/>
      <c r="M600" s="769"/>
      <c r="N600" s="772"/>
      <c r="O600" s="772"/>
      <c r="P600" s="772"/>
      <c r="Q600" s="769"/>
      <c r="R600" s="769"/>
      <c r="S600" s="774">
        <f t="shared" ref="S600" si="159">AG601-AG599</f>
        <v>53.550999999999476</v>
      </c>
      <c r="T600" s="769"/>
      <c r="U600" s="769"/>
      <c r="V600" s="769"/>
      <c r="W600" s="769"/>
      <c r="X600" s="769"/>
      <c r="Y600" s="769"/>
      <c r="Z600" s="769"/>
      <c r="AA600" s="769"/>
      <c r="AB600" s="769"/>
      <c r="AC600" s="769"/>
      <c r="AD600" s="769"/>
      <c r="AE600" s="769"/>
      <c r="AF600" s="769"/>
      <c r="AG600" s="1333"/>
      <c r="AH600" s="769"/>
      <c r="AI600" s="769"/>
      <c r="AJ600" s="769"/>
      <c r="AK600" s="769"/>
      <c r="AL600" s="769"/>
      <c r="AM600" s="769"/>
      <c r="AN600" s="769"/>
      <c r="AO600" s="769"/>
      <c r="AP600" s="769"/>
      <c r="AQ600" s="774">
        <f>+FL_2($U$601,$T$599,$G$600,1200,12.7, 1*$F$601)</f>
        <v>-0.31099483696735103</v>
      </c>
      <c r="AR600" s="774"/>
      <c r="AS600" s="774"/>
      <c r="AT600" s="774"/>
      <c r="AU600" s="774"/>
      <c r="AV600" s="774"/>
      <c r="AW600" s="769"/>
      <c r="AX600" s="769"/>
      <c r="AY600" s="769"/>
      <c r="AZ600" s="532"/>
    </row>
    <row r="601" spans="1:52" ht="15.75" hidden="1" customHeight="1">
      <c r="A601" s="766" t="s">
        <v>2955</v>
      </c>
      <c r="B601" s="1273" t="s">
        <v>1960</v>
      </c>
      <c r="C601" s="1333">
        <f>+$C$599+$G$600</f>
        <v>45236</v>
      </c>
      <c r="D601" s="769"/>
      <c r="E601" s="769">
        <v>130</v>
      </c>
      <c r="F601" s="770">
        <v>1540</v>
      </c>
      <c r="G601" s="771"/>
      <c r="H601" s="772" t="s">
        <v>668</v>
      </c>
      <c r="I601" s="772" t="s">
        <v>2645</v>
      </c>
      <c r="J601" s="783"/>
      <c r="K601" s="769"/>
      <c r="L601" s="769" t="s">
        <v>1124</v>
      </c>
      <c r="M601" s="769" t="s">
        <v>2670</v>
      </c>
      <c r="N601" s="772" t="s">
        <v>140</v>
      </c>
      <c r="O601" s="772" t="s">
        <v>145</v>
      </c>
      <c r="P601" s="772"/>
      <c r="Q601" s="769">
        <v>131</v>
      </c>
      <c r="R601" s="769">
        <v>1540</v>
      </c>
      <c r="S601" s="769"/>
      <c r="T601" s="769">
        <v>75</v>
      </c>
      <c r="U601" s="769">
        <v>30</v>
      </c>
      <c r="V601" s="769"/>
      <c r="W601" s="769">
        <v>1.4</v>
      </c>
      <c r="X601" s="769">
        <v>2.2999999999999998</v>
      </c>
      <c r="Y601" s="769"/>
      <c r="Z601" s="774">
        <v>0.45</v>
      </c>
      <c r="AA601" s="769"/>
      <c r="AB601" s="769"/>
      <c r="AC601" s="769"/>
      <c r="AD601" s="769" t="s">
        <v>2978</v>
      </c>
      <c r="AE601" s="769"/>
      <c r="AF601" s="769">
        <v>5400</v>
      </c>
      <c r="AG601" s="1333">
        <v>45236.190999999999</v>
      </c>
      <c r="AH601" s="769">
        <v>3198</v>
      </c>
      <c r="AI601" s="769">
        <v>16</v>
      </c>
      <c r="AJ601" s="769" t="s">
        <v>3150</v>
      </c>
      <c r="AK601" s="769"/>
      <c r="AL601" s="769"/>
      <c r="AM601" s="769" t="s">
        <v>2054</v>
      </c>
      <c r="AN601" s="774">
        <v>5.5</v>
      </c>
      <c r="AO601" s="769"/>
      <c r="AP601" s="769"/>
      <c r="AQ601" s="774"/>
      <c r="AR601" s="774"/>
      <c r="AS601" s="774"/>
      <c r="AT601" s="774">
        <f>+ab($U$601,$T$599,$U$603,$G$600,$G$602, 1*$F$601,1200)</f>
        <v>4.6375216816866152</v>
      </c>
      <c r="AU601" s="774"/>
      <c r="AV601" s="774"/>
      <c r="AW601" s="769"/>
      <c r="AX601" s="769"/>
      <c r="AY601" s="769"/>
      <c r="AZ601" s="532"/>
    </row>
    <row r="602" spans="1:52" ht="15.75" hidden="1" customHeight="1">
      <c r="A602" s="766"/>
      <c r="B602" s="1273"/>
      <c r="C602" s="1333"/>
      <c r="D602" s="769"/>
      <c r="E602" s="769"/>
      <c r="F602" s="770"/>
      <c r="G602" s="771">
        <v>48</v>
      </c>
      <c r="H602" s="772"/>
      <c r="I602" s="772"/>
      <c r="J602" s="783"/>
      <c r="K602" s="769"/>
      <c r="L602" s="769"/>
      <c r="M602" s="769"/>
      <c r="N602" s="772"/>
      <c r="O602" s="772"/>
      <c r="P602" s="772"/>
      <c r="Q602" s="769"/>
      <c r="R602" s="769"/>
      <c r="S602" s="774">
        <f>AG603-AG601</f>
        <v>47.97899999999936</v>
      </c>
      <c r="T602" s="769"/>
      <c r="U602" s="769"/>
      <c r="V602" s="769"/>
      <c r="W602" s="769"/>
      <c r="X602" s="769"/>
      <c r="Y602" s="769"/>
      <c r="Z602" s="769"/>
      <c r="AA602" s="769"/>
      <c r="AB602" s="769"/>
      <c r="AC602" s="769"/>
      <c r="AD602" s="769"/>
      <c r="AE602" s="769"/>
      <c r="AF602" s="769"/>
      <c r="AG602" s="1333"/>
      <c r="AH602" s="769"/>
      <c r="AI602" s="769"/>
      <c r="AJ602" s="769"/>
      <c r="AK602" s="769"/>
      <c r="AL602" s="769"/>
      <c r="AM602" s="769"/>
      <c r="AN602" s="774"/>
      <c r="AO602" s="769"/>
      <c r="AP602" s="769"/>
      <c r="AQ602" s="774">
        <f>+FL_2($T$603,$T$601,$G$602,1200,13.16, 1*$F$603)</f>
        <v>2.725001468532684E-2</v>
      </c>
      <c r="AR602" s="774"/>
      <c r="AS602" s="774"/>
      <c r="AT602" s="774"/>
      <c r="AU602" s="774"/>
      <c r="AV602" s="774"/>
      <c r="AW602" s="769"/>
      <c r="AX602" s="769"/>
      <c r="AY602" s="769"/>
      <c r="AZ602" s="532"/>
    </row>
    <row r="603" spans="1:52" ht="15.75" hidden="1" customHeight="1">
      <c r="A603" s="766"/>
      <c r="B603" s="1273" t="s">
        <v>1961</v>
      </c>
      <c r="C603" s="1333">
        <f>+$C$601+$G$602</f>
        <v>45284</v>
      </c>
      <c r="D603" s="769"/>
      <c r="E603" s="769">
        <v>130</v>
      </c>
      <c r="F603" s="770">
        <v>1540</v>
      </c>
      <c r="G603" s="771"/>
      <c r="H603" s="772" t="s">
        <v>668</v>
      </c>
      <c r="I603" s="772"/>
      <c r="J603" s="783"/>
      <c r="K603" s="769"/>
      <c r="L603" s="769" t="s">
        <v>1120</v>
      </c>
      <c r="M603" s="769" t="s">
        <v>2670</v>
      </c>
      <c r="N603" s="772" t="s">
        <v>145</v>
      </c>
      <c r="O603" s="772" t="s">
        <v>140</v>
      </c>
      <c r="P603" s="772"/>
      <c r="Q603" s="769">
        <v>134</v>
      </c>
      <c r="R603" s="769">
        <v>1540</v>
      </c>
      <c r="S603" s="769"/>
      <c r="T603" s="769">
        <v>35</v>
      </c>
      <c r="U603" s="769">
        <v>-10</v>
      </c>
      <c r="V603" s="769"/>
      <c r="W603" s="769">
        <v>1.4</v>
      </c>
      <c r="X603" s="769">
        <v>2.2999999999999998</v>
      </c>
      <c r="Y603" s="769"/>
      <c r="Z603" s="769"/>
      <c r="AA603" s="769">
        <v>0.45</v>
      </c>
      <c r="AB603" s="769"/>
      <c r="AC603" s="769" t="s">
        <v>2978</v>
      </c>
      <c r="AD603" s="769"/>
      <c r="AE603" s="769"/>
      <c r="AF603" s="769">
        <v>5400</v>
      </c>
      <c r="AG603" s="1333">
        <v>45284.17</v>
      </c>
      <c r="AH603" s="769">
        <v>3157</v>
      </c>
      <c r="AI603" s="769">
        <v>27</v>
      </c>
      <c r="AJ603" s="769"/>
      <c r="AK603" s="769"/>
      <c r="AL603" s="769"/>
      <c r="AM603" s="769" t="s">
        <v>2054</v>
      </c>
      <c r="AN603" s="774">
        <v>5.5</v>
      </c>
      <c r="AO603" s="769"/>
      <c r="AP603" s="769"/>
      <c r="AQ603" s="774"/>
      <c r="AR603" s="774"/>
      <c r="AS603" s="774"/>
      <c r="AT603" s="774">
        <f>+ab($T$603,$T$601,$T$605,$G$602,$G$604, 1*$F$603,1200)</f>
        <v>8.8589079963515829</v>
      </c>
      <c r="AU603" s="774"/>
      <c r="AV603" s="774"/>
      <c r="AW603" s="769"/>
      <c r="AX603" s="769"/>
      <c r="AY603" s="769"/>
      <c r="AZ603" s="532"/>
    </row>
    <row r="604" spans="1:52" ht="15.75" hidden="1" customHeight="1">
      <c r="A604" s="766"/>
      <c r="B604" s="1273"/>
      <c r="C604" s="1333"/>
      <c r="D604" s="769"/>
      <c r="E604" s="769"/>
      <c r="F604" s="770"/>
      <c r="G604" s="771">
        <v>40</v>
      </c>
      <c r="H604" s="772"/>
      <c r="I604" s="772"/>
      <c r="J604" s="783"/>
      <c r="K604" s="769"/>
      <c r="L604" s="769"/>
      <c r="M604" s="769"/>
      <c r="N604" s="772"/>
      <c r="O604" s="772"/>
      <c r="P604" s="772"/>
      <c r="Q604" s="769"/>
      <c r="R604" s="769"/>
      <c r="S604" s="774">
        <f>AG605-AG603</f>
        <v>39.525000000001455</v>
      </c>
      <c r="T604" s="769"/>
      <c r="U604" s="769"/>
      <c r="V604" s="769"/>
      <c r="W604" s="769"/>
      <c r="X604" s="769"/>
      <c r="Y604" s="769"/>
      <c r="Z604" s="769"/>
      <c r="AA604" s="769"/>
      <c r="AB604" s="769"/>
      <c r="AC604" s="769"/>
      <c r="AD604" s="769"/>
      <c r="AE604" s="769"/>
      <c r="AF604" s="769"/>
      <c r="AG604" s="1333"/>
      <c r="AH604" s="769"/>
      <c r="AI604" s="769"/>
      <c r="AJ604" s="769"/>
      <c r="AK604" s="769"/>
      <c r="AL604" s="769"/>
      <c r="AM604" s="769"/>
      <c r="AN604" s="769"/>
      <c r="AO604" s="769"/>
      <c r="AP604" s="769"/>
      <c r="AQ604" s="774">
        <f>+FL_2($T$605,$T$603,$G$604,1200,13.78, 1*$F$605)</f>
        <v>-3.4976827068504149E-2</v>
      </c>
      <c r="AR604" s="774"/>
      <c r="AS604" s="774"/>
      <c r="AT604" s="774"/>
      <c r="AU604" s="774"/>
      <c r="AV604" s="774"/>
      <c r="AW604" s="769"/>
      <c r="AX604" s="769"/>
      <c r="AY604" s="769"/>
      <c r="AZ604" s="532"/>
    </row>
    <row r="605" spans="1:52" ht="15.75" hidden="1" customHeight="1">
      <c r="A605" s="766"/>
      <c r="B605" s="1273" t="s">
        <v>1962</v>
      </c>
      <c r="C605" s="1333">
        <f>+$C$603+$G$604</f>
        <v>45324</v>
      </c>
      <c r="D605" s="769"/>
      <c r="E605" s="769">
        <v>130</v>
      </c>
      <c r="F605" s="770">
        <v>1540</v>
      </c>
      <c r="G605" s="771"/>
      <c r="H605" s="772" t="s">
        <v>668</v>
      </c>
      <c r="I605" s="772"/>
      <c r="J605" s="783"/>
      <c r="K605" s="769"/>
      <c r="L605" s="769" t="s">
        <v>1124</v>
      </c>
      <c r="M605" s="769" t="s">
        <v>2670</v>
      </c>
      <c r="N605" s="772" t="s">
        <v>145</v>
      </c>
      <c r="O605" s="772" t="s">
        <v>140</v>
      </c>
      <c r="P605" s="772"/>
      <c r="Q605" s="769">
        <v>130</v>
      </c>
      <c r="R605" s="769">
        <v>1540</v>
      </c>
      <c r="S605" s="769"/>
      <c r="T605" s="769">
        <v>30</v>
      </c>
      <c r="U605" s="769">
        <v>-15</v>
      </c>
      <c r="V605" s="769"/>
      <c r="W605" s="769">
        <v>1.4</v>
      </c>
      <c r="X605" s="769">
        <v>2.2999999999999998</v>
      </c>
      <c r="Y605" s="769"/>
      <c r="Z605" s="769"/>
      <c r="AA605" s="774">
        <v>0.6</v>
      </c>
      <c r="AB605" s="769"/>
      <c r="AC605" s="769" t="s">
        <v>2978</v>
      </c>
      <c r="AD605" s="769"/>
      <c r="AE605" s="769"/>
      <c r="AF605" s="769">
        <v>5400</v>
      </c>
      <c r="AG605" s="1333">
        <v>45323.695</v>
      </c>
      <c r="AH605" s="769">
        <v>3203</v>
      </c>
      <c r="AI605" s="769">
        <v>-21</v>
      </c>
      <c r="AJ605" s="769"/>
      <c r="AK605" s="769"/>
      <c r="AL605" s="769"/>
      <c r="AM605" s="769" t="s">
        <v>2054</v>
      </c>
      <c r="AN605" s="774">
        <v>5.5</v>
      </c>
      <c r="AO605" s="769"/>
      <c r="AP605" s="769"/>
      <c r="AQ605" s="774"/>
      <c r="AR605" s="774"/>
      <c r="AS605" s="774"/>
      <c r="AT605" s="774">
        <f>+ab($T$605,$T$603,$T$607,$G$604,$G$606, 1*$F$605,1200)</f>
        <v>7.1570558924732417</v>
      </c>
      <c r="AU605" s="774"/>
      <c r="AV605" s="774"/>
      <c r="AW605" s="769"/>
      <c r="AX605" s="769"/>
      <c r="AY605" s="769"/>
      <c r="AZ605" s="532"/>
    </row>
    <row r="606" spans="1:52" ht="15.75" hidden="1" customHeight="1">
      <c r="A606" s="766"/>
      <c r="B606" s="1273"/>
      <c r="C606" s="1333"/>
      <c r="D606" s="769"/>
      <c r="E606" s="769"/>
      <c r="F606" s="770"/>
      <c r="G606" s="771">
        <v>46</v>
      </c>
      <c r="H606" s="772"/>
      <c r="I606" s="772"/>
      <c r="J606" s="783"/>
      <c r="K606" s="769"/>
      <c r="L606" s="769"/>
      <c r="M606" s="769"/>
      <c r="N606" s="772"/>
      <c r="O606" s="772"/>
      <c r="P606" s="772"/>
      <c r="Q606" s="769"/>
      <c r="R606" s="769"/>
      <c r="S606" s="774">
        <f t="shared" ref="S606" si="160">AG607-AG605</f>
        <v>45.735000000000582</v>
      </c>
      <c r="T606" s="769"/>
      <c r="U606" s="769"/>
      <c r="V606" s="769"/>
      <c r="W606" s="769"/>
      <c r="X606" s="769"/>
      <c r="Y606" s="769"/>
      <c r="Z606" s="769"/>
      <c r="AA606" s="769"/>
      <c r="AB606" s="769"/>
      <c r="AC606" s="769"/>
      <c r="AD606" s="769"/>
      <c r="AE606" s="769"/>
      <c r="AF606" s="769"/>
      <c r="AG606" s="1333"/>
      <c r="AH606" s="769"/>
      <c r="AI606" s="769"/>
      <c r="AJ606" s="769"/>
      <c r="AK606" s="769"/>
      <c r="AL606" s="769"/>
      <c r="AM606" s="769"/>
      <c r="AN606" s="774"/>
      <c r="AO606" s="769"/>
      <c r="AP606" s="769"/>
      <c r="AQ606" s="774">
        <f>+FL_1($T$607,$T$605,$G$606,1200,13.84, 1*$F$607)</f>
        <v>0.43329384119000436</v>
      </c>
      <c r="AR606" s="774"/>
      <c r="AS606" s="774"/>
      <c r="AT606" s="774"/>
      <c r="AU606" s="774"/>
      <c r="AV606" s="774"/>
      <c r="AW606" s="769"/>
      <c r="AX606" s="769"/>
      <c r="AY606" s="769"/>
      <c r="AZ606" s="532"/>
    </row>
    <row r="607" spans="1:52" ht="15.75" hidden="1" customHeight="1">
      <c r="A607" s="766"/>
      <c r="B607" s="1273" t="s">
        <v>1963</v>
      </c>
      <c r="C607" s="1333">
        <f>+$C$605+$G$606</f>
        <v>45370</v>
      </c>
      <c r="D607" s="769"/>
      <c r="E607" s="769">
        <v>130</v>
      </c>
      <c r="F607" s="770">
        <v>1540</v>
      </c>
      <c r="G607" s="771"/>
      <c r="H607" s="772" t="s">
        <v>138</v>
      </c>
      <c r="I607" s="772" t="s">
        <v>2831</v>
      </c>
      <c r="J607" s="783"/>
      <c r="K607" s="769"/>
      <c r="L607" s="769" t="s">
        <v>2710</v>
      </c>
      <c r="M607" s="769" t="s">
        <v>2671</v>
      </c>
      <c r="N607" s="772" t="s">
        <v>145</v>
      </c>
      <c r="O607" s="772"/>
      <c r="P607" s="772"/>
      <c r="Q607" s="769">
        <v>130</v>
      </c>
      <c r="R607" s="769">
        <v>1540</v>
      </c>
      <c r="S607" s="769"/>
      <c r="T607" s="769">
        <v>30</v>
      </c>
      <c r="U607" s="769"/>
      <c r="V607" s="769"/>
      <c r="W607" s="769">
        <v>1.4</v>
      </c>
      <c r="X607" s="769"/>
      <c r="Y607" s="769"/>
      <c r="Z607" s="769"/>
      <c r="AA607" s="769"/>
      <c r="AB607" s="769"/>
      <c r="AC607" s="769" t="s">
        <v>2978</v>
      </c>
      <c r="AD607" s="769"/>
      <c r="AE607" s="769"/>
      <c r="AF607" s="769">
        <v>5400</v>
      </c>
      <c r="AG607" s="1333">
        <v>45369.43</v>
      </c>
      <c r="AH607" s="769">
        <v>3118</v>
      </c>
      <c r="AI607" s="769">
        <v>450</v>
      </c>
      <c r="AJ607" s="769"/>
      <c r="AK607" s="769"/>
      <c r="AL607" s="769"/>
      <c r="AM607" s="769" t="s">
        <v>2054</v>
      </c>
      <c r="AN607" s="774">
        <v>5.5</v>
      </c>
      <c r="AO607" s="769"/>
      <c r="AP607" s="769"/>
      <c r="AQ607" s="774"/>
      <c r="AR607" s="774"/>
      <c r="AS607" s="774"/>
      <c r="AT607" s="774">
        <f>+ab($T$607,$T$605,$T$609,$G$606,$G$608, 1*$F$607,1200)</f>
        <v>6.9194502236168063</v>
      </c>
      <c r="AU607" s="774"/>
      <c r="AV607" s="774"/>
      <c r="AW607" s="769"/>
      <c r="AX607" s="769"/>
      <c r="AY607" s="769"/>
      <c r="AZ607" s="532"/>
    </row>
    <row r="608" spans="1:52" ht="15.75" hidden="1" customHeight="1">
      <c r="A608" s="766"/>
      <c r="B608" s="1273"/>
      <c r="C608" s="1333"/>
      <c r="D608" s="769"/>
      <c r="E608" s="769"/>
      <c r="F608" s="770"/>
      <c r="G608" s="771">
        <v>39</v>
      </c>
      <c r="H608" s="772"/>
      <c r="I608" s="772"/>
      <c r="J608" s="783"/>
      <c r="K608" s="769"/>
      <c r="L608" s="769"/>
      <c r="M608" s="769"/>
      <c r="N608" s="772"/>
      <c r="O608" s="772"/>
      <c r="P608" s="772"/>
      <c r="Q608" s="769"/>
      <c r="R608" s="769"/>
      <c r="S608" s="774">
        <f t="shared" ref="S608" si="161">AG609-AG607</f>
        <v>38.784999999996217</v>
      </c>
      <c r="T608" s="769"/>
      <c r="U608" s="769"/>
      <c r="V608" s="769"/>
      <c r="W608" s="769"/>
      <c r="X608" s="769"/>
      <c r="Y608" s="769"/>
      <c r="Z608" s="769"/>
      <c r="AA608" s="769"/>
      <c r="AB608" s="769"/>
      <c r="AC608" s="769"/>
      <c r="AD608" s="769"/>
      <c r="AE608" s="769"/>
      <c r="AF608" s="769"/>
      <c r="AG608" s="1333"/>
      <c r="AH608" s="769"/>
      <c r="AI608" s="769"/>
      <c r="AJ608" s="769"/>
      <c r="AK608" s="769"/>
      <c r="AL608" s="769"/>
      <c r="AM608" s="769"/>
      <c r="AN608" s="769"/>
      <c r="AO608" s="769"/>
      <c r="AP608" s="769"/>
      <c r="AQ608" s="774">
        <f>+FL_1($T$609,$T$607,$G$608,1200,15.09, 1*$F$609)</f>
        <v>0.41561944625043168</v>
      </c>
      <c r="AR608" s="774"/>
      <c r="AS608" s="774"/>
      <c r="AT608" s="774"/>
      <c r="AU608" s="774"/>
      <c r="AV608" s="774"/>
      <c r="AW608" s="769"/>
      <c r="AX608" s="769"/>
      <c r="AY608" s="769"/>
      <c r="AZ608" s="532"/>
    </row>
    <row r="609" spans="1:52" ht="15.75" hidden="1" customHeight="1">
      <c r="A609" s="766"/>
      <c r="B609" s="1273" t="s">
        <v>1964</v>
      </c>
      <c r="C609" s="1333">
        <f>+$C$607+$G$608</f>
        <v>45409</v>
      </c>
      <c r="D609" s="769"/>
      <c r="E609" s="769">
        <v>130</v>
      </c>
      <c r="F609" s="770">
        <v>1540</v>
      </c>
      <c r="G609" s="771"/>
      <c r="H609" s="772"/>
      <c r="I609" s="772"/>
      <c r="J609" s="783"/>
      <c r="K609" s="769"/>
      <c r="L609" s="769" t="s">
        <v>1120</v>
      </c>
      <c r="M609" s="769" t="s">
        <v>2670</v>
      </c>
      <c r="N609" s="772" t="s">
        <v>145</v>
      </c>
      <c r="O609" s="772"/>
      <c r="P609" s="772"/>
      <c r="Q609" s="769">
        <v>130</v>
      </c>
      <c r="R609" s="769">
        <v>1540</v>
      </c>
      <c r="S609" s="769"/>
      <c r="T609" s="769">
        <v>30</v>
      </c>
      <c r="U609" s="769"/>
      <c r="V609" s="769"/>
      <c r="W609" s="769">
        <v>1.4</v>
      </c>
      <c r="X609" s="769"/>
      <c r="Y609" s="769"/>
      <c r="Z609" s="769"/>
      <c r="AA609" s="769"/>
      <c r="AB609" s="769"/>
      <c r="AC609" s="769" t="s">
        <v>2978</v>
      </c>
      <c r="AD609" s="769"/>
      <c r="AE609" s="769"/>
      <c r="AF609" s="769">
        <v>5400</v>
      </c>
      <c r="AG609" s="1333">
        <v>45408.214999999997</v>
      </c>
      <c r="AH609" s="769">
        <v>3151</v>
      </c>
      <c r="AI609" s="769">
        <v>5</v>
      </c>
      <c r="AJ609" s="769"/>
      <c r="AK609" s="769"/>
      <c r="AL609" s="769"/>
      <c r="AM609" s="769" t="s">
        <v>2054</v>
      </c>
      <c r="AN609" s="774">
        <v>5.5</v>
      </c>
      <c r="AO609" s="769"/>
      <c r="AP609" s="769"/>
      <c r="AQ609" s="774"/>
      <c r="AR609" s="774"/>
      <c r="AS609" s="774"/>
      <c r="AT609" s="774">
        <f>+ab($T$609,$T$607,$T$611,$G$608,$G$610, 1*$F$609,1200)</f>
        <v>7.3473270667886137</v>
      </c>
      <c r="AU609" s="774"/>
      <c r="AV609" s="774"/>
      <c r="AW609" s="769"/>
      <c r="AX609" s="769"/>
      <c r="AY609" s="769"/>
      <c r="AZ609" s="532"/>
    </row>
    <row r="610" spans="1:52" ht="15.75" hidden="1" customHeight="1">
      <c r="A610" s="766"/>
      <c r="B610" s="1273"/>
      <c r="C610" s="1333"/>
      <c r="D610" s="769"/>
      <c r="E610" s="769"/>
      <c r="F610" s="770"/>
      <c r="G610" s="771">
        <v>41</v>
      </c>
      <c r="H610" s="772"/>
      <c r="I610" s="772"/>
      <c r="J610" s="783"/>
      <c r="K610" s="769"/>
      <c r="L610" s="769"/>
      <c r="M610" s="769"/>
      <c r="N610" s="772"/>
      <c r="O610" s="772"/>
      <c r="P610" s="772"/>
      <c r="Q610" s="769"/>
      <c r="R610" s="769"/>
      <c r="S610" s="774">
        <f>AG611-AG609</f>
        <v>41.528000000005704</v>
      </c>
      <c r="T610" s="769"/>
      <c r="U610" s="769"/>
      <c r="V610" s="769"/>
      <c r="W610" s="769"/>
      <c r="X610" s="769"/>
      <c r="Y610" s="769"/>
      <c r="Z610" s="769"/>
      <c r="AA610" s="769"/>
      <c r="AB610" s="769"/>
      <c r="AC610" s="769"/>
      <c r="AD610" s="769"/>
      <c r="AE610" s="769"/>
      <c r="AF610" s="769"/>
      <c r="AG610" s="1333"/>
      <c r="AH610" s="769"/>
      <c r="AI610" s="769"/>
      <c r="AJ610" s="769"/>
      <c r="AK610" s="769"/>
      <c r="AL610" s="769"/>
      <c r="AM610" s="769"/>
      <c r="AN610" s="774"/>
      <c r="AO610" s="769"/>
      <c r="AP610" s="769"/>
      <c r="AQ610" s="774">
        <f>+FL_1($T$611,$T$609,$G$610,1200,14.8, 1*$F$611)</f>
        <v>0.42270331639579073</v>
      </c>
      <c r="AR610" s="774"/>
      <c r="AS610" s="774"/>
      <c r="AT610" s="774"/>
      <c r="AU610" s="774"/>
      <c r="AV610" s="774"/>
      <c r="AW610" s="769"/>
      <c r="AX610" s="769"/>
      <c r="AY610" s="769"/>
      <c r="AZ610" s="532"/>
    </row>
    <row r="611" spans="1:52" ht="15.75" hidden="1" customHeight="1">
      <c r="A611" s="766"/>
      <c r="B611" s="1273" t="s">
        <v>1965</v>
      </c>
      <c r="C611" s="1333">
        <f>+$C$609+$G$610</f>
        <v>45450</v>
      </c>
      <c r="D611" s="769"/>
      <c r="E611" s="769">
        <v>130</v>
      </c>
      <c r="F611" s="770">
        <v>1540</v>
      </c>
      <c r="G611" s="771"/>
      <c r="H611" s="772"/>
      <c r="I611" s="772"/>
      <c r="J611" s="783"/>
      <c r="K611" s="769"/>
      <c r="L611" s="769" t="s">
        <v>1120</v>
      </c>
      <c r="M611" s="769" t="s">
        <v>2670</v>
      </c>
      <c r="N611" s="772" t="s">
        <v>145</v>
      </c>
      <c r="O611" s="772"/>
      <c r="P611" s="772"/>
      <c r="Q611" s="769">
        <v>131</v>
      </c>
      <c r="R611" s="769">
        <v>1540</v>
      </c>
      <c r="S611" s="769"/>
      <c r="T611" s="769">
        <v>30</v>
      </c>
      <c r="U611" s="769"/>
      <c r="V611" s="769"/>
      <c r="W611" s="769">
        <v>1.4</v>
      </c>
      <c r="X611" s="769"/>
      <c r="Y611" s="769"/>
      <c r="Z611" s="769"/>
      <c r="AA611" s="769"/>
      <c r="AB611" s="769"/>
      <c r="AC611" s="769" t="s">
        <v>2978</v>
      </c>
      <c r="AD611" s="769"/>
      <c r="AE611" s="769"/>
      <c r="AF611" s="769">
        <v>5400</v>
      </c>
      <c r="AG611" s="1333">
        <v>45449.743000000002</v>
      </c>
      <c r="AH611" s="769">
        <v>3186</v>
      </c>
      <c r="AI611" s="769">
        <v>-22</v>
      </c>
      <c r="AJ611" s="769"/>
      <c r="AK611" s="769"/>
      <c r="AL611" s="769"/>
      <c r="AM611" s="769" t="s">
        <v>2054</v>
      </c>
      <c r="AN611" s="774">
        <v>5.5</v>
      </c>
      <c r="AO611" s="769"/>
      <c r="AP611" s="769"/>
      <c r="AQ611" s="774"/>
      <c r="AR611" s="774"/>
      <c r="AS611" s="774"/>
      <c r="AT611" s="774">
        <f>+ab($T$611,$T$609,$T$613,$G$610,$G$612, 1*$F$611,1200)</f>
        <v>7.0845093190172417</v>
      </c>
      <c r="AU611" s="774"/>
      <c r="AV611" s="774"/>
      <c r="AW611" s="769"/>
      <c r="AX611" s="769"/>
      <c r="AY611" s="769"/>
      <c r="AZ611" s="532"/>
    </row>
    <row r="612" spans="1:52" ht="15.75" hidden="1" customHeight="1">
      <c r="A612" s="766"/>
      <c r="B612" s="1273"/>
      <c r="C612" s="1333"/>
      <c r="D612" s="769"/>
      <c r="E612" s="769"/>
      <c r="F612" s="770"/>
      <c r="G612" s="771">
        <v>42</v>
      </c>
      <c r="H612" s="772"/>
      <c r="I612" s="772"/>
      <c r="J612" s="783"/>
      <c r="K612" s="769"/>
      <c r="L612" s="769"/>
      <c r="M612" s="769"/>
      <c r="N612" s="772"/>
      <c r="O612" s="772"/>
      <c r="P612" s="772"/>
      <c r="Q612" s="769"/>
      <c r="R612" s="769"/>
      <c r="S612" s="774">
        <f t="shared" ref="S612" si="162">AG613-AG611</f>
        <v>41.533999999999651</v>
      </c>
      <c r="T612" s="769"/>
      <c r="U612" s="769"/>
      <c r="V612" s="769"/>
      <c r="W612" s="769"/>
      <c r="X612" s="769"/>
      <c r="Y612" s="769"/>
      <c r="Z612" s="769"/>
      <c r="AA612" s="769"/>
      <c r="AB612" s="769"/>
      <c r="AC612" s="769"/>
      <c r="AD612" s="769"/>
      <c r="AE612" s="769"/>
      <c r="AF612" s="769"/>
      <c r="AG612" s="1333"/>
      <c r="AH612" s="769"/>
      <c r="AI612" s="769"/>
      <c r="AJ612" s="769"/>
      <c r="AK612" s="769"/>
      <c r="AL612" s="769"/>
      <c r="AM612" s="769"/>
      <c r="AN612" s="769"/>
      <c r="AO612" s="769"/>
      <c r="AP612" s="769"/>
      <c r="AQ612" s="774">
        <f>+FL_1($T$613,$T$611,$G$612,1200,15, 1*$F$613)</f>
        <v>0.4512785351380989</v>
      </c>
      <c r="AR612" s="774"/>
      <c r="AS612" s="774"/>
      <c r="AT612" s="774"/>
      <c r="AU612" s="774"/>
      <c r="AV612" s="774"/>
      <c r="AW612" s="769"/>
      <c r="AX612" s="769"/>
      <c r="AY612" s="769"/>
      <c r="AZ612" s="532"/>
    </row>
    <row r="613" spans="1:52" ht="15.75" hidden="1" customHeight="1">
      <c r="A613" s="766"/>
      <c r="B613" s="1273" t="s">
        <v>1966</v>
      </c>
      <c r="C613" s="1333">
        <f>+$C$611+$G$612</f>
        <v>45492</v>
      </c>
      <c r="D613" s="769"/>
      <c r="E613" s="769"/>
      <c r="F613" s="770">
        <f>292600/(45657-C613)</f>
        <v>1773.3333333333333</v>
      </c>
      <c r="G613" s="771"/>
      <c r="H613" s="772"/>
      <c r="I613" s="772"/>
      <c r="J613" s="783"/>
      <c r="K613" s="769"/>
      <c r="L613" s="769" t="s">
        <v>1120</v>
      </c>
      <c r="M613" s="769" t="s">
        <v>2670</v>
      </c>
      <c r="N613" s="772" t="s">
        <v>145</v>
      </c>
      <c r="O613" s="772"/>
      <c r="P613" s="772"/>
      <c r="Q613" s="769">
        <v>113</v>
      </c>
      <c r="R613" s="769">
        <v>1757.98</v>
      </c>
      <c r="S613" s="769"/>
      <c r="T613" s="769">
        <v>30</v>
      </c>
      <c r="U613" s="769"/>
      <c r="V613" s="769"/>
      <c r="W613" s="769">
        <v>1.4</v>
      </c>
      <c r="X613" s="769"/>
      <c r="Y613" s="769"/>
      <c r="Z613" s="769"/>
      <c r="AA613" s="769"/>
      <c r="AB613" s="769"/>
      <c r="AC613" s="769" t="s">
        <v>2978</v>
      </c>
      <c r="AD613" s="769"/>
      <c r="AE613" s="769"/>
      <c r="AF613" s="769">
        <v>5400</v>
      </c>
      <c r="AG613" s="1333">
        <v>45491.277000000002</v>
      </c>
      <c r="AH613" s="769">
        <v>3196</v>
      </c>
      <c r="AI613" s="769">
        <v>35</v>
      </c>
      <c r="AJ613" s="769"/>
      <c r="AK613" s="769"/>
      <c r="AL613" s="769"/>
      <c r="AM613" s="769" t="s">
        <v>2054</v>
      </c>
      <c r="AN613" s="774">
        <v>5.5</v>
      </c>
      <c r="AO613" s="769"/>
      <c r="AP613" s="769"/>
      <c r="AQ613" s="774"/>
      <c r="AR613" s="774"/>
      <c r="AS613" s="774"/>
      <c r="AT613" s="774">
        <f>+ab($T$613,$T$611,$T$615,$G$612,$G$614, 1*$F$613,1200)</f>
        <v>7.3846545295215957</v>
      </c>
      <c r="AU613" s="774"/>
      <c r="AV613" s="774"/>
      <c r="AW613" s="769"/>
      <c r="AX613" s="769"/>
      <c r="AY613" s="769"/>
      <c r="AZ613" s="532"/>
    </row>
    <row r="614" spans="1:52" ht="15.75" hidden="1" customHeight="1">
      <c r="A614" s="766"/>
      <c r="B614" s="1273"/>
      <c r="C614" s="1333"/>
      <c r="D614" s="769"/>
      <c r="E614" s="769"/>
      <c r="F614" s="770"/>
      <c r="G614" s="771">
        <v>41</v>
      </c>
      <c r="H614" s="772"/>
      <c r="I614" s="772"/>
      <c r="J614" s="783"/>
      <c r="K614" s="769"/>
      <c r="L614" s="769"/>
      <c r="M614" s="769"/>
      <c r="N614" s="772"/>
      <c r="O614" s="772"/>
      <c r="P614" s="772"/>
      <c r="Q614" s="769"/>
      <c r="R614" s="769"/>
      <c r="S614" s="774">
        <f t="shared" ref="S614" si="163">AG615-AG613</f>
        <v>41.523000000001048</v>
      </c>
      <c r="T614" s="769"/>
      <c r="U614" s="769"/>
      <c r="V614" s="769"/>
      <c r="W614" s="769"/>
      <c r="X614" s="769"/>
      <c r="Y614" s="769"/>
      <c r="Z614" s="769"/>
      <c r="AA614" s="769"/>
      <c r="AB614" s="769"/>
      <c r="AC614" s="769"/>
      <c r="AD614" s="769"/>
      <c r="AE614" s="769"/>
      <c r="AF614" s="769"/>
      <c r="AG614" s="1333"/>
      <c r="AH614" s="769"/>
      <c r="AI614" s="769"/>
      <c r="AJ614" s="769"/>
      <c r="AK614" s="769"/>
      <c r="AL614" s="769"/>
      <c r="AM614" s="769"/>
      <c r="AN614" s="774"/>
      <c r="AO614" s="769"/>
      <c r="AP614" s="769"/>
      <c r="AQ614" s="774">
        <f>+FL_1($T$615,$T$613,$G$614,1200,15.63, 1*$F$615)</f>
        <v>0.43802296881543556</v>
      </c>
      <c r="AR614" s="774"/>
      <c r="AS614" s="774"/>
      <c r="AT614" s="774"/>
      <c r="AU614" s="774"/>
      <c r="AV614" s="774"/>
      <c r="AW614" s="769"/>
      <c r="AX614" s="769"/>
      <c r="AY614" s="769"/>
      <c r="AZ614" s="532"/>
    </row>
    <row r="615" spans="1:52" ht="15.75" hidden="1" customHeight="1">
      <c r="A615" s="766"/>
      <c r="B615" s="1273" t="s">
        <v>1967</v>
      </c>
      <c r="C615" s="1333">
        <f>+$C$613+$G$614</f>
        <v>45533</v>
      </c>
      <c r="D615" s="769"/>
      <c r="E615" s="769"/>
      <c r="F615" s="770">
        <f t="shared" ref="F615" si="164">292600/(45657-C615)</f>
        <v>2359.6774193548385</v>
      </c>
      <c r="G615" s="771"/>
      <c r="H615" s="772"/>
      <c r="I615" s="772"/>
      <c r="J615" s="783"/>
      <c r="K615" s="769"/>
      <c r="L615" s="769" t="s">
        <v>1120</v>
      </c>
      <c r="M615" s="769" t="s">
        <v>2670</v>
      </c>
      <c r="N615" s="772" t="s">
        <v>145</v>
      </c>
      <c r="O615" s="772"/>
      <c r="P615" s="772"/>
      <c r="Q615" s="769">
        <v>85</v>
      </c>
      <c r="R615" s="769">
        <v>2342.2800000000002</v>
      </c>
      <c r="S615" s="769"/>
      <c r="T615" s="769">
        <v>20</v>
      </c>
      <c r="U615" s="769"/>
      <c r="V615" s="769"/>
      <c r="W615" s="769">
        <v>1.4</v>
      </c>
      <c r="X615" s="769"/>
      <c r="Y615" s="769"/>
      <c r="Z615" s="769"/>
      <c r="AA615" s="769"/>
      <c r="AB615" s="769"/>
      <c r="AC615" s="769" t="s">
        <v>2616</v>
      </c>
      <c r="AD615" s="769"/>
      <c r="AE615" s="769"/>
      <c r="AF615" s="769">
        <v>5400</v>
      </c>
      <c r="AG615" s="1333">
        <v>45532.800000000003</v>
      </c>
      <c r="AH615" s="769">
        <v>3230</v>
      </c>
      <c r="AI615" s="769">
        <v>65</v>
      </c>
      <c r="AJ615" s="769"/>
      <c r="AK615" s="769"/>
      <c r="AL615" s="769"/>
      <c r="AM615" s="769" t="s">
        <v>2054</v>
      </c>
      <c r="AN615" s="774">
        <v>5.5</v>
      </c>
      <c r="AO615" s="769"/>
      <c r="AP615" s="769"/>
      <c r="AQ615" s="774"/>
      <c r="AR615" s="774"/>
      <c r="AS615" s="774"/>
      <c r="AT615" s="774">
        <f>+ab($T$615,$T$613,$T$617,$G$614,$G$616, 1*$F$615,1200)</f>
        <v>12.552225591694974</v>
      </c>
      <c r="AU615" s="774"/>
      <c r="AV615" s="774"/>
      <c r="AW615" s="769"/>
      <c r="AX615" s="769"/>
      <c r="AY615" s="769"/>
      <c r="AZ615" s="532"/>
    </row>
    <row r="616" spans="1:52" ht="15.75" hidden="1" customHeight="1">
      <c r="A616" s="766"/>
      <c r="B616" s="1273"/>
      <c r="C616" s="1333"/>
      <c r="D616" s="769"/>
      <c r="E616" s="769"/>
      <c r="F616" s="770"/>
      <c r="G616" s="771">
        <v>41.5</v>
      </c>
      <c r="H616" s="772"/>
      <c r="I616" s="772"/>
      <c r="J616" s="783"/>
      <c r="K616" s="769"/>
      <c r="L616" s="769"/>
      <c r="M616" s="769"/>
      <c r="N616" s="772"/>
      <c r="O616" s="772"/>
      <c r="P616" s="772"/>
      <c r="Q616" s="769"/>
      <c r="R616" s="769"/>
      <c r="S616" s="774">
        <f t="shared" ref="S616" si="165">AG617-AG615</f>
        <v>41.444999999999709</v>
      </c>
      <c r="T616" s="769"/>
      <c r="U616" s="769"/>
      <c r="V616" s="769"/>
      <c r="W616" s="769"/>
      <c r="X616" s="769"/>
      <c r="Y616" s="769"/>
      <c r="Z616" s="769"/>
      <c r="AA616" s="769"/>
      <c r="AB616" s="769"/>
      <c r="AC616" s="769"/>
      <c r="AD616" s="769"/>
      <c r="AE616" s="769"/>
      <c r="AF616" s="769"/>
      <c r="AG616" s="1333"/>
      <c r="AH616" s="769"/>
      <c r="AI616" s="769"/>
      <c r="AJ616" s="769"/>
      <c r="AK616" s="769"/>
      <c r="AL616" s="769"/>
      <c r="AM616" s="769"/>
      <c r="AN616" s="769"/>
      <c r="AO616" s="769"/>
      <c r="AP616" s="769"/>
      <c r="AQ616" s="774">
        <f>+FL_1($T$617,$T$615,$G$616,1200,15.97, 1*$F$617)</f>
        <v>0.42580334354566712</v>
      </c>
      <c r="AR616" s="774"/>
      <c r="AS616" s="774"/>
      <c r="AT616" s="774"/>
      <c r="AU616" s="774"/>
      <c r="AV616" s="774"/>
      <c r="AW616" s="769"/>
      <c r="AX616" s="769"/>
      <c r="AY616" s="769"/>
      <c r="AZ616" s="532"/>
    </row>
    <row r="617" spans="1:52" ht="15.75" hidden="1" customHeight="1">
      <c r="A617" s="766"/>
      <c r="B617" s="1273" t="s">
        <v>1968</v>
      </c>
      <c r="C617" s="1333">
        <f>+$C$615+$G$616</f>
        <v>45574.5</v>
      </c>
      <c r="D617" s="769"/>
      <c r="E617" s="769"/>
      <c r="F617" s="770">
        <f t="shared" ref="F617" si="166">292600/(45657-C617)</f>
        <v>3546.6666666666665</v>
      </c>
      <c r="G617" s="771"/>
      <c r="H617" s="772"/>
      <c r="I617" s="772"/>
      <c r="J617" s="783"/>
      <c r="K617" s="769"/>
      <c r="L617" s="769" t="s">
        <v>1118</v>
      </c>
      <c r="M617" s="769" t="s">
        <v>2670</v>
      </c>
      <c r="N617" s="772" t="s">
        <v>145</v>
      </c>
      <c r="O617" s="772"/>
      <c r="P617" s="772"/>
      <c r="Q617" s="769">
        <v>58</v>
      </c>
      <c r="R617" s="769">
        <v>3505.41</v>
      </c>
      <c r="S617" s="769"/>
      <c r="T617" s="769">
        <v>20</v>
      </c>
      <c r="U617" s="769"/>
      <c r="V617" s="769"/>
      <c r="W617" s="769">
        <v>1.4</v>
      </c>
      <c r="X617" s="769"/>
      <c r="Y617" s="769"/>
      <c r="Z617" s="769"/>
      <c r="AA617" s="769"/>
      <c r="AB617" s="769"/>
      <c r="AC617" s="769" t="s">
        <v>2616</v>
      </c>
      <c r="AD617" s="769"/>
      <c r="AE617" s="769"/>
      <c r="AF617" s="769">
        <v>5400</v>
      </c>
      <c r="AG617" s="1333">
        <v>45574.245000000003</v>
      </c>
      <c r="AH617" s="769">
        <v>3201</v>
      </c>
      <c r="AI617" s="769">
        <v>-18</v>
      </c>
      <c r="AJ617" s="769"/>
      <c r="AK617" s="769"/>
      <c r="AL617" s="769"/>
      <c r="AM617" s="769" t="s">
        <v>2054</v>
      </c>
      <c r="AN617" s="774">
        <v>5.5</v>
      </c>
      <c r="AO617" s="769"/>
      <c r="AP617" s="769"/>
      <c r="AQ617" s="774"/>
      <c r="AR617" s="774"/>
      <c r="AS617" s="774"/>
      <c r="AT617" s="774">
        <f>+ab($T$617,$T$615,$T$619,$G$616,$G$618, 1*$F$617,1200)</f>
        <v>15.88165385199842</v>
      </c>
      <c r="AU617" s="774"/>
      <c r="AV617" s="774"/>
      <c r="AW617" s="769"/>
      <c r="AX617" s="769"/>
      <c r="AY617" s="769"/>
      <c r="AZ617" s="532"/>
    </row>
    <row r="618" spans="1:52" ht="15.75" hidden="1" customHeight="1">
      <c r="A618" s="766"/>
      <c r="B618" s="1273"/>
      <c r="C618" s="1333"/>
      <c r="D618" s="769"/>
      <c r="E618" s="769"/>
      <c r="F618" s="770"/>
      <c r="G618" s="771">
        <v>42</v>
      </c>
      <c r="H618" s="772"/>
      <c r="I618" s="772"/>
      <c r="J618" s="783"/>
      <c r="K618" s="769"/>
      <c r="L618" s="769"/>
      <c r="M618" s="769"/>
      <c r="N618" s="772"/>
      <c r="O618" s="772"/>
      <c r="P618" s="772"/>
      <c r="Q618" s="769"/>
      <c r="R618" s="769"/>
      <c r="S618" s="774">
        <f t="shared" ref="S618:S626" si="167">AG619-AG617</f>
        <v>41.980999999999767</v>
      </c>
      <c r="T618" s="769"/>
      <c r="U618" s="769"/>
      <c r="V618" s="769"/>
      <c r="W618" s="769"/>
      <c r="X618" s="769"/>
      <c r="Y618" s="769"/>
      <c r="Z618" s="769"/>
      <c r="AA618" s="769"/>
      <c r="AB618" s="769"/>
      <c r="AC618" s="769"/>
      <c r="AD618" s="769"/>
      <c r="AE618" s="769"/>
      <c r="AF618" s="769"/>
      <c r="AG618" s="1333"/>
      <c r="AH618" s="769"/>
      <c r="AI618" s="769"/>
      <c r="AJ618" s="769"/>
      <c r="AK618" s="769"/>
      <c r="AL618" s="769"/>
      <c r="AM618" s="769"/>
      <c r="AN618" s="774"/>
      <c r="AO618" s="769"/>
      <c r="AP618" s="769"/>
      <c r="AQ618" s="774">
        <f>+FL_1($T$619,$T$617,$G$618,1200,16.2, 1*$F$619)</f>
        <v>0.46715460060515468</v>
      </c>
      <c r="AR618" s="774"/>
      <c r="AS618" s="774"/>
      <c r="AT618" s="774"/>
      <c r="AU618" s="774"/>
      <c r="AV618" s="774"/>
      <c r="AW618" s="769"/>
      <c r="AX618" s="769"/>
      <c r="AY618" s="769"/>
      <c r="AZ618" s="532"/>
    </row>
    <row r="619" spans="1:52" ht="15.75" hidden="1" customHeight="1">
      <c r="A619" s="766"/>
      <c r="B619" s="1273" t="s">
        <v>1969</v>
      </c>
      <c r="C619" s="1333">
        <f>+$C$617+$G$618</f>
        <v>45616.5</v>
      </c>
      <c r="D619" s="769"/>
      <c r="E619" s="769"/>
      <c r="F619" s="770">
        <f t="shared" ref="F619" si="168">292600/(45657-C619)</f>
        <v>7224.691358024691</v>
      </c>
      <c r="G619" s="771"/>
      <c r="H619" s="772"/>
      <c r="I619" s="772"/>
      <c r="J619" s="783"/>
      <c r="K619" s="769"/>
      <c r="L619" s="769" t="s">
        <v>1118</v>
      </c>
      <c r="M619" s="769" t="s">
        <v>2671</v>
      </c>
      <c r="N619" s="772" t="s">
        <v>145</v>
      </c>
      <c r="O619" s="772"/>
      <c r="P619" s="772"/>
      <c r="Q619" s="769">
        <v>29</v>
      </c>
      <c r="R619" s="769">
        <v>7052.13</v>
      </c>
      <c r="S619" s="769"/>
      <c r="T619" s="769">
        <v>20</v>
      </c>
      <c r="U619" s="769"/>
      <c r="V619" s="769"/>
      <c r="W619" s="769">
        <v>1.4</v>
      </c>
      <c r="X619" s="769"/>
      <c r="Y619" s="769"/>
      <c r="Z619" s="769"/>
      <c r="AA619" s="769"/>
      <c r="AB619" s="769"/>
      <c r="AC619" s="769" t="s">
        <v>2616</v>
      </c>
      <c r="AD619" s="769"/>
      <c r="AE619" s="769"/>
      <c r="AF619" s="769">
        <v>5400</v>
      </c>
      <c r="AG619" s="1333">
        <v>45616.226000000002</v>
      </c>
      <c r="AH619" s="769">
        <v>3218</v>
      </c>
      <c r="AI619" s="769">
        <v>5</v>
      </c>
      <c r="AJ619" s="769"/>
      <c r="AK619" s="769"/>
      <c r="AL619" s="769"/>
      <c r="AM619" s="769" t="s">
        <v>2054</v>
      </c>
      <c r="AN619" s="774">
        <v>5.5</v>
      </c>
      <c r="AO619" s="769"/>
      <c r="AP619" s="769"/>
      <c r="AQ619" s="774"/>
      <c r="AR619" s="774"/>
      <c r="AS619" s="774"/>
      <c r="AT619" s="774">
        <f>+ab($T$619,$T$617,$T$621,$G$618,$G$620, 1*$F$619,1200)</f>
        <v>10.640141826312693</v>
      </c>
      <c r="AU619" s="774"/>
      <c r="AV619" s="774"/>
      <c r="AW619" s="769"/>
      <c r="AX619" s="769"/>
      <c r="AY619" s="769"/>
      <c r="AZ619" s="532"/>
    </row>
    <row r="620" spans="1:52" ht="15.75" hidden="1" customHeight="1">
      <c r="A620" s="766"/>
      <c r="B620" s="1273"/>
      <c r="C620" s="1333"/>
      <c r="D620" s="769"/>
      <c r="E620" s="769"/>
      <c r="F620" s="770"/>
      <c r="G620" s="771">
        <v>41.5</v>
      </c>
      <c r="H620" s="772"/>
      <c r="I620" s="772"/>
      <c r="J620" s="783"/>
      <c r="K620" s="769"/>
      <c r="L620" s="769"/>
      <c r="M620" s="769"/>
      <c r="N620" s="772"/>
      <c r="O620" s="772"/>
      <c r="P620" s="772"/>
      <c r="Q620" s="769"/>
      <c r="R620" s="769"/>
      <c r="S620" s="774">
        <f t="shared" si="167"/>
        <v>41.434000000001106</v>
      </c>
      <c r="T620" s="769"/>
      <c r="U620" s="769"/>
      <c r="V620" s="769"/>
      <c r="W620" s="769"/>
      <c r="X620" s="769"/>
      <c r="Y620" s="769"/>
      <c r="Z620" s="769"/>
      <c r="AA620" s="769"/>
      <c r="AB620" s="769"/>
      <c r="AC620" s="769"/>
      <c r="AD620" s="769"/>
      <c r="AE620" s="769"/>
      <c r="AF620" s="769"/>
      <c r="AG620" s="1333"/>
      <c r="AH620" s="769"/>
      <c r="AI620" s="769"/>
      <c r="AJ620" s="769"/>
      <c r="AK620" s="769"/>
      <c r="AL620" s="769"/>
      <c r="AM620" s="769"/>
      <c r="AN620" s="769"/>
      <c r="AO620" s="769"/>
      <c r="AP620" s="769"/>
      <c r="AQ620" s="774">
        <f>+FL_2($T$621,$T$619,$G$620,1200,15.72, 1*$F$621)</f>
        <v>-0.3874226109939759</v>
      </c>
      <c r="AR620" s="774"/>
      <c r="AS620" s="774"/>
      <c r="AT620" s="774"/>
      <c r="AU620" s="774"/>
      <c r="AV620" s="774"/>
      <c r="AW620" s="769"/>
      <c r="AX620" s="769"/>
      <c r="AY620" s="769"/>
      <c r="AZ620" s="532"/>
    </row>
    <row r="621" spans="1:52" ht="15.75" customHeight="1">
      <c r="A621" s="766"/>
      <c r="B621" s="1273" t="s">
        <v>1970</v>
      </c>
      <c r="C621" s="1333">
        <f>+$C$619+$G$620</f>
        <v>45658</v>
      </c>
      <c r="D621" s="769"/>
      <c r="E621" s="769"/>
      <c r="F621" s="770">
        <v>0</v>
      </c>
      <c r="G621" s="771"/>
      <c r="H621" s="772" t="s">
        <v>995</v>
      </c>
      <c r="I621" s="772"/>
      <c r="J621" s="783"/>
      <c r="K621" s="769"/>
      <c r="L621" s="769" t="s">
        <v>2681</v>
      </c>
      <c r="M621" s="769" t="s">
        <v>2670</v>
      </c>
      <c r="N621" s="772" t="s">
        <v>144</v>
      </c>
      <c r="O621" s="772"/>
      <c r="P621" s="772"/>
      <c r="Q621" s="769">
        <v>0</v>
      </c>
      <c r="R621" s="769">
        <v>0</v>
      </c>
      <c r="S621" s="769"/>
      <c r="T621" s="769">
        <v>-30</v>
      </c>
      <c r="U621" s="769"/>
      <c r="V621" s="769"/>
      <c r="W621" s="769">
        <v>1.4</v>
      </c>
      <c r="X621" s="769"/>
      <c r="Y621" s="769"/>
      <c r="Z621" s="769"/>
      <c r="AA621" s="769"/>
      <c r="AB621" s="769"/>
      <c r="AC621" s="769" t="s">
        <v>2978</v>
      </c>
      <c r="AD621" s="769"/>
      <c r="AE621" s="769"/>
      <c r="AF621" s="769">
        <v>5400</v>
      </c>
      <c r="AG621" s="1333">
        <v>45657.66</v>
      </c>
      <c r="AH621" s="769">
        <v>3184</v>
      </c>
      <c r="AI621" s="769">
        <v>79</v>
      </c>
      <c r="AJ621" s="769"/>
      <c r="AK621" s="769"/>
      <c r="AL621" s="769"/>
      <c r="AM621" s="769" t="s">
        <v>2054</v>
      </c>
      <c r="AN621" s="774">
        <v>5.5</v>
      </c>
      <c r="AO621" s="769"/>
      <c r="AP621" s="769"/>
      <c r="AQ621" s="774"/>
      <c r="AR621" s="774"/>
      <c r="AS621" s="774"/>
      <c r="AT621" s="774">
        <f>+ab($T$621,$T$619,$T$623,$G$620,$G$622, 1*$F$621,1200)</f>
        <v>-7.2014349865735259</v>
      </c>
      <c r="AU621" s="774"/>
      <c r="AV621" s="774"/>
      <c r="AW621" s="769"/>
      <c r="AX621" s="769"/>
      <c r="AY621" s="769"/>
      <c r="AZ621" s="532"/>
    </row>
    <row r="622" spans="1:52" ht="15.75" hidden="1" customHeight="1">
      <c r="A622" s="766"/>
      <c r="B622" s="1273"/>
      <c r="C622" s="1333"/>
      <c r="D622" s="769"/>
      <c r="E622" s="769"/>
      <c r="F622" s="770"/>
      <c r="G622" s="771">
        <v>41.5</v>
      </c>
      <c r="H622" s="772"/>
      <c r="I622" s="772">
        <f>SUM(G600:G622)</f>
        <v>517</v>
      </c>
      <c r="J622" s="783"/>
      <c r="K622" s="769"/>
      <c r="L622" s="769"/>
      <c r="M622" s="769"/>
      <c r="N622" s="772"/>
      <c r="O622" s="772"/>
      <c r="P622" s="772"/>
      <c r="Q622" s="769"/>
      <c r="R622" s="769"/>
      <c r="S622" s="774">
        <f t="shared" si="167"/>
        <v>41.519999999996799</v>
      </c>
      <c r="T622" s="769"/>
      <c r="U622" s="769"/>
      <c r="V622" s="769"/>
      <c r="W622" s="769"/>
      <c r="X622" s="769"/>
      <c r="Y622" s="769"/>
      <c r="Z622" s="769"/>
      <c r="AA622" s="769"/>
      <c r="AB622" s="769"/>
      <c r="AC622" s="769"/>
      <c r="AD622" s="769"/>
      <c r="AE622" s="769"/>
      <c r="AF622" s="769"/>
      <c r="AG622" s="1333"/>
      <c r="AH622" s="769"/>
      <c r="AI622" s="769"/>
      <c r="AJ622" s="769"/>
      <c r="AK622" s="769"/>
      <c r="AL622" s="769"/>
      <c r="AM622" s="769"/>
      <c r="AN622" s="774"/>
      <c r="AO622" s="769"/>
      <c r="AP622" s="769"/>
      <c r="AQ622" s="774">
        <f>+FL_2($T$623,$T$621,$G$622,1200,15.05, 1*$F$623)</f>
        <v>-0.35333234018072279</v>
      </c>
      <c r="AR622" s="774"/>
      <c r="AS622" s="774"/>
      <c r="AT622" s="774"/>
      <c r="AU622" s="774"/>
      <c r="AV622" s="774"/>
      <c r="AW622" s="769"/>
      <c r="AX622" s="769"/>
      <c r="AY622" s="769"/>
      <c r="AZ622" s="532"/>
    </row>
    <row r="623" spans="1:52" ht="15.75" customHeight="1">
      <c r="A623" s="766"/>
      <c r="B623" s="1273" t="s">
        <v>1971</v>
      </c>
      <c r="C623" s="1333">
        <f>+$C$621+$G$622</f>
        <v>45699.5</v>
      </c>
      <c r="D623" s="769"/>
      <c r="E623" s="769"/>
      <c r="F623" s="770">
        <v>0</v>
      </c>
      <c r="G623" s="771"/>
      <c r="H623" s="772" t="s">
        <v>996</v>
      </c>
      <c r="I623" s="772"/>
      <c r="J623" s="783"/>
      <c r="K623" s="769"/>
      <c r="L623" s="769" t="s">
        <v>1118</v>
      </c>
      <c r="M623" s="769" t="s">
        <v>2670</v>
      </c>
      <c r="N623" s="772" t="s">
        <v>145</v>
      </c>
      <c r="O623" s="772"/>
      <c r="P623" s="772"/>
      <c r="Q623" s="769">
        <v>0</v>
      </c>
      <c r="R623" s="769">
        <v>0</v>
      </c>
      <c r="S623" s="769"/>
      <c r="T623" s="769">
        <v>30</v>
      </c>
      <c r="U623" s="769"/>
      <c r="V623" s="769"/>
      <c r="W623" s="769">
        <v>1.4</v>
      </c>
      <c r="X623" s="769"/>
      <c r="Y623" s="769"/>
      <c r="Z623" s="769"/>
      <c r="AA623" s="769"/>
      <c r="AB623" s="769"/>
      <c r="AC623" s="769" t="s">
        <v>2978</v>
      </c>
      <c r="AD623" s="769"/>
      <c r="AE623" s="769"/>
      <c r="AF623" s="769">
        <v>5400</v>
      </c>
      <c r="AG623" s="1333">
        <v>45699.18</v>
      </c>
      <c r="AH623" s="769">
        <v>3176</v>
      </c>
      <c r="AI623" s="769">
        <v>45</v>
      </c>
      <c r="AJ623" s="769"/>
      <c r="AK623" s="769"/>
      <c r="AL623" s="769"/>
      <c r="AM623" s="769" t="s">
        <v>2054</v>
      </c>
      <c r="AN623" s="774">
        <v>5.5</v>
      </c>
      <c r="AO623" s="769"/>
      <c r="AP623" s="769"/>
      <c r="AQ623" s="774"/>
      <c r="AR623" s="774"/>
      <c r="AS623" s="774"/>
      <c r="AT623" s="774">
        <f>+ab($T$623,$T$621,$T$625,$G$622,$G$624, 1*$F$623,1200)</f>
        <v>6.6460477672715532</v>
      </c>
      <c r="AU623" s="774"/>
      <c r="AV623" s="774"/>
      <c r="AW623" s="769"/>
      <c r="AX623" s="769"/>
      <c r="AY623" s="769"/>
      <c r="AZ623" s="532"/>
    </row>
    <row r="624" spans="1:52" ht="15.75" hidden="1" customHeight="1">
      <c r="A624" s="766"/>
      <c r="B624" s="1273"/>
      <c r="C624" s="1333"/>
      <c r="D624" s="769"/>
      <c r="E624" s="769"/>
      <c r="F624" s="770"/>
      <c r="G624" s="771">
        <v>42</v>
      </c>
      <c r="H624" s="772"/>
      <c r="I624" s="772">
        <f>SUM(G624:G640)</f>
        <v>498.5</v>
      </c>
      <c r="J624" s="783"/>
      <c r="K624" s="769"/>
      <c r="L624" s="769"/>
      <c r="M624" s="769"/>
      <c r="N624" s="772"/>
      <c r="O624" s="772"/>
      <c r="P624" s="772"/>
      <c r="Q624" s="769"/>
      <c r="R624" s="769"/>
      <c r="S624" s="774">
        <f t="shared" si="167"/>
        <v>41.959999999999127</v>
      </c>
      <c r="T624" s="769"/>
      <c r="U624" s="769"/>
      <c r="V624" s="769"/>
      <c r="W624" s="769"/>
      <c r="X624" s="769"/>
      <c r="Y624" s="769"/>
      <c r="Z624" s="769"/>
      <c r="AA624" s="769"/>
      <c r="AB624" s="769"/>
      <c r="AC624" s="769"/>
      <c r="AD624" s="769"/>
      <c r="AE624" s="769"/>
      <c r="AF624" s="769"/>
      <c r="AG624" s="1333"/>
      <c r="AH624" s="769"/>
      <c r="AI624" s="769"/>
      <c r="AJ624" s="769"/>
      <c r="AK624" s="769"/>
      <c r="AL624" s="769"/>
      <c r="AM624" s="769"/>
      <c r="AN624" s="769"/>
      <c r="AO624" s="769"/>
      <c r="AP624" s="769"/>
      <c r="AQ624" s="774">
        <f>+FL_2($T$625,$T$623,$G$624,1200,13.84, 1*$F$625)</f>
        <v>-0.34278468899999998</v>
      </c>
      <c r="AR624" s="774"/>
      <c r="AS624" s="774"/>
      <c r="AT624" s="774"/>
      <c r="AU624" s="774"/>
      <c r="AV624" s="774"/>
      <c r="AW624" s="769"/>
      <c r="AX624" s="769"/>
      <c r="AY624" s="769"/>
      <c r="AZ624" s="532"/>
    </row>
    <row r="625" spans="1:52" ht="15.75" customHeight="1">
      <c r="A625" s="766"/>
      <c r="B625" s="1273" t="s">
        <v>1972</v>
      </c>
      <c r="C625" s="1333">
        <f>+$C$623+$G$624</f>
        <v>45741.5</v>
      </c>
      <c r="D625" s="769"/>
      <c r="E625" s="769"/>
      <c r="F625" s="770">
        <v>0</v>
      </c>
      <c r="G625" s="771"/>
      <c r="H625" s="772" t="s">
        <v>995</v>
      </c>
      <c r="I625" s="772"/>
      <c r="J625" s="783"/>
      <c r="K625" s="769"/>
      <c r="L625" s="769" t="s">
        <v>2681</v>
      </c>
      <c r="M625" s="769" t="s">
        <v>2670</v>
      </c>
      <c r="N625" s="772" t="s">
        <v>144</v>
      </c>
      <c r="O625" s="772"/>
      <c r="P625" s="772"/>
      <c r="Q625" s="769">
        <v>0</v>
      </c>
      <c r="R625" s="769">
        <v>0</v>
      </c>
      <c r="S625" s="769"/>
      <c r="T625" s="769">
        <v>-30</v>
      </c>
      <c r="U625" s="769"/>
      <c r="V625" s="769"/>
      <c r="W625" s="769">
        <v>1.4</v>
      </c>
      <c r="X625" s="769"/>
      <c r="Y625" s="769"/>
      <c r="Z625" s="769"/>
      <c r="AA625" s="769"/>
      <c r="AB625" s="769"/>
      <c r="AC625" s="769" t="s">
        <v>2978</v>
      </c>
      <c r="AD625" s="769"/>
      <c r="AE625" s="769"/>
      <c r="AF625" s="769">
        <v>5400</v>
      </c>
      <c r="AG625" s="1333">
        <v>45741.14</v>
      </c>
      <c r="AH625" s="769">
        <v>3191</v>
      </c>
      <c r="AI625" s="769">
        <v>61</v>
      </c>
      <c r="AJ625" s="769"/>
      <c r="AK625" s="769"/>
      <c r="AL625" s="769"/>
      <c r="AM625" s="769" t="s">
        <v>2054</v>
      </c>
      <c r="AN625" s="774">
        <v>5.5</v>
      </c>
      <c r="AO625" s="769"/>
      <c r="AP625" s="769"/>
      <c r="AQ625" s="774"/>
      <c r="AR625" s="774"/>
      <c r="AS625" s="774"/>
      <c r="AT625" s="774">
        <f>+ab($T$625,$T$623,$T$627,$G$624,$G$626, 1*$F$625,1200)</f>
        <v>-7.8519505412403747</v>
      </c>
      <c r="AU625" s="774"/>
      <c r="AV625" s="774"/>
      <c r="AW625" s="769"/>
      <c r="AX625" s="769"/>
      <c r="AY625" s="769"/>
      <c r="AZ625" s="532"/>
    </row>
    <row r="626" spans="1:52" ht="15.75" hidden="1" customHeight="1">
      <c r="A626" s="766"/>
      <c r="B626" s="1273"/>
      <c r="C626" s="1333"/>
      <c r="D626" s="769"/>
      <c r="E626" s="769"/>
      <c r="F626" s="770"/>
      <c r="G626" s="771">
        <v>50</v>
      </c>
      <c r="H626" s="772"/>
      <c r="I626" s="772"/>
      <c r="J626" s="783"/>
      <c r="K626" s="769"/>
      <c r="L626" s="769"/>
      <c r="M626" s="769"/>
      <c r="N626" s="772"/>
      <c r="O626" s="772"/>
      <c r="P626" s="772"/>
      <c r="Q626" s="769"/>
      <c r="R626" s="769"/>
      <c r="S626" s="774">
        <f t="shared" si="167"/>
        <v>50.25</v>
      </c>
      <c r="T626" s="769"/>
      <c r="U626" s="769"/>
      <c r="V626" s="769"/>
      <c r="W626" s="769"/>
      <c r="X626" s="769"/>
      <c r="Y626" s="769"/>
      <c r="Z626" s="769"/>
      <c r="AA626" s="769"/>
      <c r="AB626" s="769"/>
      <c r="AC626" s="769"/>
      <c r="AD626" s="769"/>
      <c r="AE626" s="769"/>
      <c r="AF626" s="769"/>
      <c r="AG626" s="1333"/>
      <c r="AH626" s="769"/>
      <c r="AI626" s="769"/>
      <c r="AJ626" s="769"/>
      <c r="AK626" s="769"/>
      <c r="AL626" s="769"/>
      <c r="AM626" s="769"/>
      <c r="AN626" s="774"/>
      <c r="AO626" s="769"/>
      <c r="AP626" s="769"/>
      <c r="AQ626" s="774">
        <f>+FL_2($T$627,$T$625,$G$626,1200,13.24, 1*$F$627)</f>
        <v>-0.4401088806666667</v>
      </c>
      <c r="AR626" s="774"/>
      <c r="AS626" s="774"/>
      <c r="AT626" s="774"/>
      <c r="AU626" s="774"/>
      <c r="AV626" s="774"/>
      <c r="AW626" s="769"/>
      <c r="AX626" s="769"/>
      <c r="AY626" s="769"/>
      <c r="AZ626" s="532"/>
    </row>
    <row r="627" spans="1:52" ht="15.75" hidden="1" customHeight="1">
      <c r="A627" s="766"/>
      <c r="B627" s="1273" t="s">
        <v>1973</v>
      </c>
      <c r="C627" s="1333">
        <f>+$C$625+$G$626</f>
        <v>45791.5</v>
      </c>
      <c r="D627" s="769"/>
      <c r="E627" s="769"/>
      <c r="F627" s="770">
        <v>0</v>
      </c>
      <c r="G627" s="771"/>
      <c r="H627" s="772"/>
      <c r="I627" s="772"/>
      <c r="J627" s="783"/>
      <c r="K627" s="769"/>
      <c r="L627" s="769" t="s">
        <v>1120</v>
      </c>
      <c r="M627" s="769" t="s">
        <v>2670</v>
      </c>
      <c r="N627" s="772" t="s">
        <v>145</v>
      </c>
      <c r="O627" s="772"/>
      <c r="P627" s="772"/>
      <c r="Q627" s="769">
        <v>0</v>
      </c>
      <c r="R627" s="769">
        <v>0</v>
      </c>
      <c r="S627" s="769"/>
      <c r="T627" s="769">
        <v>20</v>
      </c>
      <c r="U627" s="769"/>
      <c r="V627" s="769"/>
      <c r="W627" s="769">
        <v>1.4</v>
      </c>
      <c r="X627" s="769"/>
      <c r="Y627" s="769"/>
      <c r="Z627" s="769"/>
      <c r="AA627" s="769"/>
      <c r="AB627" s="769"/>
      <c r="AC627" s="769" t="s">
        <v>2616</v>
      </c>
      <c r="AD627" s="769"/>
      <c r="AE627" s="769"/>
      <c r="AF627" s="769">
        <v>5400</v>
      </c>
      <c r="AG627" s="1333">
        <v>45791.39</v>
      </c>
      <c r="AH627" s="769">
        <v>3227</v>
      </c>
      <c r="AI627" s="769">
        <v>60</v>
      </c>
      <c r="AJ627" s="769"/>
      <c r="AK627" s="769"/>
      <c r="AL627" s="769"/>
      <c r="AM627" s="769" t="s">
        <v>2054</v>
      </c>
      <c r="AN627" s="774">
        <v>5.5</v>
      </c>
      <c r="AO627" s="769"/>
      <c r="AP627" s="769"/>
      <c r="AQ627" s="774"/>
      <c r="AR627" s="774"/>
      <c r="AS627" s="774"/>
      <c r="AT627" s="774">
        <f>+ab($T$627,$T$625,$T$629,$G$626,$G$628, 1*$F$627,1200)</f>
        <v>12.150436186396853</v>
      </c>
      <c r="AU627" s="774"/>
      <c r="AV627" s="774"/>
      <c r="AW627" s="769"/>
      <c r="AX627" s="769"/>
      <c r="AY627" s="769"/>
      <c r="AZ627" s="532"/>
    </row>
    <row r="628" spans="1:52" ht="15.75" hidden="1" customHeight="1">
      <c r="A628" s="766"/>
      <c r="B628" s="1273"/>
      <c r="C628" s="1333"/>
      <c r="D628" s="769"/>
      <c r="E628" s="769"/>
      <c r="F628" s="770"/>
      <c r="G628" s="771">
        <v>54</v>
      </c>
      <c r="H628" s="772"/>
      <c r="I628" s="772"/>
      <c r="J628" s="783"/>
      <c r="K628" s="769"/>
      <c r="L628" s="769"/>
      <c r="M628" s="769"/>
      <c r="N628" s="772"/>
      <c r="O628" s="772"/>
      <c r="P628" s="772"/>
      <c r="Q628" s="769"/>
      <c r="R628" s="769"/>
      <c r="S628" s="774">
        <f t="shared" ref="S628:S642" si="169">AG629-AG627</f>
        <v>53.860000000000582</v>
      </c>
      <c r="T628" s="769"/>
      <c r="U628" s="769"/>
      <c r="V628" s="769"/>
      <c r="W628" s="769"/>
      <c r="X628" s="769"/>
      <c r="Y628" s="769"/>
      <c r="Z628" s="769"/>
      <c r="AA628" s="769"/>
      <c r="AB628" s="769"/>
      <c r="AC628" s="769"/>
      <c r="AD628" s="769"/>
      <c r="AE628" s="769"/>
      <c r="AF628" s="769"/>
      <c r="AG628" s="1333"/>
      <c r="AH628" s="769"/>
      <c r="AI628" s="769"/>
      <c r="AJ628" s="769"/>
      <c r="AK628" s="769"/>
      <c r="AL628" s="769"/>
      <c r="AM628" s="769"/>
      <c r="AN628" s="769"/>
      <c r="AO628" s="769"/>
      <c r="AP628" s="769"/>
      <c r="AQ628" s="774">
        <f>+FL_1($T$629,$T$627,$G$628,1200,12.61, 1*$F$629)</f>
        <v>0.44771432634722225</v>
      </c>
      <c r="AR628" s="774"/>
      <c r="AS628" s="774"/>
      <c r="AT628" s="774"/>
      <c r="AU628" s="774"/>
      <c r="AV628" s="774"/>
      <c r="AW628" s="769"/>
      <c r="AX628" s="769"/>
      <c r="AY628" s="769"/>
      <c r="AZ628" s="532"/>
    </row>
    <row r="629" spans="1:52" ht="15.75" hidden="1" customHeight="1">
      <c r="A629" s="766"/>
      <c r="B629" s="1273" t="s">
        <v>1974</v>
      </c>
      <c r="C629" s="1333">
        <f>+$C$627+$G$628</f>
        <v>45845.5</v>
      </c>
      <c r="D629" s="769"/>
      <c r="E629" s="769"/>
      <c r="F629" s="770">
        <v>0</v>
      </c>
      <c r="G629" s="771"/>
      <c r="H629" s="772"/>
      <c r="I629" s="772"/>
      <c r="J629" s="783"/>
      <c r="K629" s="769"/>
      <c r="L629" s="769" t="s">
        <v>1120</v>
      </c>
      <c r="M629" s="769" t="s">
        <v>2671</v>
      </c>
      <c r="N629" s="772" t="s">
        <v>144</v>
      </c>
      <c r="O629" s="772"/>
      <c r="P629" s="772"/>
      <c r="Q629" s="769">
        <v>0</v>
      </c>
      <c r="R629" s="769">
        <v>0</v>
      </c>
      <c r="S629" s="769"/>
      <c r="T629" s="769">
        <v>-10</v>
      </c>
      <c r="U629" s="769"/>
      <c r="V629" s="769"/>
      <c r="W629" s="769">
        <v>1.4</v>
      </c>
      <c r="X629" s="769"/>
      <c r="Y629" s="769"/>
      <c r="Z629" s="769"/>
      <c r="AA629" s="769"/>
      <c r="AB629" s="769"/>
      <c r="AC629" s="769" t="s">
        <v>2616</v>
      </c>
      <c r="AD629" s="769"/>
      <c r="AE629" s="769"/>
      <c r="AF629" s="769">
        <v>5400</v>
      </c>
      <c r="AG629" s="1333">
        <v>45845.25</v>
      </c>
      <c r="AH629" s="769">
        <v>3199</v>
      </c>
      <c r="AI629" s="769">
        <v>9</v>
      </c>
      <c r="AJ629" s="769"/>
      <c r="AK629" s="769"/>
      <c r="AL629" s="769"/>
      <c r="AM629" s="769" t="s">
        <v>2054</v>
      </c>
      <c r="AN629" s="774">
        <v>5.5</v>
      </c>
      <c r="AO629" s="769"/>
      <c r="AP629" s="769"/>
      <c r="AQ629" s="774"/>
      <c r="AR629" s="774"/>
      <c r="AS629" s="774"/>
      <c r="AT629" s="774">
        <f>+ab($T$629,$T$627,$T$631,$G$628,$G$630, 1*$F$629,1200)</f>
        <v>-20.932882236111809</v>
      </c>
      <c r="AU629" s="774"/>
      <c r="AV629" s="774"/>
      <c r="AW629" s="769"/>
      <c r="AX629" s="769"/>
      <c r="AY629" s="769"/>
      <c r="AZ629" s="532"/>
    </row>
    <row r="630" spans="1:52" ht="15.75" hidden="1" customHeight="1">
      <c r="A630" s="766"/>
      <c r="B630" s="1273"/>
      <c r="C630" s="1333"/>
      <c r="D630" s="769"/>
      <c r="E630" s="769"/>
      <c r="F630" s="770"/>
      <c r="G630" s="771">
        <v>62.5</v>
      </c>
      <c r="H630" s="772"/>
      <c r="I630" s="772"/>
      <c r="J630" s="783"/>
      <c r="K630" s="769"/>
      <c r="L630" s="769"/>
      <c r="M630" s="769"/>
      <c r="N630" s="772"/>
      <c r="O630" s="772"/>
      <c r="P630" s="772"/>
      <c r="Q630" s="769"/>
      <c r="R630" s="769"/>
      <c r="S630" s="774">
        <f t="shared" si="169"/>
        <v>62.360000000000582</v>
      </c>
      <c r="T630" s="769"/>
      <c r="U630" s="769"/>
      <c r="V630" s="769"/>
      <c r="W630" s="769"/>
      <c r="X630" s="769"/>
      <c r="Y630" s="769"/>
      <c r="Z630" s="769"/>
      <c r="AA630" s="769"/>
      <c r="AB630" s="769"/>
      <c r="AC630" s="769"/>
      <c r="AD630" s="769"/>
      <c r="AE630" s="769"/>
      <c r="AF630" s="769"/>
      <c r="AG630" s="1333"/>
      <c r="AH630" s="769"/>
      <c r="AI630" s="769"/>
      <c r="AJ630" s="769"/>
      <c r="AK630" s="769"/>
      <c r="AL630" s="769"/>
      <c r="AM630" s="769"/>
      <c r="AN630" s="774"/>
      <c r="AO630" s="769"/>
      <c r="AP630" s="769"/>
      <c r="AQ630" s="774">
        <f>+FL_2($T$631,$T$629,$G$630,1200,11.88, 1*$F$631)</f>
        <v>-0.48857015199999998</v>
      </c>
      <c r="AR630" s="774"/>
      <c r="AS630" s="774"/>
      <c r="AT630" s="774"/>
      <c r="AU630" s="774"/>
      <c r="AV630" s="774"/>
      <c r="AW630" s="769"/>
      <c r="AX630" s="769"/>
      <c r="AY630" s="769"/>
      <c r="AZ630" s="532"/>
    </row>
    <row r="631" spans="1:52" ht="15.75" hidden="1" customHeight="1">
      <c r="A631" s="766"/>
      <c r="B631" s="1273" t="s">
        <v>1975</v>
      </c>
      <c r="C631" s="1333">
        <f>+$C$629+$G$630</f>
        <v>45908</v>
      </c>
      <c r="D631" s="769"/>
      <c r="E631" s="769"/>
      <c r="F631" s="770">
        <v>0</v>
      </c>
      <c r="G631" s="771"/>
      <c r="H631" s="772"/>
      <c r="I631" s="772"/>
      <c r="J631" s="783"/>
      <c r="K631" s="769"/>
      <c r="L631" s="769" t="s">
        <v>1120</v>
      </c>
      <c r="M631" s="769" t="s">
        <v>2671</v>
      </c>
      <c r="N631" s="772" t="s">
        <v>145</v>
      </c>
      <c r="O631" s="772"/>
      <c r="P631" s="772"/>
      <c r="Q631" s="769">
        <v>0</v>
      </c>
      <c r="R631" s="769">
        <v>0</v>
      </c>
      <c r="S631" s="769"/>
      <c r="T631" s="769">
        <v>10</v>
      </c>
      <c r="U631" s="769"/>
      <c r="V631" s="769"/>
      <c r="W631" s="769">
        <v>1.4</v>
      </c>
      <c r="X631" s="769"/>
      <c r="Y631" s="769"/>
      <c r="Z631" s="769"/>
      <c r="AA631" s="769"/>
      <c r="AB631" s="769"/>
      <c r="AC631" s="769" t="s">
        <v>2616</v>
      </c>
      <c r="AD631" s="769"/>
      <c r="AE631" s="769"/>
      <c r="AF631" s="769">
        <v>5400</v>
      </c>
      <c r="AG631" s="1333">
        <v>45907.61</v>
      </c>
      <c r="AH631" s="769">
        <v>3214</v>
      </c>
      <c r="AI631" s="769">
        <v>18</v>
      </c>
      <c r="AJ631" s="769"/>
      <c r="AK631" s="769"/>
      <c r="AL631" s="769"/>
      <c r="AM631" s="769" t="s">
        <v>2054</v>
      </c>
      <c r="AN631" s="774">
        <v>5.5</v>
      </c>
      <c r="AO631" s="769"/>
      <c r="AP631" s="769"/>
      <c r="AQ631" s="774"/>
      <c r="AR631" s="774"/>
      <c r="AS631" s="774"/>
      <c r="AT631" s="774">
        <f>+ab($T$631,$T$629,$T$633,$G$630,$G$632, 1*$F$631,1200)</f>
        <v>21.155437025131324</v>
      </c>
      <c r="AU631" s="774"/>
      <c r="AV631" s="774"/>
      <c r="AW631" s="769"/>
      <c r="AX631" s="769"/>
      <c r="AY631" s="769"/>
      <c r="AZ631" s="532"/>
    </row>
    <row r="632" spans="1:52" ht="15.75" hidden="1" customHeight="1">
      <c r="A632" s="766"/>
      <c r="B632" s="1273"/>
      <c r="C632" s="1333"/>
      <c r="D632" s="769"/>
      <c r="E632" s="769"/>
      <c r="F632" s="770"/>
      <c r="G632" s="771">
        <v>55</v>
      </c>
      <c r="H632" s="772"/>
      <c r="I632" s="772"/>
      <c r="J632" s="783"/>
      <c r="K632" s="769"/>
      <c r="L632" s="769"/>
      <c r="M632" s="769"/>
      <c r="N632" s="772"/>
      <c r="O632" s="772"/>
      <c r="P632" s="772"/>
      <c r="Q632" s="769"/>
      <c r="R632" s="769"/>
      <c r="S632" s="774">
        <f t="shared" si="169"/>
        <v>54.989999999997963</v>
      </c>
      <c r="T632" s="769"/>
      <c r="U632" s="769"/>
      <c r="V632" s="769"/>
      <c r="W632" s="769"/>
      <c r="X632" s="769"/>
      <c r="Y632" s="769"/>
      <c r="Z632" s="769"/>
      <c r="AA632" s="769"/>
      <c r="AB632" s="769"/>
      <c r="AC632" s="769"/>
      <c r="AD632" s="769"/>
      <c r="AE632" s="769"/>
      <c r="AF632" s="769"/>
      <c r="AG632" s="1333"/>
      <c r="AH632" s="769"/>
      <c r="AI632" s="769"/>
      <c r="AJ632" s="769"/>
      <c r="AK632" s="769"/>
      <c r="AL632" s="769"/>
      <c r="AM632" s="769"/>
      <c r="AN632" s="769"/>
      <c r="AO632" s="769"/>
      <c r="AP632" s="769"/>
      <c r="AQ632" s="774">
        <f>+FL_2($T$633,$T$631,$G$632,1200,11.45, 1*$F$633)</f>
        <v>-0.42638486749999999</v>
      </c>
      <c r="AR632" s="774"/>
      <c r="AS632" s="774"/>
      <c r="AT632" s="774"/>
      <c r="AU632" s="774"/>
      <c r="AV632" s="774"/>
      <c r="AW632" s="769"/>
      <c r="AX632" s="769"/>
      <c r="AY632" s="769"/>
      <c r="AZ632" s="532"/>
    </row>
    <row r="633" spans="1:52" ht="15.75" hidden="1" customHeight="1">
      <c r="A633" s="766"/>
      <c r="B633" s="1273" t="s">
        <v>1976</v>
      </c>
      <c r="C633" s="1333">
        <f>+$C$631+$G$632</f>
        <v>45963</v>
      </c>
      <c r="D633" s="769"/>
      <c r="E633" s="769"/>
      <c r="F633" s="770">
        <v>0</v>
      </c>
      <c r="G633" s="771"/>
      <c r="H633" s="772"/>
      <c r="I633" s="772"/>
      <c r="J633" s="783"/>
      <c r="K633" s="769"/>
      <c r="L633" s="769" t="s">
        <v>1120</v>
      </c>
      <c r="M633" s="769" t="s">
        <v>2671</v>
      </c>
      <c r="N633" s="772" t="s">
        <v>144</v>
      </c>
      <c r="O633" s="772"/>
      <c r="P633" s="772"/>
      <c r="Q633" s="769">
        <v>0</v>
      </c>
      <c r="R633" s="769">
        <v>0</v>
      </c>
      <c r="S633" s="769"/>
      <c r="T633" s="769">
        <v>-20</v>
      </c>
      <c r="U633" s="769"/>
      <c r="V633" s="769"/>
      <c r="W633" s="769">
        <v>1.4</v>
      </c>
      <c r="X633" s="769"/>
      <c r="Y633" s="769"/>
      <c r="Z633" s="769"/>
      <c r="AA633" s="769"/>
      <c r="AB633" s="769"/>
      <c r="AC633" s="769" t="s">
        <v>2616</v>
      </c>
      <c r="AD633" s="769"/>
      <c r="AE633" s="769"/>
      <c r="AF633" s="769">
        <v>5400</v>
      </c>
      <c r="AG633" s="1333">
        <v>45962.6</v>
      </c>
      <c r="AH633" s="769">
        <v>3202</v>
      </c>
      <c r="AI633" s="769">
        <v>44</v>
      </c>
      <c r="AJ633" s="769"/>
      <c r="AK633" s="769"/>
      <c r="AL633" s="769"/>
      <c r="AM633" s="769" t="s">
        <v>2054</v>
      </c>
      <c r="AN633" s="774">
        <v>5.5</v>
      </c>
      <c r="AO633" s="769"/>
      <c r="AP633" s="769"/>
      <c r="AQ633" s="774"/>
      <c r="AR633" s="774"/>
      <c r="AS633" s="774"/>
      <c r="AT633" s="774">
        <f>+ab($T$633,$T$631,$T$635,$G$632,$G$634, 1*$F$633,1200)</f>
        <v>-14.495440217519285</v>
      </c>
      <c r="AU633" s="774"/>
      <c r="AV633" s="774"/>
      <c r="AW633" s="769"/>
      <c r="AX633" s="769"/>
      <c r="AY633" s="769"/>
      <c r="AZ633" s="532"/>
    </row>
    <row r="634" spans="1:52" ht="15.75" hidden="1" customHeight="1">
      <c r="A634" s="766"/>
      <c r="B634" s="1273"/>
      <c r="C634" s="1333"/>
      <c r="D634" s="769"/>
      <c r="E634" s="769"/>
      <c r="F634" s="770"/>
      <c r="G634" s="771">
        <v>60</v>
      </c>
      <c r="H634" s="772"/>
      <c r="I634" s="772"/>
      <c r="J634" s="783"/>
      <c r="K634" s="769"/>
      <c r="L634" s="769"/>
      <c r="M634" s="769"/>
      <c r="N634" s="772"/>
      <c r="O634" s="772"/>
      <c r="P634" s="772"/>
      <c r="Q634" s="769"/>
      <c r="R634" s="769"/>
      <c r="S634" s="774">
        <f t="shared" si="169"/>
        <v>59.980000000003201</v>
      </c>
      <c r="T634" s="769"/>
      <c r="U634" s="769"/>
      <c r="V634" s="769"/>
      <c r="W634" s="769"/>
      <c r="X634" s="769"/>
      <c r="Y634" s="769"/>
      <c r="Z634" s="769"/>
      <c r="AA634" s="769"/>
      <c r="AB634" s="769"/>
      <c r="AC634" s="769"/>
      <c r="AD634" s="769"/>
      <c r="AE634" s="769"/>
      <c r="AF634" s="769"/>
      <c r="AG634" s="1333"/>
      <c r="AH634" s="769"/>
      <c r="AI634" s="769"/>
      <c r="AJ634" s="769"/>
      <c r="AK634" s="769"/>
      <c r="AL634" s="769"/>
      <c r="AM634" s="769"/>
      <c r="AN634" s="774"/>
      <c r="AO634" s="769"/>
      <c r="AP634" s="769"/>
      <c r="AQ634" s="774">
        <f>+FL_1($T$635,$T$633,$G$634,1200,11.08, 1*$F$635)</f>
        <v>0.47096028533333334</v>
      </c>
      <c r="AR634" s="774"/>
      <c r="AS634" s="774"/>
      <c r="AT634" s="774"/>
      <c r="AU634" s="774"/>
      <c r="AV634" s="774"/>
      <c r="AW634" s="769"/>
      <c r="AX634" s="769"/>
      <c r="AY634" s="769"/>
      <c r="AZ634" s="532"/>
    </row>
    <row r="635" spans="1:52" ht="15.75" hidden="1" customHeight="1">
      <c r="A635" s="766"/>
      <c r="B635" s="1273" t="s">
        <v>1977</v>
      </c>
      <c r="C635" s="1333">
        <f>+$C$633+$G$634</f>
        <v>46023</v>
      </c>
      <c r="D635" s="769"/>
      <c r="E635" s="769"/>
      <c r="F635" s="770">
        <v>0</v>
      </c>
      <c r="G635" s="771"/>
      <c r="H635" s="772" t="s">
        <v>138</v>
      </c>
      <c r="I635" s="772" t="s">
        <v>2831</v>
      </c>
      <c r="J635" s="783"/>
      <c r="K635" s="769"/>
      <c r="L635" s="769" t="s">
        <v>2710</v>
      </c>
      <c r="M635" s="769" t="s">
        <v>2670</v>
      </c>
      <c r="N635" s="772" t="s">
        <v>145</v>
      </c>
      <c r="O635" s="772"/>
      <c r="P635" s="772"/>
      <c r="Q635" s="769">
        <v>0</v>
      </c>
      <c r="R635" s="769">
        <v>0</v>
      </c>
      <c r="S635" s="769"/>
      <c r="T635" s="769">
        <v>25</v>
      </c>
      <c r="U635" s="769"/>
      <c r="V635" s="769"/>
      <c r="W635" s="769">
        <v>1.4</v>
      </c>
      <c r="X635" s="769"/>
      <c r="Y635" s="769"/>
      <c r="Z635" s="769"/>
      <c r="AA635" s="769"/>
      <c r="AB635" s="769"/>
      <c r="AC635" s="769" t="s">
        <v>2616</v>
      </c>
      <c r="AD635" s="769"/>
      <c r="AE635" s="769"/>
      <c r="AF635" s="769">
        <v>5400</v>
      </c>
      <c r="AG635" s="1333">
        <v>46022.58</v>
      </c>
      <c r="AH635" s="769">
        <v>3187</v>
      </c>
      <c r="AI635" s="769">
        <v>35</v>
      </c>
      <c r="AJ635" s="769"/>
      <c r="AK635" s="769"/>
      <c r="AL635" s="769"/>
      <c r="AM635" s="769" t="s">
        <v>2054</v>
      </c>
      <c r="AN635" s="774">
        <v>5.5</v>
      </c>
      <c r="AO635" s="769"/>
      <c r="AP635" s="769"/>
      <c r="AQ635" s="774"/>
      <c r="AR635" s="774"/>
      <c r="AS635" s="774"/>
      <c r="AT635" s="774">
        <f>+ab($T$635,$T$633,$T$637,$G$634,$G$636, 1*$F$635,1200)</f>
        <v>20.070297605682445</v>
      </c>
      <c r="AU635" s="774"/>
      <c r="AV635" s="774"/>
      <c r="AW635" s="769"/>
      <c r="AX635" s="769"/>
      <c r="AY635" s="769"/>
      <c r="AZ635" s="532"/>
    </row>
    <row r="636" spans="1:52" ht="15.75" hidden="1" customHeight="1">
      <c r="A636" s="766"/>
      <c r="B636" s="1273"/>
      <c r="C636" s="1333"/>
      <c r="D636" s="769"/>
      <c r="E636" s="769"/>
      <c r="F636" s="770"/>
      <c r="G636" s="771">
        <v>60</v>
      </c>
      <c r="H636" s="772"/>
      <c r="I636" s="772"/>
      <c r="J636" s="783"/>
      <c r="K636" s="769"/>
      <c r="L636" s="769"/>
      <c r="M636" s="769"/>
      <c r="N636" s="772"/>
      <c r="O636" s="772"/>
      <c r="P636" s="772"/>
      <c r="Q636" s="769"/>
      <c r="R636" s="769"/>
      <c r="S636" s="774">
        <f t="shared" si="169"/>
        <v>59.979999999995925</v>
      </c>
      <c r="T636" s="769"/>
      <c r="U636" s="769"/>
      <c r="V636" s="769"/>
      <c r="W636" s="769"/>
      <c r="X636" s="769"/>
      <c r="Y636" s="769"/>
      <c r="Z636" s="769"/>
      <c r="AA636" s="769"/>
      <c r="AB636" s="769"/>
      <c r="AC636" s="769"/>
      <c r="AD636" s="769"/>
      <c r="AE636" s="769"/>
      <c r="AF636" s="769"/>
      <c r="AG636" s="1333"/>
      <c r="AH636" s="769"/>
      <c r="AI636" s="769"/>
      <c r="AJ636" s="769"/>
      <c r="AK636" s="769"/>
      <c r="AL636" s="769"/>
      <c r="AM636" s="769"/>
      <c r="AN636" s="769"/>
      <c r="AO636" s="769"/>
      <c r="AP636" s="769"/>
      <c r="AQ636" s="774">
        <f>+FL_2($U$637,$T$635,$G$636,1200,9.28, 1*$F$637)</f>
        <v>-0.42732829999999994</v>
      </c>
      <c r="AR636" s="774"/>
      <c r="AS636" s="774"/>
      <c r="AT636" s="774"/>
      <c r="AU636" s="774"/>
      <c r="AV636" s="774"/>
      <c r="AW636" s="769"/>
      <c r="AX636" s="769"/>
      <c r="AY636" s="769"/>
      <c r="AZ636" s="532"/>
    </row>
    <row r="637" spans="1:52" ht="15.75" hidden="1" customHeight="1">
      <c r="A637" s="766" t="s">
        <v>1109</v>
      </c>
      <c r="B637" s="1273" t="s">
        <v>1978</v>
      </c>
      <c r="C637" s="1333">
        <f>+$C$635+$G$636</f>
        <v>46083</v>
      </c>
      <c r="D637" s="769"/>
      <c r="E637" s="769"/>
      <c r="F637" s="770">
        <v>0</v>
      </c>
      <c r="G637" s="771"/>
      <c r="H637" s="772" t="s">
        <v>668</v>
      </c>
      <c r="I637" s="772"/>
      <c r="J637" s="783"/>
      <c r="K637" s="769"/>
      <c r="L637" s="769" t="s">
        <v>1123</v>
      </c>
      <c r="M637" s="769" t="s">
        <v>2671</v>
      </c>
      <c r="N637" s="772" t="s">
        <v>140</v>
      </c>
      <c r="O637" s="772" t="s">
        <v>144</v>
      </c>
      <c r="P637" s="772"/>
      <c r="Q637" s="769">
        <v>0</v>
      </c>
      <c r="R637" s="769">
        <v>0</v>
      </c>
      <c r="S637" s="769"/>
      <c r="T637" s="769">
        <v>15</v>
      </c>
      <c r="U637" s="769">
        <v>-30</v>
      </c>
      <c r="V637" s="769"/>
      <c r="W637" s="769">
        <v>1.4</v>
      </c>
      <c r="X637" s="769">
        <v>2.2999999999999998</v>
      </c>
      <c r="Y637" s="769"/>
      <c r="Z637" s="774">
        <v>0.5</v>
      </c>
      <c r="AA637" s="774"/>
      <c r="AB637" s="769"/>
      <c r="AC637" s="769"/>
      <c r="AD637" s="769" t="s">
        <v>2616</v>
      </c>
      <c r="AE637" s="769"/>
      <c r="AF637" s="769">
        <v>5400</v>
      </c>
      <c r="AG637" s="1333">
        <v>46082.559999999998</v>
      </c>
      <c r="AH637" s="769">
        <v>3197</v>
      </c>
      <c r="AI637" s="769">
        <v>-6</v>
      </c>
      <c r="AJ637" s="769"/>
      <c r="AK637" s="769"/>
      <c r="AL637" s="769"/>
      <c r="AM637" s="769" t="s">
        <v>2054</v>
      </c>
      <c r="AN637" s="774">
        <v>5.5</v>
      </c>
      <c r="AO637" s="769"/>
      <c r="AP637" s="769"/>
      <c r="AQ637" s="774"/>
      <c r="AR637" s="774"/>
      <c r="AS637" s="774"/>
      <c r="AT637" s="774">
        <f>+ab($U$637,$T$635,$U$639,$G$636,$G$638, 1*$F$637,1200)</f>
        <v>-15.726511276100618</v>
      </c>
      <c r="AU637" s="774"/>
      <c r="AV637" s="774"/>
      <c r="AW637" s="769"/>
      <c r="AX637" s="769"/>
      <c r="AY637" s="769"/>
      <c r="AZ637" s="532"/>
    </row>
    <row r="638" spans="1:52" ht="15.75" hidden="1" customHeight="1">
      <c r="A638" s="766" t="s">
        <v>1110</v>
      </c>
      <c r="B638" s="1273"/>
      <c r="C638" s="1333"/>
      <c r="D638" s="769"/>
      <c r="E638" s="769"/>
      <c r="F638" s="770"/>
      <c r="G638" s="771">
        <v>55</v>
      </c>
      <c r="H638" s="772"/>
      <c r="I638" s="772"/>
      <c r="J638" s="783"/>
      <c r="K638" s="769"/>
      <c r="L638" s="769"/>
      <c r="M638" s="769"/>
      <c r="N638" s="772"/>
      <c r="O638" s="772"/>
      <c r="P638" s="772"/>
      <c r="Q638" s="769"/>
      <c r="R638" s="769"/>
      <c r="S638" s="774">
        <f t="shared" si="169"/>
        <v>54.470000000001164</v>
      </c>
      <c r="T638" s="769"/>
      <c r="U638" s="769"/>
      <c r="V638" s="769"/>
      <c r="W638" s="769"/>
      <c r="X638" s="769"/>
      <c r="Y638" s="769"/>
      <c r="Z638" s="774"/>
      <c r="AA638" s="774"/>
      <c r="AB638" s="769"/>
      <c r="AC638" s="769"/>
      <c r="AD638" s="769"/>
      <c r="AE638" s="769"/>
      <c r="AF638" s="769"/>
      <c r="AG638" s="1333"/>
      <c r="AH638" s="769"/>
      <c r="AI638" s="769"/>
      <c r="AJ638" s="769"/>
      <c r="AK638" s="769"/>
      <c r="AL638" s="769"/>
      <c r="AM638" s="769"/>
      <c r="AN638" s="774"/>
      <c r="AO638" s="769"/>
      <c r="AP638" s="769"/>
      <c r="AQ638" s="774">
        <f>+FL_1($T$639,$U$637,$G$638,1200,9.28, 1*$F$639)</f>
        <v>0.36936166072727272</v>
      </c>
      <c r="AR638" s="774"/>
      <c r="AS638" s="774"/>
      <c r="AT638" s="774"/>
      <c r="AU638" s="774"/>
      <c r="AV638" s="774"/>
      <c r="AW638" s="769"/>
      <c r="AX638" s="769"/>
      <c r="AY638" s="769"/>
      <c r="AZ638" s="532"/>
    </row>
    <row r="639" spans="1:52" ht="15.75" hidden="1" customHeight="1">
      <c r="A639" s="766" t="s">
        <v>2957</v>
      </c>
      <c r="B639" s="1273" t="s">
        <v>1979</v>
      </c>
      <c r="C639" s="1333">
        <f>+$C$637+$G$638</f>
        <v>46138</v>
      </c>
      <c r="D639" s="769"/>
      <c r="E639" s="769"/>
      <c r="F639" s="770">
        <v>0</v>
      </c>
      <c r="G639" s="771"/>
      <c r="H639" s="772" t="s">
        <v>668</v>
      </c>
      <c r="I639" s="772" t="s">
        <v>2645</v>
      </c>
      <c r="J639" s="783"/>
      <c r="K639" s="769"/>
      <c r="L639" s="769" t="s">
        <v>1123</v>
      </c>
      <c r="M639" s="769" t="s">
        <v>2670</v>
      </c>
      <c r="N639" s="772" t="s">
        <v>145</v>
      </c>
      <c r="O639" s="772" t="s">
        <v>140</v>
      </c>
      <c r="P639" s="772"/>
      <c r="Q639" s="769">
        <v>0</v>
      </c>
      <c r="R639" s="769">
        <v>0</v>
      </c>
      <c r="S639" s="769"/>
      <c r="T639" s="769">
        <v>30</v>
      </c>
      <c r="U639" s="769">
        <v>-15</v>
      </c>
      <c r="V639" s="769"/>
      <c r="W639" s="769">
        <v>1.4</v>
      </c>
      <c r="X639" s="769">
        <v>2.2999999999999998</v>
      </c>
      <c r="Y639" s="769"/>
      <c r="Z639" s="774"/>
      <c r="AA639" s="774">
        <v>0.5</v>
      </c>
      <c r="AB639" s="769"/>
      <c r="AC639" s="769" t="s">
        <v>2616</v>
      </c>
      <c r="AD639" s="769"/>
      <c r="AE639" s="769"/>
      <c r="AF639" s="769">
        <v>5400</v>
      </c>
      <c r="AG639" s="1333">
        <v>46137.03</v>
      </c>
      <c r="AH639" s="769">
        <v>3218</v>
      </c>
      <c r="AI639" s="769">
        <v>32</v>
      </c>
      <c r="AJ639" s="769" t="s">
        <v>3150</v>
      </c>
      <c r="AK639" s="769"/>
      <c r="AL639" s="769"/>
      <c r="AM639" s="769" t="s">
        <v>2054</v>
      </c>
      <c r="AN639" s="774">
        <v>5.5</v>
      </c>
      <c r="AO639" s="769"/>
      <c r="AP639" s="769"/>
      <c r="AQ639" s="774"/>
      <c r="AR639" s="774"/>
      <c r="AS639" s="774"/>
      <c r="AT639" s="774">
        <f>+ab($T$639,$T$637,$T$641,$G$638,$G$640, 1*$F$639,1200)</f>
        <v>14.742977824094208</v>
      </c>
      <c r="AU639" s="774"/>
      <c r="AV639" s="774"/>
      <c r="AW639" s="769"/>
      <c r="AX639" s="769"/>
      <c r="AY639" s="769"/>
      <c r="AZ639" s="532"/>
    </row>
    <row r="640" spans="1:52" ht="15.75" hidden="1" customHeight="1">
      <c r="A640" s="766"/>
      <c r="B640" s="1273"/>
      <c r="C640" s="1333"/>
      <c r="D640" s="769"/>
      <c r="E640" s="769"/>
      <c r="F640" s="770"/>
      <c r="G640" s="771">
        <v>60</v>
      </c>
      <c r="H640" s="772"/>
      <c r="I640" s="772"/>
      <c r="J640" s="783"/>
      <c r="K640" s="769"/>
      <c r="L640" s="769"/>
      <c r="M640" s="769"/>
      <c r="N640" s="772"/>
      <c r="O640" s="772"/>
      <c r="P640" s="772"/>
      <c r="Q640" s="769"/>
      <c r="R640" s="769"/>
      <c r="S640" s="774">
        <f t="shared" si="169"/>
        <v>59.950000000004366</v>
      </c>
      <c r="T640" s="769"/>
      <c r="U640" s="769"/>
      <c r="V640" s="769"/>
      <c r="W640" s="769"/>
      <c r="X640" s="769"/>
      <c r="Y640" s="769"/>
      <c r="Z640" s="769"/>
      <c r="AA640" s="769"/>
      <c r="AB640" s="769"/>
      <c r="AC640" s="769"/>
      <c r="AD640" s="769"/>
      <c r="AE640" s="769"/>
      <c r="AF640" s="769"/>
      <c r="AG640" s="1333"/>
      <c r="AH640" s="769"/>
      <c r="AI640" s="769"/>
      <c r="AJ640" s="769"/>
      <c r="AK640" s="769"/>
      <c r="AL640" s="769"/>
      <c r="AM640" s="769"/>
      <c r="AN640" s="769"/>
      <c r="AO640" s="769"/>
      <c r="AP640" s="769"/>
      <c r="AQ640" s="774">
        <f>+FL_1($T$641,$T$639,$G$640,1200,9.28, 1*$F$641)</f>
        <v>0.4126551719999999</v>
      </c>
      <c r="AR640" s="774"/>
      <c r="AS640" s="774"/>
      <c r="AT640" s="774"/>
      <c r="AU640" s="774"/>
      <c r="AV640" s="774"/>
      <c r="AW640" s="769"/>
      <c r="AX640" s="769"/>
      <c r="AY640" s="769"/>
      <c r="AZ640" s="532"/>
    </row>
    <row r="641" spans="1:52" ht="15.75" hidden="1" customHeight="1">
      <c r="A641" s="766" t="s">
        <v>2956</v>
      </c>
      <c r="B641" s="1273" t="s">
        <v>1980</v>
      </c>
      <c r="C641" s="1333">
        <f>+$C$639+$G$640</f>
        <v>46198</v>
      </c>
      <c r="D641" s="769"/>
      <c r="E641" s="769"/>
      <c r="F641" s="770">
        <v>0</v>
      </c>
      <c r="G641" s="771"/>
      <c r="H641" s="772" t="s">
        <v>138</v>
      </c>
      <c r="I641" s="772" t="s">
        <v>2831</v>
      </c>
      <c r="J641" s="783"/>
      <c r="K641" s="769"/>
      <c r="L641" s="769" t="s">
        <v>2710</v>
      </c>
      <c r="M641" s="769" t="s">
        <v>2671</v>
      </c>
      <c r="N641" s="772" t="s">
        <v>144</v>
      </c>
      <c r="O641" s="772"/>
      <c r="P641" s="772"/>
      <c r="Q641" s="769">
        <v>0</v>
      </c>
      <c r="R641" s="769">
        <v>0</v>
      </c>
      <c r="S641" s="769"/>
      <c r="T641" s="769">
        <v>-30</v>
      </c>
      <c r="U641" s="769"/>
      <c r="V641" s="769"/>
      <c r="W641" s="769">
        <v>1.4</v>
      </c>
      <c r="X641" s="769"/>
      <c r="Y641" s="769"/>
      <c r="Z641" s="769"/>
      <c r="AA641" s="769"/>
      <c r="AB641" s="769"/>
      <c r="AC641" s="769" t="s">
        <v>2616</v>
      </c>
      <c r="AD641" s="769"/>
      <c r="AE641" s="769"/>
      <c r="AF641" s="769">
        <v>5400</v>
      </c>
      <c r="AG641" s="1333">
        <v>46196.98</v>
      </c>
      <c r="AH641" s="769">
        <v>3198</v>
      </c>
      <c r="AI641" s="769">
        <v>40</v>
      </c>
      <c r="AJ641" s="769" t="s">
        <v>2466</v>
      </c>
      <c r="AK641" s="769"/>
      <c r="AL641" s="769"/>
      <c r="AM641" s="769" t="s">
        <v>2054</v>
      </c>
      <c r="AN641" s="774">
        <v>5.45</v>
      </c>
      <c r="AO641" s="769"/>
      <c r="AP641" s="769"/>
      <c r="AQ641" s="774"/>
      <c r="AR641" s="774"/>
      <c r="AS641" s="774"/>
      <c r="AT641" s="774">
        <f>+ab($T$641,$T$639,$T$643,$G$640,$G$642, 1*$F$641,1200)</f>
        <v>-18.51662016504913</v>
      </c>
      <c r="AU641" s="774"/>
      <c r="AV641" s="774"/>
      <c r="AW641" s="769"/>
      <c r="AX641" s="769"/>
      <c r="AY641" s="769"/>
      <c r="AZ641" s="532"/>
    </row>
    <row r="642" spans="1:52" ht="15.75" hidden="1" customHeight="1">
      <c r="A642" s="766" t="s">
        <v>1111</v>
      </c>
      <c r="B642" s="767"/>
      <c r="C642" s="1330"/>
      <c r="D642" s="769"/>
      <c r="E642" s="769"/>
      <c r="F642" s="770"/>
      <c r="G642" s="771">
        <v>64</v>
      </c>
      <c r="H642" s="772"/>
      <c r="I642" s="772"/>
      <c r="J642" s="783"/>
      <c r="K642" s="769"/>
      <c r="L642" s="769"/>
      <c r="M642" s="769"/>
      <c r="N642" s="772"/>
      <c r="O642" s="772"/>
      <c r="P642" s="772"/>
      <c r="Q642" s="769"/>
      <c r="R642" s="769"/>
      <c r="S642" s="774">
        <f t="shared" si="169"/>
        <v>65</v>
      </c>
      <c r="T642" s="769"/>
      <c r="U642" s="769"/>
      <c r="V642" s="769"/>
      <c r="W642" s="769"/>
      <c r="X642" s="769"/>
      <c r="Y642" s="769"/>
      <c r="Z642" s="769"/>
      <c r="AA642" s="769"/>
      <c r="AB642" s="769"/>
      <c r="AC642" s="769"/>
      <c r="AD642" s="769"/>
      <c r="AE642" s="769"/>
      <c r="AF642" s="769"/>
      <c r="AG642" s="1330"/>
      <c r="AH642" s="769"/>
      <c r="AI642" s="769"/>
      <c r="AJ642" s="769" t="s">
        <v>2976</v>
      </c>
      <c r="AK642" s="769"/>
      <c r="AL642" s="769"/>
      <c r="AM642" s="769"/>
      <c r="AN642" s="769"/>
      <c r="AO642" s="769"/>
      <c r="AP642" s="769"/>
      <c r="AQ642" s="774">
        <f>+FL_2($T$643,$T$641,$G$642,1200,9.28, 1*$F$643)</f>
        <v>-0.6959466666666666</v>
      </c>
      <c r="AR642" s="774"/>
      <c r="AS642" s="774"/>
      <c r="AT642" s="774"/>
      <c r="AU642" s="774"/>
      <c r="AV642" s="774"/>
      <c r="AW642" s="769"/>
      <c r="AX642" s="769"/>
      <c r="AY642" s="769"/>
      <c r="AZ642" s="532"/>
    </row>
    <row r="643" spans="1:52" ht="15.75" hidden="1" customHeight="1">
      <c r="A643" s="716" t="s">
        <v>1112</v>
      </c>
      <c r="B643" s="735" t="s">
        <v>1981</v>
      </c>
      <c r="C643" s="789">
        <f>+$C$641+$G$642</f>
        <v>46262</v>
      </c>
      <c r="D643" s="719"/>
      <c r="E643" s="719"/>
      <c r="F643" s="720">
        <v>0</v>
      </c>
      <c r="G643" s="721"/>
      <c r="H643" s="726"/>
      <c r="I643" s="726" t="s">
        <v>2053</v>
      </c>
      <c r="J643" s="762"/>
      <c r="K643" s="719" t="s">
        <v>1102</v>
      </c>
      <c r="L643" s="719" t="s">
        <v>241</v>
      </c>
      <c r="M643" s="719"/>
      <c r="N643" s="726" t="s">
        <v>695</v>
      </c>
      <c r="O643" s="726"/>
      <c r="P643" s="726"/>
      <c r="Q643" s="719">
        <v>0</v>
      </c>
      <c r="R643" s="719">
        <v>0</v>
      </c>
      <c r="S643" s="719"/>
      <c r="T643" s="719">
        <v>-30</v>
      </c>
      <c r="U643" s="719"/>
      <c r="V643" s="719"/>
      <c r="W643" s="719">
        <v>1.4</v>
      </c>
      <c r="X643" s="719"/>
      <c r="Y643" s="719"/>
      <c r="Z643" s="719"/>
      <c r="AA643" s="719"/>
      <c r="AB643" s="719"/>
      <c r="AC643" s="719" t="s">
        <v>2614</v>
      </c>
      <c r="AD643" s="719"/>
      <c r="AE643" s="719"/>
      <c r="AF643" s="719">
        <v>200</v>
      </c>
      <c r="AG643" s="789">
        <v>46261.98</v>
      </c>
      <c r="AH643" s="719">
        <v>2195</v>
      </c>
      <c r="AI643" s="719">
        <v>-5019</v>
      </c>
      <c r="AJ643" s="719"/>
      <c r="AK643" s="719"/>
      <c r="AL643" s="719"/>
      <c r="AM643" s="719" t="s">
        <v>2609</v>
      </c>
      <c r="AN643" s="724">
        <v>5.4</v>
      </c>
      <c r="AO643" s="719"/>
      <c r="AP643" s="719"/>
      <c r="AQ643" s="724"/>
      <c r="AR643" s="724"/>
      <c r="AS643" s="724"/>
      <c r="AT643" s="724">
        <f>+ab($T$643,$T$641,$T$645,$G$642,$G$644, 1*$F$643,1200)</f>
        <v>-15.297165435285319</v>
      </c>
      <c r="AU643" s="724"/>
      <c r="AV643" s="724"/>
      <c r="AW643" s="719"/>
      <c r="AX643" s="719"/>
      <c r="AY643" s="719"/>
      <c r="AZ643" s="532"/>
    </row>
    <row r="644" spans="1:52" ht="15.75" hidden="1" customHeight="1">
      <c r="A644" s="716"/>
      <c r="B644" s="735"/>
      <c r="C644" s="789"/>
      <c r="D644" s="719"/>
      <c r="E644" s="719"/>
      <c r="F644" s="720"/>
      <c r="G644" s="721">
        <v>49</v>
      </c>
      <c r="H644" s="726"/>
      <c r="I644" s="726"/>
      <c r="J644" s="762"/>
      <c r="K644" s="719"/>
      <c r="L644" s="719"/>
      <c r="M644" s="719"/>
      <c r="N644" s="726"/>
      <c r="O644" s="726"/>
      <c r="P644" s="726"/>
      <c r="Q644" s="719"/>
      <c r="R644" s="719"/>
      <c r="S644" s="719">
        <f t="shared" ref="S644:S692" si="170">AG645-AG643</f>
        <v>49.059999999997672</v>
      </c>
      <c r="T644" s="719"/>
      <c r="U644" s="719"/>
      <c r="V644" s="719"/>
      <c r="W644" s="719"/>
      <c r="X644" s="719"/>
      <c r="Y644" s="719"/>
      <c r="Z644" s="719"/>
      <c r="AA644" s="719"/>
      <c r="AB644" s="719"/>
      <c r="AC644" s="719"/>
      <c r="AD644" s="719"/>
      <c r="AE644" s="719"/>
      <c r="AF644" s="719"/>
      <c r="AG644" s="789"/>
      <c r="AH644" s="719"/>
      <c r="AI644" s="719"/>
      <c r="AJ644" s="719"/>
      <c r="AK644" s="719"/>
      <c r="AL644" s="719"/>
      <c r="AM644" s="719"/>
      <c r="AN644" s="719"/>
      <c r="AO644" s="719"/>
      <c r="AP644" s="719"/>
      <c r="AQ644" s="724">
        <f>+FL_1($T$645,$T$643,$G$644,1200,9.28, 1*$F$645)</f>
        <v>0.32903902669387752</v>
      </c>
      <c r="AR644" s="724"/>
      <c r="AS644" s="724"/>
      <c r="AT644" s="724"/>
      <c r="AU644" s="724"/>
      <c r="AV644" s="724"/>
      <c r="AW644" s="719"/>
      <c r="AX644" s="719"/>
      <c r="AY644" s="719"/>
      <c r="AZ644" s="532"/>
    </row>
    <row r="645" spans="1:52" ht="15.75" hidden="1" customHeight="1">
      <c r="A645" s="716"/>
      <c r="B645" s="735" t="s">
        <v>1982</v>
      </c>
      <c r="C645" s="789">
        <f>+$C$643+$G$644</f>
        <v>46311</v>
      </c>
      <c r="D645" s="719"/>
      <c r="E645" s="719"/>
      <c r="F645" s="720">
        <v>0</v>
      </c>
      <c r="G645" s="721"/>
      <c r="H645" s="726"/>
      <c r="I645" s="726"/>
      <c r="J645" s="762"/>
      <c r="K645" s="719"/>
      <c r="L645" s="719" t="s">
        <v>241</v>
      </c>
      <c r="M645" s="719"/>
      <c r="N645" s="726" t="s">
        <v>696</v>
      </c>
      <c r="O645" s="726"/>
      <c r="P645" s="726"/>
      <c r="Q645" s="719">
        <v>0</v>
      </c>
      <c r="R645" s="719">
        <v>0</v>
      </c>
      <c r="S645" s="719"/>
      <c r="T645" s="719">
        <v>30</v>
      </c>
      <c r="U645" s="719"/>
      <c r="V645" s="719"/>
      <c r="W645" s="719">
        <v>1.4</v>
      </c>
      <c r="X645" s="719"/>
      <c r="Y645" s="719"/>
      <c r="Z645" s="719"/>
      <c r="AA645" s="719"/>
      <c r="AB645" s="719"/>
      <c r="AC645" s="719" t="s">
        <v>2616</v>
      </c>
      <c r="AD645" s="719"/>
      <c r="AE645" s="719"/>
      <c r="AF645" s="719">
        <v>200</v>
      </c>
      <c r="AG645" s="789">
        <v>46311.040000000001</v>
      </c>
      <c r="AH645" s="719">
        <v>2048</v>
      </c>
      <c r="AI645" s="719">
        <v>-5052</v>
      </c>
      <c r="AJ645" s="719"/>
      <c r="AK645" s="719"/>
      <c r="AL645" s="719"/>
      <c r="AM645" s="719" t="s">
        <v>2609</v>
      </c>
      <c r="AN645" s="719">
        <v>5.33</v>
      </c>
      <c r="AO645" s="719"/>
      <c r="AP645" s="719"/>
      <c r="AQ645" s="724"/>
      <c r="AR645" s="724"/>
      <c r="AS645" s="724"/>
      <c r="AT645" s="724">
        <f>+ab($T$645,$T$643,$T$647,$G$644,$G$646, 1*$F$645,1200)</f>
        <v>15.297045170671165</v>
      </c>
      <c r="AU645" s="724"/>
      <c r="AV645" s="724"/>
      <c r="AW645" s="719"/>
      <c r="AX645" s="719"/>
      <c r="AY645" s="719"/>
      <c r="AZ645" s="532"/>
    </row>
    <row r="646" spans="1:52" ht="15.75" hidden="1" customHeight="1">
      <c r="A646" s="716"/>
      <c r="B646" s="735"/>
      <c r="C646" s="789"/>
      <c r="D646" s="719"/>
      <c r="E646" s="719"/>
      <c r="F646" s="720"/>
      <c r="G646" s="721">
        <v>40</v>
      </c>
      <c r="H646" s="726"/>
      <c r="I646" s="726"/>
      <c r="J646" s="762"/>
      <c r="K646" s="719"/>
      <c r="L646" s="719"/>
      <c r="M646" s="719"/>
      <c r="N646" s="726"/>
      <c r="O646" s="726"/>
      <c r="P646" s="726"/>
      <c r="Q646" s="719"/>
      <c r="R646" s="719"/>
      <c r="S646" s="719">
        <f t="shared" si="170"/>
        <v>39.909999999996217</v>
      </c>
      <c r="T646" s="719"/>
      <c r="U646" s="719"/>
      <c r="V646" s="719"/>
      <c r="W646" s="719"/>
      <c r="X646" s="719"/>
      <c r="Y646" s="719"/>
      <c r="Z646" s="719"/>
      <c r="AA646" s="719"/>
      <c r="AB646" s="719"/>
      <c r="AC646" s="719"/>
      <c r="AD646" s="719"/>
      <c r="AE646" s="719"/>
      <c r="AF646" s="719"/>
      <c r="AG646" s="789"/>
      <c r="AH646" s="719"/>
      <c r="AI646" s="719"/>
      <c r="AJ646" s="719"/>
      <c r="AK646" s="719"/>
      <c r="AL646" s="719"/>
      <c r="AM646" s="719"/>
      <c r="AN646" s="719"/>
      <c r="AO646" s="719"/>
      <c r="AP646" s="719"/>
      <c r="AQ646" s="724">
        <f>+FL_1($T$647,$T$645,$G$646,1200,9.28, 1*$F$647)</f>
        <v>0.50594905511311905</v>
      </c>
      <c r="AR646" s="724"/>
      <c r="AS646" s="724"/>
      <c r="AT646" s="724"/>
      <c r="AU646" s="724"/>
      <c r="AV646" s="724"/>
      <c r="AW646" s="719"/>
      <c r="AX646" s="719"/>
      <c r="AY646" s="719"/>
      <c r="AZ646" s="532"/>
    </row>
    <row r="647" spans="1:52" ht="15.75" hidden="1" customHeight="1">
      <c r="A647" s="716"/>
      <c r="B647" s="735" t="s">
        <v>1983</v>
      </c>
      <c r="C647" s="789">
        <f>+$C$645+$G$646</f>
        <v>46351</v>
      </c>
      <c r="D647" s="719"/>
      <c r="E647" s="719"/>
      <c r="F647" s="720">
        <f>-156000/(C647-46311)</f>
        <v>-3900</v>
      </c>
      <c r="G647" s="721"/>
      <c r="H647" s="726"/>
      <c r="I647" s="726"/>
      <c r="J647" s="762"/>
      <c r="K647" s="719"/>
      <c r="L647" s="719" t="s">
        <v>241</v>
      </c>
      <c r="M647" s="719"/>
      <c r="N647" s="726" t="s">
        <v>696</v>
      </c>
      <c r="O647" s="719"/>
      <c r="P647" s="726"/>
      <c r="Q647" s="719">
        <v>30</v>
      </c>
      <c r="R647" s="719">
        <v>-4000.64</v>
      </c>
      <c r="S647" s="719"/>
      <c r="T647" s="719">
        <v>30</v>
      </c>
      <c r="U647" s="719"/>
      <c r="V647" s="719"/>
      <c r="W647" s="719">
        <v>1.4</v>
      </c>
      <c r="X647" s="719"/>
      <c r="Y647" s="719"/>
      <c r="Z647" s="719"/>
      <c r="AA647" s="719"/>
      <c r="AB647" s="719"/>
      <c r="AC647" s="719" t="s">
        <v>2616</v>
      </c>
      <c r="AD647" s="719"/>
      <c r="AE647" s="719"/>
      <c r="AF647" s="719">
        <v>200</v>
      </c>
      <c r="AG647" s="789">
        <v>46350.95</v>
      </c>
      <c r="AH647" s="719">
        <v>2128</v>
      </c>
      <c r="AI647" s="719">
        <v>-5065</v>
      </c>
      <c r="AJ647" s="719"/>
      <c r="AK647" s="719"/>
      <c r="AL647" s="719"/>
      <c r="AM647" s="719" t="s">
        <v>2609</v>
      </c>
      <c r="AN647" s="719">
        <v>5.27</v>
      </c>
      <c r="AO647" s="719"/>
      <c r="AP647" s="719"/>
      <c r="AQ647" s="724"/>
      <c r="AR647" s="724"/>
      <c r="AS647" s="724"/>
      <c r="AT647" s="724">
        <f>+ab($T$647,$T$645,$T$649,$G$646,$G$648, 1*$F$647,1200)</f>
        <v>-18.08408330413198</v>
      </c>
      <c r="AU647" s="724"/>
      <c r="AV647" s="724"/>
      <c r="AW647" s="719"/>
      <c r="AX647" s="719"/>
      <c r="AY647" s="719"/>
      <c r="AZ647" s="532"/>
    </row>
    <row r="648" spans="1:52" ht="15.75" hidden="1" customHeight="1">
      <c r="A648" s="716"/>
      <c r="B648" s="735"/>
      <c r="C648" s="789"/>
      <c r="D648" s="719"/>
      <c r="E648" s="719"/>
      <c r="F648" s="720"/>
      <c r="G648" s="721">
        <v>40</v>
      </c>
      <c r="H648" s="726"/>
      <c r="I648" s="726"/>
      <c r="J648" s="762"/>
      <c r="K648" s="719"/>
      <c r="L648" s="719"/>
      <c r="M648" s="719"/>
      <c r="N648" s="726"/>
      <c r="O648" s="726"/>
      <c r="P648" s="726"/>
      <c r="Q648" s="719"/>
      <c r="R648" s="719"/>
      <c r="S648" s="719">
        <f t="shared" si="170"/>
        <v>40.040000000000873</v>
      </c>
      <c r="T648" s="719"/>
      <c r="U648" s="719"/>
      <c r="V648" s="719"/>
      <c r="W648" s="719"/>
      <c r="X648" s="719"/>
      <c r="Y648" s="719"/>
      <c r="Z648" s="719"/>
      <c r="AA648" s="719"/>
      <c r="AB648" s="719"/>
      <c r="AC648" s="719"/>
      <c r="AD648" s="719"/>
      <c r="AE648" s="719"/>
      <c r="AF648" s="719"/>
      <c r="AG648" s="789"/>
      <c r="AH648" s="719"/>
      <c r="AI648" s="719"/>
      <c r="AJ648" s="719"/>
      <c r="AK648" s="719"/>
      <c r="AL648" s="719"/>
      <c r="AM648" s="719"/>
      <c r="AN648" s="719"/>
      <c r="AO648" s="719"/>
      <c r="AP648" s="719"/>
      <c r="AQ648" s="724">
        <f>+FL_2($T$649,$T$647,$G$648,1200,9.28, 1*$F$649)</f>
        <v>0.24790013332012253</v>
      </c>
      <c r="AR648" s="724"/>
      <c r="AS648" s="724"/>
      <c r="AT648" s="724"/>
      <c r="AU648" s="724"/>
      <c r="AV648" s="724"/>
      <c r="AW648" s="719"/>
      <c r="AX648" s="719"/>
      <c r="AY648" s="719"/>
      <c r="AZ648" s="532"/>
    </row>
    <row r="649" spans="1:52" ht="15.75" customHeight="1">
      <c r="A649" s="716"/>
      <c r="B649" s="735" t="s">
        <v>1984</v>
      </c>
      <c r="C649" s="789">
        <f>+$C$647+$G$648</f>
        <v>46391</v>
      </c>
      <c r="D649" s="719"/>
      <c r="E649" s="719"/>
      <c r="F649" s="720">
        <f>-156000/(C649-46311)</f>
        <v>-1950</v>
      </c>
      <c r="G649" s="721"/>
      <c r="H649" s="726" t="s">
        <v>1101</v>
      </c>
      <c r="I649" s="726"/>
      <c r="J649" s="762"/>
      <c r="K649" s="719"/>
      <c r="L649" s="719" t="s">
        <v>241</v>
      </c>
      <c r="M649" s="719"/>
      <c r="N649" s="726" t="s">
        <v>696</v>
      </c>
      <c r="O649" s="726"/>
      <c r="P649" s="726"/>
      <c r="Q649" s="719">
        <v>54</v>
      </c>
      <c r="R649" s="719">
        <v>-1975</v>
      </c>
      <c r="S649" s="719"/>
      <c r="T649" s="719">
        <v>30</v>
      </c>
      <c r="U649" s="719"/>
      <c r="V649" s="719"/>
      <c r="W649" s="719">
        <v>1.4</v>
      </c>
      <c r="X649" s="719"/>
      <c r="Y649" s="719"/>
      <c r="Z649" s="719"/>
      <c r="AA649" s="719"/>
      <c r="AB649" s="719"/>
      <c r="AC649" s="719" t="s">
        <v>2616</v>
      </c>
      <c r="AD649" s="719"/>
      <c r="AE649" s="719"/>
      <c r="AF649" s="719">
        <v>200</v>
      </c>
      <c r="AG649" s="789">
        <v>46390.99</v>
      </c>
      <c r="AH649" s="719">
        <v>2099</v>
      </c>
      <c r="AI649" s="719">
        <v>-5045</v>
      </c>
      <c r="AJ649" s="719"/>
      <c r="AK649" s="719"/>
      <c r="AL649" s="719"/>
      <c r="AM649" s="719" t="s">
        <v>2609</v>
      </c>
      <c r="AN649" s="719">
        <v>5.25</v>
      </c>
      <c r="AO649" s="719"/>
      <c r="AP649" s="719"/>
      <c r="AQ649" s="724"/>
      <c r="AR649" s="724"/>
      <c r="AS649" s="724"/>
      <c r="AT649" s="724">
        <f>+ab($T$649,$T$647,$T$651,$G$648,$G$650, 1*$F$649,1200)</f>
        <v>-8.5383134380210706</v>
      </c>
      <c r="AU649" s="724"/>
      <c r="AV649" s="724"/>
      <c r="AW649" s="719"/>
      <c r="AX649" s="719"/>
      <c r="AY649" s="719"/>
      <c r="AZ649" s="532"/>
    </row>
    <row r="650" spans="1:52" ht="15.75" hidden="1" customHeight="1">
      <c r="A650" s="716"/>
      <c r="B650" s="735"/>
      <c r="C650" s="789"/>
      <c r="D650" s="719"/>
      <c r="E650" s="719"/>
      <c r="F650" s="720"/>
      <c r="G650" s="721">
        <v>47</v>
      </c>
      <c r="H650" s="726"/>
      <c r="I650" s="726">
        <f>+SUM(G636:G650)</f>
        <v>415</v>
      </c>
      <c r="J650" s="762">
        <f>C649+1</f>
        <v>46392</v>
      </c>
      <c r="K650" s="719" t="s">
        <v>1102</v>
      </c>
      <c r="L650" s="719"/>
      <c r="M650" s="719"/>
      <c r="N650" s="726"/>
      <c r="O650" s="726"/>
      <c r="P650" s="726"/>
      <c r="Q650" s="719"/>
      <c r="R650" s="719"/>
      <c r="S650" s="719">
        <f t="shared" si="170"/>
        <v>47.440000000002328</v>
      </c>
      <c r="T650" s="719"/>
      <c r="U650" s="719"/>
      <c r="V650" s="719"/>
      <c r="W650" s="719"/>
      <c r="X650" s="719"/>
      <c r="Y650" s="719"/>
      <c r="Z650" s="719"/>
      <c r="AA650" s="719"/>
      <c r="AB650" s="719"/>
      <c r="AC650" s="719"/>
      <c r="AD650" s="719"/>
      <c r="AE650" s="719"/>
      <c r="AF650" s="719"/>
      <c r="AG650" s="789"/>
      <c r="AH650" s="719"/>
      <c r="AI650" s="719"/>
      <c r="AJ650" s="719"/>
      <c r="AK650" s="719"/>
      <c r="AL650" s="719"/>
      <c r="AM650" s="719"/>
      <c r="AN650" s="719"/>
      <c r="AO650" s="719"/>
      <c r="AP650" s="719"/>
      <c r="AQ650" s="724">
        <f>+FL_2($T$651,$T$649,$G$650,1200,9.28, 1*$F$651)</f>
        <v>0.29999041720715325</v>
      </c>
      <c r="AR650" s="724"/>
      <c r="AS650" s="724"/>
      <c r="AT650" s="724"/>
      <c r="AU650" s="724"/>
      <c r="AV650" s="724"/>
      <c r="AW650" s="719"/>
      <c r="AX650" s="719"/>
      <c r="AY650" s="719"/>
      <c r="AZ650" s="532"/>
    </row>
    <row r="651" spans="1:52" ht="15.75" customHeight="1">
      <c r="A651" s="716"/>
      <c r="B651" s="735" t="s">
        <v>1985</v>
      </c>
      <c r="C651" s="789">
        <f>+$C$649+$G$650</f>
        <v>46438</v>
      </c>
      <c r="D651" s="719"/>
      <c r="E651" s="719"/>
      <c r="F651" s="720">
        <f>-156000/(C651-46311)</f>
        <v>-1228.3464566929133</v>
      </c>
      <c r="G651" s="721"/>
      <c r="H651" s="726" t="s">
        <v>997</v>
      </c>
      <c r="I651" s="726"/>
      <c r="J651" s="762"/>
      <c r="K651" s="719"/>
      <c r="L651" s="719" t="s">
        <v>241</v>
      </c>
      <c r="M651" s="719"/>
      <c r="N651" s="726" t="s">
        <v>696</v>
      </c>
      <c r="O651" s="726"/>
      <c r="P651" s="726"/>
      <c r="Q651" s="719">
        <v>80</v>
      </c>
      <c r="R651" s="719">
        <v>-1202.3499999999999</v>
      </c>
      <c r="S651" s="719"/>
      <c r="T651" s="719">
        <v>30</v>
      </c>
      <c r="U651" s="719"/>
      <c r="V651" s="719"/>
      <c r="W651" s="719">
        <v>1.4</v>
      </c>
      <c r="X651" s="719"/>
      <c r="Y651" s="719"/>
      <c r="Z651" s="719"/>
      <c r="AA651" s="719"/>
      <c r="AB651" s="719"/>
      <c r="AC651" s="719" t="s">
        <v>2978</v>
      </c>
      <c r="AD651" s="719"/>
      <c r="AE651" s="719"/>
      <c r="AF651" s="719">
        <v>200</v>
      </c>
      <c r="AG651" s="789">
        <v>46438.43</v>
      </c>
      <c r="AH651" s="719">
        <v>2093</v>
      </c>
      <c r="AI651" s="719">
        <v>-5038</v>
      </c>
      <c r="AJ651" s="719"/>
      <c r="AK651" s="719"/>
      <c r="AL651" s="719"/>
      <c r="AM651" s="719" t="s">
        <v>2609</v>
      </c>
      <c r="AN651" s="719">
        <v>5.25</v>
      </c>
      <c r="AO651" s="719"/>
      <c r="AP651" s="719"/>
      <c r="AQ651" s="724"/>
      <c r="AR651" s="724"/>
      <c r="AS651" s="724"/>
      <c r="AT651" s="724">
        <f>+ab($T$651,$T$649,$T$653,$G$650,$G$652, 1*$F$651,1200)</f>
        <v>-5.0023713825097271</v>
      </c>
      <c r="AU651" s="724"/>
      <c r="AV651" s="724"/>
      <c r="AW651" s="719"/>
      <c r="AX651" s="719"/>
      <c r="AY651" s="719"/>
      <c r="AZ651" s="532"/>
    </row>
    <row r="652" spans="1:52" ht="15.75" hidden="1" customHeight="1">
      <c r="A652" s="716"/>
      <c r="B652" s="735"/>
      <c r="C652" s="789"/>
      <c r="D652" s="719"/>
      <c r="E652" s="719"/>
      <c r="F652" s="720"/>
      <c r="G652" s="721">
        <v>47</v>
      </c>
      <c r="H652" s="726"/>
      <c r="I652" s="726">
        <f>SUM(G652:G668)</f>
        <v>424</v>
      </c>
      <c r="J652" s="762">
        <f>C653-1</f>
        <v>46484</v>
      </c>
      <c r="K652" s="719" t="s">
        <v>1102</v>
      </c>
      <c r="L652" s="719"/>
      <c r="M652" s="719"/>
      <c r="N652" s="726"/>
      <c r="O652" s="726"/>
      <c r="P652" s="726"/>
      <c r="Q652" s="719"/>
      <c r="R652" s="719"/>
      <c r="S652" s="719">
        <f t="shared" si="170"/>
        <v>47.180000000000291</v>
      </c>
      <c r="T652" s="719"/>
      <c r="U652" s="719"/>
      <c r="V652" s="719"/>
      <c r="W652" s="719"/>
      <c r="X652" s="719"/>
      <c r="Y652" s="719"/>
      <c r="Z652" s="719"/>
      <c r="AA652" s="719"/>
      <c r="AB652" s="719"/>
      <c r="AC652" s="719"/>
      <c r="AD652" s="719"/>
      <c r="AE652" s="719"/>
      <c r="AF652" s="719"/>
      <c r="AG652" s="789"/>
      <c r="AH652" s="719"/>
      <c r="AI652" s="719"/>
      <c r="AJ652" s="719"/>
      <c r="AK652" s="719"/>
      <c r="AL652" s="719"/>
      <c r="AM652" s="719"/>
      <c r="AN652" s="719"/>
      <c r="AO652" s="719"/>
      <c r="AP652" s="719"/>
      <c r="AQ652" s="724">
        <f>+FL_2($T$653,$T$651,$G$652,1200,9.28, 1*$F$653)</f>
        <v>0.29998589701598433</v>
      </c>
      <c r="AR652" s="724"/>
      <c r="AS652" s="724"/>
      <c r="AT652" s="724"/>
      <c r="AU652" s="724"/>
      <c r="AV652" s="724"/>
      <c r="AW652" s="719"/>
      <c r="AX652" s="719"/>
      <c r="AY652" s="719"/>
      <c r="AZ652" s="532"/>
    </row>
    <row r="653" spans="1:52" ht="15.75" customHeight="1">
      <c r="A653" s="716"/>
      <c r="B653" s="735" t="s">
        <v>1986</v>
      </c>
      <c r="C653" s="789">
        <f>+$C$651+$G$652</f>
        <v>46485</v>
      </c>
      <c r="D653" s="719"/>
      <c r="E653" s="719">
        <v>-80</v>
      </c>
      <c r="F653" s="720">
        <v>-1200</v>
      </c>
      <c r="G653" s="721"/>
      <c r="H653" s="726" t="s">
        <v>1101</v>
      </c>
      <c r="I653" s="726"/>
      <c r="J653" s="762"/>
      <c r="K653" s="719"/>
      <c r="L653" s="719" t="s">
        <v>241</v>
      </c>
      <c r="M653" s="719"/>
      <c r="N653" s="726" t="s">
        <v>696</v>
      </c>
      <c r="O653" s="726"/>
      <c r="P653" s="726"/>
      <c r="Q653" s="719">
        <v>80</v>
      </c>
      <c r="R653" s="719">
        <v>-1202.3499999999999</v>
      </c>
      <c r="S653" s="719"/>
      <c r="T653" s="719">
        <v>30</v>
      </c>
      <c r="U653" s="719"/>
      <c r="V653" s="719"/>
      <c r="W653" s="719">
        <v>1.4</v>
      </c>
      <c r="X653" s="719"/>
      <c r="Y653" s="719"/>
      <c r="Z653" s="719"/>
      <c r="AA653" s="719"/>
      <c r="AB653" s="719"/>
      <c r="AC653" s="719" t="s">
        <v>2978</v>
      </c>
      <c r="AD653" s="719"/>
      <c r="AE653" s="719"/>
      <c r="AF653" s="719">
        <v>200</v>
      </c>
      <c r="AG653" s="789">
        <v>46485.61</v>
      </c>
      <c r="AH653" s="719">
        <v>2103</v>
      </c>
      <c r="AI653" s="719">
        <v>-5041</v>
      </c>
      <c r="AJ653" s="719"/>
      <c r="AK653" s="719"/>
      <c r="AL653" s="719"/>
      <c r="AM653" s="719" t="s">
        <v>2609</v>
      </c>
      <c r="AN653" s="719">
        <v>5.25</v>
      </c>
      <c r="AO653" s="719"/>
      <c r="AP653" s="719"/>
      <c r="AQ653" s="724"/>
      <c r="AR653" s="724"/>
      <c r="AS653" s="724"/>
      <c r="AT653" s="724">
        <f>+ab($T$653,$T$651,$T$655,$G$652,$G$654, 1*$F$653,1200)</f>
        <v>-4.8874977865320783</v>
      </c>
      <c r="AU653" s="724"/>
      <c r="AV653" s="724"/>
      <c r="AW653" s="719"/>
      <c r="AX653" s="719"/>
      <c r="AY653" s="719"/>
      <c r="AZ653" s="532"/>
    </row>
    <row r="654" spans="1:52" ht="15.75" hidden="1" customHeight="1">
      <c r="A654" s="716"/>
      <c r="B654" s="735"/>
      <c r="C654" s="789"/>
      <c r="D654" s="719"/>
      <c r="E654" s="719"/>
      <c r="F654" s="720"/>
      <c r="G654" s="721">
        <v>47</v>
      </c>
      <c r="H654" s="726"/>
      <c r="I654" s="726"/>
      <c r="J654" s="762"/>
      <c r="K654" s="719"/>
      <c r="L654" s="719"/>
      <c r="M654" s="719"/>
      <c r="N654" s="726"/>
      <c r="O654" s="726"/>
      <c r="P654" s="726"/>
      <c r="Q654" s="719"/>
      <c r="R654" s="719"/>
      <c r="S654" s="719">
        <f t="shared" si="170"/>
        <v>47.309999999997672</v>
      </c>
      <c r="T654" s="719"/>
      <c r="U654" s="719"/>
      <c r="V654" s="719"/>
      <c r="W654" s="719"/>
      <c r="X654" s="719"/>
      <c r="Y654" s="719"/>
      <c r="Z654" s="719"/>
      <c r="AA654" s="719"/>
      <c r="AB654" s="719"/>
      <c r="AC654" s="719"/>
      <c r="AD654" s="719"/>
      <c r="AE654" s="719"/>
      <c r="AF654" s="719"/>
      <c r="AG654" s="789"/>
      <c r="AH654" s="719"/>
      <c r="AI654" s="719"/>
      <c r="AJ654" s="719"/>
      <c r="AK654" s="719"/>
      <c r="AL654" s="719"/>
      <c r="AM654" s="719"/>
      <c r="AN654" s="719"/>
      <c r="AO654" s="719"/>
      <c r="AP654" s="719"/>
      <c r="AQ654" s="724">
        <f>+FL_2($T$655,$T$653,$G$654,1200,9.28, 1*$F$655)</f>
        <v>0.29998589701598433</v>
      </c>
      <c r="AR654" s="724"/>
      <c r="AS654" s="724"/>
      <c r="AT654" s="724"/>
      <c r="AU654" s="724"/>
      <c r="AV654" s="724"/>
      <c r="AW654" s="719"/>
      <c r="AX654" s="719"/>
      <c r="AY654" s="719"/>
      <c r="AZ654" s="532"/>
    </row>
    <row r="655" spans="1:52" ht="15.75" hidden="1" customHeight="1">
      <c r="A655" s="716"/>
      <c r="B655" s="735" t="s">
        <v>1987</v>
      </c>
      <c r="C655" s="789">
        <f>+$C$653+$G$654</f>
        <v>46532</v>
      </c>
      <c r="D655" s="719"/>
      <c r="E655" s="719">
        <v>-80</v>
      </c>
      <c r="F655" s="720">
        <v>-1200</v>
      </c>
      <c r="G655" s="721"/>
      <c r="H655" s="726"/>
      <c r="I655" s="726"/>
      <c r="J655" s="762"/>
      <c r="K655" s="719"/>
      <c r="L655" s="719" t="s">
        <v>241</v>
      </c>
      <c r="M655" s="719"/>
      <c r="N655" s="726" t="s">
        <v>696</v>
      </c>
      <c r="O655" s="726"/>
      <c r="P655" s="726"/>
      <c r="Q655" s="719">
        <v>80</v>
      </c>
      <c r="R655" s="719">
        <v>-1202.3499999999999</v>
      </c>
      <c r="S655" s="719"/>
      <c r="T655" s="719">
        <v>30</v>
      </c>
      <c r="U655" s="719"/>
      <c r="V655" s="719"/>
      <c r="W655" s="719">
        <v>1.4</v>
      </c>
      <c r="X655" s="719"/>
      <c r="Y655" s="719"/>
      <c r="Z655" s="719"/>
      <c r="AA655" s="719"/>
      <c r="AB655" s="719"/>
      <c r="AC655" s="719" t="s">
        <v>2978</v>
      </c>
      <c r="AD655" s="719"/>
      <c r="AE655" s="719"/>
      <c r="AF655" s="719">
        <v>200</v>
      </c>
      <c r="AG655" s="789">
        <v>46532.92</v>
      </c>
      <c r="AH655" s="719">
        <v>2060</v>
      </c>
      <c r="AI655" s="719">
        <v>-5072</v>
      </c>
      <c r="AJ655" s="719"/>
      <c r="AK655" s="719"/>
      <c r="AL655" s="719"/>
      <c r="AM655" s="719" t="s">
        <v>2609</v>
      </c>
      <c r="AN655" s="719">
        <v>5.25</v>
      </c>
      <c r="AO655" s="719"/>
      <c r="AP655" s="719"/>
      <c r="AQ655" s="724"/>
      <c r="AR655" s="724"/>
      <c r="AS655" s="724"/>
      <c r="AT655" s="724">
        <f>+ab($T$655,$T$653,$T$657,$G$654,$G$656, 1*$F$655,1200)</f>
        <v>-4.8362957550210837</v>
      </c>
      <c r="AU655" s="724"/>
      <c r="AV655" s="724"/>
      <c r="AW655" s="719"/>
      <c r="AX655" s="719"/>
      <c r="AY655" s="719"/>
      <c r="AZ655" s="532"/>
    </row>
    <row r="656" spans="1:52" ht="15.75" hidden="1" customHeight="1">
      <c r="A656" s="716"/>
      <c r="B656" s="735"/>
      <c r="C656" s="789"/>
      <c r="D656" s="719"/>
      <c r="E656" s="719"/>
      <c r="F656" s="720"/>
      <c r="G656" s="721">
        <v>48</v>
      </c>
      <c r="H656" s="726"/>
      <c r="I656" s="722"/>
      <c r="J656" s="762"/>
      <c r="K656" s="719"/>
      <c r="L656" s="719"/>
      <c r="M656" s="719"/>
      <c r="N656" s="726"/>
      <c r="O656" s="726"/>
      <c r="P656" s="726"/>
      <c r="Q656" s="719"/>
      <c r="R656" s="719"/>
      <c r="S656" s="719">
        <f t="shared" si="170"/>
        <v>48.270000000004075</v>
      </c>
      <c r="T656" s="719"/>
      <c r="U656" s="719"/>
      <c r="V656" s="719"/>
      <c r="W656" s="719"/>
      <c r="X656" s="719"/>
      <c r="Y656" s="719"/>
      <c r="Z656" s="719"/>
      <c r="AA656" s="719"/>
      <c r="AB656" s="719"/>
      <c r="AC656" s="719"/>
      <c r="AD656" s="719"/>
      <c r="AE656" s="719"/>
      <c r="AF656" s="719"/>
      <c r="AG656" s="789"/>
      <c r="AH656" s="719"/>
      <c r="AI656" s="719"/>
      <c r="AJ656" s="719"/>
      <c r="AK656" s="719"/>
      <c r="AL656" s="719"/>
      <c r="AM656" s="719"/>
      <c r="AN656" s="719"/>
      <c r="AO656" s="719"/>
      <c r="AP656" s="719"/>
      <c r="AQ656" s="724">
        <f>+FL_2($T$657,$T$655,$G$656,1200,9.28, 1*$F$657)</f>
        <v>0.29998559701661609</v>
      </c>
      <c r="AR656" s="724"/>
      <c r="AS656" s="724"/>
      <c r="AT656" s="724"/>
      <c r="AU656" s="724"/>
      <c r="AV656" s="724"/>
      <c r="AW656" s="719"/>
      <c r="AX656" s="719"/>
      <c r="AY656" s="719"/>
      <c r="AZ656" s="532"/>
    </row>
    <row r="657" spans="1:52" ht="15.75" hidden="1" customHeight="1">
      <c r="A657" s="716"/>
      <c r="B657" s="735" t="s">
        <v>1988</v>
      </c>
      <c r="C657" s="789">
        <f>+$C$655+$G$656</f>
        <v>46580</v>
      </c>
      <c r="D657" s="719"/>
      <c r="E657" s="719">
        <v>-80</v>
      </c>
      <c r="F657" s="720">
        <v>-1200</v>
      </c>
      <c r="G657" s="721"/>
      <c r="H657" s="726"/>
      <c r="I657" s="726"/>
      <c r="J657" s="762"/>
      <c r="K657" s="719"/>
      <c r="L657" s="719" t="s">
        <v>241</v>
      </c>
      <c r="M657" s="719"/>
      <c r="N657" s="726" t="s">
        <v>696</v>
      </c>
      <c r="O657" s="726"/>
      <c r="P657" s="726"/>
      <c r="Q657" s="719">
        <v>80</v>
      </c>
      <c r="R657" s="719">
        <v>-1202.3499999999999</v>
      </c>
      <c r="S657" s="719"/>
      <c r="T657" s="719">
        <v>30</v>
      </c>
      <c r="U657" s="719"/>
      <c r="V657" s="719"/>
      <c r="W657" s="719">
        <v>1.4</v>
      </c>
      <c r="X657" s="719"/>
      <c r="Y657" s="719"/>
      <c r="Z657" s="719"/>
      <c r="AA657" s="719"/>
      <c r="AB657" s="719"/>
      <c r="AC657" s="719" t="s">
        <v>2978</v>
      </c>
      <c r="AD657" s="719"/>
      <c r="AE657" s="719"/>
      <c r="AF657" s="719">
        <v>200</v>
      </c>
      <c r="AG657" s="789">
        <v>46581.19</v>
      </c>
      <c r="AH657" s="719">
        <v>2073</v>
      </c>
      <c r="AI657" s="719">
        <v>-4986</v>
      </c>
      <c r="AJ657" s="719"/>
      <c r="AK657" s="719"/>
      <c r="AL657" s="719"/>
      <c r="AM657" s="719" t="s">
        <v>2609</v>
      </c>
      <c r="AN657" s="719">
        <v>5.25</v>
      </c>
      <c r="AO657" s="719"/>
      <c r="AP657" s="719"/>
      <c r="AQ657" s="724"/>
      <c r="AR657" s="724"/>
      <c r="AS657" s="724"/>
      <c r="AT657" s="724">
        <f>+ab($T$657,$T$655,$T$659,$G$656,$G$658, 1*$F$657,1200)</f>
        <v>-4.6417615952709417</v>
      </c>
      <c r="AU657" s="724"/>
      <c r="AV657" s="724"/>
      <c r="AW657" s="719"/>
      <c r="AX657" s="719"/>
      <c r="AY657" s="719"/>
      <c r="AZ657" s="532"/>
    </row>
    <row r="658" spans="1:52" ht="15.75" hidden="1" customHeight="1">
      <c r="A658" s="716"/>
      <c r="B658" s="735"/>
      <c r="C658" s="789"/>
      <c r="D658" s="719"/>
      <c r="E658" s="719"/>
      <c r="F658" s="720"/>
      <c r="G658" s="721">
        <v>51</v>
      </c>
      <c r="H658" s="726"/>
      <c r="I658" s="726"/>
      <c r="J658" s="762"/>
      <c r="K658" s="719"/>
      <c r="L658" s="719"/>
      <c r="M658" s="719"/>
      <c r="N658" s="726"/>
      <c r="O658" s="726"/>
      <c r="P658" s="726"/>
      <c r="Q658" s="719"/>
      <c r="R658" s="719"/>
      <c r="S658" s="719">
        <f t="shared" si="170"/>
        <v>50</v>
      </c>
      <c r="T658" s="719"/>
      <c r="U658" s="719"/>
      <c r="V658" s="719"/>
      <c r="W658" s="719"/>
      <c r="X658" s="719"/>
      <c r="Y658" s="719"/>
      <c r="Z658" s="719"/>
      <c r="AA658" s="719"/>
      <c r="AB658" s="719"/>
      <c r="AC658" s="719"/>
      <c r="AD658" s="719"/>
      <c r="AE658" s="719"/>
      <c r="AF658" s="719"/>
      <c r="AG658" s="789"/>
      <c r="AH658" s="719"/>
      <c r="AI658" s="719"/>
      <c r="AJ658" s="719"/>
      <c r="AK658" s="719"/>
      <c r="AL658" s="719"/>
      <c r="AM658" s="719"/>
      <c r="AN658" s="719"/>
      <c r="AO658" s="719"/>
      <c r="AP658" s="719"/>
      <c r="AQ658" s="724">
        <f>+FL_2($T$659,$T$657,$G$658,1200,9.28, 1*$F$659)</f>
        <v>0.29998469701896535</v>
      </c>
      <c r="AR658" s="724"/>
      <c r="AS658" s="724"/>
      <c r="AT658" s="724"/>
      <c r="AU658" s="724"/>
      <c r="AV658" s="724"/>
      <c r="AW658" s="719"/>
      <c r="AX658" s="719"/>
      <c r="AY658" s="719"/>
      <c r="AZ658" s="532"/>
    </row>
    <row r="659" spans="1:52" ht="15.75" hidden="1" customHeight="1">
      <c r="A659" s="716"/>
      <c r="B659" s="735" t="s">
        <v>1989</v>
      </c>
      <c r="C659" s="789">
        <f>+$C$657+$G$658</f>
        <v>46631</v>
      </c>
      <c r="D659" s="719"/>
      <c r="E659" s="719">
        <v>-80</v>
      </c>
      <c r="F659" s="720">
        <v>-1200</v>
      </c>
      <c r="G659" s="721"/>
      <c r="H659" s="726"/>
      <c r="I659" s="722"/>
      <c r="J659" s="762"/>
      <c r="K659" s="719"/>
      <c r="L659" s="719" t="s">
        <v>241</v>
      </c>
      <c r="M659" s="719"/>
      <c r="N659" s="726" t="s">
        <v>696</v>
      </c>
      <c r="O659" s="726"/>
      <c r="P659" s="726"/>
      <c r="Q659" s="719">
        <v>80</v>
      </c>
      <c r="R659" s="719">
        <v>-1202.3499999999999</v>
      </c>
      <c r="S659" s="719"/>
      <c r="T659" s="719">
        <v>30</v>
      </c>
      <c r="U659" s="719"/>
      <c r="V659" s="719"/>
      <c r="W659" s="719">
        <v>1.4</v>
      </c>
      <c r="X659" s="719"/>
      <c r="Y659" s="719"/>
      <c r="Z659" s="719"/>
      <c r="AA659" s="719"/>
      <c r="AB659" s="719"/>
      <c r="AC659" s="719" t="s">
        <v>2978</v>
      </c>
      <c r="AD659" s="719"/>
      <c r="AE659" s="719"/>
      <c r="AF659" s="719">
        <v>200</v>
      </c>
      <c r="AG659" s="789">
        <v>46631.19</v>
      </c>
      <c r="AH659" s="719">
        <v>2060</v>
      </c>
      <c r="AI659" s="719">
        <v>-5035</v>
      </c>
      <c r="AJ659" s="719"/>
      <c r="AK659" s="719"/>
      <c r="AL659" s="719"/>
      <c r="AM659" s="719" t="s">
        <v>2609</v>
      </c>
      <c r="AN659" s="719">
        <v>5.25</v>
      </c>
      <c r="AO659" s="719"/>
      <c r="AP659" s="719"/>
      <c r="AQ659" s="724"/>
      <c r="AR659" s="724"/>
      <c r="AS659" s="724"/>
      <c r="AT659" s="724">
        <f>+ab($T$659,$T$657,$T$661,$G$658,$G$660, 1*$F$659,1200)</f>
        <v>-4.5502353869851335</v>
      </c>
      <c r="AU659" s="724"/>
      <c r="AV659" s="724"/>
      <c r="AW659" s="719"/>
      <c r="AX659" s="719"/>
      <c r="AY659" s="719"/>
      <c r="AZ659" s="532"/>
    </row>
    <row r="660" spans="1:52" ht="15.75" hidden="1" customHeight="1">
      <c r="A660" s="716"/>
      <c r="B660" s="735"/>
      <c r="C660" s="789"/>
      <c r="D660" s="719"/>
      <c r="E660" s="719"/>
      <c r="F660" s="720"/>
      <c r="G660" s="721">
        <v>50</v>
      </c>
      <c r="H660" s="726"/>
      <c r="I660" s="726"/>
      <c r="J660" s="762"/>
      <c r="K660" s="719"/>
      <c r="L660" s="719"/>
      <c r="M660" s="719"/>
      <c r="N660" s="726"/>
      <c r="O660" s="726"/>
      <c r="P660" s="726"/>
      <c r="Q660" s="719"/>
      <c r="R660" s="719"/>
      <c r="S660" s="719">
        <f t="shared" si="170"/>
        <v>50.149999999994179</v>
      </c>
      <c r="T660" s="719"/>
      <c r="U660" s="719"/>
      <c r="V660" s="719"/>
      <c r="W660" s="719"/>
      <c r="X660" s="719"/>
      <c r="Y660" s="719"/>
      <c r="Z660" s="719"/>
      <c r="AA660" s="719"/>
      <c r="AB660" s="719"/>
      <c r="AC660" s="719"/>
      <c r="AD660" s="719"/>
      <c r="AE660" s="719"/>
      <c r="AF660" s="719"/>
      <c r="AG660" s="789"/>
      <c r="AH660" s="719"/>
      <c r="AI660" s="719"/>
      <c r="AJ660" s="719"/>
      <c r="AK660" s="719"/>
      <c r="AL660" s="719"/>
      <c r="AM660" s="719"/>
      <c r="AN660" s="719"/>
      <c r="AO660" s="719"/>
      <c r="AP660" s="719"/>
      <c r="AQ660" s="724">
        <f>+FL_2($T$661,$T$659,$G$660,1200,9.28, 1*$F$661)</f>
        <v>0.29998499701810666</v>
      </c>
      <c r="AR660" s="724"/>
      <c r="AS660" s="724"/>
      <c r="AT660" s="724"/>
      <c r="AU660" s="724"/>
      <c r="AV660" s="724"/>
      <c r="AW660" s="719"/>
      <c r="AX660" s="719"/>
      <c r="AY660" s="719"/>
      <c r="AZ660" s="532"/>
    </row>
    <row r="661" spans="1:52" ht="15.75" hidden="1" customHeight="1">
      <c r="A661" s="716"/>
      <c r="B661" s="735" t="s">
        <v>1990</v>
      </c>
      <c r="C661" s="789">
        <f>+$C$659+$G$660</f>
        <v>46681</v>
      </c>
      <c r="D661" s="719"/>
      <c r="E661" s="719">
        <v>-80</v>
      </c>
      <c r="F661" s="720">
        <v>-1200</v>
      </c>
      <c r="G661" s="721"/>
      <c r="H661" s="726"/>
      <c r="I661" s="722"/>
      <c r="J661" s="762"/>
      <c r="K661" s="719"/>
      <c r="L661" s="719" t="s">
        <v>241</v>
      </c>
      <c r="M661" s="719"/>
      <c r="N661" s="726" t="s">
        <v>696</v>
      </c>
      <c r="O661" s="726"/>
      <c r="P661" s="726"/>
      <c r="Q661" s="719">
        <v>80</v>
      </c>
      <c r="R661" s="719">
        <v>-1202.3499999999999</v>
      </c>
      <c r="S661" s="719"/>
      <c r="T661" s="719">
        <v>30</v>
      </c>
      <c r="U661" s="719"/>
      <c r="V661" s="719"/>
      <c r="W661" s="719">
        <v>1.4</v>
      </c>
      <c r="X661" s="719"/>
      <c r="Y661" s="719"/>
      <c r="Z661" s="719"/>
      <c r="AA661" s="719"/>
      <c r="AB661" s="719"/>
      <c r="AC661" s="719" t="s">
        <v>2978</v>
      </c>
      <c r="AD661" s="719"/>
      <c r="AE661" s="719"/>
      <c r="AF661" s="719">
        <v>200</v>
      </c>
      <c r="AG661" s="789">
        <v>46681.34</v>
      </c>
      <c r="AH661" s="719">
        <v>2097</v>
      </c>
      <c r="AI661" s="719">
        <v>-5023</v>
      </c>
      <c r="AJ661" s="719"/>
      <c r="AK661" s="719"/>
      <c r="AL661" s="719"/>
      <c r="AM661" s="719" t="s">
        <v>2609</v>
      </c>
      <c r="AN661" s="719">
        <v>5.25</v>
      </c>
      <c r="AO661" s="719"/>
      <c r="AP661" s="719"/>
      <c r="AQ661" s="724"/>
      <c r="AR661" s="724"/>
      <c r="AS661" s="724"/>
      <c r="AT661" s="724">
        <f>+ab($T$661,$T$659,$T$663,$G$660,$G$662, 1*$F$661,1200)</f>
        <v>-5.1035969371191472</v>
      </c>
      <c r="AU661" s="724"/>
      <c r="AV661" s="724"/>
      <c r="AW661" s="719"/>
      <c r="AX661" s="719"/>
      <c r="AY661" s="719"/>
      <c r="AZ661" s="532"/>
    </row>
    <row r="662" spans="1:52" ht="15.75" hidden="1" customHeight="1">
      <c r="A662" s="716"/>
      <c r="B662" s="735"/>
      <c r="C662" s="789"/>
      <c r="D662" s="719"/>
      <c r="E662" s="719"/>
      <c r="F662" s="720"/>
      <c r="G662" s="721">
        <v>40</v>
      </c>
      <c r="H662" s="726"/>
      <c r="I662" s="726"/>
      <c r="J662" s="762"/>
      <c r="K662" s="719"/>
      <c r="L662" s="719"/>
      <c r="M662" s="719"/>
      <c r="N662" s="726"/>
      <c r="O662" s="726"/>
      <c r="P662" s="726"/>
      <c r="Q662" s="719"/>
      <c r="R662" s="719"/>
      <c r="S662" s="719">
        <f t="shared" si="170"/>
        <v>40.030000000006112</v>
      </c>
      <c r="T662" s="719"/>
      <c r="U662" s="719"/>
      <c r="V662" s="719"/>
      <c r="W662" s="719"/>
      <c r="X662" s="719"/>
      <c r="Y662" s="719"/>
      <c r="Z662" s="719"/>
      <c r="AA662" s="719"/>
      <c r="AB662" s="719"/>
      <c r="AC662" s="719"/>
      <c r="AD662" s="719"/>
      <c r="AE662" s="719"/>
      <c r="AF662" s="719"/>
      <c r="AG662" s="789"/>
      <c r="AH662" s="719"/>
      <c r="AI662" s="719"/>
      <c r="AJ662" s="719"/>
      <c r="AK662" s="719"/>
      <c r="AL662" s="719"/>
      <c r="AM662" s="719"/>
      <c r="AN662" s="719"/>
      <c r="AO662" s="719"/>
      <c r="AP662" s="719"/>
      <c r="AQ662" s="724">
        <f>+FL_2($T$663,$T$661,$G$662,1200,9.28, 1*$F$663)</f>
        <v>0.3</v>
      </c>
      <c r="AR662" s="724"/>
      <c r="AS662" s="724"/>
      <c r="AT662" s="724"/>
      <c r="AU662" s="724"/>
      <c r="AV662" s="724"/>
      <c r="AW662" s="719"/>
      <c r="AX662" s="719"/>
      <c r="AY662" s="719"/>
      <c r="AZ662" s="532"/>
    </row>
    <row r="663" spans="1:52" ht="15.75" hidden="1" customHeight="1">
      <c r="A663" s="716"/>
      <c r="B663" s="735" t="s">
        <v>1991</v>
      </c>
      <c r="C663" s="789">
        <f>+$C$661+$G$662</f>
        <v>46721</v>
      </c>
      <c r="D663" s="719"/>
      <c r="E663" s="719">
        <v>-80</v>
      </c>
      <c r="F663" s="720">
        <v>-1200</v>
      </c>
      <c r="G663" s="721"/>
      <c r="H663" s="726" t="s">
        <v>138</v>
      </c>
      <c r="I663" s="726" t="s">
        <v>948</v>
      </c>
      <c r="J663" s="762"/>
      <c r="K663" s="719"/>
      <c r="L663" s="719" t="s">
        <v>241</v>
      </c>
      <c r="M663" s="719"/>
      <c r="N663" s="726" t="s">
        <v>696</v>
      </c>
      <c r="O663" s="726"/>
      <c r="P663" s="726"/>
      <c r="Q663" s="719">
        <v>80</v>
      </c>
      <c r="R663" s="719">
        <v>-1202.3499999999999</v>
      </c>
      <c r="S663" s="719"/>
      <c r="T663" s="719">
        <v>30</v>
      </c>
      <c r="U663" s="719"/>
      <c r="V663" s="719"/>
      <c r="W663" s="719">
        <v>1.4</v>
      </c>
      <c r="X663" s="719"/>
      <c r="Y663" s="719"/>
      <c r="Z663" s="719"/>
      <c r="AA663" s="719"/>
      <c r="AB663" s="719"/>
      <c r="AC663" s="719" t="s">
        <v>2978</v>
      </c>
      <c r="AD663" s="719"/>
      <c r="AE663" s="719"/>
      <c r="AF663" s="719">
        <v>200</v>
      </c>
      <c r="AG663" s="789">
        <v>46721.37</v>
      </c>
      <c r="AH663" s="719">
        <v>2077</v>
      </c>
      <c r="AI663" s="719">
        <v>-5035</v>
      </c>
      <c r="AJ663" s="719"/>
      <c r="AK663" s="719"/>
      <c r="AL663" s="719"/>
      <c r="AM663" s="719" t="s">
        <v>2609</v>
      </c>
      <c r="AN663" s="719">
        <v>5.25</v>
      </c>
      <c r="AO663" s="719"/>
      <c r="AP663" s="719"/>
      <c r="AQ663" s="724"/>
      <c r="AR663" s="724"/>
      <c r="AS663" s="724"/>
      <c r="AT663" s="724">
        <f>+ab($T$663,$T$661,$T$665,$G$662,$G$664, 1*$F$663,1200)</f>
        <v>-6.9058116187959211</v>
      </c>
      <c r="AU663" s="724"/>
      <c r="AV663" s="724"/>
      <c r="AW663" s="719"/>
      <c r="AX663" s="719"/>
      <c r="AY663" s="719"/>
      <c r="AZ663" s="532"/>
    </row>
    <row r="664" spans="1:52" ht="15.75" hidden="1" customHeight="1">
      <c r="A664" s="716"/>
      <c r="B664" s="735"/>
      <c r="C664" s="789"/>
      <c r="D664" s="719"/>
      <c r="E664" s="719"/>
      <c r="F664" s="720"/>
      <c r="G664" s="721">
        <v>41</v>
      </c>
      <c r="H664" s="726"/>
      <c r="I664" s="726"/>
      <c r="J664" s="762">
        <f>C663+10</f>
        <v>46731</v>
      </c>
      <c r="K664" s="719" t="s">
        <v>1097</v>
      </c>
      <c r="L664" s="719"/>
      <c r="M664" s="719"/>
      <c r="N664" s="726"/>
      <c r="O664" s="726"/>
      <c r="P664" s="726"/>
      <c r="Q664" s="719"/>
      <c r="R664" s="719"/>
      <c r="S664" s="719">
        <f>AG665-AG663</f>
        <v>39.459999999999127</v>
      </c>
      <c r="T664" s="719"/>
      <c r="U664" s="719"/>
      <c r="V664" s="719"/>
      <c r="W664" s="719"/>
      <c r="X664" s="719"/>
      <c r="Y664" s="719"/>
      <c r="Z664" s="719"/>
      <c r="AA664" s="719"/>
      <c r="AB664" s="719"/>
      <c r="AC664" s="719"/>
      <c r="AD664" s="719"/>
      <c r="AE664" s="719"/>
      <c r="AF664" s="719"/>
      <c r="AG664" s="789"/>
      <c r="AH664" s="719"/>
      <c r="AI664" s="719"/>
      <c r="AJ664" s="719"/>
      <c r="AK664" s="719"/>
      <c r="AL664" s="719"/>
      <c r="AM664" s="719"/>
      <c r="AN664" s="719"/>
      <c r="AO664" s="719"/>
      <c r="AP664" s="719"/>
      <c r="AQ664" s="724">
        <f>+FL_2($U$665,$T$663,$G$664,1200,9.28, 1*$F$665)</f>
        <v>0.25</v>
      </c>
      <c r="AR664" s="724"/>
      <c r="AS664" s="724"/>
      <c r="AT664" s="724"/>
      <c r="AU664" s="724"/>
      <c r="AV664" s="724"/>
      <c r="AW664" s="719"/>
      <c r="AX664" s="719"/>
      <c r="AY664" s="719"/>
      <c r="AZ664" s="532"/>
    </row>
    <row r="665" spans="1:52" ht="15.75" hidden="1" customHeight="1">
      <c r="A665" s="716"/>
      <c r="B665" s="735" t="s">
        <v>1992</v>
      </c>
      <c r="C665" s="789">
        <f>+$C$663+$G$664</f>
        <v>46762</v>
      </c>
      <c r="D665" s="719"/>
      <c r="E665" s="719">
        <v>-80</v>
      </c>
      <c r="F665" s="720">
        <v>-1200</v>
      </c>
      <c r="G665" s="721"/>
      <c r="H665" s="726" t="s">
        <v>668</v>
      </c>
      <c r="I665" s="726"/>
      <c r="J665" s="762"/>
      <c r="K665" s="719"/>
      <c r="L665" s="719" t="s">
        <v>465</v>
      </c>
      <c r="M665" s="719"/>
      <c r="N665" s="726" t="s">
        <v>697</v>
      </c>
      <c r="O665" s="726" t="s">
        <v>696</v>
      </c>
      <c r="P665" s="726"/>
      <c r="Q665" s="719">
        <v>80</v>
      </c>
      <c r="R665" s="719">
        <v>-1202.3499999999999</v>
      </c>
      <c r="S665" s="719">
        <f>AG666-AG665</f>
        <v>1.6100000000005821</v>
      </c>
      <c r="T665" s="719">
        <v>5</v>
      </c>
      <c r="U665" s="719">
        <v>25</v>
      </c>
      <c r="V665" s="719"/>
      <c r="W665" s="719">
        <v>1.6</v>
      </c>
      <c r="X665" s="719">
        <v>1.4</v>
      </c>
      <c r="Y665" s="719"/>
      <c r="Z665" s="719">
        <v>0.45</v>
      </c>
      <c r="AA665" s="719"/>
      <c r="AB665" s="719"/>
      <c r="AC665" s="719"/>
      <c r="AD665" s="719" t="s">
        <v>2978</v>
      </c>
      <c r="AE665" s="719"/>
      <c r="AF665" s="719">
        <v>200</v>
      </c>
      <c r="AG665" s="789">
        <v>46760.83</v>
      </c>
      <c r="AH665" s="719">
        <v>2075</v>
      </c>
      <c r="AI665" s="719">
        <v>-5037</v>
      </c>
      <c r="AJ665" s="719"/>
      <c r="AK665" s="719"/>
      <c r="AL665" s="719"/>
      <c r="AM665" s="719" t="s">
        <v>2609</v>
      </c>
      <c r="AN665" s="719">
        <v>5.25</v>
      </c>
      <c r="AO665" s="719"/>
      <c r="AP665" s="719"/>
      <c r="AQ665" s="724"/>
      <c r="AR665" s="724"/>
      <c r="AS665" s="724"/>
      <c r="AT665" s="724">
        <f>+ab($U$665,$T$663,$U$667,$G$664,$G$666, 1*$F$665,1200)</f>
        <v>-4.8912867725891331</v>
      </c>
      <c r="AU665" s="724"/>
      <c r="AV665" s="724"/>
      <c r="AW665" s="719"/>
      <c r="AX665" s="719"/>
      <c r="AY665" s="719"/>
      <c r="AZ665" s="532"/>
    </row>
    <row r="666" spans="1:52" ht="15.75" hidden="1" customHeight="1">
      <c r="A666" s="716"/>
      <c r="B666" s="735"/>
      <c r="C666" s="789"/>
      <c r="D666" s="719"/>
      <c r="E666" s="719"/>
      <c r="F666" s="720"/>
      <c r="G666" s="721">
        <v>50</v>
      </c>
      <c r="H666" s="726"/>
      <c r="I666" s="726"/>
      <c r="J666" s="762"/>
      <c r="K666" s="719"/>
      <c r="L666" s="719"/>
      <c r="M666" s="719"/>
      <c r="N666" s="726"/>
      <c r="O666" s="726"/>
      <c r="P666" s="726"/>
      <c r="Q666" s="719">
        <v>80</v>
      </c>
      <c r="R666" s="719">
        <v>-1202.3499999999999</v>
      </c>
      <c r="S666" s="719">
        <f>AG667-AG666</f>
        <v>48.599999999998545</v>
      </c>
      <c r="T666" s="719"/>
      <c r="U666" s="719"/>
      <c r="V666" s="719"/>
      <c r="W666" s="719"/>
      <c r="X666" s="719"/>
      <c r="Y666" s="719"/>
      <c r="Z666" s="719"/>
      <c r="AA666" s="719"/>
      <c r="AB666" s="719"/>
      <c r="AC666" s="719"/>
      <c r="AD666" s="719"/>
      <c r="AE666" s="719"/>
      <c r="AF666" s="719">
        <v>200</v>
      </c>
      <c r="AG666" s="789">
        <v>46762.44</v>
      </c>
      <c r="AH666" s="719">
        <v>2119</v>
      </c>
      <c r="AI666" s="719">
        <v>-5042</v>
      </c>
      <c r="AJ666" s="719"/>
      <c r="AK666" s="719"/>
      <c r="AL666" s="719"/>
      <c r="AM666" s="719"/>
      <c r="AN666" s="719"/>
      <c r="AO666" s="719"/>
      <c r="AP666" s="719"/>
      <c r="AQ666" s="724">
        <f>+FL_1($T$667,$U$665,$G$666,1200,9.28, 1*$F$667)</f>
        <v>0.65709029145574682</v>
      </c>
      <c r="AR666" s="724"/>
      <c r="AS666" s="724"/>
      <c r="AT666" s="724"/>
      <c r="AU666" s="724"/>
      <c r="AV666" s="724"/>
      <c r="AW666" s="719"/>
      <c r="AX666" s="719"/>
      <c r="AY666" s="719"/>
      <c r="AZ666" s="532"/>
    </row>
    <row r="667" spans="1:52" ht="15.75" hidden="1" customHeight="1">
      <c r="A667" s="716"/>
      <c r="B667" s="735" t="s">
        <v>1993</v>
      </c>
      <c r="C667" s="789">
        <f>+$C$665+$G$666</f>
        <v>46812</v>
      </c>
      <c r="D667" s="719"/>
      <c r="E667" s="719">
        <v>-80</v>
      </c>
      <c r="F667" s="720">
        <v>-1200</v>
      </c>
      <c r="G667" s="721"/>
      <c r="H667" s="726" t="s">
        <v>668</v>
      </c>
      <c r="I667" s="722"/>
      <c r="J667" s="762"/>
      <c r="K667" s="719"/>
      <c r="L667" s="719" t="s">
        <v>465</v>
      </c>
      <c r="M667" s="719"/>
      <c r="N667" s="726" t="s">
        <v>696</v>
      </c>
      <c r="O667" s="726" t="s">
        <v>697</v>
      </c>
      <c r="P667" s="726"/>
      <c r="Q667" s="719">
        <v>80</v>
      </c>
      <c r="R667" s="719">
        <v>-1202.3499999999999</v>
      </c>
      <c r="S667" s="719">
        <f>AG668-AG667</f>
        <v>1.569999999999709</v>
      </c>
      <c r="T667" s="719">
        <v>5</v>
      </c>
      <c r="U667" s="719">
        <v>25</v>
      </c>
      <c r="V667" s="719"/>
      <c r="W667" s="719">
        <v>1.6</v>
      </c>
      <c r="X667" s="719">
        <v>1.4</v>
      </c>
      <c r="Y667" s="719"/>
      <c r="Z667" s="719"/>
      <c r="AA667" s="719">
        <v>0.45</v>
      </c>
      <c r="AB667" s="719"/>
      <c r="AC667" s="719" t="s">
        <v>2978</v>
      </c>
      <c r="AD667" s="719"/>
      <c r="AE667" s="719"/>
      <c r="AF667" s="719">
        <v>200</v>
      </c>
      <c r="AG667" s="789">
        <v>46811.040000000001</v>
      </c>
      <c r="AH667" s="719">
        <v>2167</v>
      </c>
      <c r="AI667" s="719">
        <v>-5010</v>
      </c>
      <c r="AJ667" s="719"/>
      <c r="AK667" s="719"/>
      <c r="AL667" s="719"/>
      <c r="AM667" s="719" t="s">
        <v>2609</v>
      </c>
      <c r="AN667" s="719">
        <v>5.25</v>
      </c>
      <c r="AO667" s="719"/>
      <c r="AP667" s="719"/>
      <c r="AQ667" s="724"/>
      <c r="AR667" s="724"/>
      <c r="AS667" s="724"/>
      <c r="AT667" s="724">
        <f>+ab($T$667,$T$665,$T$669,$G$666,$G$668, 1*$F$667,1200)</f>
        <v>-4.1049476748599414</v>
      </c>
      <c r="AU667" s="724"/>
      <c r="AV667" s="724"/>
      <c r="AW667" s="719"/>
      <c r="AX667" s="719"/>
      <c r="AY667" s="719"/>
      <c r="AZ667" s="532"/>
    </row>
    <row r="668" spans="1:52" ht="15.75" hidden="1" customHeight="1">
      <c r="A668" s="716"/>
      <c r="B668" s="735"/>
      <c r="C668" s="789"/>
      <c r="D668" s="719"/>
      <c r="E668" s="719"/>
      <c r="F668" s="720"/>
      <c r="G668" s="721">
        <v>50</v>
      </c>
      <c r="H668" s="726"/>
      <c r="I668" s="726"/>
      <c r="J668" s="762">
        <f>C669-10</f>
        <v>46852</v>
      </c>
      <c r="K668" s="719" t="s">
        <v>1097</v>
      </c>
      <c r="L668" s="719"/>
      <c r="M668" s="719"/>
      <c r="N668" s="726"/>
      <c r="O668" s="726"/>
      <c r="P668" s="726"/>
      <c r="Q668" s="719">
        <v>80</v>
      </c>
      <c r="R668" s="719">
        <v>-1202.3499999999999</v>
      </c>
      <c r="S668" s="719">
        <f>AG669-AG668</f>
        <v>49.400000000001455</v>
      </c>
      <c r="T668" s="719"/>
      <c r="U668" s="719"/>
      <c r="V668" s="719"/>
      <c r="W668" s="719"/>
      <c r="X668" s="719"/>
      <c r="Y668" s="719"/>
      <c r="Z668" s="719"/>
      <c r="AA668" s="719"/>
      <c r="AB668" s="719"/>
      <c r="AC668" s="719"/>
      <c r="AD668" s="719"/>
      <c r="AE668" s="719"/>
      <c r="AF668" s="719">
        <v>200</v>
      </c>
      <c r="AG668" s="789">
        <v>46812.61</v>
      </c>
      <c r="AH668" s="719">
        <v>2084</v>
      </c>
      <c r="AI668" s="719">
        <v>-4992</v>
      </c>
      <c r="AJ668" s="719"/>
      <c r="AK668" s="719"/>
      <c r="AL668" s="719"/>
      <c r="AM668" s="719"/>
      <c r="AN668" s="719"/>
      <c r="AO668" s="719"/>
      <c r="AP668" s="719"/>
      <c r="AQ668" s="724">
        <f>+FL_1($T$669,$T$667,$G$668,1200,9.28, 1*$F$669)</f>
        <v>0.68489080806226443</v>
      </c>
      <c r="AR668" s="724"/>
      <c r="AS668" s="724"/>
      <c r="AT668" s="724"/>
      <c r="AU668" s="724"/>
      <c r="AV668" s="724"/>
      <c r="AW668" s="719"/>
      <c r="AX668" s="719"/>
      <c r="AY668" s="719"/>
      <c r="AZ668" s="532"/>
    </row>
    <row r="669" spans="1:52" ht="15.75" hidden="1" customHeight="1">
      <c r="A669" s="716"/>
      <c r="B669" s="735" t="s">
        <v>1994</v>
      </c>
      <c r="C669" s="789">
        <f>+$C$667+$G$668</f>
        <v>46862</v>
      </c>
      <c r="D669" s="719"/>
      <c r="E669" s="719">
        <v>-80</v>
      </c>
      <c r="F669" s="720">
        <v>-1200</v>
      </c>
      <c r="G669" s="721"/>
      <c r="H669" s="726" t="s">
        <v>138</v>
      </c>
      <c r="I669" s="726" t="s">
        <v>2827</v>
      </c>
      <c r="J669" s="762"/>
      <c r="K669" s="719"/>
      <c r="L669" s="719" t="s">
        <v>241</v>
      </c>
      <c r="M669" s="719"/>
      <c r="N669" s="726" t="s">
        <v>696</v>
      </c>
      <c r="O669" s="726"/>
      <c r="P669" s="726"/>
      <c r="Q669" s="719">
        <v>80</v>
      </c>
      <c r="R669" s="719">
        <v>-1202.3499999999999</v>
      </c>
      <c r="S669" s="719"/>
      <c r="T669" s="719">
        <v>30</v>
      </c>
      <c r="U669" s="719"/>
      <c r="V669" s="719"/>
      <c r="W669" s="719">
        <v>1.4</v>
      </c>
      <c r="X669" s="719"/>
      <c r="Y669" s="719"/>
      <c r="Z669" s="719"/>
      <c r="AA669" s="719"/>
      <c r="AB669" s="719"/>
      <c r="AC669" s="719" t="s">
        <v>3003</v>
      </c>
      <c r="AD669" s="719"/>
      <c r="AE669" s="719"/>
      <c r="AF669" s="719">
        <v>200</v>
      </c>
      <c r="AG669" s="789">
        <v>46862.01</v>
      </c>
      <c r="AH669" s="719">
        <v>2162</v>
      </c>
      <c r="AI669" s="719">
        <v>-5009</v>
      </c>
      <c r="AJ669" s="719"/>
      <c r="AK669" s="719"/>
      <c r="AL669" s="719"/>
      <c r="AM669" s="719" t="s">
        <v>2609</v>
      </c>
      <c r="AN669" s="719">
        <v>5.25</v>
      </c>
      <c r="AO669" s="719"/>
      <c r="AP669" s="719"/>
      <c r="AQ669" s="724"/>
      <c r="AR669" s="724"/>
      <c r="AS669" s="724"/>
      <c r="AT669" s="724">
        <f>+ab($T$669,$T$667,$T$671,$G$668,$G$670, 1*$F$669,1200)</f>
        <v>-5.2189543079995184</v>
      </c>
      <c r="AU669" s="724"/>
      <c r="AV669" s="724"/>
      <c r="AW669" s="719"/>
      <c r="AX669" s="719"/>
      <c r="AY669" s="719"/>
      <c r="AZ669" s="532"/>
    </row>
    <row r="670" spans="1:52" ht="15.75" hidden="1" customHeight="1">
      <c r="A670" s="716"/>
      <c r="B670" s="735"/>
      <c r="C670" s="789"/>
      <c r="D670" s="719"/>
      <c r="E670" s="719"/>
      <c r="F670" s="720"/>
      <c r="G670" s="721">
        <v>50</v>
      </c>
      <c r="H670" s="726"/>
      <c r="I670" s="726"/>
      <c r="J670" s="762"/>
      <c r="K670" s="719"/>
      <c r="L670" s="719"/>
      <c r="M670" s="719"/>
      <c r="N670" s="726"/>
      <c r="O670" s="726"/>
      <c r="P670" s="726"/>
      <c r="Q670" s="719"/>
      <c r="R670" s="719"/>
      <c r="S670" s="719">
        <f t="shared" si="170"/>
        <v>50.180000000000291</v>
      </c>
      <c r="T670" s="719"/>
      <c r="U670" s="719"/>
      <c r="V670" s="719"/>
      <c r="W670" s="719"/>
      <c r="X670" s="719"/>
      <c r="Y670" s="719"/>
      <c r="Z670" s="719"/>
      <c r="AA670" s="719"/>
      <c r="AB670" s="719"/>
      <c r="AC670" s="719"/>
      <c r="AD670" s="719"/>
      <c r="AE670" s="719"/>
      <c r="AF670" s="719"/>
      <c r="AG670" s="789"/>
      <c r="AH670" s="719"/>
      <c r="AI670" s="719"/>
      <c r="AJ670" s="719"/>
      <c r="AK670" s="719"/>
      <c r="AL670" s="719"/>
      <c r="AM670" s="719"/>
      <c r="AN670" s="719"/>
      <c r="AO670" s="719"/>
      <c r="AP670" s="719"/>
      <c r="AQ670" s="724">
        <f>+FL_2($T$671,$T$669,$G$670,1200,9.28, 1*$F$671)</f>
        <v>0.27068839754923224</v>
      </c>
      <c r="AR670" s="724"/>
      <c r="AS670" s="724"/>
      <c r="AT670" s="724"/>
      <c r="AU670" s="724"/>
      <c r="AV670" s="724"/>
      <c r="AW670" s="719"/>
      <c r="AX670" s="719"/>
      <c r="AY670" s="719"/>
      <c r="AZ670" s="532"/>
    </row>
    <row r="671" spans="1:52" ht="15.75" hidden="1" customHeight="1">
      <c r="A671" s="716"/>
      <c r="B671" s="735" t="s">
        <v>1995</v>
      </c>
      <c r="C671" s="789">
        <f>+$C$669+$G$670</f>
        <v>46912</v>
      </c>
      <c r="D671" s="719"/>
      <c r="E671" s="719"/>
      <c r="F671" s="720">
        <f>-156000/(47018-C671)</f>
        <v>-1471.6981132075471</v>
      </c>
      <c r="G671" s="721"/>
      <c r="H671" s="726"/>
      <c r="I671" s="726"/>
      <c r="J671" s="762"/>
      <c r="K671" s="719"/>
      <c r="L671" s="719" t="s">
        <v>241</v>
      </c>
      <c r="M671" s="719"/>
      <c r="N671" s="726" t="s">
        <v>696</v>
      </c>
      <c r="O671" s="726"/>
      <c r="P671" s="726"/>
      <c r="Q671" s="719">
        <v>64</v>
      </c>
      <c r="R671" s="719">
        <v>-1485.95</v>
      </c>
      <c r="S671" s="719"/>
      <c r="T671" s="719">
        <v>30</v>
      </c>
      <c r="U671" s="719"/>
      <c r="V671" s="719"/>
      <c r="W671" s="719">
        <v>1.4</v>
      </c>
      <c r="X671" s="719"/>
      <c r="Y671" s="719"/>
      <c r="Z671" s="719"/>
      <c r="AA671" s="719"/>
      <c r="AB671" s="719"/>
      <c r="AC671" s="719" t="s">
        <v>2978</v>
      </c>
      <c r="AD671" s="719"/>
      <c r="AE671" s="719"/>
      <c r="AF671" s="719">
        <v>200</v>
      </c>
      <c r="AG671" s="789">
        <v>46912.19</v>
      </c>
      <c r="AH671" s="719">
        <v>2162</v>
      </c>
      <c r="AI671" s="719">
        <v>-5001</v>
      </c>
      <c r="AJ671" s="719"/>
      <c r="AK671" s="719"/>
      <c r="AL671" s="719"/>
      <c r="AM671" s="719" t="s">
        <v>2609</v>
      </c>
      <c r="AN671" s="719">
        <v>5.25</v>
      </c>
      <c r="AO671" s="719"/>
      <c r="AP671" s="719"/>
      <c r="AQ671" s="724"/>
      <c r="AR671" s="724"/>
      <c r="AS671" s="724"/>
      <c r="AT671" s="724">
        <f>+ab($T$671,$T$669,$T$673,$G$670,$G$672, 1*$F$671,1200)</f>
        <v>-5.629971410001243</v>
      </c>
      <c r="AU671" s="724"/>
      <c r="AV671" s="724"/>
      <c r="AW671" s="719"/>
      <c r="AX671" s="719"/>
      <c r="AY671" s="719"/>
      <c r="AZ671" s="532"/>
    </row>
    <row r="672" spans="1:52" ht="15.75" hidden="1" customHeight="1">
      <c r="A672" s="716"/>
      <c r="B672" s="735"/>
      <c r="C672" s="789"/>
      <c r="D672" s="719"/>
      <c r="E672" s="719"/>
      <c r="F672" s="720"/>
      <c r="G672" s="721">
        <v>50</v>
      </c>
      <c r="H672" s="726"/>
      <c r="I672" s="726"/>
      <c r="J672" s="762"/>
      <c r="K672" s="719"/>
      <c r="L672" s="719"/>
      <c r="M672" s="719"/>
      <c r="N672" s="726"/>
      <c r="O672" s="726"/>
      <c r="P672" s="726"/>
      <c r="Q672" s="719"/>
      <c r="R672" s="719"/>
      <c r="S672" s="719">
        <f t="shared" si="170"/>
        <v>50.209999999999127</v>
      </c>
      <c r="T672" s="719"/>
      <c r="U672" s="719"/>
      <c r="V672" s="719"/>
      <c r="W672" s="719"/>
      <c r="X672" s="719"/>
      <c r="Y672" s="719"/>
      <c r="Z672" s="719"/>
      <c r="AA672" s="719"/>
      <c r="AB672" s="719"/>
      <c r="AC672" s="719"/>
      <c r="AD672" s="719"/>
      <c r="AE672" s="719"/>
      <c r="AF672" s="719"/>
      <c r="AG672" s="789"/>
      <c r="AH672" s="719"/>
      <c r="AI672" s="719"/>
      <c r="AJ672" s="719"/>
      <c r="AK672" s="719"/>
      <c r="AL672" s="719"/>
      <c r="AM672" s="719"/>
      <c r="AN672" s="719"/>
      <c r="AO672" s="719"/>
      <c r="AP672" s="719"/>
      <c r="AQ672" s="724">
        <f>+FL_2($T$673,$T$671,$G$672,1200,9.28, 1*$F$673)</f>
        <v>0.17051507931313004</v>
      </c>
      <c r="AR672" s="724"/>
      <c r="AS672" s="724"/>
      <c r="AT672" s="724"/>
      <c r="AU672" s="724"/>
      <c r="AV672" s="724"/>
      <c r="AW672" s="719"/>
      <c r="AX672" s="719"/>
      <c r="AY672" s="719"/>
      <c r="AZ672" s="532"/>
    </row>
    <row r="673" spans="1:52" ht="15.75" hidden="1" customHeight="1">
      <c r="A673" s="716"/>
      <c r="B673" s="735" t="s">
        <v>1996</v>
      </c>
      <c r="C673" s="789">
        <f>+$C$671+$G$672</f>
        <v>46962</v>
      </c>
      <c r="D673" s="719"/>
      <c r="E673" s="719"/>
      <c r="F673" s="720">
        <f>-156000/(47018-C673)</f>
        <v>-2785.7142857142858</v>
      </c>
      <c r="G673" s="721"/>
      <c r="H673" s="726"/>
      <c r="I673" s="726"/>
      <c r="J673" s="762"/>
      <c r="K673" s="719"/>
      <c r="L673" s="719" t="s">
        <v>241</v>
      </c>
      <c r="M673" s="719"/>
      <c r="N673" s="726" t="s">
        <v>696</v>
      </c>
      <c r="O673" s="726"/>
      <c r="P673" s="726"/>
      <c r="Q673" s="719">
        <v>29</v>
      </c>
      <c r="R673" s="719">
        <v>-2786.16</v>
      </c>
      <c r="S673" s="719"/>
      <c r="T673" s="719">
        <v>30</v>
      </c>
      <c r="U673" s="719"/>
      <c r="V673" s="719"/>
      <c r="W673" s="719">
        <v>1.4</v>
      </c>
      <c r="X673" s="719"/>
      <c r="Y673" s="719"/>
      <c r="Z673" s="719"/>
      <c r="AA673" s="719"/>
      <c r="AB673" s="719"/>
      <c r="AC673" s="719" t="s">
        <v>2978</v>
      </c>
      <c r="AD673" s="719"/>
      <c r="AE673" s="719"/>
      <c r="AF673" s="719">
        <v>200</v>
      </c>
      <c r="AG673" s="789">
        <v>46962.400000000001</v>
      </c>
      <c r="AH673" s="719">
        <v>2066</v>
      </c>
      <c r="AI673" s="719">
        <v>-4992</v>
      </c>
      <c r="AJ673" s="719"/>
      <c r="AK673" s="719"/>
      <c r="AL673" s="719"/>
      <c r="AM673" s="719" t="s">
        <v>2609</v>
      </c>
      <c r="AN673" s="719">
        <v>5.25</v>
      </c>
      <c r="AO673" s="719"/>
      <c r="AP673" s="719"/>
      <c r="AQ673" s="724"/>
      <c r="AR673" s="724"/>
      <c r="AS673" s="724"/>
      <c r="AT673" s="724">
        <f>+ab($T$673,$T$671,$T$675,$G$672,$G$674, 1*$F$673,1200)</f>
        <v>-34.089064410859841</v>
      </c>
      <c r="AU673" s="724"/>
      <c r="AV673" s="724"/>
      <c r="AW673" s="719"/>
      <c r="AX673" s="719"/>
      <c r="AY673" s="719"/>
      <c r="AZ673" s="532"/>
    </row>
    <row r="674" spans="1:52" ht="15.75" hidden="1" customHeight="1">
      <c r="A674" s="716"/>
      <c r="B674" s="735"/>
      <c r="C674" s="789"/>
      <c r="D674" s="719"/>
      <c r="E674" s="719"/>
      <c r="F674" s="720"/>
      <c r="G674" s="721">
        <v>50</v>
      </c>
      <c r="H674" s="726"/>
      <c r="I674" s="726"/>
      <c r="J674" s="762"/>
      <c r="K674" s="719"/>
      <c r="L674" s="719"/>
      <c r="M674" s="719"/>
      <c r="N674" s="726"/>
      <c r="O674" s="726"/>
      <c r="P674" s="726"/>
      <c r="Q674" s="719"/>
      <c r="R674" s="719"/>
      <c r="S674" s="719">
        <f t="shared" si="170"/>
        <v>50.010000000002037</v>
      </c>
      <c r="T674" s="719"/>
      <c r="U674" s="719"/>
      <c r="V674" s="719"/>
      <c r="W674" s="719"/>
      <c r="X674" s="719"/>
      <c r="Y674" s="719"/>
      <c r="Z674" s="719"/>
      <c r="AA674" s="719"/>
      <c r="AB674" s="719"/>
      <c r="AC674" s="719"/>
      <c r="AD674" s="719"/>
      <c r="AE674" s="719"/>
      <c r="AF674" s="719"/>
      <c r="AG674" s="789"/>
      <c r="AH674" s="719"/>
      <c r="AI674" s="719"/>
      <c r="AJ674" s="719"/>
      <c r="AK674" s="719"/>
      <c r="AL674" s="719"/>
      <c r="AM674" s="719"/>
      <c r="AN674" s="719"/>
      <c r="AO674" s="719"/>
      <c r="AP674" s="719"/>
      <c r="AQ674" s="724">
        <f>+FL_1($T$675,$T$673,$G$674,1200,9.28, 1*$F$675)</f>
        <v>0.33277622704600229</v>
      </c>
      <c r="AR674" s="724"/>
      <c r="AS674" s="724"/>
      <c r="AT674" s="724"/>
      <c r="AU674" s="724"/>
      <c r="AV674" s="724"/>
      <c r="AW674" s="719"/>
      <c r="AX674" s="719"/>
      <c r="AY674" s="719"/>
      <c r="AZ674" s="532"/>
    </row>
    <row r="675" spans="1:52" ht="15.75" hidden="1" customHeight="1">
      <c r="A675" s="716"/>
      <c r="B675" s="735" t="s">
        <v>1997</v>
      </c>
      <c r="C675" s="789">
        <f>+$C$673+$G$674</f>
        <v>47012</v>
      </c>
      <c r="D675" s="719"/>
      <c r="E675" s="719"/>
      <c r="F675" s="720">
        <f>-156000/(47018-C675)</f>
        <v>-26000</v>
      </c>
      <c r="G675" s="721"/>
      <c r="H675" s="726"/>
      <c r="I675" s="726"/>
      <c r="J675" s="762"/>
      <c r="K675" s="719"/>
      <c r="L675" s="719" t="s">
        <v>241</v>
      </c>
      <c r="M675" s="719"/>
      <c r="N675" s="726" t="s">
        <v>695</v>
      </c>
      <c r="O675" s="726"/>
      <c r="P675" s="726"/>
      <c r="Q675" s="719">
        <v>8</v>
      </c>
      <c r="R675" s="719">
        <v>-22289.29</v>
      </c>
      <c r="S675" s="719"/>
      <c r="T675" s="719">
        <v>-35</v>
      </c>
      <c r="U675" s="719"/>
      <c r="V675" s="719"/>
      <c r="W675" s="719">
        <v>1.4</v>
      </c>
      <c r="X675" s="719"/>
      <c r="Y675" s="719"/>
      <c r="Z675" s="719"/>
      <c r="AA675" s="719"/>
      <c r="AB675" s="719"/>
      <c r="AC675" s="719" t="s">
        <v>2979</v>
      </c>
      <c r="AD675" s="719"/>
      <c r="AE675" s="719"/>
      <c r="AF675" s="719">
        <v>200</v>
      </c>
      <c r="AG675" s="789">
        <v>47012.41</v>
      </c>
      <c r="AH675" s="719">
        <v>2074</v>
      </c>
      <c r="AI675" s="719">
        <v>-4997</v>
      </c>
      <c r="AJ675" s="719"/>
      <c r="AK675" s="719"/>
      <c r="AL675" s="719"/>
      <c r="AM675" s="719" t="s">
        <v>2609</v>
      </c>
      <c r="AN675" s="719">
        <v>5.25</v>
      </c>
      <c r="AO675" s="719"/>
      <c r="AP675" s="719"/>
      <c r="AQ675" s="724"/>
      <c r="AR675" s="724"/>
      <c r="AS675" s="724"/>
      <c r="AT675" s="724">
        <f>+ab($T$675,$T$673,$T$677,$G$674,$G$676, 1*$F$675,1200)</f>
        <v>-6.605169586676225</v>
      </c>
      <c r="AU675" s="724"/>
      <c r="AV675" s="724"/>
      <c r="AW675" s="719"/>
      <c r="AX675" s="719"/>
      <c r="AY675" s="719"/>
      <c r="AZ675" s="532"/>
    </row>
    <row r="676" spans="1:52" ht="15.75" hidden="1" customHeight="1">
      <c r="A676" s="716"/>
      <c r="B676" s="735"/>
      <c r="C676" s="789"/>
      <c r="D676" s="719"/>
      <c r="E676" s="719"/>
      <c r="F676" s="720"/>
      <c r="G676" s="721">
        <v>50</v>
      </c>
      <c r="H676" s="726"/>
      <c r="I676" s="726"/>
      <c r="J676" s="762"/>
      <c r="K676" s="719"/>
      <c r="L676" s="719"/>
      <c r="M676" s="719"/>
      <c r="N676" s="726"/>
      <c r="O676" s="726"/>
      <c r="P676" s="726"/>
      <c r="Q676" s="719"/>
      <c r="R676" s="719"/>
      <c r="S676" s="719">
        <f t="shared" si="170"/>
        <v>49.939999999995052</v>
      </c>
      <c r="T676" s="719"/>
      <c r="U676" s="719"/>
      <c r="V676" s="719"/>
      <c r="W676" s="719"/>
      <c r="X676" s="719"/>
      <c r="Y676" s="719"/>
      <c r="Z676" s="719"/>
      <c r="AA676" s="719"/>
      <c r="AB676" s="719"/>
      <c r="AC676" s="719"/>
      <c r="AD676" s="719"/>
      <c r="AE676" s="719"/>
      <c r="AF676" s="719"/>
      <c r="AG676" s="789"/>
      <c r="AH676" s="719"/>
      <c r="AI676" s="719"/>
      <c r="AJ676" s="719"/>
      <c r="AK676" s="719"/>
      <c r="AL676" s="719"/>
      <c r="AM676" s="719"/>
      <c r="AN676" s="719"/>
      <c r="AO676" s="719"/>
      <c r="AP676" s="719"/>
      <c r="AQ676" s="724">
        <f>+FL_2($T$677,$T$675,$G$676,1200,9.28, 1*$F$677)</f>
        <v>-0.36839080000000002</v>
      </c>
      <c r="AR676" s="724"/>
      <c r="AS676" s="724"/>
      <c r="AT676" s="724"/>
      <c r="AU676" s="724"/>
      <c r="AV676" s="724"/>
      <c r="AW676" s="719"/>
      <c r="AX676" s="719"/>
      <c r="AY676" s="719"/>
      <c r="AZ676" s="532"/>
    </row>
    <row r="677" spans="1:52" ht="15.75" customHeight="1">
      <c r="A677" s="716"/>
      <c r="B677" s="735" t="s">
        <v>1998</v>
      </c>
      <c r="C677" s="789">
        <f>+$C$675+$G$676</f>
        <v>47062</v>
      </c>
      <c r="D677" s="719"/>
      <c r="E677" s="719"/>
      <c r="F677" s="720">
        <v>0</v>
      </c>
      <c r="G677" s="721"/>
      <c r="H677" s="726" t="s">
        <v>1101</v>
      </c>
      <c r="I677" s="726"/>
      <c r="J677" s="762"/>
      <c r="K677" s="719"/>
      <c r="L677" s="719" t="s">
        <v>241</v>
      </c>
      <c r="M677" s="719"/>
      <c r="N677" s="726" t="s">
        <v>696</v>
      </c>
      <c r="O677" s="719"/>
      <c r="P677" s="726"/>
      <c r="Q677" s="719">
        <v>0</v>
      </c>
      <c r="R677" s="719">
        <v>0</v>
      </c>
      <c r="S677" s="719"/>
      <c r="T677" s="719">
        <v>35</v>
      </c>
      <c r="U677" s="719"/>
      <c r="V677" s="719"/>
      <c r="W677" s="719">
        <v>1.4</v>
      </c>
      <c r="X677" s="719"/>
      <c r="Y677" s="719"/>
      <c r="Z677" s="719"/>
      <c r="AA677" s="719"/>
      <c r="AB677" s="719"/>
      <c r="AC677" s="719" t="s">
        <v>2978</v>
      </c>
      <c r="AD677" s="719"/>
      <c r="AE677" s="719"/>
      <c r="AF677" s="719">
        <v>200</v>
      </c>
      <c r="AG677" s="789">
        <v>47062.35</v>
      </c>
      <c r="AH677" s="719">
        <v>2054</v>
      </c>
      <c r="AI677" s="719">
        <v>-5007</v>
      </c>
      <c r="AJ677" s="719"/>
      <c r="AK677" s="719"/>
      <c r="AL677" s="719"/>
      <c r="AM677" s="719" t="s">
        <v>2609</v>
      </c>
      <c r="AN677" s="719">
        <v>5.25</v>
      </c>
      <c r="AO677" s="719"/>
      <c r="AP677" s="719"/>
      <c r="AQ677" s="724"/>
      <c r="AR677" s="724"/>
      <c r="AS677" s="724"/>
      <c r="AT677" s="724">
        <f>+ab($T$677,$T$675,$T$679,$G$676,$G$678, 1*$F$677,1200)</f>
        <v>6.820891075690624</v>
      </c>
      <c r="AU677" s="724"/>
      <c r="AV677" s="724"/>
      <c r="AW677" s="719"/>
      <c r="AX677" s="719"/>
      <c r="AY677" s="719"/>
      <c r="AZ677" s="532"/>
    </row>
    <row r="678" spans="1:52" ht="15.75" hidden="1" customHeight="1">
      <c r="A678" s="716"/>
      <c r="B678" s="735"/>
      <c r="C678" s="789"/>
      <c r="D678" s="719"/>
      <c r="E678" s="719"/>
      <c r="F678" s="720"/>
      <c r="G678" s="721">
        <v>50</v>
      </c>
      <c r="H678" s="726"/>
      <c r="I678" s="726">
        <f>+SUM(G664:G678)</f>
        <v>391</v>
      </c>
      <c r="J678" s="762">
        <f>C677+1</f>
        <v>47063</v>
      </c>
      <c r="K678" s="719" t="s">
        <v>1102</v>
      </c>
      <c r="L678" s="719"/>
      <c r="M678" s="719"/>
      <c r="N678" s="726"/>
      <c r="O678" s="719"/>
      <c r="P678" s="726"/>
      <c r="Q678" s="719"/>
      <c r="R678" s="719"/>
      <c r="S678" s="719">
        <f t="shared" si="170"/>
        <v>50.020000000004075</v>
      </c>
      <c r="T678" s="719"/>
      <c r="U678" s="719"/>
      <c r="V678" s="719"/>
      <c r="W678" s="719"/>
      <c r="X678" s="719"/>
      <c r="Y678" s="719"/>
      <c r="Z678" s="719"/>
      <c r="AA678" s="719"/>
      <c r="AB678" s="719"/>
      <c r="AC678" s="719"/>
      <c r="AD678" s="719"/>
      <c r="AE678" s="719"/>
      <c r="AF678" s="719"/>
      <c r="AG678" s="789"/>
      <c r="AH678" s="719"/>
      <c r="AI678" s="719"/>
      <c r="AJ678" s="719"/>
      <c r="AK678" s="719"/>
      <c r="AL678" s="719"/>
      <c r="AM678" s="719"/>
      <c r="AN678" s="719"/>
      <c r="AO678" s="719"/>
      <c r="AP678" s="719"/>
      <c r="AQ678" s="724">
        <f>+FL_1($T$679,$T$677,$G$678,1200,9.28, 1*$F$679)</f>
        <v>0.36839080000000002</v>
      </c>
      <c r="AR678" s="724"/>
      <c r="AS678" s="724"/>
      <c r="AT678" s="724"/>
      <c r="AU678" s="724"/>
      <c r="AV678" s="724"/>
      <c r="AW678" s="719"/>
      <c r="AX678" s="719"/>
      <c r="AY678" s="719"/>
      <c r="AZ678" s="532"/>
    </row>
    <row r="679" spans="1:52" ht="15.75" customHeight="1">
      <c r="A679" s="716"/>
      <c r="B679" s="735" t="s">
        <v>1999</v>
      </c>
      <c r="C679" s="789">
        <f>+$C$677+$G$678</f>
        <v>47112</v>
      </c>
      <c r="D679" s="719"/>
      <c r="E679" s="719"/>
      <c r="F679" s="720">
        <v>0</v>
      </c>
      <c r="G679" s="721"/>
      <c r="H679" s="726" t="s">
        <v>997</v>
      </c>
      <c r="I679" s="726"/>
      <c r="J679" s="762"/>
      <c r="K679" s="719"/>
      <c r="L679" s="719" t="s">
        <v>241</v>
      </c>
      <c r="M679" s="719"/>
      <c r="N679" s="726" t="s">
        <v>695</v>
      </c>
      <c r="O679" s="726"/>
      <c r="P679" s="726"/>
      <c r="Q679" s="719">
        <v>0</v>
      </c>
      <c r="R679" s="719">
        <v>0</v>
      </c>
      <c r="S679" s="719"/>
      <c r="T679" s="719">
        <v>-35</v>
      </c>
      <c r="U679" s="719"/>
      <c r="V679" s="719"/>
      <c r="W679" s="719">
        <v>1.4</v>
      </c>
      <c r="X679" s="719"/>
      <c r="Y679" s="719"/>
      <c r="Z679" s="719"/>
      <c r="AA679" s="719"/>
      <c r="AB679" s="719"/>
      <c r="AC679" s="719" t="s">
        <v>2614</v>
      </c>
      <c r="AD679" s="719"/>
      <c r="AE679" s="719"/>
      <c r="AF679" s="719">
        <v>200</v>
      </c>
      <c r="AG679" s="789">
        <v>47112.37</v>
      </c>
      <c r="AH679" s="719">
        <v>2114</v>
      </c>
      <c r="AI679" s="719">
        <v>-5052</v>
      </c>
      <c r="AJ679" s="719"/>
      <c r="AK679" s="719"/>
      <c r="AL679" s="719"/>
      <c r="AM679" s="719" t="s">
        <v>2609</v>
      </c>
      <c r="AN679" s="719">
        <v>5.25</v>
      </c>
      <c r="AO679" s="719"/>
      <c r="AP679" s="719"/>
      <c r="AQ679" s="724"/>
      <c r="AR679" s="724"/>
      <c r="AS679" s="724"/>
      <c r="AT679" s="724">
        <f>+ab($T$679,$T$677,$T$681,$G$678,$G$680, 1*$F$679,1200)</f>
        <v>-12.586438809034503</v>
      </c>
      <c r="AU679" s="724"/>
      <c r="AV679" s="724"/>
      <c r="AW679" s="719"/>
      <c r="AX679" s="719"/>
      <c r="AY679" s="719"/>
      <c r="AZ679" s="532"/>
    </row>
    <row r="680" spans="1:52" ht="15.75" hidden="1" customHeight="1">
      <c r="A680" s="716"/>
      <c r="B680" s="735"/>
      <c r="C680" s="789"/>
      <c r="D680" s="719"/>
      <c r="E680" s="719"/>
      <c r="F680" s="720"/>
      <c r="G680" s="721">
        <v>50</v>
      </c>
      <c r="H680" s="726"/>
      <c r="I680" s="726">
        <f>SUM(G680:G698)</f>
        <v>431</v>
      </c>
      <c r="J680" s="762">
        <f>C681-1</f>
        <v>47161</v>
      </c>
      <c r="K680" s="719" t="s">
        <v>1102</v>
      </c>
      <c r="L680" s="719"/>
      <c r="M680" s="719"/>
      <c r="N680" s="726"/>
      <c r="O680" s="726"/>
      <c r="P680" s="726"/>
      <c r="Q680" s="719"/>
      <c r="R680" s="719"/>
      <c r="S680" s="719">
        <f t="shared" si="170"/>
        <v>50.040000000000873</v>
      </c>
      <c r="T680" s="719"/>
      <c r="U680" s="719"/>
      <c r="V680" s="719"/>
      <c r="W680" s="719"/>
      <c r="X680" s="719"/>
      <c r="Y680" s="719"/>
      <c r="Z680" s="719"/>
      <c r="AA680" s="719"/>
      <c r="AB680" s="719"/>
      <c r="AC680" s="719"/>
      <c r="AD680" s="719"/>
      <c r="AE680" s="719"/>
      <c r="AF680" s="719"/>
      <c r="AG680" s="789"/>
      <c r="AH680" s="719"/>
      <c r="AI680" s="719"/>
      <c r="AJ680" s="719"/>
      <c r="AK680" s="719"/>
      <c r="AL680" s="719"/>
      <c r="AM680" s="719"/>
      <c r="AN680" s="719"/>
      <c r="AO680" s="719"/>
      <c r="AP680" s="719"/>
      <c r="AQ680" s="724">
        <f>+FL_1($T$681,$T$679,$G$680,1200,9.28, 1*$F$681)</f>
        <v>-0.22070611311328789</v>
      </c>
      <c r="AR680" s="724"/>
      <c r="AS680" s="724"/>
      <c r="AT680" s="724"/>
      <c r="AU680" s="724"/>
      <c r="AV680" s="724"/>
      <c r="AW680" s="719"/>
      <c r="AX680" s="719"/>
      <c r="AY680" s="719"/>
      <c r="AZ680" s="532"/>
    </row>
    <row r="681" spans="1:52" ht="15.75" customHeight="1">
      <c r="A681" s="716"/>
      <c r="B681" s="735" t="s">
        <v>2000</v>
      </c>
      <c r="C681" s="789">
        <f>+$C$679+$G$680</f>
        <v>47162</v>
      </c>
      <c r="D681" s="719"/>
      <c r="E681" s="719"/>
      <c r="F681" s="720">
        <f>72000/(C681-47130)</f>
        <v>2250</v>
      </c>
      <c r="G681" s="721"/>
      <c r="H681" s="726" t="s">
        <v>1101</v>
      </c>
      <c r="I681" s="726"/>
      <c r="J681" s="762"/>
      <c r="K681" s="719"/>
      <c r="L681" s="719" t="s">
        <v>241</v>
      </c>
      <c r="M681" s="719"/>
      <c r="N681" s="726" t="s">
        <v>695</v>
      </c>
      <c r="O681" s="726"/>
      <c r="P681" s="726"/>
      <c r="Q681" s="719">
        <v>23</v>
      </c>
      <c r="R681" s="719">
        <v>2394.13</v>
      </c>
      <c r="S681" s="719"/>
      <c r="T681" s="719">
        <v>-30</v>
      </c>
      <c r="U681" s="719"/>
      <c r="V681" s="719"/>
      <c r="W681" s="719">
        <v>1.4</v>
      </c>
      <c r="X681" s="719"/>
      <c r="Y681" s="719"/>
      <c r="Z681" s="719"/>
      <c r="AA681" s="719"/>
      <c r="AB681" s="719"/>
      <c r="AC681" s="719" t="s">
        <v>2616</v>
      </c>
      <c r="AD681" s="719"/>
      <c r="AE681" s="719"/>
      <c r="AF681" s="719">
        <v>200</v>
      </c>
      <c r="AG681" s="789">
        <v>47162.41</v>
      </c>
      <c r="AH681" s="719">
        <v>1601</v>
      </c>
      <c r="AI681" s="719">
        <v>-5017</v>
      </c>
      <c r="AJ681" s="719"/>
      <c r="AK681" s="719"/>
      <c r="AL681" s="719"/>
      <c r="AM681" s="719" t="s">
        <v>2609</v>
      </c>
      <c r="AN681" s="719">
        <v>5.25</v>
      </c>
      <c r="AO681" s="719"/>
      <c r="AP681" s="719"/>
      <c r="AQ681" s="724"/>
      <c r="AR681" s="724"/>
      <c r="AS681" s="724"/>
      <c r="AT681" s="724">
        <f>+ab($T$681,$T$679,$T$683,$G$680,$G$682, 1*$F$681,1200)</f>
        <v>8.445846464314025</v>
      </c>
      <c r="AU681" s="724"/>
      <c r="AV681" s="724"/>
      <c r="AW681" s="719"/>
      <c r="AX681" s="719"/>
      <c r="AY681" s="719"/>
      <c r="AZ681" s="532"/>
    </row>
    <row r="682" spans="1:52" ht="15.75" hidden="1" customHeight="1">
      <c r="A682" s="716"/>
      <c r="B682" s="735"/>
      <c r="C682" s="789"/>
      <c r="D682" s="719"/>
      <c r="E682" s="719"/>
      <c r="F682" s="720"/>
      <c r="G682" s="721">
        <v>47</v>
      </c>
      <c r="H682" s="726"/>
      <c r="I682" s="726"/>
      <c r="J682" s="762"/>
      <c r="K682" s="719"/>
      <c r="L682" s="719"/>
      <c r="M682" s="719"/>
      <c r="N682" s="726"/>
      <c r="O682" s="726"/>
      <c r="P682" s="726"/>
      <c r="Q682" s="719"/>
      <c r="R682" s="719"/>
      <c r="S682" s="719">
        <f t="shared" si="170"/>
        <v>46.859999999993306</v>
      </c>
      <c r="T682" s="719"/>
      <c r="U682" s="719"/>
      <c r="V682" s="719"/>
      <c r="W682" s="719"/>
      <c r="X682" s="719"/>
      <c r="Y682" s="719"/>
      <c r="Z682" s="719"/>
      <c r="AA682" s="719"/>
      <c r="AB682" s="719"/>
      <c r="AC682" s="719"/>
      <c r="AD682" s="719"/>
      <c r="AE682" s="719"/>
      <c r="AF682" s="719"/>
      <c r="AG682" s="789"/>
      <c r="AH682" s="719"/>
      <c r="AI682" s="719"/>
      <c r="AJ682" s="719"/>
      <c r="AK682" s="719"/>
      <c r="AL682" s="719"/>
      <c r="AM682" s="719"/>
      <c r="AN682" s="719"/>
      <c r="AO682" s="719"/>
      <c r="AP682" s="719"/>
      <c r="AQ682" s="724">
        <f>+FL_1($T$683,$T$681,$G$682,1200,9.28, 1*$F$683)</f>
        <v>-0.29992386995310283</v>
      </c>
      <c r="AR682" s="724"/>
      <c r="AS682" s="724"/>
      <c r="AT682" s="724"/>
      <c r="AU682" s="724"/>
      <c r="AV682" s="724"/>
      <c r="AW682" s="719"/>
      <c r="AX682" s="719"/>
      <c r="AY682" s="719"/>
      <c r="AZ682" s="532"/>
    </row>
    <row r="683" spans="1:52" ht="15.75" hidden="1" customHeight="1">
      <c r="A683" s="716"/>
      <c r="B683" s="735" t="s">
        <v>2001</v>
      </c>
      <c r="C683" s="789">
        <f>+$C$681+$G$682</f>
        <v>47209</v>
      </c>
      <c r="D683" s="719"/>
      <c r="E683" s="719"/>
      <c r="F683" s="720">
        <f>72000/(C683-47130)</f>
        <v>911.39240506329111</v>
      </c>
      <c r="G683" s="721"/>
      <c r="H683" s="726"/>
      <c r="I683" s="726"/>
      <c r="J683" s="762"/>
      <c r="K683" s="719"/>
      <c r="L683" s="719" t="s">
        <v>241</v>
      </c>
      <c r="M683" s="719"/>
      <c r="N683" s="726" t="s">
        <v>695</v>
      </c>
      <c r="O683" s="726"/>
      <c r="P683" s="726"/>
      <c r="Q683" s="719">
        <v>91</v>
      </c>
      <c r="R683" s="719">
        <v>932.78</v>
      </c>
      <c r="S683" s="719"/>
      <c r="T683" s="719">
        <v>-30</v>
      </c>
      <c r="U683" s="719"/>
      <c r="V683" s="719"/>
      <c r="W683" s="719">
        <v>1.4</v>
      </c>
      <c r="X683" s="719"/>
      <c r="Y683" s="719"/>
      <c r="Z683" s="719"/>
      <c r="AA683" s="719"/>
      <c r="AB683" s="719"/>
      <c r="AC683" s="719" t="s">
        <v>3004</v>
      </c>
      <c r="AD683" s="719"/>
      <c r="AE683" s="719"/>
      <c r="AF683" s="719">
        <v>100</v>
      </c>
      <c r="AG683" s="789">
        <v>47209.27</v>
      </c>
      <c r="AH683" s="719">
        <v>1579</v>
      </c>
      <c r="AI683" s="719">
        <v>-5097</v>
      </c>
      <c r="AJ683" s="719"/>
      <c r="AK683" s="719"/>
      <c r="AL683" s="719"/>
      <c r="AM683" s="719" t="s">
        <v>2609</v>
      </c>
      <c r="AN683" s="719">
        <v>5.25</v>
      </c>
      <c r="AO683" s="719"/>
      <c r="AP683" s="719"/>
      <c r="AQ683" s="724"/>
      <c r="AR683" s="724"/>
      <c r="AS683" s="724"/>
      <c r="AT683" s="724">
        <f>+ab($T$683,$T$681,$T$685,$G$682,$G$684, 1*$F$683,1200)</f>
        <v>3.7963805049825248</v>
      </c>
      <c r="AU683" s="724"/>
      <c r="AV683" s="724"/>
      <c r="AW683" s="719"/>
      <c r="AX683" s="719"/>
      <c r="AY683" s="719"/>
      <c r="AZ683" s="532"/>
    </row>
    <row r="684" spans="1:52" ht="15.75" hidden="1" customHeight="1">
      <c r="A684" s="716"/>
      <c r="B684" s="735"/>
      <c r="C684" s="789"/>
      <c r="D684" s="719"/>
      <c r="E684" s="719"/>
      <c r="F684" s="720"/>
      <c r="G684" s="721">
        <v>45</v>
      </c>
      <c r="H684" s="726"/>
      <c r="I684" s="726"/>
      <c r="J684" s="762"/>
      <c r="K684" s="719"/>
      <c r="L684" s="719"/>
      <c r="M684" s="719"/>
      <c r="N684" s="726"/>
      <c r="O684" s="726"/>
      <c r="P684" s="726"/>
      <c r="Q684" s="719"/>
      <c r="R684" s="719"/>
      <c r="S684" s="719">
        <f t="shared" si="170"/>
        <v>44.710000000006403</v>
      </c>
      <c r="T684" s="719"/>
      <c r="U684" s="719"/>
      <c r="V684" s="719"/>
      <c r="W684" s="719"/>
      <c r="X684" s="719"/>
      <c r="Y684" s="719"/>
      <c r="Z684" s="719"/>
      <c r="AA684" s="719"/>
      <c r="AB684" s="719"/>
      <c r="AC684" s="719"/>
      <c r="AD684" s="719"/>
      <c r="AE684" s="719"/>
      <c r="AF684" s="719"/>
      <c r="AG684" s="789"/>
      <c r="AH684" s="719"/>
      <c r="AI684" s="719"/>
      <c r="AJ684" s="719"/>
      <c r="AK684" s="719"/>
      <c r="AL684" s="719"/>
      <c r="AM684" s="719"/>
      <c r="AN684" s="719"/>
      <c r="AO684" s="719"/>
      <c r="AP684" s="719"/>
      <c r="AQ684" s="724">
        <f>+FL_1($T$685,$T$683,$G$684,1200,9.28, 1*$F$685)</f>
        <v>-0.29989272621614893</v>
      </c>
      <c r="AR684" s="724"/>
      <c r="AS684" s="724"/>
      <c r="AT684" s="724"/>
      <c r="AU684" s="724"/>
      <c r="AV684" s="724"/>
      <c r="AW684" s="719"/>
      <c r="AX684" s="719"/>
      <c r="AY684" s="719"/>
      <c r="AZ684" s="532"/>
    </row>
    <row r="685" spans="1:52" ht="15.75" hidden="1" customHeight="1">
      <c r="A685" s="716"/>
      <c r="B685" s="735" t="s">
        <v>2002</v>
      </c>
      <c r="C685" s="789">
        <f>+$C$683+$G$684</f>
        <v>47254</v>
      </c>
      <c r="D685" s="719"/>
      <c r="E685" s="719">
        <v>90</v>
      </c>
      <c r="F685" s="720">
        <v>800</v>
      </c>
      <c r="G685" s="721"/>
      <c r="H685" s="726"/>
      <c r="I685" s="726"/>
      <c r="J685" s="762"/>
      <c r="K685" s="719"/>
      <c r="L685" s="719" t="s">
        <v>241</v>
      </c>
      <c r="M685" s="719"/>
      <c r="N685" s="726" t="s">
        <v>695</v>
      </c>
      <c r="O685" s="726"/>
      <c r="P685" s="726"/>
      <c r="Q685" s="719">
        <v>91</v>
      </c>
      <c r="R685" s="719">
        <v>797.65</v>
      </c>
      <c r="S685" s="719"/>
      <c r="T685" s="719">
        <v>-30</v>
      </c>
      <c r="U685" s="719"/>
      <c r="V685" s="719"/>
      <c r="W685" s="719">
        <v>1.4</v>
      </c>
      <c r="X685" s="719"/>
      <c r="Y685" s="719"/>
      <c r="Z685" s="719"/>
      <c r="AA685" s="719"/>
      <c r="AB685" s="719"/>
      <c r="AC685" s="719" t="s">
        <v>3003</v>
      </c>
      <c r="AD685" s="719"/>
      <c r="AE685" s="719"/>
      <c r="AF685" s="719">
        <v>100</v>
      </c>
      <c r="AG685" s="789">
        <v>47253.98</v>
      </c>
      <c r="AH685" s="719">
        <v>1537</v>
      </c>
      <c r="AI685" s="719">
        <v>-5001</v>
      </c>
      <c r="AJ685" s="719"/>
      <c r="AK685" s="719"/>
      <c r="AL685" s="719"/>
      <c r="AM685" s="719" t="s">
        <v>2609</v>
      </c>
      <c r="AN685" s="719">
        <v>5.25</v>
      </c>
      <c r="AO685" s="719"/>
      <c r="AP685" s="719"/>
      <c r="AQ685" s="724"/>
      <c r="AR685" s="724"/>
      <c r="AS685" s="724"/>
      <c r="AT685" s="724">
        <f>+ab($T$685,$T$683,$T$687,$G$684,$G$686, 1*$F$685,1200)</f>
        <v>3.6073232732994258</v>
      </c>
      <c r="AU685" s="724"/>
      <c r="AV685" s="724"/>
      <c r="AW685" s="719"/>
      <c r="AX685" s="719"/>
      <c r="AY685" s="719"/>
      <c r="AZ685" s="532"/>
    </row>
    <row r="686" spans="1:52" ht="15.75" hidden="1" customHeight="1">
      <c r="A686" s="716"/>
      <c r="B686" s="735"/>
      <c r="C686" s="789"/>
      <c r="D686" s="719"/>
      <c r="E686" s="719"/>
      <c r="F686" s="720"/>
      <c r="G686" s="721">
        <v>40</v>
      </c>
      <c r="H686" s="726"/>
      <c r="I686" s="726"/>
      <c r="J686" s="762"/>
      <c r="K686" s="719"/>
      <c r="L686" s="719"/>
      <c r="M686" s="719"/>
      <c r="N686" s="726"/>
      <c r="O686" s="726"/>
      <c r="P686" s="726"/>
      <c r="Q686" s="719"/>
      <c r="R686" s="719"/>
      <c r="S686" s="719">
        <f t="shared" si="170"/>
        <v>39.75</v>
      </c>
      <c r="T686" s="719"/>
      <c r="U686" s="719"/>
      <c r="V686" s="719"/>
      <c r="W686" s="719"/>
      <c r="X686" s="719"/>
      <c r="Y686" s="719"/>
      <c r="Z686" s="719"/>
      <c r="AA686" s="719"/>
      <c r="AB686" s="719"/>
      <c r="AC686" s="719"/>
      <c r="AD686" s="719"/>
      <c r="AE686" s="719"/>
      <c r="AF686" s="719"/>
      <c r="AG686" s="789"/>
      <c r="AH686" s="719"/>
      <c r="AI686" s="719"/>
      <c r="AJ686" s="719"/>
      <c r="AK686" s="719"/>
      <c r="AL686" s="719"/>
      <c r="AM686" s="719"/>
      <c r="AN686" s="719"/>
      <c r="AO686" s="719"/>
      <c r="AP686" s="719"/>
      <c r="AQ686" s="724">
        <f>+FL_1($T$687,$T$685,$G$686,1200,9.28, 1*$F$687)</f>
        <v>-0.3</v>
      </c>
      <c r="AR686" s="724"/>
      <c r="AS686" s="724"/>
      <c r="AT686" s="724"/>
      <c r="AU686" s="724"/>
      <c r="AV686" s="724"/>
      <c r="AW686" s="719"/>
      <c r="AX686" s="719"/>
      <c r="AY686" s="719"/>
      <c r="AZ686" s="532"/>
    </row>
    <row r="687" spans="1:52" ht="15.75" hidden="1" customHeight="1">
      <c r="A687" s="716"/>
      <c r="B687" s="735" t="s">
        <v>2003</v>
      </c>
      <c r="C687" s="789">
        <f>+$C$685+$G$686</f>
        <v>47294</v>
      </c>
      <c r="D687" s="719"/>
      <c r="E687" s="719">
        <v>90</v>
      </c>
      <c r="F687" s="720">
        <v>800</v>
      </c>
      <c r="G687" s="721"/>
      <c r="H687" s="726"/>
      <c r="I687" s="726"/>
      <c r="J687" s="762"/>
      <c r="K687" s="719"/>
      <c r="L687" s="719" t="s">
        <v>241</v>
      </c>
      <c r="M687" s="719"/>
      <c r="N687" s="726" t="s">
        <v>695</v>
      </c>
      <c r="O687" s="726"/>
      <c r="P687" s="726"/>
      <c r="Q687" s="719">
        <v>90</v>
      </c>
      <c r="R687" s="719">
        <v>797.65</v>
      </c>
      <c r="S687" s="719"/>
      <c r="T687" s="719">
        <v>-30</v>
      </c>
      <c r="U687" s="719"/>
      <c r="V687" s="719"/>
      <c r="W687" s="719">
        <v>1.4</v>
      </c>
      <c r="X687" s="719"/>
      <c r="Y687" s="719"/>
      <c r="Z687" s="719"/>
      <c r="AA687" s="719"/>
      <c r="AB687" s="719"/>
      <c r="AC687" s="719" t="s">
        <v>3004</v>
      </c>
      <c r="AD687" s="719"/>
      <c r="AE687" s="719"/>
      <c r="AF687" s="719">
        <v>100</v>
      </c>
      <c r="AG687" s="789">
        <v>47293.73</v>
      </c>
      <c r="AH687" s="719">
        <v>1565</v>
      </c>
      <c r="AI687" s="719">
        <v>-5078</v>
      </c>
      <c r="AJ687" s="719"/>
      <c r="AK687" s="719"/>
      <c r="AL687" s="719"/>
      <c r="AM687" s="719" t="s">
        <v>2609</v>
      </c>
      <c r="AN687" s="719">
        <v>5.25</v>
      </c>
      <c r="AO687" s="719"/>
      <c r="AP687" s="719"/>
      <c r="AQ687" s="724"/>
      <c r="AR687" s="724"/>
      <c r="AS687" s="724"/>
      <c r="AT687" s="724">
        <f>+ab($T$687,$T$685,$T$689,$G$686,$G$688, 1*$F$687,1200)</f>
        <v>3.9300845008673284</v>
      </c>
      <c r="AU687" s="724"/>
      <c r="AV687" s="724"/>
      <c r="AW687" s="719"/>
      <c r="AX687" s="719"/>
      <c r="AY687" s="719"/>
      <c r="AZ687" s="532"/>
    </row>
    <row r="688" spans="1:52" ht="15.75" hidden="1" customHeight="1">
      <c r="A688" s="716"/>
      <c r="B688" s="735"/>
      <c r="C688" s="789"/>
      <c r="D688" s="719"/>
      <c r="E688" s="719"/>
      <c r="F688" s="720"/>
      <c r="G688" s="721">
        <v>38</v>
      </c>
      <c r="H688" s="726"/>
      <c r="I688" s="726"/>
      <c r="J688" s="762"/>
      <c r="K688" s="719"/>
      <c r="L688" s="719"/>
      <c r="M688" s="719"/>
      <c r="N688" s="726"/>
      <c r="O688" s="726"/>
      <c r="P688" s="726"/>
      <c r="Q688" s="719"/>
      <c r="R688" s="719"/>
      <c r="S688" s="719">
        <f t="shared" si="170"/>
        <v>37.799999999995634</v>
      </c>
      <c r="T688" s="719"/>
      <c r="U688" s="719"/>
      <c r="V688" s="719"/>
      <c r="W688" s="719"/>
      <c r="X688" s="719"/>
      <c r="Y688" s="719"/>
      <c r="Z688" s="719"/>
      <c r="AA688" s="719"/>
      <c r="AB688" s="719"/>
      <c r="AC688" s="719"/>
      <c r="AD688" s="719"/>
      <c r="AE688" s="719"/>
      <c r="AF688" s="719"/>
      <c r="AG688" s="789"/>
      <c r="AH688" s="719"/>
      <c r="AI688" s="719"/>
      <c r="AJ688" s="719"/>
      <c r="AK688" s="719"/>
      <c r="AL688" s="719"/>
      <c r="AM688" s="719"/>
      <c r="AN688" s="719"/>
      <c r="AO688" s="719"/>
      <c r="AP688" s="719"/>
      <c r="AQ688" s="724">
        <f>+FL_1($T$689,$T$687,$G$688,1200,9.28, 1*$F$689)</f>
        <v>-0.3</v>
      </c>
      <c r="AR688" s="724"/>
      <c r="AS688" s="724"/>
      <c r="AT688" s="724"/>
      <c r="AU688" s="724"/>
      <c r="AV688" s="724"/>
      <c r="AW688" s="719"/>
      <c r="AX688" s="719"/>
      <c r="AY688" s="719"/>
      <c r="AZ688" s="532"/>
    </row>
    <row r="689" spans="1:52" ht="15.75" hidden="1" customHeight="1">
      <c r="A689" s="716"/>
      <c r="B689" s="735" t="s">
        <v>2004</v>
      </c>
      <c r="C689" s="789">
        <f>+$C$687+$G$688</f>
        <v>47332</v>
      </c>
      <c r="D689" s="719"/>
      <c r="E689" s="719"/>
      <c r="F689" s="720">
        <f>72000/(47413-C689)</f>
        <v>888.88888888888891</v>
      </c>
      <c r="G689" s="721"/>
      <c r="H689" s="726"/>
      <c r="I689" s="722"/>
      <c r="J689" s="762"/>
      <c r="K689" s="719"/>
      <c r="L689" s="719" t="s">
        <v>241</v>
      </c>
      <c r="M689" s="719"/>
      <c r="N689" s="726" t="s">
        <v>695</v>
      </c>
      <c r="O689" s="726"/>
      <c r="P689" s="726"/>
      <c r="Q689" s="719">
        <v>80</v>
      </c>
      <c r="R689" s="719">
        <v>879.12</v>
      </c>
      <c r="S689" s="719"/>
      <c r="T689" s="719">
        <v>-30</v>
      </c>
      <c r="U689" s="719"/>
      <c r="V689" s="719"/>
      <c r="W689" s="719">
        <v>1.4</v>
      </c>
      <c r="X689" s="719"/>
      <c r="Y689" s="719"/>
      <c r="Z689" s="719"/>
      <c r="AA689" s="719"/>
      <c r="AB689" s="719"/>
      <c r="AC689" s="719" t="s">
        <v>2978</v>
      </c>
      <c r="AD689" s="719"/>
      <c r="AE689" s="719"/>
      <c r="AF689" s="719">
        <v>100</v>
      </c>
      <c r="AG689" s="789">
        <v>47331.53</v>
      </c>
      <c r="AH689" s="719">
        <v>1573</v>
      </c>
      <c r="AI689" s="719">
        <v>-5024</v>
      </c>
      <c r="AJ689" s="719"/>
      <c r="AK689" s="719"/>
      <c r="AL689" s="719"/>
      <c r="AM689" s="719" t="s">
        <v>2609</v>
      </c>
      <c r="AN689" s="719">
        <v>5.25</v>
      </c>
      <c r="AO689" s="719"/>
      <c r="AP689" s="719"/>
      <c r="AQ689" s="724"/>
      <c r="AR689" s="724"/>
      <c r="AS689" s="724"/>
      <c r="AT689" s="724">
        <f>+ab($T$689,$T$687,$T$691,$G$688,$G$690, 1*$F$689,1200)</f>
        <v>4.8617622886492082</v>
      </c>
      <c r="AU689" s="724"/>
      <c r="AV689" s="724"/>
      <c r="AW689" s="719"/>
      <c r="AX689" s="719"/>
      <c r="AY689" s="719"/>
      <c r="AZ689" s="532"/>
    </row>
    <row r="690" spans="1:52" ht="15.75" hidden="1" customHeight="1">
      <c r="A690" s="716"/>
      <c r="B690" s="735"/>
      <c r="C690" s="789"/>
      <c r="D690" s="719"/>
      <c r="E690" s="719"/>
      <c r="F690" s="720"/>
      <c r="G690" s="721">
        <v>32</v>
      </c>
      <c r="H690" s="726"/>
      <c r="I690" s="726"/>
      <c r="J690" s="762"/>
      <c r="K690" s="719"/>
      <c r="L690" s="719"/>
      <c r="M690" s="719"/>
      <c r="N690" s="726"/>
      <c r="O690" s="726"/>
      <c r="P690" s="726"/>
      <c r="Q690" s="719"/>
      <c r="R690" s="719"/>
      <c r="S690" s="719">
        <f t="shared" si="170"/>
        <v>32.889999999999418</v>
      </c>
      <c r="T690" s="719"/>
      <c r="U690" s="719"/>
      <c r="V690" s="719"/>
      <c r="W690" s="719"/>
      <c r="X690" s="719"/>
      <c r="Y690" s="719"/>
      <c r="Z690" s="719"/>
      <c r="AA690" s="719"/>
      <c r="AB690" s="719"/>
      <c r="AC690" s="719"/>
      <c r="AD690" s="719"/>
      <c r="AE690" s="719"/>
      <c r="AF690" s="719"/>
      <c r="AG690" s="789"/>
      <c r="AH690" s="719"/>
      <c r="AI690" s="719"/>
      <c r="AJ690" s="719"/>
      <c r="AK690" s="719"/>
      <c r="AL690" s="719"/>
      <c r="AM690" s="719"/>
      <c r="AN690" s="719"/>
      <c r="AO690" s="719"/>
      <c r="AP690" s="719"/>
      <c r="AQ690" s="724">
        <f>+FL_1($T$691,$T$689,$G$690,1200,9.28, 1*$F$691)</f>
        <v>-0.28812702674282537</v>
      </c>
      <c r="AR690" s="724"/>
      <c r="AS690" s="724"/>
      <c r="AT690" s="724"/>
      <c r="AU690" s="724"/>
      <c r="AV690" s="724"/>
      <c r="AW690" s="719"/>
      <c r="AX690" s="719"/>
      <c r="AY690" s="719"/>
      <c r="AZ690" s="532"/>
    </row>
    <row r="691" spans="1:52" ht="15.75" hidden="1" customHeight="1">
      <c r="A691" s="716"/>
      <c r="B691" s="735" t="s">
        <v>2005</v>
      </c>
      <c r="C691" s="789">
        <f>+$C$689+$G$690</f>
        <v>47364</v>
      </c>
      <c r="D691" s="719"/>
      <c r="E691" s="719"/>
      <c r="F691" s="720">
        <f>72000/(47413-C691)</f>
        <v>1469.3877551020407</v>
      </c>
      <c r="G691" s="721"/>
      <c r="H691" s="726"/>
      <c r="I691" s="722"/>
      <c r="J691" s="762"/>
      <c r="K691" s="719"/>
      <c r="L691" s="719" t="s">
        <v>241</v>
      </c>
      <c r="M691" s="719"/>
      <c r="N691" s="726" t="s">
        <v>695</v>
      </c>
      <c r="O691" s="726"/>
      <c r="P691" s="726"/>
      <c r="Q691" s="719">
        <v>51</v>
      </c>
      <c r="R691" s="719">
        <v>1456.88</v>
      </c>
      <c r="S691" s="719"/>
      <c r="T691" s="719">
        <v>-30</v>
      </c>
      <c r="U691" s="719"/>
      <c r="V691" s="719"/>
      <c r="W691" s="719">
        <v>1.4</v>
      </c>
      <c r="X691" s="719"/>
      <c r="Y691" s="719"/>
      <c r="Z691" s="719"/>
      <c r="AA691" s="719"/>
      <c r="AB691" s="719"/>
      <c r="AC691" s="719" t="s">
        <v>2978</v>
      </c>
      <c r="AD691" s="719"/>
      <c r="AE691" s="719"/>
      <c r="AF691" s="719">
        <v>100</v>
      </c>
      <c r="AG691" s="789">
        <v>47364.42</v>
      </c>
      <c r="AH691" s="719">
        <v>1589</v>
      </c>
      <c r="AI691" s="719">
        <v>-5024</v>
      </c>
      <c r="AJ691" s="719"/>
      <c r="AK691" s="719"/>
      <c r="AL691" s="719"/>
      <c r="AM691" s="719" t="s">
        <v>2609</v>
      </c>
      <c r="AN691" s="719">
        <v>5.25</v>
      </c>
      <c r="AO691" s="719"/>
      <c r="AP691" s="719"/>
      <c r="AQ691" s="724"/>
      <c r="AR691" s="724"/>
      <c r="AS691" s="724"/>
      <c r="AT691" s="724">
        <f>+ab($T$691,$T$689,$T$693,$G$690,$G$692, 1*$F$691,1200)</f>
        <v>16.1476130581208</v>
      </c>
      <c r="AU691" s="724"/>
      <c r="AV691" s="724"/>
      <c r="AW691" s="719"/>
      <c r="AX691" s="719"/>
      <c r="AY691" s="719"/>
      <c r="AZ691" s="532"/>
    </row>
    <row r="692" spans="1:52" ht="15.75" hidden="1" customHeight="1">
      <c r="A692" s="716"/>
      <c r="B692" s="735"/>
      <c r="C692" s="789"/>
      <c r="D692" s="719"/>
      <c r="E692" s="719"/>
      <c r="F692" s="720"/>
      <c r="G692" s="721">
        <v>43</v>
      </c>
      <c r="H692" s="726"/>
      <c r="I692" s="726"/>
      <c r="J692" s="762"/>
      <c r="K692" s="719"/>
      <c r="L692" s="719"/>
      <c r="M692" s="719"/>
      <c r="N692" s="726"/>
      <c r="O692" s="726"/>
      <c r="P692" s="726"/>
      <c r="Q692" s="719"/>
      <c r="R692" s="719"/>
      <c r="S692" s="719">
        <f t="shared" si="170"/>
        <v>42.889999999999418</v>
      </c>
      <c r="T692" s="719"/>
      <c r="U692" s="719"/>
      <c r="V692" s="719"/>
      <c r="W692" s="719"/>
      <c r="X692" s="719"/>
      <c r="Y692" s="719"/>
      <c r="Z692" s="719"/>
      <c r="AA692" s="719"/>
      <c r="AB692" s="719"/>
      <c r="AC692" s="719"/>
      <c r="AD692" s="719"/>
      <c r="AE692" s="719"/>
      <c r="AF692" s="719"/>
      <c r="AG692" s="789"/>
      <c r="AH692" s="719"/>
      <c r="AI692" s="719"/>
      <c r="AJ692" s="719"/>
      <c r="AK692" s="719"/>
      <c r="AL692" s="719"/>
      <c r="AM692" s="719"/>
      <c r="AN692" s="719"/>
      <c r="AO692" s="719"/>
      <c r="AP692" s="719"/>
      <c r="AQ692" s="724">
        <f>+FL_1($T$693,$T$691,$G$692,1200,9.28, 1*$F$693)</f>
        <v>0.3046201782325581</v>
      </c>
      <c r="AR692" s="724"/>
      <c r="AS692" s="724"/>
      <c r="AT692" s="724"/>
      <c r="AU692" s="724"/>
      <c r="AV692" s="724"/>
      <c r="AW692" s="719"/>
      <c r="AX692" s="719"/>
      <c r="AY692" s="719"/>
      <c r="AZ692" s="532"/>
    </row>
    <row r="693" spans="1:52" ht="15.75" hidden="1" customHeight="1">
      <c r="A693" s="716"/>
      <c r="B693" s="741" t="s">
        <v>2006</v>
      </c>
      <c r="C693" s="789">
        <f>+$C$691+$G$692</f>
        <v>47407</v>
      </c>
      <c r="D693" s="719"/>
      <c r="E693" s="719"/>
      <c r="F693" s="720">
        <v>0</v>
      </c>
      <c r="G693" s="721"/>
      <c r="H693" s="726" t="s">
        <v>138</v>
      </c>
      <c r="I693" s="722" t="s">
        <v>2827</v>
      </c>
      <c r="J693" s="762"/>
      <c r="K693" s="719"/>
      <c r="L693" s="719" t="s">
        <v>241</v>
      </c>
      <c r="M693" s="719"/>
      <c r="N693" s="726" t="s">
        <v>696</v>
      </c>
      <c r="O693" s="726"/>
      <c r="P693" s="726"/>
      <c r="Q693" s="719">
        <v>7</v>
      </c>
      <c r="R693" s="719">
        <v>10609.16</v>
      </c>
      <c r="S693" s="719"/>
      <c r="T693" s="719">
        <v>30</v>
      </c>
      <c r="U693" s="719"/>
      <c r="V693" s="719"/>
      <c r="W693" s="719">
        <v>1.4</v>
      </c>
      <c r="X693" s="719"/>
      <c r="Y693" s="719"/>
      <c r="Z693" s="719"/>
      <c r="AA693" s="719"/>
      <c r="AB693" s="719"/>
      <c r="AC693" s="719" t="s">
        <v>2616</v>
      </c>
      <c r="AD693" s="719"/>
      <c r="AE693" s="719"/>
      <c r="AF693" s="719">
        <v>200</v>
      </c>
      <c r="AG693" s="789">
        <v>47407.31</v>
      </c>
      <c r="AH693" s="719">
        <v>2070</v>
      </c>
      <c r="AI693" s="719">
        <v>-5052</v>
      </c>
      <c r="AJ693" s="719"/>
      <c r="AK693" s="719"/>
      <c r="AL693" s="719"/>
      <c r="AM693" s="719" t="s">
        <v>2609</v>
      </c>
      <c r="AN693" s="719">
        <v>5.25</v>
      </c>
      <c r="AO693" s="719"/>
      <c r="AP693" s="719"/>
      <c r="AQ693" s="724"/>
      <c r="AR693" s="724"/>
      <c r="AS693" s="724"/>
      <c r="AT693" s="724">
        <f>+ab($T$693,$T$691,$T$695,$G$692,$G$694, 1*$F$693,1200)</f>
        <v>5.714977085427269</v>
      </c>
      <c r="AU693" s="724"/>
      <c r="AV693" s="724"/>
      <c r="AW693" s="719"/>
      <c r="AX693" s="719"/>
      <c r="AY693" s="719"/>
      <c r="AZ693" s="532"/>
    </row>
    <row r="694" spans="1:52" ht="15.75" hidden="1" customHeight="1">
      <c r="A694" s="716"/>
      <c r="B694" s="735"/>
      <c r="C694" s="789"/>
      <c r="D694" s="719"/>
      <c r="E694" s="719"/>
      <c r="F694" s="720"/>
      <c r="G694" s="721">
        <v>41</v>
      </c>
      <c r="H694" s="726"/>
      <c r="I694" s="726"/>
      <c r="J694" s="762">
        <f>C693+10</f>
        <v>47417</v>
      </c>
      <c r="K694" s="719" t="s">
        <v>2587</v>
      </c>
      <c r="L694" s="719"/>
      <c r="M694" s="719"/>
      <c r="N694" s="726"/>
      <c r="O694" s="726"/>
      <c r="P694" s="726"/>
      <c r="Q694" s="719"/>
      <c r="R694" s="719"/>
      <c r="S694" s="719">
        <f>AG695-AG693</f>
        <v>40.200000000004366</v>
      </c>
      <c r="T694" s="719"/>
      <c r="U694" s="719"/>
      <c r="V694" s="719"/>
      <c r="W694" s="719"/>
      <c r="X694" s="719"/>
      <c r="Y694" s="719"/>
      <c r="Z694" s="719"/>
      <c r="AA694" s="719"/>
      <c r="AB694" s="719"/>
      <c r="AC694" s="719"/>
      <c r="AD694" s="719"/>
      <c r="AE694" s="719"/>
      <c r="AF694" s="719"/>
      <c r="AG694" s="789"/>
      <c r="AH694" s="719"/>
      <c r="AI694" s="719"/>
      <c r="AJ694" s="719"/>
      <c r="AK694" s="719"/>
      <c r="AL694" s="719"/>
      <c r="AM694" s="719"/>
      <c r="AN694" s="719"/>
      <c r="AO694" s="719"/>
      <c r="AP694" s="719"/>
      <c r="AQ694" s="724">
        <f>+FL_2($U$695,$T$693,$G$694,1200,9.28, 1*$F$695)</f>
        <v>-8.4613017105691066E-2</v>
      </c>
      <c r="AR694" s="724"/>
      <c r="AS694" s="724"/>
      <c r="AT694" s="724"/>
      <c r="AU694" s="724"/>
      <c r="AV694" s="724"/>
      <c r="AW694" s="719"/>
      <c r="AX694" s="719"/>
      <c r="AY694" s="719"/>
      <c r="AZ694" s="532"/>
    </row>
    <row r="695" spans="1:52" ht="15.75" hidden="1" customHeight="1">
      <c r="A695" s="716" t="s">
        <v>2961</v>
      </c>
      <c r="B695" s="741" t="s">
        <v>2007</v>
      </c>
      <c r="C695" s="789">
        <f>+$C$693+$G$694</f>
        <v>47448</v>
      </c>
      <c r="D695" s="719"/>
      <c r="E695" s="719"/>
      <c r="F695" s="720">
        <v>0</v>
      </c>
      <c r="G695" s="721"/>
      <c r="H695" s="726" t="s">
        <v>668</v>
      </c>
      <c r="I695" s="726" t="s">
        <v>2645</v>
      </c>
      <c r="J695" s="762"/>
      <c r="K695" s="719"/>
      <c r="L695" s="719" t="s">
        <v>465</v>
      </c>
      <c r="M695" s="719"/>
      <c r="N695" s="726" t="s">
        <v>697</v>
      </c>
      <c r="O695" s="726" t="s">
        <v>695</v>
      </c>
      <c r="P695" s="726"/>
      <c r="Q695" s="719">
        <v>0</v>
      </c>
      <c r="R695" s="719">
        <v>0</v>
      </c>
      <c r="S695" s="719">
        <f>AG696-AG695</f>
        <v>1.5</v>
      </c>
      <c r="T695" s="719">
        <v>-50</v>
      </c>
      <c r="U695" s="719">
        <v>-5</v>
      </c>
      <c r="V695" s="719"/>
      <c r="W695" s="719">
        <v>1.6</v>
      </c>
      <c r="X695" s="719">
        <v>1.4</v>
      </c>
      <c r="Y695" s="719"/>
      <c r="Z695" s="719">
        <v>0.45</v>
      </c>
      <c r="AA695" s="719"/>
      <c r="AB695" s="719"/>
      <c r="AC695" s="719"/>
      <c r="AD695" s="719" t="s">
        <v>2616</v>
      </c>
      <c r="AE695" s="719"/>
      <c r="AF695" s="719">
        <v>200</v>
      </c>
      <c r="AG695" s="789">
        <v>47447.51</v>
      </c>
      <c r="AH695" s="719">
        <v>2081</v>
      </c>
      <c r="AI695" s="719">
        <v>-5025</v>
      </c>
      <c r="AJ695" s="719" t="s">
        <v>2943</v>
      </c>
      <c r="AK695" s="719"/>
      <c r="AL695" s="719"/>
      <c r="AM695" s="719" t="s">
        <v>2609</v>
      </c>
      <c r="AN695" s="719">
        <v>5.25</v>
      </c>
      <c r="AO695" s="719"/>
      <c r="AP695" s="719"/>
      <c r="AQ695" s="724"/>
      <c r="AR695" s="724"/>
      <c r="AS695" s="724"/>
      <c r="AT695" s="724">
        <f>+ab($U$695,$T$693,$U$697,$G$694,$G$696, 1*$F$695,1200)</f>
        <v>-9.7276855676981988</v>
      </c>
      <c r="AU695" s="724"/>
      <c r="AV695" s="724"/>
      <c r="AW695" s="719"/>
      <c r="AX695" s="719"/>
      <c r="AY695" s="719"/>
      <c r="AZ695" s="532"/>
    </row>
    <row r="696" spans="1:52" ht="15.75" hidden="1" customHeight="1">
      <c r="A696" s="716"/>
      <c r="B696" s="735"/>
      <c r="C696" s="789"/>
      <c r="D696" s="719"/>
      <c r="E696" s="719"/>
      <c r="F696" s="720"/>
      <c r="G696" s="721">
        <v>50</v>
      </c>
      <c r="H696" s="726"/>
      <c r="I696" s="722"/>
      <c r="J696" s="762"/>
      <c r="K696" s="719"/>
      <c r="L696" s="719"/>
      <c r="M696" s="719"/>
      <c r="N696" s="726"/>
      <c r="O696" s="726"/>
      <c r="P696" s="726"/>
      <c r="Q696" s="719">
        <v>0</v>
      </c>
      <c r="R696" s="719">
        <v>0</v>
      </c>
      <c r="S696" s="719">
        <f>AG697-AG696</f>
        <v>48.19999999999709</v>
      </c>
      <c r="T696" s="719"/>
      <c r="U696" s="719"/>
      <c r="V696" s="719"/>
      <c r="W696" s="719"/>
      <c r="X696" s="719"/>
      <c r="Y696" s="719"/>
      <c r="Z696" s="719"/>
      <c r="AA696" s="719"/>
      <c r="AB696" s="719"/>
      <c r="AC696" s="719"/>
      <c r="AD696" s="719"/>
      <c r="AE696" s="719"/>
      <c r="AF696" s="719">
        <v>200</v>
      </c>
      <c r="AG696" s="789">
        <v>47449.01</v>
      </c>
      <c r="AH696" s="719">
        <v>2071</v>
      </c>
      <c r="AI696" s="719">
        <v>-5015</v>
      </c>
      <c r="AJ696" s="719"/>
      <c r="AK696" s="719"/>
      <c r="AL696" s="719"/>
      <c r="AM696" s="719"/>
      <c r="AN696" s="719"/>
      <c r="AO696" s="719"/>
      <c r="AP696" s="719"/>
      <c r="AQ696" s="724">
        <f>+FL_1($T$697,$U$695,$G$696,1200,9.28, 1*$F$697)</f>
        <v>0.24425286799999996</v>
      </c>
      <c r="AR696" s="724"/>
      <c r="AS696" s="724"/>
      <c r="AT696" s="724"/>
      <c r="AU696" s="724"/>
      <c r="AV696" s="724"/>
      <c r="AW696" s="719"/>
      <c r="AX696" s="719"/>
      <c r="AY696" s="719"/>
      <c r="AZ696" s="532"/>
    </row>
    <row r="697" spans="1:52" ht="15.75" hidden="1" customHeight="1">
      <c r="A697" s="716"/>
      <c r="B697" s="741" t="s">
        <v>2008</v>
      </c>
      <c r="C697" s="789">
        <f>+$C$695+$G$696</f>
        <v>47498</v>
      </c>
      <c r="D697" s="719"/>
      <c r="E697" s="719"/>
      <c r="F697" s="720">
        <v>0</v>
      </c>
      <c r="G697" s="721"/>
      <c r="H697" s="726" t="s">
        <v>668</v>
      </c>
      <c r="I697" s="726"/>
      <c r="J697" s="762"/>
      <c r="K697" s="719"/>
      <c r="L697" s="719" t="s">
        <v>465</v>
      </c>
      <c r="M697" s="719"/>
      <c r="N697" s="726" t="s">
        <v>696</v>
      </c>
      <c r="O697" s="726" t="s">
        <v>697</v>
      </c>
      <c r="P697" s="726"/>
      <c r="Q697" s="719">
        <v>0</v>
      </c>
      <c r="R697" s="719">
        <v>0</v>
      </c>
      <c r="S697" s="719">
        <f>AG698-AG697</f>
        <v>1.5100000000020373</v>
      </c>
      <c r="T697" s="719">
        <v>5</v>
      </c>
      <c r="U697" s="719">
        <v>50</v>
      </c>
      <c r="V697" s="719"/>
      <c r="W697" s="719">
        <v>1.6</v>
      </c>
      <c r="X697" s="719">
        <v>1.4</v>
      </c>
      <c r="Y697" s="719"/>
      <c r="Z697" s="719"/>
      <c r="AA697" s="719">
        <v>0.45</v>
      </c>
      <c r="AB697" s="719"/>
      <c r="AC697" s="719" t="s">
        <v>2616</v>
      </c>
      <c r="AD697" s="719"/>
      <c r="AE697" s="719"/>
      <c r="AF697" s="719">
        <v>200</v>
      </c>
      <c r="AG697" s="789">
        <v>47497.21</v>
      </c>
      <c r="AH697" s="719">
        <v>2071</v>
      </c>
      <c r="AI697" s="719">
        <v>-4914</v>
      </c>
      <c r="AJ697" s="719"/>
      <c r="AK697" s="719"/>
      <c r="AL697" s="719"/>
      <c r="AM697" s="719" t="s">
        <v>2609</v>
      </c>
      <c r="AN697" s="719">
        <v>5.25</v>
      </c>
      <c r="AO697" s="719"/>
      <c r="AP697" s="719"/>
      <c r="AQ697" s="724"/>
      <c r="AR697" s="724"/>
      <c r="AS697" s="724"/>
      <c r="AT697" s="724">
        <f>+ab($T$697,$T$695,$T$699,$G$696,$G$698, 1*$F$697,1200)</f>
        <v>10.112771194187038</v>
      </c>
      <c r="AU697" s="724"/>
      <c r="AV697" s="724"/>
      <c r="AW697" s="719"/>
      <c r="AX697" s="719"/>
      <c r="AY697" s="719"/>
      <c r="AZ697" s="532"/>
    </row>
    <row r="698" spans="1:52" ht="15.75" hidden="1" customHeight="1">
      <c r="A698" s="716"/>
      <c r="B698" s="735"/>
      <c r="C698" s="789"/>
      <c r="D698" s="719"/>
      <c r="E698" s="719"/>
      <c r="F698" s="720"/>
      <c r="G698" s="721">
        <v>45</v>
      </c>
      <c r="H698" s="726"/>
      <c r="I698" s="726"/>
      <c r="J698" s="762">
        <f>C699-10</f>
        <v>47533</v>
      </c>
      <c r="K698" s="719" t="s">
        <v>1097</v>
      </c>
      <c r="L698" s="719"/>
      <c r="M698" s="719"/>
      <c r="N698" s="726"/>
      <c r="O698" s="726"/>
      <c r="P698" s="726"/>
      <c r="Q698" s="719">
        <v>0</v>
      </c>
      <c r="R698" s="719">
        <v>0</v>
      </c>
      <c r="S698" s="719">
        <f>AG699-AG698</f>
        <v>44.25</v>
      </c>
      <c r="T698" s="719"/>
      <c r="U698" s="719"/>
      <c r="V698" s="719"/>
      <c r="W698" s="719"/>
      <c r="X698" s="719"/>
      <c r="Y698" s="719"/>
      <c r="Z698" s="719"/>
      <c r="AA698" s="719"/>
      <c r="AB698" s="719"/>
      <c r="AC698" s="719"/>
      <c r="AD698" s="719"/>
      <c r="AE698" s="719"/>
      <c r="AF698" s="719">
        <v>200</v>
      </c>
      <c r="AG698" s="789">
        <v>47498.720000000001</v>
      </c>
      <c r="AH698" s="719">
        <v>2098</v>
      </c>
      <c r="AI698" s="719">
        <v>-4915</v>
      </c>
      <c r="AJ698" s="719"/>
      <c r="AK698" s="719"/>
      <c r="AL698" s="719"/>
      <c r="AM698" s="719"/>
      <c r="AN698" s="719"/>
      <c r="AO698" s="719"/>
      <c r="AP698" s="719"/>
      <c r="AQ698" s="724">
        <f>+FL_1($T$699,$T$697,$G$698,1200,9.28, 1*$F$699)</f>
        <v>0.10986238577777785</v>
      </c>
      <c r="AR698" s="724"/>
      <c r="AS698" s="724"/>
      <c r="AT698" s="724"/>
      <c r="AU698" s="724"/>
      <c r="AV698" s="724"/>
      <c r="AW698" s="719"/>
      <c r="AX698" s="719"/>
      <c r="AY698" s="719"/>
      <c r="AZ698" s="532"/>
    </row>
    <row r="699" spans="1:52" ht="15.75" hidden="1" customHeight="1">
      <c r="A699" s="716"/>
      <c r="B699" s="741" t="s">
        <v>2597</v>
      </c>
      <c r="C699" s="789">
        <f>+$C$697+$G$698</f>
        <v>47543</v>
      </c>
      <c r="D699" s="719"/>
      <c r="E699" s="719"/>
      <c r="F699" s="720">
        <v>0</v>
      </c>
      <c r="G699" s="721"/>
      <c r="H699" s="726" t="s">
        <v>138</v>
      </c>
      <c r="I699" s="722" t="s">
        <v>948</v>
      </c>
      <c r="J699" s="762"/>
      <c r="K699" s="719"/>
      <c r="L699" s="719" t="s">
        <v>241</v>
      </c>
      <c r="M699" s="719"/>
      <c r="N699" s="726" t="s">
        <v>695</v>
      </c>
      <c r="O699" s="726"/>
      <c r="P699" s="726"/>
      <c r="Q699" s="719">
        <v>0</v>
      </c>
      <c r="R699" s="719">
        <v>0</v>
      </c>
      <c r="S699" s="719"/>
      <c r="T699" s="719">
        <v>-30</v>
      </c>
      <c r="U699" s="719"/>
      <c r="V699" s="719"/>
      <c r="W699" s="719">
        <v>1.4</v>
      </c>
      <c r="X699" s="719"/>
      <c r="Y699" s="719"/>
      <c r="Z699" s="719"/>
      <c r="AA699" s="719"/>
      <c r="AB699" s="719"/>
      <c r="AC699" s="719" t="s">
        <v>2978</v>
      </c>
      <c r="AD699" s="719"/>
      <c r="AE699" s="719"/>
      <c r="AF699" s="719">
        <v>200</v>
      </c>
      <c r="AG699" s="789">
        <v>47542.97</v>
      </c>
      <c r="AH699" s="719">
        <v>2087</v>
      </c>
      <c r="AI699" s="719">
        <v>-5019</v>
      </c>
      <c r="AJ699" s="719"/>
      <c r="AK699" s="719"/>
      <c r="AL699" s="719"/>
      <c r="AM699" s="719" t="s">
        <v>2609</v>
      </c>
      <c r="AN699" s="719">
        <v>5.25</v>
      </c>
      <c r="AO699" s="719"/>
      <c r="AP699" s="719"/>
      <c r="AQ699" s="724"/>
      <c r="AR699" s="724"/>
      <c r="AS699" s="724"/>
      <c r="AT699" s="724">
        <f>+ab($T$699,$T$697,$T$701,$G$698,$G$700, 1*$F$699,1200)</f>
        <v>-7.6657281811967914</v>
      </c>
      <c r="AU699" s="724"/>
      <c r="AV699" s="724"/>
      <c r="AW699" s="719"/>
      <c r="AX699" s="719"/>
      <c r="AY699" s="719"/>
      <c r="AZ699" s="532"/>
    </row>
    <row r="700" spans="1:52" ht="15.75" hidden="1" customHeight="1">
      <c r="A700" s="716"/>
      <c r="B700" s="735"/>
      <c r="C700" s="789"/>
      <c r="D700" s="719"/>
      <c r="E700" s="719"/>
      <c r="F700" s="720"/>
      <c r="G700" s="721">
        <v>38</v>
      </c>
      <c r="H700" s="726"/>
      <c r="I700" s="722" t="s">
        <v>2053</v>
      </c>
      <c r="J700" s="727"/>
      <c r="K700" s="719" t="s">
        <v>1102</v>
      </c>
      <c r="L700" s="719"/>
      <c r="M700" s="719"/>
      <c r="N700" s="726"/>
      <c r="O700" s="726"/>
      <c r="P700" s="726"/>
      <c r="Q700" s="719"/>
      <c r="R700" s="719"/>
      <c r="S700" s="719">
        <f t="shared" ref="S700:S750" si="171">AG701-AG699</f>
        <v>38.019999999996799</v>
      </c>
      <c r="T700" s="719"/>
      <c r="U700" s="719"/>
      <c r="V700" s="719"/>
      <c r="W700" s="719"/>
      <c r="X700" s="719"/>
      <c r="Y700" s="719"/>
      <c r="Z700" s="719"/>
      <c r="AA700" s="719"/>
      <c r="AB700" s="719"/>
      <c r="AC700" s="719"/>
      <c r="AD700" s="719"/>
      <c r="AE700" s="719"/>
      <c r="AF700" s="719"/>
      <c r="AG700" s="789"/>
      <c r="AH700" s="719"/>
      <c r="AI700" s="719"/>
      <c r="AJ700" s="719"/>
      <c r="AK700" s="719"/>
      <c r="AL700" s="719"/>
      <c r="AM700" s="719"/>
      <c r="AN700" s="719"/>
      <c r="AO700" s="719"/>
      <c r="AP700" s="719"/>
      <c r="AQ700" s="724">
        <f>+FL_2($T$701,$T$699,$G$700,1200,9.28, 1*$F$701)</f>
        <v>-0.30000000000000238</v>
      </c>
      <c r="AR700" s="724"/>
      <c r="AS700" s="724"/>
      <c r="AT700" s="724"/>
      <c r="AU700" s="724"/>
      <c r="AV700" s="724"/>
      <c r="AW700" s="719"/>
      <c r="AX700" s="719"/>
      <c r="AY700" s="719"/>
      <c r="AZ700" s="532"/>
    </row>
    <row r="701" spans="1:52" ht="15.75" hidden="1" customHeight="1">
      <c r="A701" s="716"/>
      <c r="B701" s="741" t="s">
        <v>2598</v>
      </c>
      <c r="C701" s="789">
        <f>+$C$699+$G$700</f>
        <v>47581</v>
      </c>
      <c r="D701" s="719"/>
      <c r="E701" s="719"/>
      <c r="F701" s="720">
        <v>0</v>
      </c>
      <c r="G701" s="721"/>
      <c r="H701" s="726"/>
      <c r="I701" s="722" t="s">
        <v>2053</v>
      </c>
      <c r="J701" s="727"/>
      <c r="K701" s="719" t="s">
        <v>1102</v>
      </c>
      <c r="L701" s="719" t="s">
        <v>241</v>
      </c>
      <c r="M701" s="719"/>
      <c r="N701" s="726" t="s">
        <v>696</v>
      </c>
      <c r="O701" s="726"/>
      <c r="P701" s="726"/>
      <c r="Q701" s="719">
        <v>0</v>
      </c>
      <c r="R701" s="719">
        <v>0</v>
      </c>
      <c r="S701" s="719"/>
      <c r="T701" s="719">
        <v>35</v>
      </c>
      <c r="U701" s="719"/>
      <c r="V701" s="719"/>
      <c r="W701" s="719">
        <v>1.4</v>
      </c>
      <c r="X701" s="719"/>
      <c r="Y701" s="719"/>
      <c r="Z701" s="719"/>
      <c r="AA701" s="719"/>
      <c r="AB701" s="719"/>
      <c r="AC701" s="719" t="s">
        <v>2978</v>
      </c>
      <c r="AD701" s="719"/>
      <c r="AE701" s="719"/>
      <c r="AF701" s="719">
        <v>200</v>
      </c>
      <c r="AG701" s="789">
        <v>47580.99</v>
      </c>
      <c r="AH701" s="719">
        <v>2068</v>
      </c>
      <c r="AI701" s="719">
        <v>-5163</v>
      </c>
      <c r="AJ701" s="719"/>
      <c r="AK701" s="719"/>
      <c r="AL701" s="719"/>
      <c r="AM701" s="719" t="s">
        <v>2609</v>
      </c>
      <c r="AN701" s="719">
        <v>5.25</v>
      </c>
      <c r="AO701" s="719"/>
      <c r="AP701" s="719"/>
      <c r="AQ701" s="724"/>
      <c r="AR701" s="724"/>
      <c r="AS701" s="724"/>
      <c r="AT701" s="724">
        <f>+ab($T$701,$T$699,$T$703,$G$700,$G$702, 1*$F$701,1200)</f>
        <v>5.5913466908218332</v>
      </c>
      <c r="AU701" s="724"/>
      <c r="AV701" s="724"/>
      <c r="AW701" s="719"/>
      <c r="AX701" s="719"/>
      <c r="AY701" s="719"/>
      <c r="AZ701" s="532"/>
    </row>
    <row r="702" spans="1:52" ht="15.75" hidden="1" customHeight="1">
      <c r="A702" s="716"/>
      <c r="B702" s="735"/>
      <c r="C702" s="789"/>
      <c r="D702" s="719"/>
      <c r="E702" s="719"/>
      <c r="F702" s="720"/>
      <c r="G702" s="721">
        <v>38</v>
      </c>
      <c r="H702" s="726"/>
      <c r="I702" s="726"/>
      <c r="J702" s="727"/>
      <c r="K702" s="719"/>
      <c r="L702" s="719"/>
      <c r="M702" s="719"/>
      <c r="N702" s="726"/>
      <c r="O702" s="726"/>
      <c r="P702" s="726"/>
      <c r="Q702" s="719"/>
      <c r="R702" s="719"/>
      <c r="S702" s="719">
        <f t="shared" si="171"/>
        <v>38.980000000003201</v>
      </c>
      <c r="T702" s="719"/>
      <c r="U702" s="719"/>
      <c r="V702" s="719"/>
      <c r="W702" s="719"/>
      <c r="X702" s="719"/>
      <c r="Y702" s="719"/>
      <c r="Z702" s="719"/>
      <c r="AA702" s="719"/>
      <c r="AB702" s="719"/>
      <c r="AC702" s="719"/>
      <c r="AD702" s="719"/>
      <c r="AE702" s="719"/>
      <c r="AF702" s="719"/>
      <c r="AG702" s="789"/>
      <c r="AH702" s="719"/>
      <c r="AI702" s="719"/>
      <c r="AJ702" s="719"/>
      <c r="AK702" s="719"/>
      <c r="AL702" s="719"/>
      <c r="AM702" s="719"/>
      <c r="AN702" s="719"/>
      <c r="AO702" s="719"/>
      <c r="AP702" s="719"/>
      <c r="AQ702" s="724">
        <f>+FL_2($T$703,$T$701,$G$702,1200,9.28, 1*$F$703)</f>
        <v>-0.3</v>
      </c>
      <c r="AR702" s="724"/>
      <c r="AS702" s="724"/>
      <c r="AT702" s="724"/>
      <c r="AU702" s="724"/>
      <c r="AV702" s="724"/>
      <c r="AW702" s="719"/>
      <c r="AX702" s="719"/>
      <c r="AY702" s="719"/>
      <c r="AZ702" s="532"/>
    </row>
    <row r="703" spans="1:52" ht="15.75" hidden="1" customHeight="1">
      <c r="A703" s="716"/>
      <c r="B703" s="741" t="s">
        <v>2009</v>
      </c>
      <c r="C703" s="789">
        <f>+$C$701+$G$702</f>
        <v>47619</v>
      </c>
      <c r="D703" s="719"/>
      <c r="E703" s="719"/>
      <c r="F703" s="720">
        <v>0</v>
      </c>
      <c r="G703" s="721"/>
      <c r="H703" s="726"/>
      <c r="I703" s="720"/>
      <c r="J703" s="762"/>
      <c r="K703" s="719"/>
      <c r="L703" s="719" t="s">
        <v>241</v>
      </c>
      <c r="M703" s="719"/>
      <c r="N703" s="726" t="s">
        <v>695</v>
      </c>
      <c r="O703" s="726"/>
      <c r="P703" s="726"/>
      <c r="Q703" s="719">
        <v>0</v>
      </c>
      <c r="R703" s="719">
        <v>0</v>
      </c>
      <c r="S703" s="719"/>
      <c r="T703" s="719">
        <v>-30</v>
      </c>
      <c r="U703" s="719"/>
      <c r="V703" s="719"/>
      <c r="W703" s="719">
        <v>1.4</v>
      </c>
      <c r="X703" s="719"/>
      <c r="Y703" s="719"/>
      <c r="Z703" s="719"/>
      <c r="AA703" s="719"/>
      <c r="AB703" s="719"/>
      <c r="AC703" s="719" t="s">
        <v>2978</v>
      </c>
      <c r="AD703" s="719"/>
      <c r="AE703" s="719"/>
      <c r="AF703" s="719">
        <v>200</v>
      </c>
      <c r="AG703" s="789">
        <v>47619.97</v>
      </c>
      <c r="AH703" s="719">
        <v>2082</v>
      </c>
      <c r="AI703" s="719">
        <v>-5118</v>
      </c>
      <c r="AJ703" s="719"/>
      <c r="AK703" s="719"/>
      <c r="AL703" s="719"/>
      <c r="AM703" s="719" t="s">
        <v>2609</v>
      </c>
      <c r="AN703" s="719">
        <v>5.25</v>
      </c>
      <c r="AO703" s="719"/>
      <c r="AP703" s="719"/>
      <c r="AQ703" s="724"/>
      <c r="AR703" s="724"/>
      <c r="AS703" s="724"/>
      <c r="AT703" s="724">
        <f>+ab($T$703,$T$701,$T$705,$G$702,$G$704, 1*$F$703,1200)</f>
        <v>-11.078212869043528</v>
      </c>
      <c r="AU703" s="724"/>
      <c r="AV703" s="724"/>
      <c r="AW703" s="719"/>
      <c r="AX703" s="719"/>
      <c r="AY703" s="719"/>
      <c r="AZ703" s="532"/>
    </row>
    <row r="704" spans="1:52" ht="15.75" hidden="1" customHeight="1">
      <c r="A704" s="716"/>
      <c r="B704" s="735"/>
      <c r="C704" s="789"/>
      <c r="D704" s="719"/>
      <c r="E704" s="719"/>
      <c r="F704" s="720"/>
      <c r="G704" s="721">
        <v>26.5</v>
      </c>
      <c r="H704" s="719"/>
      <c r="I704" s="726"/>
      <c r="J704" s="727"/>
      <c r="K704" s="719"/>
      <c r="L704" s="719"/>
      <c r="M704" s="719"/>
      <c r="N704" s="726"/>
      <c r="O704" s="726"/>
      <c r="P704" s="726"/>
      <c r="Q704" s="719"/>
      <c r="R704" s="719"/>
      <c r="S704" s="719">
        <f t="shared" si="171"/>
        <v>25.299999999995634</v>
      </c>
      <c r="T704" s="719"/>
      <c r="U704" s="719"/>
      <c r="V704" s="719"/>
      <c r="W704" s="719"/>
      <c r="X704" s="719"/>
      <c r="Y704" s="719"/>
      <c r="Z704" s="719"/>
      <c r="AA704" s="719"/>
      <c r="AB704" s="719"/>
      <c r="AC704" s="719"/>
      <c r="AD704" s="719"/>
      <c r="AE704" s="719"/>
      <c r="AF704" s="719"/>
      <c r="AG704" s="789"/>
      <c r="AH704" s="719"/>
      <c r="AI704" s="719"/>
      <c r="AJ704" s="719"/>
      <c r="AK704" s="719"/>
      <c r="AL704" s="719"/>
      <c r="AM704" s="719"/>
      <c r="AN704" s="719"/>
      <c r="AO704" s="719"/>
      <c r="AP704" s="719"/>
      <c r="AQ704" s="724">
        <f>+FL_2($T$705,$T$703,$G$704,1200,9.28, 1*$F$705)</f>
        <v>-0.36788416666666662</v>
      </c>
      <c r="AR704" s="724"/>
      <c r="AS704" s="724"/>
      <c r="AT704" s="724"/>
      <c r="AU704" s="724"/>
      <c r="AV704" s="724"/>
      <c r="AW704" s="719"/>
      <c r="AX704" s="719"/>
      <c r="AY704" s="719"/>
      <c r="AZ704" s="532"/>
    </row>
    <row r="705" spans="1:52" ht="15.75" customHeight="1">
      <c r="A705" s="716"/>
      <c r="B705" s="741" t="s">
        <v>2045</v>
      </c>
      <c r="C705" s="789">
        <f>+$C$703+$G$704</f>
        <v>47645.5</v>
      </c>
      <c r="D705" s="719"/>
      <c r="E705" s="719"/>
      <c r="F705" s="720">
        <v>0</v>
      </c>
      <c r="G705" s="721"/>
      <c r="H705" s="719" t="s">
        <v>143</v>
      </c>
      <c r="I705" s="726"/>
      <c r="J705" s="727"/>
      <c r="K705" s="719"/>
      <c r="L705" s="732" t="s">
        <v>465</v>
      </c>
      <c r="M705" s="719"/>
      <c r="N705" s="726" t="s">
        <v>695</v>
      </c>
      <c r="O705" s="726" t="s">
        <v>696</v>
      </c>
      <c r="P705" s="726"/>
      <c r="Q705" s="719">
        <v>0</v>
      </c>
      <c r="R705" s="719">
        <v>0</v>
      </c>
      <c r="S705" s="719">
        <f>AG706-AG705</f>
        <v>1.5</v>
      </c>
      <c r="T705" s="719">
        <v>-30</v>
      </c>
      <c r="U705" s="719">
        <v>-15</v>
      </c>
      <c r="V705" s="719"/>
      <c r="W705" s="719">
        <v>1.8</v>
      </c>
      <c r="X705" s="719">
        <v>1.4</v>
      </c>
      <c r="Y705" s="719"/>
      <c r="Z705" s="719"/>
      <c r="AA705" s="719"/>
      <c r="AB705" s="719"/>
      <c r="AC705" s="719" t="s">
        <v>3012</v>
      </c>
      <c r="AD705" s="719" t="s">
        <v>3024</v>
      </c>
      <c r="AE705" s="719"/>
      <c r="AF705" s="719">
        <v>200</v>
      </c>
      <c r="AG705" s="789">
        <v>47645.27</v>
      </c>
      <c r="AH705" s="719">
        <v>2748</v>
      </c>
      <c r="AI705" s="719">
        <v>-5027</v>
      </c>
      <c r="AJ705" s="719"/>
      <c r="AK705" s="719"/>
      <c r="AL705" s="719"/>
      <c r="AM705" s="719" t="s">
        <v>2609</v>
      </c>
      <c r="AN705" s="719">
        <v>5.25</v>
      </c>
      <c r="AO705" s="719"/>
      <c r="AP705" s="719"/>
      <c r="AQ705" s="724"/>
      <c r="AR705" s="724"/>
      <c r="AS705" s="724"/>
      <c r="AT705" s="724">
        <f>+ab($T$705,$T$703,$U$707,$G$704,$G$706, 1*$F$705,1200)</f>
        <v>-16.969383846992592</v>
      </c>
      <c r="AU705" s="724"/>
      <c r="AV705" s="724"/>
      <c r="AW705" s="719"/>
      <c r="AX705" s="719"/>
      <c r="AY705" s="719"/>
      <c r="AZ705" s="532"/>
    </row>
    <row r="706" spans="1:52" ht="15.75" hidden="1" customHeight="1">
      <c r="A706" s="716"/>
      <c r="B706" s="735"/>
      <c r="C706" s="789"/>
      <c r="D706" s="719"/>
      <c r="E706" s="719"/>
      <c r="F706" s="720"/>
      <c r="G706" s="721">
        <v>41</v>
      </c>
      <c r="H706" s="726"/>
      <c r="I706" s="726"/>
      <c r="J706" s="727"/>
      <c r="K706" s="719"/>
      <c r="L706" s="719"/>
      <c r="M706" s="719"/>
      <c r="N706" s="726"/>
      <c r="O706" s="726"/>
      <c r="P706" s="726"/>
      <c r="Q706" s="719">
        <v>0</v>
      </c>
      <c r="R706" s="719">
        <v>0</v>
      </c>
      <c r="S706" s="719">
        <f t="shared" si="171"/>
        <v>39.210000000006403</v>
      </c>
      <c r="T706" s="719"/>
      <c r="U706" s="719"/>
      <c r="V706" s="719"/>
      <c r="W706" s="719"/>
      <c r="X706" s="719"/>
      <c r="Y706" s="719"/>
      <c r="Z706" s="719"/>
      <c r="AA706" s="719"/>
      <c r="AB706" s="719"/>
      <c r="AC706" s="719"/>
      <c r="AD706" s="719"/>
      <c r="AE706" s="719"/>
      <c r="AF706" s="719">
        <v>200</v>
      </c>
      <c r="AG706" s="789">
        <v>47646.77</v>
      </c>
      <c r="AH706" s="719">
        <v>2663</v>
      </c>
      <c r="AI706" s="719">
        <v>-5037</v>
      </c>
      <c r="AJ706" s="719"/>
      <c r="AK706" s="719"/>
      <c r="AL706" s="719"/>
      <c r="AM706" s="719"/>
      <c r="AN706" s="719"/>
      <c r="AO706" s="719"/>
      <c r="AP706" s="719"/>
      <c r="AQ706" s="724">
        <f>+FL_2($U$707,$T$705,$G$706,1200,9.28, 1*$F$707)</f>
        <v>-0.31538287710569102</v>
      </c>
      <c r="AR706" s="724"/>
      <c r="AS706" s="724"/>
      <c r="AT706" s="724"/>
      <c r="AU706" s="724"/>
      <c r="AV706" s="724"/>
      <c r="AW706" s="719"/>
      <c r="AX706" s="719"/>
      <c r="AY706" s="719"/>
      <c r="AZ706" s="532"/>
    </row>
    <row r="707" spans="1:52" ht="15.75" customHeight="1">
      <c r="A707" s="716"/>
      <c r="B707" s="741" t="s">
        <v>2010</v>
      </c>
      <c r="C707" s="789">
        <f>+$C$705+$G$706</f>
        <v>47686.5</v>
      </c>
      <c r="D707" s="719"/>
      <c r="E707" s="719"/>
      <c r="F707" s="720">
        <v>0</v>
      </c>
      <c r="G707" s="721"/>
      <c r="H707" s="719" t="s">
        <v>2706</v>
      </c>
      <c r="I707" s="726"/>
      <c r="J707" s="727"/>
      <c r="K707" s="719"/>
      <c r="L707" s="719" t="s">
        <v>465</v>
      </c>
      <c r="M707" s="719"/>
      <c r="N707" s="726" t="s">
        <v>695</v>
      </c>
      <c r="O707" s="726" t="s">
        <v>696</v>
      </c>
      <c r="P707" s="726"/>
      <c r="Q707" s="719">
        <v>0</v>
      </c>
      <c r="R707" s="719">
        <v>0</v>
      </c>
      <c r="S707" s="719">
        <f>AG708-AG707</f>
        <v>1.5</v>
      </c>
      <c r="T707" s="719">
        <v>0</v>
      </c>
      <c r="U707" s="719">
        <v>15</v>
      </c>
      <c r="V707" s="719"/>
      <c r="W707" s="719">
        <v>1.6</v>
      </c>
      <c r="X707" s="719">
        <v>1.4</v>
      </c>
      <c r="Y707" s="719"/>
      <c r="Z707" s="719"/>
      <c r="AA707" s="719"/>
      <c r="AB707" s="719"/>
      <c r="AC707" s="719" t="s">
        <v>3024</v>
      </c>
      <c r="AD707" s="719" t="s">
        <v>3026</v>
      </c>
      <c r="AE707" s="719"/>
      <c r="AF707" s="719">
        <v>200</v>
      </c>
      <c r="AG707" s="789">
        <v>47684.480000000003</v>
      </c>
      <c r="AH707" s="719">
        <v>2208</v>
      </c>
      <c r="AI707" s="719">
        <v>-5007</v>
      </c>
      <c r="AJ707" s="719"/>
      <c r="AK707" s="719"/>
      <c r="AL707" s="719"/>
      <c r="AM707" s="719" t="s">
        <v>2609</v>
      </c>
      <c r="AN707" s="719">
        <v>5.25</v>
      </c>
      <c r="AO707" s="719"/>
      <c r="AP707" s="719"/>
      <c r="AQ707" s="724"/>
      <c r="AR707" s="724"/>
      <c r="AS707" s="724"/>
      <c r="AT707" s="724">
        <f>+ab($U$707,$T$705,$T$709,$G$706,$G$708, 1*$F$707,1200)</f>
        <v>6.9083175739939477</v>
      </c>
      <c r="AU707" s="724"/>
      <c r="AV707" s="724"/>
      <c r="AW707" s="719"/>
      <c r="AX707" s="719"/>
      <c r="AY707" s="719"/>
      <c r="AZ707" s="532"/>
    </row>
    <row r="708" spans="1:52" ht="15.75" customHeight="1">
      <c r="A708" s="716"/>
      <c r="B708" s="735"/>
      <c r="C708" s="789"/>
      <c r="D708" s="719"/>
      <c r="E708" s="719"/>
      <c r="F708" s="720"/>
      <c r="G708" s="721">
        <v>27</v>
      </c>
      <c r="H708" s="719" t="s">
        <v>1101</v>
      </c>
      <c r="I708" s="726">
        <f>+SUM(G694:G708)</f>
        <v>306.5</v>
      </c>
      <c r="J708" s="727">
        <f>C707+1</f>
        <v>47687.5</v>
      </c>
      <c r="K708" s="719" t="s">
        <v>1102</v>
      </c>
      <c r="L708" s="719"/>
      <c r="M708" s="719"/>
      <c r="N708" s="726"/>
      <c r="O708" s="719"/>
      <c r="P708" s="726"/>
      <c r="Q708" s="719">
        <v>0</v>
      </c>
      <c r="R708" s="719">
        <v>0</v>
      </c>
      <c r="S708" s="719">
        <f>AG709-AG708</f>
        <v>27.359999999993306</v>
      </c>
      <c r="T708" s="719"/>
      <c r="U708" s="719"/>
      <c r="V708" s="719"/>
      <c r="W708" s="719"/>
      <c r="X708" s="719"/>
      <c r="Y708" s="719"/>
      <c r="Z708" s="719"/>
      <c r="AA708" s="719"/>
      <c r="AB708" s="719"/>
      <c r="AC708" s="719"/>
      <c r="AD708" s="719"/>
      <c r="AE708" s="719"/>
      <c r="AF708" s="719">
        <v>200</v>
      </c>
      <c r="AG708" s="789">
        <v>47685.98</v>
      </c>
      <c r="AH708" s="719">
        <v>2190</v>
      </c>
      <c r="AI708" s="719">
        <v>-5013</v>
      </c>
      <c r="AJ708" s="719"/>
      <c r="AK708" s="719"/>
      <c r="AL708" s="719"/>
      <c r="AM708" s="719"/>
      <c r="AN708" s="719"/>
      <c r="AO708" s="719"/>
      <c r="AP708" s="719"/>
      <c r="AQ708" s="724">
        <f>+FL_2($T$709,$U$707,$G$708,1200,9.28, 1*$F$709)</f>
        <v>-0.3</v>
      </c>
      <c r="AR708" s="724"/>
      <c r="AS708" s="724"/>
      <c r="AT708" s="724"/>
      <c r="AU708" s="724"/>
      <c r="AV708" s="724"/>
      <c r="AW708" s="719"/>
      <c r="AX708" s="719"/>
      <c r="AY708" s="719"/>
      <c r="AZ708" s="532"/>
    </row>
    <row r="709" spans="1:52" ht="15.75" customHeight="1">
      <c r="A709" s="716"/>
      <c r="B709" s="741" t="s">
        <v>2011</v>
      </c>
      <c r="C709" s="789">
        <f>+$C$707+$G$708</f>
        <v>47713.5</v>
      </c>
      <c r="D709" s="719"/>
      <c r="E709" s="719"/>
      <c r="F709" s="720">
        <v>0</v>
      </c>
      <c r="G709" s="721"/>
      <c r="H709" s="719" t="s">
        <v>997</v>
      </c>
      <c r="I709" s="726"/>
      <c r="J709" s="727"/>
      <c r="K709" s="719"/>
      <c r="L709" s="719" t="s">
        <v>241</v>
      </c>
      <c r="M709" s="719"/>
      <c r="N709" s="726" t="s">
        <v>695</v>
      </c>
      <c r="O709" s="719"/>
      <c r="P709" s="726"/>
      <c r="Q709" s="719">
        <v>0</v>
      </c>
      <c r="R709" s="719">
        <v>0</v>
      </c>
      <c r="S709" s="719"/>
      <c r="T709" s="719">
        <v>-30</v>
      </c>
      <c r="U709" s="719"/>
      <c r="V709" s="719"/>
      <c r="W709" s="719">
        <v>1.4</v>
      </c>
      <c r="X709" s="719"/>
      <c r="Y709" s="719"/>
      <c r="Z709" s="719"/>
      <c r="AA709" s="719"/>
      <c r="AB709" s="719"/>
      <c r="AC709" s="719" t="s">
        <v>2979</v>
      </c>
      <c r="AD709" s="719"/>
      <c r="AE709" s="719"/>
      <c r="AF709" s="719">
        <v>200</v>
      </c>
      <c r="AG709" s="789">
        <v>47713.34</v>
      </c>
      <c r="AH709" s="719">
        <v>2210</v>
      </c>
      <c r="AI709" s="719">
        <v>-4918</v>
      </c>
      <c r="AJ709" s="719"/>
      <c r="AK709" s="719"/>
      <c r="AL709" s="719"/>
      <c r="AM709" s="719" t="s">
        <v>2609</v>
      </c>
      <c r="AN709" s="719">
        <v>5.25</v>
      </c>
      <c r="AO709" s="719"/>
      <c r="AP709" s="719"/>
      <c r="AQ709" s="724"/>
      <c r="AR709" s="724"/>
      <c r="AS709" s="724"/>
      <c r="AT709" s="724">
        <f>+ab($T$709,$U$707,$T$711,$G$708,$G$710, 1*$F$709,1200)</f>
        <v>-4.9736602308868818</v>
      </c>
      <c r="AU709" s="724"/>
      <c r="AV709" s="724"/>
      <c r="AW709" s="719"/>
      <c r="AX709" s="719"/>
      <c r="AY709" s="719"/>
      <c r="AZ709" s="532"/>
    </row>
    <row r="710" spans="1:52" ht="15.75" customHeight="1">
      <c r="A710" s="716" t="s">
        <v>3163</v>
      </c>
      <c r="B710" s="735"/>
      <c r="C710" s="789"/>
      <c r="D710" s="719"/>
      <c r="E710" s="719"/>
      <c r="F710" s="720"/>
      <c r="G710" s="721">
        <v>27.5</v>
      </c>
      <c r="H710" s="719" t="s">
        <v>1101</v>
      </c>
      <c r="I710" s="722">
        <f>SUM(G710:G730)</f>
        <v>394.5</v>
      </c>
      <c r="J710" s="727">
        <f>C711-1</f>
        <v>47740</v>
      </c>
      <c r="K710" s="719" t="s">
        <v>1102</v>
      </c>
      <c r="L710" s="719"/>
      <c r="M710" s="719"/>
      <c r="N710" s="726"/>
      <c r="O710" s="719"/>
      <c r="P710" s="726"/>
      <c r="Q710" s="719"/>
      <c r="R710" s="719"/>
      <c r="S710" s="719">
        <f t="shared" si="171"/>
        <v>27.120000000002619</v>
      </c>
      <c r="T710" s="719"/>
      <c r="U710" s="719"/>
      <c r="V710" s="719"/>
      <c r="W710" s="719"/>
      <c r="X710" s="719"/>
      <c r="Y710" s="719"/>
      <c r="Z710" s="719"/>
      <c r="AA710" s="719"/>
      <c r="AB710" s="719"/>
      <c r="AC710" s="719"/>
      <c r="AD710" s="719"/>
      <c r="AE710" s="719"/>
      <c r="AF710" s="719"/>
      <c r="AG710" s="789"/>
      <c r="AH710" s="719"/>
      <c r="AI710" s="719"/>
      <c r="AJ710" s="719" t="s">
        <v>2665</v>
      </c>
      <c r="AK710" s="719"/>
      <c r="AL710" s="719"/>
      <c r="AM710" s="719"/>
      <c r="AN710" s="719"/>
      <c r="AO710" s="719"/>
      <c r="AP710" s="719"/>
      <c r="AQ710" s="724">
        <f>+FL_2($T$711,$T$709,$G$710,1200,9.28, 1*$F$711)</f>
        <v>-0.30000000000001675</v>
      </c>
      <c r="AR710" s="724"/>
      <c r="AS710" s="724"/>
      <c r="AT710" s="724"/>
      <c r="AU710" s="724"/>
      <c r="AV710" s="724"/>
      <c r="AW710" s="719"/>
      <c r="AX710" s="719"/>
      <c r="AY710" s="719"/>
      <c r="AZ710" s="532"/>
    </row>
    <row r="711" spans="1:52" ht="15.75" customHeight="1">
      <c r="A711" s="716"/>
      <c r="B711" s="741" t="s">
        <v>2012</v>
      </c>
      <c r="C711" s="789">
        <f>+$C$709+$G$710</f>
        <v>47741</v>
      </c>
      <c r="D711" s="719"/>
      <c r="E711" s="719"/>
      <c r="F711" s="720">
        <v>0</v>
      </c>
      <c r="G711" s="721"/>
      <c r="H711" s="719" t="s">
        <v>143</v>
      </c>
      <c r="I711" s="726"/>
      <c r="J711" s="727"/>
      <c r="K711" s="719"/>
      <c r="L711" s="719" t="s">
        <v>465</v>
      </c>
      <c r="M711" s="719"/>
      <c r="N711" s="726" t="s">
        <v>696</v>
      </c>
      <c r="O711" s="726" t="s">
        <v>695</v>
      </c>
      <c r="P711" s="726"/>
      <c r="Q711" s="719">
        <v>0</v>
      </c>
      <c r="R711" s="719">
        <v>0</v>
      </c>
      <c r="S711" s="719">
        <f>AG712-AG711</f>
        <v>1.5299999999988358</v>
      </c>
      <c r="T711" s="719">
        <v>30</v>
      </c>
      <c r="U711" s="719">
        <v>15</v>
      </c>
      <c r="V711" s="719"/>
      <c r="W711" s="719">
        <v>1.4</v>
      </c>
      <c r="X711" s="719">
        <v>1.8</v>
      </c>
      <c r="Y711" s="719"/>
      <c r="Z711" s="719"/>
      <c r="AA711" s="719"/>
      <c r="AB711" s="719"/>
      <c r="AC711" s="719" t="s">
        <v>2623</v>
      </c>
      <c r="AD711" s="719" t="s">
        <v>3024</v>
      </c>
      <c r="AE711" s="719"/>
      <c r="AF711" s="719">
        <v>200</v>
      </c>
      <c r="AG711" s="789">
        <v>47740.46</v>
      </c>
      <c r="AH711" s="719">
        <v>2273</v>
      </c>
      <c r="AI711" s="719">
        <v>-4896</v>
      </c>
      <c r="AJ711" s="719"/>
      <c r="AK711" s="719"/>
      <c r="AL711" s="719"/>
      <c r="AM711" s="719" t="s">
        <v>2609</v>
      </c>
      <c r="AN711" s="719">
        <v>5.25</v>
      </c>
      <c r="AO711" s="719"/>
      <c r="AP711" s="719"/>
      <c r="AQ711" s="724"/>
      <c r="AR711" s="724"/>
      <c r="AS711" s="724"/>
      <c r="AT711" s="724">
        <f>+ab($T$711,$T$709,$T$713,$G$710,$G$712, 1*$F$711,1200)</f>
        <v>9.2625890076965209</v>
      </c>
      <c r="AU711" s="724"/>
      <c r="AV711" s="724"/>
      <c r="AW711" s="719"/>
      <c r="AX711" s="719"/>
      <c r="AY711" s="719"/>
      <c r="AZ711" s="532"/>
    </row>
    <row r="712" spans="1:52" ht="15.75" hidden="1" customHeight="1">
      <c r="A712" s="716"/>
      <c r="B712" s="735"/>
      <c r="C712" s="789"/>
      <c r="D712" s="719"/>
      <c r="E712" s="719"/>
      <c r="F712" s="720"/>
      <c r="G712" s="721">
        <v>39</v>
      </c>
      <c r="H712" s="719"/>
      <c r="I712" s="726"/>
      <c r="J712" s="727"/>
      <c r="K712" s="719"/>
      <c r="L712" s="719"/>
      <c r="M712" s="719"/>
      <c r="N712" s="726"/>
      <c r="O712" s="726"/>
      <c r="P712" s="726"/>
      <c r="Q712" s="719">
        <v>0</v>
      </c>
      <c r="R712" s="719">
        <v>0</v>
      </c>
      <c r="S712" s="719">
        <f>AG713-AG712</f>
        <v>36.42000000000553</v>
      </c>
      <c r="T712" s="719"/>
      <c r="U712" s="719"/>
      <c r="V712" s="719"/>
      <c r="W712" s="719"/>
      <c r="X712" s="719"/>
      <c r="Y712" s="719"/>
      <c r="Z712" s="719"/>
      <c r="AA712" s="719"/>
      <c r="AB712" s="719"/>
      <c r="AC712" s="719"/>
      <c r="AD712" s="719"/>
      <c r="AE712" s="719"/>
      <c r="AF712" s="719">
        <v>200</v>
      </c>
      <c r="AG712" s="789">
        <v>47741.99</v>
      </c>
      <c r="AH712" s="719">
        <v>2241</v>
      </c>
      <c r="AI712" s="719">
        <v>-4898</v>
      </c>
      <c r="AJ712" s="719"/>
      <c r="AK712" s="719"/>
      <c r="AL712" s="719"/>
      <c r="AM712" s="719"/>
      <c r="AN712" s="719"/>
      <c r="AO712" s="719"/>
      <c r="AP712" s="719"/>
      <c r="AQ712" s="724">
        <f>+FL_1($T$713,$T$711,$G$712,1200,9.28, 1*$F$713)</f>
        <v>0.47309270646153839</v>
      </c>
      <c r="AR712" s="724"/>
      <c r="AS712" s="724"/>
      <c r="AT712" s="724"/>
      <c r="AU712" s="724"/>
      <c r="AV712" s="724"/>
      <c r="AW712" s="719"/>
      <c r="AX712" s="719"/>
      <c r="AY712" s="719"/>
      <c r="AZ712" s="532"/>
    </row>
    <row r="713" spans="1:52" ht="15.75" hidden="1" customHeight="1">
      <c r="A713" s="716"/>
      <c r="B713" s="741" t="s">
        <v>2013</v>
      </c>
      <c r="C713" s="789">
        <f>+$C$711+$G$712</f>
        <v>47780</v>
      </c>
      <c r="D713" s="719"/>
      <c r="E713" s="719"/>
      <c r="F713" s="720">
        <v>0</v>
      </c>
      <c r="G713" s="721"/>
      <c r="H713" s="719" t="s">
        <v>2664</v>
      </c>
      <c r="I713" s="726" t="s">
        <v>2827</v>
      </c>
      <c r="J713" s="727">
        <f>C713+10</f>
        <v>47790</v>
      </c>
      <c r="K713" s="719" t="s">
        <v>2587</v>
      </c>
      <c r="L713" s="719" t="s">
        <v>465</v>
      </c>
      <c r="M713" s="719"/>
      <c r="N713" s="726" t="s">
        <v>696</v>
      </c>
      <c r="O713" s="726" t="s">
        <v>697</v>
      </c>
      <c r="P713" s="726"/>
      <c r="Q713" s="719">
        <v>0</v>
      </c>
      <c r="R713" s="719">
        <v>-14038.36</v>
      </c>
      <c r="S713" s="719">
        <f>AG714-AG713</f>
        <v>1.569999999999709</v>
      </c>
      <c r="T713" s="719">
        <v>35</v>
      </c>
      <c r="U713" s="719">
        <v>20</v>
      </c>
      <c r="V713" s="719"/>
      <c r="W713" s="719">
        <v>1.4</v>
      </c>
      <c r="X713" s="719">
        <v>1.8</v>
      </c>
      <c r="Y713" s="719"/>
      <c r="Z713" s="719"/>
      <c r="AA713" s="724">
        <v>0.45</v>
      </c>
      <c r="AB713" s="719"/>
      <c r="AC713" s="719" t="s">
        <v>2616</v>
      </c>
      <c r="AD713" s="719"/>
      <c r="AE713" s="719"/>
      <c r="AF713" s="719">
        <v>200</v>
      </c>
      <c r="AG713" s="789">
        <v>47778.41</v>
      </c>
      <c r="AH713" s="719">
        <v>2268</v>
      </c>
      <c r="AI713" s="719">
        <v>-5022</v>
      </c>
      <c r="AJ713" s="719"/>
      <c r="AK713" s="719"/>
      <c r="AL713" s="719"/>
      <c r="AM713" s="719" t="s">
        <v>2609</v>
      </c>
      <c r="AN713" s="719">
        <v>5.25</v>
      </c>
      <c r="AO713" s="719"/>
      <c r="AP713" s="719"/>
      <c r="AQ713" s="724"/>
      <c r="AR713" s="724"/>
      <c r="AS713" s="724"/>
      <c r="AT713" s="724">
        <f>+ab($T$713,$T$711,$U$715,$G$712,$G$714, 1*$F$713,1200)</f>
        <v>31.981003158088445</v>
      </c>
      <c r="AU713" s="724"/>
      <c r="AV713" s="724"/>
      <c r="AW713" s="719"/>
      <c r="AX713" s="719"/>
      <c r="AY713" s="719"/>
      <c r="AZ713" s="532"/>
    </row>
    <row r="714" spans="1:52" ht="15.75" hidden="1" customHeight="1">
      <c r="A714" s="716"/>
      <c r="B714" s="735"/>
      <c r="C714" s="789"/>
      <c r="D714" s="719"/>
      <c r="E714" s="719"/>
      <c r="F714" s="720"/>
      <c r="G714" s="721">
        <v>49</v>
      </c>
      <c r="H714" s="719"/>
      <c r="I714" s="726"/>
      <c r="J714" s="727"/>
      <c r="K714" s="719"/>
      <c r="L714" s="719"/>
      <c r="M714" s="719"/>
      <c r="N714" s="726"/>
      <c r="O714" s="726"/>
      <c r="P714" s="726"/>
      <c r="Q714" s="719">
        <v>0</v>
      </c>
      <c r="R714" s="719">
        <v>-8099.34</v>
      </c>
      <c r="S714" s="719">
        <f t="shared" ref="S714:S718" si="172">AG715-AG714</f>
        <v>47.439999999995052</v>
      </c>
      <c r="T714" s="719"/>
      <c r="U714" s="719"/>
      <c r="V714" s="719"/>
      <c r="W714" s="719"/>
      <c r="X714" s="719"/>
      <c r="Y714" s="719"/>
      <c r="Z714" s="719"/>
      <c r="AA714" s="719"/>
      <c r="AB714" s="719"/>
      <c r="AC714" s="719"/>
      <c r="AD714" s="719"/>
      <c r="AE714" s="719"/>
      <c r="AF714" s="719">
        <v>200</v>
      </c>
      <c r="AG714" s="789">
        <v>47779.98</v>
      </c>
      <c r="AH714" s="719">
        <v>2265</v>
      </c>
      <c r="AI714" s="719">
        <v>-5032</v>
      </c>
      <c r="AJ714" s="719"/>
      <c r="AK714" s="719"/>
      <c r="AL714" s="719"/>
      <c r="AM714" s="719"/>
      <c r="AN714" s="719"/>
      <c r="AO714" s="719"/>
      <c r="AP714" s="719"/>
      <c r="AQ714" s="724">
        <f>+FL_1($U$715,$T$713,$G$714,1200,9.28, 1*$F$715)</f>
        <v>0.35003284255788275</v>
      </c>
      <c r="AR714" s="724"/>
      <c r="AS714" s="724"/>
      <c r="AT714" s="724"/>
      <c r="AU714" s="724"/>
      <c r="AV714" s="724"/>
      <c r="AW714" s="719"/>
      <c r="AX714" s="719"/>
      <c r="AY714" s="719"/>
      <c r="AZ714" s="532"/>
    </row>
    <row r="715" spans="1:52" ht="15.75" hidden="1" customHeight="1">
      <c r="A715" s="716"/>
      <c r="B715" s="741" t="s">
        <v>2014</v>
      </c>
      <c r="C715" s="789">
        <f>+$C$713+$G$714</f>
        <v>47829</v>
      </c>
      <c r="D715" s="719"/>
      <c r="E715" s="719"/>
      <c r="F715" s="720">
        <v>1660</v>
      </c>
      <c r="G715" s="721"/>
      <c r="H715" s="719" t="s">
        <v>2664</v>
      </c>
      <c r="I715" s="726" t="s">
        <v>2827</v>
      </c>
      <c r="J715" s="727">
        <f>C715-10</f>
        <v>47819</v>
      </c>
      <c r="K715" s="719" t="s">
        <v>2587</v>
      </c>
      <c r="L715" s="719" t="s">
        <v>465</v>
      </c>
      <c r="M715" s="719"/>
      <c r="N715" s="726" t="s">
        <v>697</v>
      </c>
      <c r="O715" s="726" t="s">
        <v>696</v>
      </c>
      <c r="P715" s="726"/>
      <c r="Q715" s="719">
        <v>-16</v>
      </c>
      <c r="R715" s="719">
        <v>-1930.37</v>
      </c>
      <c r="S715" s="719">
        <f t="shared" si="172"/>
        <v>1.5400000000008731</v>
      </c>
      <c r="T715" s="719">
        <v>0</v>
      </c>
      <c r="U715" s="719">
        <v>15</v>
      </c>
      <c r="V715" s="719"/>
      <c r="W715" s="719">
        <v>1.8</v>
      </c>
      <c r="X715" s="719">
        <v>1.4</v>
      </c>
      <c r="Y715" s="719"/>
      <c r="Z715" s="724">
        <v>0.5</v>
      </c>
      <c r="AA715" s="724"/>
      <c r="AB715" s="719"/>
      <c r="AC715" s="719"/>
      <c r="AD715" s="719" t="s">
        <v>3012</v>
      </c>
      <c r="AE715" s="719"/>
      <c r="AF715" s="719">
        <v>500</v>
      </c>
      <c r="AG715" s="789">
        <v>47827.42</v>
      </c>
      <c r="AH715" s="719">
        <v>2228</v>
      </c>
      <c r="AI715" s="719">
        <v>-4582</v>
      </c>
      <c r="AJ715" s="719"/>
      <c r="AK715" s="719"/>
      <c r="AL715" s="719"/>
      <c r="AM715" s="719" t="s">
        <v>2609</v>
      </c>
      <c r="AN715" s="719">
        <v>5.25</v>
      </c>
      <c r="AO715" s="719"/>
      <c r="AP715" s="719"/>
      <c r="AQ715" s="724"/>
      <c r="AR715" s="724"/>
      <c r="AS715" s="724"/>
      <c r="AT715" s="724">
        <f>+ab($U$715,$T$713,$U$717,$G$714,$G$716, 1*$F$715,1200)</f>
        <v>7.8102470864265063</v>
      </c>
      <c r="AU715" s="724"/>
      <c r="AV715" s="724"/>
      <c r="AW715" s="719"/>
      <c r="AX715" s="719"/>
      <c r="AY715" s="719"/>
      <c r="AZ715" s="532"/>
    </row>
    <row r="716" spans="1:52" ht="15.75" hidden="1" customHeight="1">
      <c r="A716" s="716"/>
      <c r="B716" s="735"/>
      <c r="C716" s="789"/>
      <c r="D716" s="719"/>
      <c r="E716" s="719"/>
      <c r="F716" s="720"/>
      <c r="G716" s="721">
        <v>52</v>
      </c>
      <c r="H716" s="719"/>
      <c r="I716" s="726"/>
      <c r="J716" s="727"/>
      <c r="K716" s="719"/>
      <c r="L716" s="719"/>
      <c r="M716" s="719"/>
      <c r="N716" s="726"/>
      <c r="O716" s="726"/>
      <c r="P716" s="726"/>
      <c r="Q716" s="719">
        <v>-15</v>
      </c>
      <c r="R716" s="719">
        <v>-2143.31</v>
      </c>
      <c r="S716" s="719">
        <f t="shared" si="172"/>
        <v>51.139999999999418</v>
      </c>
      <c r="T716" s="719"/>
      <c r="U716" s="719"/>
      <c r="V716" s="719"/>
      <c r="W716" s="719"/>
      <c r="X716" s="719"/>
      <c r="Y716" s="719"/>
      <c r="Z716" s="724"/>
      <c r="AA716" s="724"/>
      <c r="AB716" s="719"/>
      <c r="AC716" s="719"/>
      <c r="AD716" s="719"/>
      <c r="AE716" s="719"/>
      <c r="AF716" s="719">
        <v>500</v>
      </c>
      <c r="AG716" s="789">
        <v>47828.959999999999</v>
      </c>
      <c r="AH716" s="719">
        <v>2234</v>
      </c>
      <c r="AI716" s="719">
        <v>-4549</v>
      </c>
      <c r="AJ716" s="719"/>
      <c r="AK716" s="719"/>
      <c r="AL716" s="719"/>
      <c r="AM716" s="719"/>
      <c r="AN716" s="719"/>
      <c r="AO716" s="719"/>
      <c r="AP716" s="719"/>
      <c r="AQ716" s="724">
        <f>+FL_1($U$717,$U$715,$G$716,1200,9.28, 1*$F$717)</f>
        <v>0.46377775620512818</v>
      </c>
      <c r="AR716" s="724"/>
      <c r="AS716" s="724"/>
      <c r="AT716" s="724"/>
      <c r="AU716" s="724"/>
      <c r="AV716" s="724"/>
      <c r="AW716" s="719"/>
      <c r="AX716" s="719"/>
      <c r="AY716" s="719"/>
      <c r="AZ716" s="532"/>
    </row>
    <row r="717" spans="1:52" ht="15.75" customHeight="1">
      <c r="A717" s="716"/>
      <c r="B717" s="741" t="s">
        <v>2015</v>
      </c>
      <c r="C717" s="789">
        <f>+$C$715+$G$716</f>
        <v>47881</v>
      </c>
      <c r="D717" s="719"/>
      <c r="E717" s="719"/>
      <c r="F717" s="720">
        <v>0</v>
      </c>
      <c r="G717" s="721"/>
      <c r="H717" s="726" t="s">
        <v>143</v>
      </c>
      <c r="I717" s="726"/>
      <c r="J717" s="727"/>
      <c r="K717" s="719"/>
      <c r="L717" s="719" t="s">
        <v>465</v>
      </c>
      <c r="M717" s="719"/>
      <c r="N717" s="726" t="s">
        <v>695</v>
      </c>
      <c r="O717" s="726" t="s">
        <v>696</v>
      </c>
      <c r="P717" s="726"/>
      <c r="Q717" s="719">
        <v>0</v>
      </c>
      <c r="R717" s="719">
        <v>0</v>
      </c>
      <c r="S717" s="719">
        <f t="shared" si="172"/>
        <v>1.5400000000008731</v>
      </c>
      <c r="T717" s="719">
        <v>10</v>
      </c>
      <c r="U717" s="719">
        <v>25</v>
      </c>
      <c r="V717" s="719"/>
      <c r="W717" s="719">
        <v>1.8</v>
      </c>
      <c r="X717" s="719">
        <v>1.4</v>
      </c>
      <c r="Y717" s="719"/>
      <c r="Z717" s="724"/>
      <c r="AA717" s="724"/>
      <c r="AB717" s="719"/>
      <c r="AC717" s="719" t="s">
        <v>3024</v>
      </c>
      <c r="AD717" s="719" t="s">
        <v>2623</v>
      </c>
      <c r="AE717" s="719"/>
      <c r="AF717" s="719">
        <v>200</v>
      </c>
      <c r="AG717" s="789">
        <v>47880.1</v>
      </c>
      <c r="AH717" s="719">
        <v>2067</v>
      </c>
      <c r="AI717" s="719">
        <v>-5086</v>
      </c>
      <c r="AJ717" s="719"/>
      <c r="AK717" s="719"/>
      <c r="AL717" s="719"/>
      <c r="AM717" s="719" t="s">
        <v>2609</v>
      </c>
      <c r="AN717" s="719">
        <v>5.25</v>
      </c>
      <c r="AO717" s="719"/>
      <c r="AP717" s="719"/>
      <c r="AQ717" s="724"/>
      <c r="AR717" s="724"/>
      <c r="AS717" s="724"/>
      <c r="AT717" s="724">
        <f>+ab($U$717,$U$715,$T$719,$G$716,$G$718, 1*$F$717,1200)</f>
        <v>12.571499034206258</v>
      </c>
      <c r="AU717" s="724"/>
      <c r="AV717" s="724"/>
      <c r="AW717" s="719"/>
      <c r="AX717" s="719"/>
      <c r="AY717" s="719"/>
      <c r="AZ717" s="532"/>
    </row>
    <row r="718" spans="1:52" ht="15.75" hidden="1" customHeight="1">
      <c r="A718" s="716"/>
      <c r="B718" s="735"/>
      <c r="C718" s="789"/>
      <c r="D718" s="719"/>
      <c r="E718" s="719"/>
      <c r="F718" s="720"/>
      <c r="G718" s="721">
        <v>42</v>
      </c>
      <c r="H718" s="726"/>
      <c r="I718" s="726"/>
      <c r="J718" s="727"/>
      <c r="K718" s="719"/>
      <c r="L718" s="719"/>
      <c r="M718" s="719"/>
      <c r="N718" s="726"/>
      <c r="O718" s="726"/>
      <c r="P718" s="726"/>
      <c r="Q718" s="719">
        <v>0</v>
      </c>
      <c r="R718" s="719">
        <v>0</v>
      </c>
      <c r="S718" s="719">
        <f t="shared" si="172"/>
        <v>41.370000000002619</v>
      </c>
      <c r="T718" s="719"/>
      <c r="U718" s="719"/>
      <c r="V718" s="719"/>
      <c r="W718" s="719"/>
      <c r="X718" s="719"/>
      <c r="Y718" s="719"/>
      <c r="Z718" s="719"/>
      <c r="AA718" s="719"/>
      <c r="AB718" s="719"/>
      <c r="AC718" s="719"/>
      <c r="AD718" s="719"/>
      <c r="AE718" s="719"/>
      <c r="AF718" s="719">
        <v>200</v>
      </c>
      <c r="AG718" s="789">
        <v>47881.64</v>
      </c>
      <c r="AH718" s="719">
        <v>2061</v>
      </c>
      <c r="AI718" s="719">
        <v>-5111</v>
      </c>
      <c r="AJ718" s="719"/>
      <c r="AK718" s="719"/>
      <c r="AL718" s="719"/>
      <c r="AM718" s="719"/>
      <c r="AN718" s="719"/>
      <c r="AO718" s="719"/>
      <c r="AP718" s="719"/>
      <c r="AQ718" s="724">
        <f>+FL_1($T$719,$U$717,$G$718,1200,9.28, 1*$F$719)</f>
        <v>0.25639408628571431</v>
      </c>
      <c r="AR718" s="724"/>
      <c r="AS718" s="724"/>
      <c r="AT718" s="724"/>
      <c r="AU718" s="724"/>
      <c r="AV718" s="724"/>
      <c r="AW718" s="719"/>
      <c r="AX718" s="719"/>
      <c r="AY718" s="719"/>
      <c r="AZ718" s="532"/>
    </row>
    <row r="719" spans="1:52" ht="15.75" hidden="1" customHeight="1">
      <c r="A719" s="716"/>
      <c r="B719" s="741" t="s">
        <v>2647</v>
      </c>
      <c r="C719" s="789">
        <f>+$C$717+$G$718</f>
        <v>47923</v>
      </c>
      <c r="D719" s="719"/>
      <c r="E719" s="719"/>
      <c r="F719" s="720">
        <v>0</v>
      </c>
      <c r="G719" s="721"/>
      <c r="H719" s="726"/>
      <c r="I719" s="726"/>
      <c r="J719" s="727"/>
      <c r="K719" s="719"/>
      <c r="L719" s="719" t="s">
        <v>241</v>
      </c>
      <c r="M719" s="719"/>
      <c r="N719" s="726" t="s">
        <v>695</v>
      </c>
      <c r="O719" s="726"/>
      <c r="P719" s="726"/>
      <c r="Q719" s="719">
        <v>0</v>
      </c>
      <c r="R719" s="719">
        <v>0</v>
      </c>
      <c r="S719" s="719"/>
      <c r="T719" s="719">
        <v>-30</v>
      </c>
      <c r="U719" s="719"/>
      <c r="V719" s="719"/>
      <c r="W719" s="719">
        <v>1.4</v>
      </c>
      <c r="X719" s="719"/>
      <c r="Y719" s="719"/>
      <c r="Z719" s="719"/>
      <c r="AA719" s="719"/>
      <c r="AB719" s="719"/>
      <c r="AC719" s="719" t="s">
        <v>2616</v>
      </c>
      <c r="AD719" s="719"/>
      <c r="AE719" s="719"/>
      <c r="AF719" s="719">
        <v>200</v>
      </c>
      <c r="AG719" s="789">
        <v>47923.01</v>
      </c>
      <c r="AH719" s="719">
        <v>1499</v>
      </c>
      <c r="AI719" s="719">
        <v>-5289</v>
      </c>
      <c r="AJ719" s="719"/>
      <c r="AK719" s="719"/>
      <c r="AL719" s="719"/>
      <c r="AM719" s="719" t="s">
        <v>2609</v>
      </c>
      <c r="AN719" s="719">
        <v>5.25</v>
      </c>
      <c r="AO719" s="719"/>
      <c r="AP719" s="719"/>
      <c r="AQ719" s="724"/>
      <c r="AR719" s="724"/>
      <c r="AS719" s="724"/>
      <c r="AT719" s="724">
        <f>+ab($T$719,$T$717,$T$721,$G$718,$G$720, 1*$F$719,1200)</f>
        <v>-19.374884611554815</v>
      </c>
      <c r="AU719" s="724"/>
      <c r="AV719" s="724"/>
      <c r="AW719" s="719"/>
      <c r="AX719" s="719"/>
      <c r="AY719" s="719"/>
      <c r="AZ719" s="532"/>
    </row>
    <row r="720" spans="1:52" ht="15.75" hidden="1" customHeight="1">
      <c r="A720" s="716"/>
      <c r="B720" s="735"/>
      <c r="C720" s="789"/>
      <c r="D720" s="719"/>
      <c r="E720" s="719"/>
      <c r="F720" s="720"/>
      <c r="G720" s="721">
        <v>31</v>
      </c>
      <c r="H720" s="726"/>
      <c r="I720" s="726"/>
      <c r="J720" s="762"/>
      <c r="K720" s="719"/>
      <c r="L720" s="719"/>
      <c r="M720" s="719"/>
      <c r="N720" s="726"/>
      <c r="O720" s="726"/>
      <c r="P720" s="726"/>
      <c r="Q720" s="719"/>
      <c r="R720" s="719"/>
      <c r="S720" s="719">
        <f t="shared" si="171"/>
        <v>30.930000000000291</v>
      </c>
      <c r="T720" s="719"/>
      <c r="U720" s="719"/>
      <c r="V720" s="719"/>
      <c r="W720" s="719"/>
      <c r="X720" s="719"/>
      <c r="Y720" s="719"/>
      <c r="Z720" s="719"/>
      <c r="AA720" s="719"/>
      <c r="AB720" s="719"/>
      <c r="AC720" s="719"/>
      <c r="AD720" s="719"/>
      <c r="AE720" s="719"/>
      <c r="AF720" s="719"/>
      <c r="AG720" s="789"/>
      <c r="AH720" s="719"/>
      <c r="AI720" s="719"/>
      <c r="AJ720" s="719"/>
      <c r="AK720" s="719"/>
      <c r="AL720" s="720"/>
      <c r="AM720" s="719"/>
      <c r="AN720" s="719"/>
      <c r="AO720" s="719"/>
      <c r="AP720" s="719"/>
      <c r="AQ720" s="724">
        <f>+FL_1($T$721,$T$719,$G$720,1200,9.28, 1*$F$721)</f>
        <v>5.9920335155044219E-2</v>
      </c>
      <c r="AR720" s="724"/>
      <c r="AS720" s="724"/>
      <c r="AT720" s="724"/>
      <c r="AU720" s="724"/>
      <c r="AV720" s="724"/>
      <c r="AW720" s="720"/>
      <c r="AX720" s="720"/>
      <c r="AY720" s="720"/>
      <c r="AZ720" s="532"/>
    </row>
    <row r="721" spans="1:52" ht="15.75" hidden="1" customHeight="1">
      <c r="A721" s="716"/>
      <c r="B721" s="741" t="s">
        <v>2707</v>
      </c>
      <c r="C721" s="789">
        <f>+$C$719+$G$720</f>
        <v>47954</v>
      </c>
      <c r="D721" s="719"/>
      <c r="E721" s="719">
        <v>-20</v>
      </c>
      <c r="F721" s="720">
        <v>-450</v>
      </c>
      <c r="G721" s="721"/>
      <c r="H721" s="726" t="s">
        <v>138</v>
      </c>
      <c r="I721" s="726" t="s">
        <v>2827</v>
      </c>
      <c r="J721" s="727"/>
      <c r="K721" s="719"/>
      <c r="L721" s="719" t="s">
        <v>241</v>
      </c>
      <c r="M721" s="719"/>
      <c r="N721" s="726" t="s">
        <v>695</v>
      </c>
      <c r="O721" s="726"/>
      <c r="P721" s="726"/>
      <c r="Q721" s="719">
        <v>-22</v>
      </c>
      <c r="R721" s="719">
        <v>-450</v>
      </c>
      <c r="S721" s="719"/>
      <c r="T721" s="719">
        <v>-30</v>
      </c>
      <c r="U721" s="719"/>
      <c r="V721" s="719"/>
      <c r="W721" s="719">
        <v>1.4</v>
      </c>
      <c r="X721" s="719"/>
      <c r="Y721" s="719"/>
      <c r="Z721" s="719"/>
      <c r="AA721" s="719"/>
      <c r="AB721" s="719"/>
      <c r="AC721" s="719" t="s">
        <v>3003</v>
      </c>
      <c r="AD721" s="719"/>
      <c r="AE721" s="719"/>
      <c r="AF721" s="719">
        <v>300</v>
      </c>
      <c r="AG721" s="789">
        <v>47953.94</v>
      </c>
      <c r="AH721" s="719">
        <v>1522</v>
      </c>
      <c r="AI721" s="719">
        <v>-4741</v>
      </c>
      <c r="AJ721" s="719"/>
      <c r="AK721" s="719"/>
      <c r="AL721" s="720"/>
      <c r="AM721" s="719" t="s">
        <v>2609</v>
      </c>
      <c r="AN721" s="719">
        <v>5.25</v>
      </c>
      <c r="AO721" s="719"/>
      <c r="AP721" s="719"/>
      <c r="AQ721" s="724"/>
      <c r="AR721" s="724"/>
      <c r="AS721" s="724"/>
      <c r="AT721" s="724">
        <f>+ab($T$721,$T$719,$T$723,$G$720,$G$722, 1*$F$721,1200)</f>
        <v>-2.3336264837727061</v>
      </c>
      <c r="AU721" s="724"/>
      <c r="AV721" s="724"/>
      <c r="AW721" s="720"/>
      <c r="AX721" s="720"/>
      <c r="AY721" s="720"/>
      <c r="AZ721" s="532"/>
    </row>
    <row r="722" spans="1:52" ht="15.75" hidden="1" customHeight="1">
      <c r="A722" s="716"/>
      <c r="B722" s="735"/>
      <c r="C722" s="789"/>
      <c r="D722" s="719"/>
      <c r="E722" s="719"/>
      <c r="F722" s="720"/>
      <c r="G722" s="721">
        <v>29</v>
      </c>
      <c r="H722" s="726"/>
      <c r="I722" s="726"/>
      <c r="J722" s="727">
        <f>C721+10</f>
        <v>47964</v>
      </c>
      <c r="K722" s="719" t="s">
        <v>2587</v>
      </c>
      <c r="L722" s="719"/>
      <c r="M722" s="719"/>
      <c r="N722" s="726"/>
      <c r="O722" s="726"/>
      <c r="P722" s="726"/>
      <c r="Q722" s="719"/>
      <c r="R722" s="719"/>
      <c r="S722" s="719">
        <f t="shared" si="171"/>
        <v>28.349999999998545</v>
      </c>
      <c r="T722" s="719"/>
      <c r="U722" s="719"/>
      <c r="V722" s="719"/>
      <c r="W722" s="719"/>
      <c r="X722" s="719"/>
      <c r="Y722" s="719"/>
      <c r="Z722" s="719"/>
      <c r="AA722" s="719"/>
      <c r="AB722" s="719"/>
      <c r="AC722" s="719"/>
      <c r="AD722" s="719"/>
      <c r="AE722" s="719"/>
      <c r="AF722" s="719"/>
      <c r="AG722" s="789"/>
      <c r="AH722" s="719"/>
      <c r="AI722" s="719"/>
      <c r="AJ722" s="719"/>
      <c r="AK722" s="719"/>
      <c r="AL722" s="720"/>
      <c r="AM722" s="719"/>
      <c r="AN722" s="719"/>
      <c r="AO722" s="719"/>
      <c r="AP722" s="719"/>
      <c r="AQ722" s="724">
        <f>+FL_2($U$723,$T$721,$G$722,1200,9.28, 1*$F$723)</f>
        <v>-0.3000000000000374</v>
      </c>
      <c r="AR722" s="724"/>
      <c r="AS722" s="724"/>
      <c r="AT722" s="724"/>
      <c r="AU722" s="724"/>
      <c r="AV722" s="724"/>
      <c r="AW722" s="720"/>
      <c r="AX722" s="720"/>
      <c r="AY722" s="720"/>
      <c r="AZ722" s="532"/>
    </row>
    <row r="723" spans="1:52" ht="15.75" hidden="1" customHeight="1">
      <c r="A723" s="716"/>
      <c r="B723" s="741" t="s">
        <v>2708</v>
      </c>
      <c r="C723" s="789">
        <f>+$C$721+$G$722</f>
        <v>47983</v>
      </c>
      <c r="D723" s="719"/>
      <c r="E723" s="719">
        <v>-20</v>
      </c>
      <c r="F723" s="720">
        <v>-450</v>
      </c>
      <c r="G723" s="721"/>
      <c r="H723" s="726" t="s">
        <v>668</v>
      </c>
      <c r="I723" s="722"/>
      <c r="J723" s="727"/>
      <c r="K723" s="719"/>
      <c r="L723" s="719" t="s">
        <v>465</v>
      </c>
      <c r="M723" s="719"/>
      <c r="N723" s="726" t="s">
        <v>697</v>
      </c>
      <c r="O723" s="726" t="s">
        <v>695</v>
      </c>
      <c r="P723" s="726"/>
      <c r="Q723" s="719">
        <v>-21</v>
      </c>
      <c r="R723" s="719">
        <v>-450</v>
      </c>
      <c r="S723" s="719">
        <f>AG724-AG723</f>
        <v>1.5199999999967986</v>
      </c>
      <c r="T723" s="719">
        <v>15</v>
      </c>
      <c r="U723" s="719">
        <v>-30</v>
      </c>
      <c r="V723" s="719"/>
      <c r="W723" s="719">
        <v>1.4</v>
      </c>
      <c r="X723" s="719">
        <v>2.2999999999999998</v>
      </c>
      <c r="Y723" s="719"/>
      <c r="Z723" s="724">
        <v>0.5</v>
      </c>
      <c r="AA723" s="719"/>
      <c r="AB723" s="719"/>
      <c r="AC723" s="719"/>
      <c r="AD723" s="719" t="s">
        <v>3004</v>
      </c>
      <c r="AE723" s="719"/>
      <c r="AF723" s="719">
        <v>200</v>
      </c>
      <c r="AG723" s="789">
        <v>47982.29</v>
      </c>
      <c r="AH723" s="719">
        <v>1469</v>
      </c>
      <c r="AI723" s="719">
        <v>-4886</v>
      </c>
      <c r="AJ723" s="719"/>
      <c r="AK723" s="719"/>
      <c r="AL723" s="720"/>
      <c r="AM723" s="719" t="s">
        <v>2609</v>
      </c>
      <c r="AN723" s="719">
        <v>5.25</v>
      </c>
      <c r="AO723" s="719"/>
      <c r="AP723" s="719"/>
      <c r="AQ723" s="724"/>
      <c r="AR723" s="724"/>
      <c r="AS723" s="724"/>
      <c r="AT723" s="724">
        <f>+ab($U$723,$T$721,$U$725,$G$722,$G$724, 1*$F$723,1200)</f>
        <v>-2.8759721529003239</v>
      </c>
      <c r="AU723" s="724"/>
      <c r="AV723" s="724"/>
      <c r="AW723" s="720"/>
      <c r="AX723" s="720"/>
      <c r="AY723" s="720"/>
      <c r="AZ723" s="532"/>
    </row>
    <row r="724" spans="1:52" ht="15.75" hidden="1" customHeight="1">
      <c r="A724" s="716"/>
      <c r="B724" s="735"/>
      <c r="C724" s="789"/>
      <c r="D724" s="719"/>
      <c r="E724" s="719"/>
      <c r="F724" s="720"/>
      <c r="G724" s="721">
        <v>31</v>
      </c>
      <c r="H724" s="726"/>
      <c r="I724" s="722"/>
      <c r="J724" s="727"/>
      <c r="K724" s="719"/>
      <c r="L724" s="719"/>
      <c r="M724" s="719"/>
      <c r="N724" s="726"/>
      <c r="O724" s="726"/>
      <c r="P724" s="726"/>
      <c r="Q724" s="719">
        <v>-20</v>
      </c>
      <c r="R724" s="719">
        <v>-450</v>
      </c>
      <c r="S724" s="719">
        <f t="shared" ref="S724:S730" si="173">AG725-AG724</f>
        <v>29.240000000005239</v>
      </c>
      <c r="T724" s="719"/>
      <c r="U724" s="719"/>
      <c r="V724" s="719"/>
      <c r="W724" s="719"/>
      <c r="X724" s="719"/>
      <c r="Y724" s="719"/>
      <c r="Z724" s="719"/>
      <c r="AA724" s="719"/>
      <c r="AB724" s="719"/>
      <c r="AC724" s="719"/>
      <c r="AD724" s="719"/>
      <c r="AE724" s="719"/>
      <c r="AF724" s="719">
        <v>200</v>
      </c>
      <c r="AG724" s="789">
        <v>47983.81</v>
      </c>
      <c r="AH724" s="719">
        <v>1445</v>
      </c>
      <c r="AI724" s="719">
        <v>-4911</v>
      </c>
      <c r="AJ724" s="719"/>
      <c r="AK724" s="719"/>
      <c r="AL724" s="720"/>
      <c r="AM724" s="719"/>
      <c r="AN724" s="719"/>
      <c r="AO724" s="719"/>
      <c r="AP724" s="719"/>
      <c r="AQ724" s="724">
        <f>+FL_1($U$725,$U$723,$G$724,1200,9.28, 1*$F$725)</f>
        <v>5.9920335155044219E-2</v>
      </c>
      <c r="AR724" s="724"/>
      <c r="AS724" s="724"/>
      <c r="AT724" s="724"/>
      <c r="AU724" s="724"/>
      <c r="AV724" s="724"/>
      <c r="AW724" s="720"/>
      <c r="AX724" s="720"/>
      <c r="AY724" s="720"/>
      <c r="AZ724" s="532"/>
    </row>
    <row r="725" spans="1:52" ht="15.75" hidden="1" customHeight="1">
      <c r="A725" s="716"/>
      <c r="B725" s="741" t="s">
        <v>2016</v>
      </c>
      <c r="C725" s="789">
        <f>+$C$723+$G$724</f>
        <v>48014</v>
      </c>
      <c r="D725" s="719"/>
      <c r="E725" s="719">
        <v>-20</v>
      </c>
      <c r="F725" s="720">
        <v>-450</v>
      </c>
      <c r="G725" s="721"/>
      <c r="H725" s="726" t="s">
        <v>668</v>
      </c>
      <c r="I725" s="726"/>
      <c r="J725" s="727"/>
      <c r="K725" s="719"/>
      <c r="L725" s="719" t="s">
        <v>465</v>
      </c>
      <c r="M725" s="719"/>
      <c r="N725" s="726" t="s">
        <v>695</v>
      </c>
      <c r="O725" s="726" t="s">
        <v>695</v>
      </c>
      <c r="P725" s="726"/>
      <c r="Q725" s="719">
        <v>-20</v>
      </c>
      <c r="R725" s="719">
        <v>-450</v>
      </c>
      <c r="S725" s="719">
        <f t="shared" si="173"/>
        <v>1.4899999999979627</v>
      </c>
      <c r="T725" s="719">
        <v>15</v>
      </c>
      <c r="U725" s="719">
        <v>-30</v>
      </c>
      <c r="V725" s="719"/>
      <c r="W725" s="719">
        <v>1.4</v>
      </c>
      <c r="X725" s="719">
        <v>2.2999999999999998</v>
      </c>
      <c r="Y725" s="719"/>
      <c r="Z725" s="724">
        <v>0.1</v>
      </c>
      <c r="AA725" s="719"/>
      <c r="AB725" s="719"/>
      <c r="AC725" s="719" t="s">
        <v>492</v>
      </c>
      <c r="AD725" s="719" t="s">
        <v>3004</v>
      </c>
      <c r="AE725" s="719"/>
      <c r="AF725" s="719">
        <v>200</v>
      </c>
      <c r="AG725" s="789">
        <v>48013.05</v>
      </c>
      <c r="AH725" s="719">
        <v>1469</v>
      </c>
      <c r="AI725" s="719">
        <v>-4925</v>
      </c>
      <c r="AJ725" s="719"/>
      <c r="AK725" s="719"/>
      <c r="AL725" s="720"/>
      <c r="AM725" s="719" t="s">
        <v>2609</v>
      </c>
      <c r="AN725" s="719">
        <v>5.25</v>
      </c>
      <c r="AO725" s="719"/>
      <c r="AP725" s="719"/>
      <c r="AQ725" s="724"/>
      <c r="AR725" s="724"/>
      <c r="AS725" s="724"/>
      <c r="AT725" s="724">
        <f>+ab($U$725,$U$723,$U$727,$G$724,$G$726, 1*$F$725,1200)</f>
        <v>-2.8499675957135042</v>
      </c>
      <c r="AU725" s="724"/>
      <c r="AV725" s="724"/>
      <c r="AW725" s="720"/>
      <c r="AX725" s="720"/>
      <c r="AY725" s="720"/>
      <c r="AZ725" s="532"/>
    </row>
    <row r="726" spans="1:52" ht="15.75" hidden="1" customHeight="1">
      <c r="A726" s="716"/>
      <c r="B726" s="735"/>
      <c r="C726" s="789"/>
      <c r="D726" s="719"/>
      <c r="E726" s="719"/>
      <c r="F726" s="720"/>
      <c r="G726" s="721">
        <v>31</v>
      </c>
      <c r="H726" s="726"/>
      <c r="I726" s="726"/>
      <c r="J726" s="727"/>
      <c r="K726" s="719"/>
      <c r="L726" s="719"/>
      <c r="M726" s="719"/>
      <c r="N726" s="726"/>
      <c r="O726" s="726"/>
      <c r="P726" s="726"/>
      <c r="Q726" s="719">
        <v>-21</v>
      </c>
      <c r="R726" s="719">
        <v>-450</v>
      </c>
      <c r="S726" s="719">
        <f t="shared" si="173"/>
        <v>29.650000000001455</v>
      </c>
      <c r="T726" s="719"/>
      <c r="U726" s="719"/>
      <c r="V726" s="719"/>
      <c r="W726" s="719"/>
      <c r="X726" s="719"/>
      <c r="Y726" s="719"/>
      <c r="Z726" s="719"/>
      <c r="AA726" s="719"/>
      <c r="AB726" s="719"/>
      <c r="AC726" s="719"/>
      <c r="AD726" s="719"/>
      <c r="AE726" s="719"/>
      <c r="AF726" s="719">
        <v>200</v>
      </c>
      <c r="AG726" s="789">
        <v>48014.54</v>
      </c>
      <c r="AH726" s="719">
        <v>1471</v>
      </c>
      <c r="AI726" s="719">
        <v>-4941</v>
      </c>
      <c r="AJ726" s="719"/>
      <c r="AK726" s="719"/>
      <c r="AL726" s="720"/>
      <c r="AM726" s="719"/>
      <c r="AN726" s="719"/>
      <c r="AO726" s="719"/>
      <c r="AP726" s="719"/>
      <c r="AQ726" s="724">
        <f>+FL_2($T$727,$U$725,$G$726,1200,9.28, 1*$F$727)</f>
        <v>-0.30000000000005878</v>
      </c>
      <c r="AR726" s="724"/>
      <c r="AS726" s="724"/>
      <c r="AT726" s="724"/>
      <c r="AU726" s="724"/>
      <c r="AV726" s="724"/>
      <c r="AW726" s="720"/>
      <c r="AX726" s="720"/>
      <c r="AY726" s="720"/>
      <c r="AZ726" s="532"/>
    </row>
    <row r="727" spans="1:52" ht="15.75" hidden="1" customHeight="1">
      <c r="A727" s="716"/>
      <c r="B727" s="741" t="s">
        <v>2017</v>
      </c>
      <c r="C727" s="789">
        <f>+$C$725+$G$726</f>
        <v>48045</v>
      </c>
      <c r="D727" s="719"/>
      <c r="E727" s="719">
        <v>-20</v>
      </c>
      <c r="F727" s="720">
        <v>-450</v>
      </c>
      <c r="G727" s="721"/>
      <c r="H727" s="726" t="s">
        <v>668</v>
      </c>
      <c r="I727" s="726"/>
      <c r="J727" s="727"/>
      <c r="K727" s="719"/>
      <c r="L727" s="719" t="s">
        <v>465</v>
      </c>
      <c r="M727" s="719"/>
      <c r="N727" s="726" t="s">
        <v>695</v>
      </c>
      <c r="O727" s="726" t="s">
        <v>695</v>
      </c>
      <c r="P727" s="726"/>
      <c r="Q727" s="719">
        <v>-21</v>
      </c>
      <c r="R727" s="719">
        <v>-450</v>
      </c>
      <c r="S727" s="719">
        <f t="shared" si="173"/>
        <v>1.5599999999976717</v>
      </c>
      <c r="T727" s="719">
        <v>10</v>
      </c>
      <c r="U727" s="719">
        <v>-35</v>
      </c>
      <c r="V727" s="719"/>
      <c r="W727" s="719">
        <v>1.4</v>
      </c>
      <c r="X727" s="719">
        <v>2.2999999999999998</v>
      </c>
      <c r="Y727" s="719"/>
      <c r="Z727" s="719"/>
      <c r="AA727" s="724">
        <v>0.1</v>
      </c>
      <c r="AB727" s="719"/>
      <c r="AC727" s="719" t="s">
        <v>3148</v>
      </c>
      <c r="AD727" s="719" t="s">
        <v>3003</v>
      </c>
      <c r="AE727" s="719"/>
      <c r="AF727" s="719">
        <v>200</v>
      </c>
      <c r="AG727" s="789">
        <v>48044.19</v>
      </c>
      <c r="AH727" s="719">
        <v>1535</v>
      </c>
      <c r="AI727" s="719">
        <v>-4923</v>
      </c>
      <c r="AJ727" s="719"/>
      <c r="AK727" s="719"/>
      <c r="AL727" s="720"/>
      <c r="AM727" s="719" t="s">
        <v>2609</v>
      </c>
      <c r="AN727" s="719">
        <v>5.25</v>
      </c>
      <c r="AO727" s="719"/>
      <c r="AP727" s="719"/>
      <c r="AQ727" s="724"/>
      <c r="AR727" s="724"/>
      <c r="AS727" s="724"/>
      <c r="AT727" s="724">
        <f>+ab($T$727,$T$725,$T$729,$G$726,$G$728, 1*$F$727,1200)</f>
        <v>-2.7197679333786065</v>
      </c>
      <c r="AU727" s="724"/>
      <c r="AV727" s="724"/>
      <c r="AW727" s="720"/>
      <c r="AX727" s="720"/>
      <c r="AY727" s="720"/>
      <c r="AZ727" s="532"/>
    </row>
    <row r="728" spans="1:52" ht="15.75" hidden="1" customHeight="1">
      <c r="A728" s="716"/>
      <c r="B728" s="735"/>
      <c r="C728" s="789"/>
      <c r="D728" s="719"/>
      <c r="E728" s="719"/>
      <c r="F728" s="720"/>
      <c r="G728" s="721">
        <v>31</v>
      </c>
      <c r="H728" s="726"/>
      <c r="I728" s="722"/>
      <c r="J728" s="727"/>
      <c r="K728" s="719"/>
      <c r="L728" s="719"/>
      <c r="M728" s="719"/>
      <c r="N728" s="726"/>
      <c r="O728" s="726"/>
      <c r="P728" s="726"/>
      <c r="Q728" s="719">
        <v>-21</v>
      </c>
      <c r="R728" s="719">
        <v>-450</v>
      </c>
      <c r="S728" s="719">
        <f t="shared" si="173"/>
        <v>29.260000000002037</v>
      </c>
      <c r="T728" s="719"/>
      <c r="U728" s="719"/>
      <c r="V728" s="719"/>
      <c r="W728" s="719"/>
      <c r="X728" s="719"/>
      <c r="Y728" s="719"/>
      <c r="Z728" s="719"/>
      <c r="AA728" s="719"/>
      <c r="AB728" s="719"/>
      <c r="AC728" s="719"/>
      <c r="AD728" s="719"/>
      <c r="AE728" s="719"/>
      <c r="AF728" s="719">
        <v>200</v>
      </c>
      <c r="AG728" s="789">
        <v>48045.75</v>
      </c>
      <c r="AH728" s="719">
        <v>1485</v>
      </c>
      <c r="AI728" s="719">
        <v>-4890</v>
      </c>
      <c r="AJ728" s="719"/>
      <c r="AK728" s="719"/>
      <c r="AL728" s="720"/>
      <c r="AM728" s="719"/>
      <c r="AN728" s="719"/>
      <c r="AO728" s="719"/>
      <c r="AP728" s="719"/>
      <c r="AQ728" s="724">
        <f>+FL_2($T$729,$T$727,$G$728,1200,9.28, 1*$F$729)</f>
        <v>9.9999999999967684E-2</v>
      </c>
      <c r="AR728" s="724"/>
      <c r="AS728" s="724"/>
      <c r="AT728" s="724"/>
      <c r="AU728" s="724"/>
      <c r="AV728" s="724"/>
      <c r="AW728" s="720"/>
      <c r="AX728" s="720"/>
      <c r="AY728" s="720"/>
      <c r="AZ728" s="532"/>
    </row>
    <row r="729" spans="1:52" ht="15.75" hidden="1" customHeight="1">
      <c r="A729" s="716" t="s">
        <v>2966</v>
      </c>
      <c r="B729" s="741" t="s">
        <v>2018</v>
      </c>
      <c r="C729" s="789">
        <f>+$C$727+$G$728</f>
        <v>48076</v>
      </c>
      <c r="D729" s="719"/>
      <c r="E729" s="719">
        <v>-20</v>
      </c>
      <c r="F729" s="720">
        <v>-450</v>
      </c>
      <c r="G729" s="721"/>
      <c r="H729" s="726" t="s">
        <v>668</v>
      </c>
      <c r="I729" s="722" t="s">
        <v>2645</v>
      </c>
      <c r="J729" s="727"/>
      <c r="K729" s="719"/>
      <c r="L729" s="719" t="s">
        <v>465</v>
      </c>
      <c r="M729" s="719"/>
      <c r="N729" s="726" t="s">
        <v>695</v>
      </c>
      <c r="O729" s="726" t="s">
        <v>697</v>
      </c>
      <c r="P729" s="726"/>
      <c r="Q729" s="719">
        <v>-20</v>
      </c>
      <c r="R729" s="719">
        <v>-450</v>
      </c>
      <c r="S729" s="719">
        <f t="shared" si="173"/>
        <v>1.6299999999973807</v>
      </c>
      <c r="T729" s="719">
        <v>10</v>
      </c>
      <c r="U729" s="719">
        <v>-35</v>
      </c>
      <c r="V729" s="719"/>
      <c r="W729" s="719">
        <v>1.4</v>
      </c>
      <c r="X729" s="719">
        <v>2.2999999999999998</v>
      </c>
      <c r="Y729" s="719"/>
      <c r="Z729" s="719"/>
      <c r="AA729" s="724">
        <v>0.5</v>
      </c>
      <c r="AB729" s="719"/>
      <c r="AC729" s="719" t="s">
        <v>3006</v>
      </c>
      <c r="AD729" s="719"/>
      <c r="AE729" s="719"/>
      <c r="AF729" s="719">
        <v>200</v>
      </c>
      <c r="AG729" s="789">
        <v>48075.01</v>
      </c>
      <c r="AH729" s="719">
        <v>1497</v>
      </c>
      <c r="AI729" s="719">
        <v>-4921</v>
      </c>
      <c r="AJ729" s="719" t="s">
        <v>2943</v>
      </c>
      <c r="AK729" s="719"/>
      <c r="AL729" s="720"/>
      <c r="AM729" s="719" t="s">
        <v>2609</v>
      </c>
      <c r="AN729" s="719">
        <v>5.25</v>
      </c>
      <c r="AO729" s="719"/>
      <c r="AP729" s="719"/>
      <c r="AQ729" s="724"/>
      <c r="AR729" s="724"/>
      <c r="AS729" s="724"/>
      <c r="AT729" s="724">
        <f>+ab($T$729,$T$727,$T$731,$G$728,$G$730, 1*$F$729,1200)</f>
        <v>-3.3334973777799171</v>
      </c>
      <c r="AU729" s="724"/>
      <c r="AV729" s="724"/>
      <c r="AW729" s="720"/>
      <c r="AX729" s="720"/>
      <c r="AY729" s="720"/>
      <c r="AZ729" s="532"/>
    </row>
    <row r="730" spans="1:52" ht="15.75" hidden="1" customHeight="1">
      <c r="A730" s="716"/>
      <c r="B730" s="735"/>
      <c r="C730" s="789"/>
      <c r="D730" s="719"/>
      <c r="E730" s="719"/>
      <c r="F730" s="720"/>
      <c r="G730" s="721">
        <v>32</v>
      </c>
      <c r="H730" s="726"/>
      <c r="I730" s="726"/>
      <c r="J730" s="727">
        <f>C731-10</f>
        <v>48098</v>
      </c>
      <c r="K730" s="719" t="s">
        <v>2587</v>
      </c>
      <c r="L730" s="719"/>
      <c r="M730" s="719"/>
      <c r="N730" s="726"/>
      <c r="O730" s="726"/>
      <c r="P730" s="726"/>
      <c r="Q730" s="719">
        <v>-20</v>
      </c>
      <c r="R730" s="719">
        <v>-450</v>
      </c>
      <c r="S730" s="719">
        <f t="shared" si="173"/>
        <v>31.430000000000291</v>
      </c>
      <c r="T730" s="719"/>
      <c r="U730" s="719"/>
      <c r="V730" s="719"/>
      <c r="W730" s="719"/>
      <c r="X730" s="719"/>
      <c r="Y730" s="719"/>
      <c r="Z730" s="719"/>
      <c r="AA730" s="719"/>
      <c r="AB730" s="719"/>
      <c r="AC730" s="719"/>
      <c r="AD730" s="719"/>
      <c r="AE730" s="719"/>
      <c r="AF730" s="719">
        <v>200</v>
      </c>
      <c r="AG730" s="789">
        <v>48076.639999999999</v>
      </c>
      <c r="AH730" s="719">
        <v>1514</v>
      </c>
      <c r="AI730" s="719">
        <v>-4966</v>
      </c>
      <c r="AJ730" s="719"/>
      <c r="AK730" s="719"/>
      <c r="AL730" s="720"/>
      <c r="AM730" s="719"/>
      <c r="AN730" s="719"/>
      <c r="AO730" s="719"/>
      <c r="AP730" s="719"/>
      <c r="AQ730" s="724">
        <f>+FL_1($T$731,$T$729,$G$730,1200,9.28, 1*$F$731)</f>
        <v>0.30958954964875746</v>
      </c>
      <c r="AR730" s="724"/>
      <c r="AS730" s="724"/>
      <c r="AT730" s="724"/>
      <c r="AU730" s="724"/>
      <c r="AV730" s="724"/>
      <c r="AW730" s="720"/>
      <c r="AX730" s="720"/>
      <c r="AY730" s="720"/>
      <c r="AZ730" s="532"/>
    </row>
    <row r="731" spans="1:52" ht="15.75" hidden="1" customHeight="1">
      <c r="A731" s="716"/>
      <c r="B731" s="741" t="s">
        <v>2019</v>
      </c>
      <c r="C731" s="789">
        <f>+$C$729+$G$730</f>
        <v>48108</v>
      </c>
      <c r="D731" s="719"/>
      <c r="E731" s="719">
        <v>-20</v>
      </c>
      <c r="F731" s="720">
        <v>-450</v>
      </c>
      <c r="G731" s="721"/>
      <c r="H731" s="726" t="s">
        <v>138</v>
      </c>
      <c r="I731" s="726" t="s">
        <v>2827</v>
      </c>
      <c r="J731" s="727"/>
      <c r="K731" s="719"/>
      <c r="L731" s="719" t="s">
        <v>241</v>
      </c>
      <c r="M731" s="719"/>
      <c r="N731" s="726" t="s">
        <v>695</v>
      </c>
      <c r="O731" s="726"/>
      <c r="P731" s="726"/>
      <c r="Q731" s="719">
        <v>-22</v>
      </c>
      <c r="R731" s="719">
        <v>-450</v>
      </c>
      <c r="S731" s="719"/>
      <c r="T731" s="719">
        <v>-30</v>
      </c>
      <c r="U731" s="719"/>
      <c r="V731" s="719"/>
      <c r="W731" s="719">
        <v>1.4</v>
      </c>
      <c r="X731" s="719"/>
      <c r="Y731" s="719"/>
      <c r="Z731" s="719"/>
      <c r="AA731" s="719"/>
      <c r="AB731" s="719"/>
      <c r="AC731" s="719" t="s">
        <v>3003</v>
      </c>
      <c r="AD731" s="719"/>
      <c r="AE731" s="719"/>
      <c r="AF731" s="719">
        <v>200</v>
      </c>
      <c r="AG731" s="789">
        <v>48108.07</v>
      </c>
      <c r="AH731" s="719">
        <v>1483</v>
      </c>
      <c r="AI731" s="719">
        <v>-4858</v>
      </c>
      <c r="AJ731" s="719"/>
      <c r="AK731" s="719"/>
      <c r="AL731" s="720"/>
      <c r="AM731" s="719" t="s">
        <v>2609</v>
      </c>
      <c r="AN731" s="719">
        <v>5.25</v>
      </c>
      <c r="AO731" s="719"/>
      <c r="AP731" s="719"/>
      <c r="AQ731" s="724"/>
      <c r="AR731" s="724"/>
      <c r="AS731" s="724"/>
      <c r="AT731" s="724">
        <f>+ab($T$731,$T$729,$T$733,$G$730,$G$732, 1*$F$731,1200)</f>
        <v>-2.2938354763330593</v>
      </c>
      <c r="AU731" s="724"/>
      <c r="AV731" s="724"/>
      <c r="AW731" s="720"/>
      <c r="AX731" s="720"/>
      <c r="AY731" s="720"/>
      <c r="AZ731" s="532"/>
    </row>
    <row r="732" spans="1:52" ht="15.75" customHeight="1">
      <c r="A732" s="716"/>
      <c r="B732" s="735"/>
      <c r="C732" s="789"/>
      <c r="D732" s="719"/>
      <c r="E732" s="719"/>
      <c r="F732" s="720"/>
      <c r="G732" s="721">
        <v>32</v>
      </c>
      <c r="H732" s="719" t="s">
        <v>1101</v>
      </c>
      <c r="I732" s="722">
        <f>+SUM(G722:G732)</f>
        <v>186</v>
      </c>
      <c r="J732" s="727">
        <f>C731+1</f>
        <v>48109</v>
      </c>
      <c r="K732" s="719" t="s">
        <v>1102</v>
      </c>
      <c r="L732" s="719"/>
      <c r="M732" s="719"/>
      <c r="N732" s="726"/>
      <c r="O732" s="726"/>
      <c r="P732" s="726"/>
      <c r="Q732" s="719"/>
      <c r="R732" s="719"/>
      <c r="S732" s="719">
        <f t="shared" si="171"/>
        <v>31.930000000000291</v>
      </c>
      <c r="T732" s="719"/>
      <c r="U732" s="719"/>
      <c r="V732" s="719"/>
      <c r="W732" s="719"/>
      <c r="X732" s="719"/>
      <c r="Y732" s="719"/>
      <c r="Z732" s="719"/>
      <c r="AA732" s="719"/>
      <c r="AB732" s="719"/>
      <c r="AC732" s="719"/>
      <c r="AD732" s="719"/>
      <c r="AE732" s="719"/>
      <c r="AF732" s="719"/>
      <c r="AG732" s="789"/>
      <c r="AH732" s="719"/>
      <c r="AI732" s="719"/>
      <c r="AJ732" s="719"/>
      <c r="AK732" s="719"/>
      <c r="AL732" s="720"/>
      <c r="AM732" s="719"/>
      <c r="AN732" s="719"/>
      <c r="AO732" s="719"/>
      <c r="AP732" s="719"/>
      <c r="AQ732" s="724">
        <f>+FL_2($T$733,$T$731,$G$732,1200,9.28, 1*$F$733)</f>
        <v>-0.30000000000002958</v>
      </c>
      <c r="AR732" s="724"/>
      <c r="AS732" s="724"/>
      <c r="AT732" s="724"/>
      <c r="AU732" s="724"/>
      <c r="AV732" s="724"/>
      <c r="AW732" s="720"/>
      <c r="AX732" s="720"/>
      <c r="AY732" s="720"/>
      <c r="AZ732" s="532"/>
    </row>
    <row r="733" spans="1:52" ht="15.75" customHeight="1">
      <c r="A733" s="716"/>
      <c r="B733" s="741" t="s">
        <v>2020</v>
      </c>
      <c r="C733" s="789">
        <f>+$C$731+$G$732</f>
        <v>48140</v>
      </c>
      <c r="D733" s="719"/>
      <c r="E733" s="719">
        <v>-20</v>
      </c>
      <c r="F733" s="720">
        <v>-450</v>
      </c>
      <c r="G733" s="721"/>
      <c r="H733" s="719" t="s">
        <v>997</v>
      </c>
      <c r="I733" s="726"/>
      <c r="J733" s="727"/>
      <c r="K733" s="719"/>
      <c r="L733" s="719" t="s">
        <v>241</v>
      </c>
      <c r="M733" s="719"/>
      <c r="N733" s="726" t="s">
        <v>695</v>
      </c>
      <c r="O733" s="726"/>
      <c r="P733" s="726"/>
      <c r="Q733" s="719">
        <v>-19</v>
      </c>
      <c r="R733" s="719">
        <v>-450</v>
      </c>
      <c r="S733" s="719"/>
      <c r="T733" s="719">
        <v>-30</v>
      </c>
      <c r="U733" s="719"/>
      <c r="V733" s="719"/>
      <c r="W733" s="719">
        <v>1.4</v>
      </c>
      <c r="X733" s="719"/>
      <c r="Y733" s="719"/>
      <c r="Z733" s="719"/>
      <c r="AA733" s="719"/>
      <c r="AB733" s="719"/>
      <c r="AC733" s="719" t="s">
        <v>3003</v>
      </c>
      <c r="AD733" s="719"/>
      <c r="AE733" s="719"/>
      <c r="AF733" s="719">
        <v>200</v>
      </c>
      <c r="AG733" s="789">
        <v>48140</v>
      </c>
      <c r="AH733" s="719">
        <v>1476</v>
      </c>
      <c r="AI733" s="719">
        <v>-4881</v>
      </c>
      <c r="AJ733" s="719"/>
      <c r="AK733" s="719"/>
      <c r="AL733" s="719"/>
      <c r="AM733" s="719" t="s">
        <v>2609</v>
      </c>
      <c r="AN733" s="719">
        <v>5.25</v>
      </c>
      <c r="AO733" s="719"/>
      <c r="AP733" s="719"/>
      <c r="AQ733" s="724"/>
      <c r="AR733" s="724"/>
      <c r="AS733" s="724"/>
      <c r="AT733" s="724">
        <f>+ab($T$733,$T$731,$T$735,$G$732,$G$734, 1*$F$733,1200)</f>
        <v>-2.7392348881357562</v>
      </c>
      <c r="AU733" s="724"/>
      <c r="AV733" s="724"/>
      <c r="AW733" s="719"/>
      <c r="AX733" s="719"/>
      <c r="AY733" s="719"/>
      <c r="AZ733" s="532"/>
    </row>
    <row r="734" spans="1:52" ht="15.75" hidden="1" customHeight="1">
      <c r="A734" s="716"/>
      <c r="B734" s="735"/>
      <c r="C734" s="789"/>
      <c r="D734" s="719"/>
      <c r="E734" s="719"/>
      <c r="F734" s="720"/>
      <c r="G734" s="721">
        <v>31</v>
      </c>
      <c r="H734" s="719"/>
      <c r="I734" s="722">
        <f>SUM(G734:G752)</f>
        <v>429</v>
      </c>
      <c r="J734" s="727">
        <f>C735-1</f>
        <v>48170</v>
      </c>
      <c r="K734" s="719" t="s">
        <v>1102</v>
      </c>
      <c r="L734" s="719"/>
      <c r="M734" s="719"/>
      <c r="N734" s="726"/>
      <c r="O734" s="726"/>
      <c r="P734" s="726"/>
      <c r="Q734" s="719"/>
      <c r="R734" s="719"/>
      <c r="S734" s="719">
        <f t="shared" si="171"/>
        <v>30.930000000000291</v>
      </c>
      <c r="T734" s="719"/>
      <c r="U734" s="719"/>
      <c r="V734" s="719"/>
      <c r="W734" s="719"/>
      <c r="X734" s="719"/>
      <c r="Y734" s="719"/>
      <c r="Z734" s="719"/>
      <c r="AA734" s="719"/>
      <c r="AB734" s="719"/>
      <c r="AC734" s="719"/>
      <c r="AD734" s="719"/>
      <c r="AE734" s="719"/>
      <c r="AF734" s="719"/>
      <c r="AG734" s="789"/>
      <c r="AH734" s="719"/>
      <c r="AI734" s="719"/>
      <c r="AJ734" s="719"/>
      <c r="AK734" s="719"/>
      <c r="AL734" s="719"/>
      <c r="AM734" s="719"/>
      <c r="AN734" s="719"/>
      <c r="AO734" s="719"/>
      <c r="AP734" s="719"/>
      <c r="AQ734" s="724">
        <f>+FL_2($T$735,$T$733,$G$734,1200,9.28, 1*$F$735)</f>
        <v>-0.30000000000003235</v>
      </c>
      <c r="AR734" s="724"/>
      <c r="AS734" s="724"/>
      <c r="AT734" s="724"/>
      <c r="AU734" s="724"/>
      <c r="AV734" s="724"/>
      <c r="AW734" s="719"/>
      <c r="AX734" s="719"/>
      <c r="AY734" s="719"/>
      <c r="AZ734" s="532"/>
    </row>
    <row r="735" spans="1:52" ht="15.75" customHeight="1">
      <c r="A735" s="716"/>
      <c r="B735" s="741" t="s">
        <v>2021</v>
      </c>
      <c r="C735" s="789">
        <f>+$C$733+$G$734</f>
        <v>48171</v>
      </c>
      <c r="D735" s="719"/>
      <c r="E735" s="719">
        <v>-20</v>
      </c>
      <c r="F735" s="720">
        <v>-450</v>
      </c>
      <c r="G735" s="721"/>
      <c r="H735" s="719" t="s">
        <v>1101</v>
      </c>
      <c r="I735" s="722"/>
      <c r="J735" s="723"/>
      <c r="K735" s="719"/>
      <c r="L735" s="719" t="s">
        <v>241</v>
      </c>
      <c r="M735" s="719"/>
      <c r="N735" s="726" t="s">
        <v>695</v>
      </c>
      <c r="O735" s="726"/>
      <c r="P735" s="726"/>
      <c r="Q735" s="719">
        <v>-22</v>
      </c>
      <c r="R735" s="719">
        <v>-450</v>
      </c>
      <c r="S735" s="719"/>
      <c r="T735" s="719">
        <v>-30</v>
      </c>
      <c r="U735" s="719"/>
      <c r="V735" s="719"/>
      <c r="W735" s="719">
        <v>1.4</v>
      </c>
      <c r="X735" s="719"/>
      <c r="Y735" s="719"/>
      <c r="Z735" s="719"/>
      <c r="AA735" s="719"/>
      <c r="AB735" s="719"/>
      <c r="AC735" s="719" t="s">
        <v>3003</v>
      </c>
      <c r="AD735" s="719"/>
      <c r="AE735" s="719"/>
      <c r="AF735" s="719">
        <v>300</v>
      </c>
      <c r="AG735" s="789">
        <v>48170.93</v>
      </c>
      <c r="AH735" s="719">
        <v>1484</v>
      </c>
      <c r="AI735" s="719">
        <v>-4745</v>
      </c>
      <c r="AJ735" s="719"/>
      <c r="AK735" s="719"/>
      <c r="AL735" s="719"/>
      <c r="AM735" s="719" t="s">
        <v>2609</v>
      </c>
      <c r="AN735" s="719">
        <v>5.25</v>
      </c>
      <c r="AO735" s="719"/>
      <c r="AP735" s="719"/>
      <c r="AQ735" s="724"/>
      <c r="AR735" s="724"/>
      <c r="AS735" s="724"/>
      <c r="AT735" s="724">
        <f>+ab($T$735,$T$733,$T$737,$G$734,$G$736, 1*$F$735,1200)</f>
        <v>-2.7833471703478398</v>
      </c>
      <c r="AU735" s="724"/>
      <c r="AV735" s="724"/>
      <c r="AW735" s="719"/>
      <c r="AX735" s="719"/>
      <c r="AY735" s="719"/>
      <c r="AZ735" s="532"/>
    </row>
    <row r="736" spans="1:52" ht="15.75" hidden="1" customHeight="1">
      <c r="A736" s="716"/>
      <c r="B736" s="735"/>
      <c r="C736" s="789"/>
      <c r="D736" s="719"/>
      <c r="E736" s="719"/>
      <c r="F736" s="720"/>
      <c r="G736" s="721">
        <v>31</v>
      </c>
      <c r="H736" s="726"/>
      <c r="I736" s="722"/>
      <c r="J736" s="723"/>
      <c r="K736" s="719"/>
      <c r="L736" s="719"/>
      <c r="M736" s="719"/>
      <c r="N736" s="726"/>
      <c r="O736" s="726"/>
      <c r="P736" s="726"/>
      <c r="Q736" s="719"/>
      <c r="R736" s="719"/>
      <c r="S736" s="719">
        <f t="shared" si="171"/>
        <v>32.970000000001164</v>
      </c>
      <c r="T736" s="719"/>
      <c r="U736" s="719"/>
      <c r="V736" s="719"/>
      <c r="W736" s="719"/>
      <c r="X736" s="719"/>
      <c r="Y736" s="719"/>
      <c r="Z736" s="719"/>
      <c r="AA736" s="719"/>
      <c r="AB736" s="719"/>
      <c r="AC736" s="719"/>
      <c r="AD736" s="719"/>
      <c r="AE736" s="719"/>
      <c r="AF736" s="719"/>
      <c r="AG736" s="789"/>
      <c r="AH736" s="719"/>
      <c r="AI736" s="719"/>
      <c r="AJ736" s="719"/>
      <c r="AK736" s="719"/>
      <c r="AL736" s="719"/>
      <c r="AM736" s="719"/>
      <c r="AN736" s="719"/>
      <c r="AO736" s="719"/>
      <c r="AP736" s="719"/>
      <c r="AQ736" s="724">
        <f>+FL_2($T$737,$T$735,$G$736,1200,9.28, 1*$F$737)</f>
        <v>-0.30000000000003235</v>
      </c>
      <c r="AR736" s="724"/>
      <c r="AS736" s="724"/>
      <c r="AT736" s="724"/>
      <c r="AU736" s="724"/>
      <c r="AV736" s="724"/>
      <c r="AW736" s="719"/>
      <c r="AX736" s="719"/>
      <c r="AY736" s="719"/>
      <c r="AZ736" s="532"/>
    </row>
    <row r="737" spans="1:52" ht="15.75" hidden="1" customHeight="1">
      <c r="A737" s="716"/>
      <c r="B737" s="741" t="s">
        <v>2022</v>
      </c>
      <c r="C737" s="789">
        <f>+$C$735+$G$736</f>
        <v>48202</v>
      </c>
      <c r="D737" s="719"/>
      <c r="E737" s="719">
        <v>-20</v>
      </c>
      <c r="F737" s="720">
        <v>-450</v>
      </c>
      <c r="G737" s="721"/>
      <c r="H737" s="726"/>
      <c r="I737" s="722"/>
      <c r="J737" s="762"/>
      <c r="K737" s="719"/>
      <c r="L737" s="719" t="s">
        <v>241</v>
      </c>
      <c r="M737" s="719"/>
      <c r="N737" s="726" t="s">
        <v>695</v>
      </c>
      <c r="O737" s="726"/>
      <c r="P737" s="726"/>
      <c r="Q737" s="719">
        <v>-15</v>
      </c>
      <c r="R737" s="719">
        <v>-630.47</v>
      </c>
      <c r="S737" s="719"/>
      <c r="T737" s="719">
        <v>-30</v>
      </c>
      <c r="U737" s="719"/>
      <c r="V737" s="719"/>
      <c r="W737" s="719">
        <v>1</v>
      </c>
      <c r="X737" s="719"/>
      <c r="Y737" s="719"/>
      <c r="Z737" s="719"/>
      <c r="AA737" s="719"/>
      <c r="AB737" s="719"/>
      <c r="AC737" s="719" t="s">
        <v>3003</v>
      </c>
      <c r="AD737" s="719"/>
      <c r="AE737" s="719"/>
      <c r="AF737" s="719">
        <v>700</v>
      </c>
      <c r="AG737" s="789">
        <v>48203.9</v>
      </c>
      <c r="AH737" s="719">
        <v>1368</v>
      </c>
      <c r="AI737" s="719">
        <v>-4625</v>
      </c>
      <c r="AJ737" s="719"/>
      <c r="AK737" s="719"/>
      <c r="AL737" s="719"/>
      <c r="AM737" s="719" t="s">
        <v>2609</v>
      </c>
      <c r="AN737" s="719">
        <v>5.25</v>
      </c>
      <c r="AO737" s="719"/>
      <c r="AP737" s="719"/>
      <c r="AQ737" s="724"/>
      <c r="AR737" s="724"/>
      <c r="AS737" s="724"/>
      <c r="AT737" s="724">
        <f>+ab($T$737,$T$735,$T$739,$G$736,$G$738, 1*$F$737,1200)</f>
        <v>-2.1345545404917674</v>
      </c>
      <c r="AU737" s="724"/>
      <c r="AV737" s="724"/>
      <c r="AW737" s="719"/>
      <c r="AX737" s="719"/>
      <c r="AY737" s="719"/>
      <c r="AZ737" s="532"/>
    </row>
    <row r="738" spans="1:52" ht="15.75" hidden="1" customHeight="1">
      <c r="A738" s="716"/>
      <c r="B738" s="735"/>
      <c r="C738" s="789"/>
      <c r="D738" s="719"/>
      <c r="E738" s="719"/>
      <c r="F738" s="720"/>
      <c r="G738" s="721">
        <v>31</v>
      </c>
      <c r="H738" s="726"/>
      <c r="I738" s="726"/>
      <c r="J738" s="762"/>
      <c r="K738" s="719"/>
      <c r="L738" s="719"/>
      <c r="M738" s="719"/>
      <c r="N738" s="726"/>
      <c r="O738" s="726"/>
      <c r="P738" s="726"/>
      <c r="Q738" s="719"/>
      <c r="R738" s="719"/>
      <c r="S738" s="719">
        <f t="shared" si="171"/>
        <v>29.309999999997672</v>
      </c>
      <c r="T738" s="719"/>
      <c r="U738" s="719"/>
      <c r="V738" s="719"/>
      <c r="W738" s="721"/>
      <c r="X738" s="719"/>
      <c r="Y738" s="719"/>
      <c r="Z738" s="719"/>
      <c r="AA738" s="719"/>
      <c r="AB738" s="719"/>
      <c r="AC738" s="719"/>
      <c r="AD738" s="719"/>
      <c r="AE738" s="719"/>
      <c r="AF738" s="719"/>
      <c r="AG738" s="789"/>
      <c r="AH738" s="719"/>
      <c r="AI738" s="719"/>
      <c r="AJ738" s="719"/>
      <c r="AK738" s="719"/>
      <c r="AL738" s="720"/>
      <c r="AM738" s="719"/>
      <c r="AN738" s="719"/>
      <c r="AO738" s="719"/>
      <c r="AP738" s="719"/>
      <c r="AQ738" s="724">
        <f>+FL_1($T$739,$T$737,$G$738,1200,9.28, 1*$F$739)</f>
        <v>0.35</v>
      </c>
      <c r="AR738" s="724"/>
      <c r="AS738" s="724"/>
      <c r="AT738" s="724"/>
      <c r="AU738" s="724"/>
      <c r="AV738" s="724"/>
      <c r="AW738" s="720"/>
      <c r="AX738" s="720"/>
      <c r="AY738" s="720"/>
      <c r="AZ738" s="532"/>
    </row>
    <row r="739" spans="1:52" ht="15.75" hidden="1" customHeight="1">
      <c r="A739" s="716"/>
      <c r="B739" s="741" t="s">
        <v>2023</v>
      </c>
      <c r="C739" s="789">
        <f>+$C$737+$G$738</f>
        <v>48233</v>
      </c>
      <c r="D739" s="719"/>
      <c r="E739" s="719"/>
      <c r="F739" s="720">
        <v>0</v>
      </c>
      <c r="G739" s="721"/>
      <c r="H739" s="726"/>
      <c r="I739" s="722" t="s">
        <v>2053</v>
      </c>
      <c r="J739" s="723">
        <f>C739</f>
        <v>48233</v>
      </c>
      <c r="K739" s="719" t="s">
        <v>1102</v>
      </c>
      <c r="L739" s="719" t="s">
        <v>2999</v>
      </c>
      <c r="M739" s="719"/>
      <c r="N739" s="726" t="s">
        <v>696</v>
      </c>
      <c r="O739" s="726"/>
      <c r="P739" s="726"/>
      <c r="Q739" s="719">
        <v>0</v>
      </c>
      <c r="R739" s="719">
        <v>0</v>
      </c>
      <c r="S739" s="719"/>
      <c r="T739" s="719">
        <v>35</v>
      </c>
      <c r="U739" s="719"/>
      <c r="V739" s="719"/>
      <c r="W739" s="721">
        <v>1</v>
      </c>
      <c r="X739" s="719"/>
      <c r="Y739" s="719"/>
      <c r="Z739" s="719"/>
      <c r="AA739" s="719"/>
      <c r="AB739" s="719"/>
      <c r="AC739" s="719" t="s">
        <v>2977</v>
      </c>
      <c r="AD739" s="719"/>
      <c r="AE739" s="719"/>
      <c r="AF739" s="719">
        <v>400</v>
      </c>
      <c r="AG739" s="789">
        <v>48233.21</v>
      </c>
      <c r="AH739" s="719">
        <v>2256</v>
      </c>
      <c r="AI739" s="719">
        <v>-4823</v>
      </c>
      <c r="AJ739" s="719"/>
      <c r="AK739" s="719"/>
      <c r="AL739" s="720"/>
      <c r="AM739" s="719" t="s">
        <v>2610</v>
      </c>
      <c r="AN739" s="719">
        <v>5.25</v>
      </c>
      <c r="AO739" s="719"/>
      <c r="AP739" s="719"/>
      <c r="AQ739" s="724"/>
      <c r="AR739" s="724"/>
      <c r="AS739" s="724"/>
      <c r="AT739" s="724">
        <f>+ab($T$739,$T$737,$T$741,$G$738,$G$740, 1*$F$739,1200)</f>
        <v>5.0854606474094242</v>
      </c>
      <c r="AU739" s="724"/>
      <c r="AV739" s="724"/>
      <c r="AW739" s="720"/>
      <c r="AX739" s="720"/>
      <c r="AY739" s="720"/>
      <c r="AZ739" s="532"/>
    </row>
    <row r="740" spans="1:52" ht="15.75" hidden="1" customHeight="1">
      <c r="A740" s="716"/>
      <c r="B740" s="735"/>
      <c r="C740" s="789"/>
      <c r="D740" s="719"/>
      <c r="E740" s="719"/>
      <c r="F740" s="720"/>
      <c r="G740" s="721">
        <v>42</v>
      </c>
      <c r="H740" s="726"/>
      <c r="I740" s="726"/>
      <c r="J740" s="762"/>
      <c r="K740" s="719"/>
      <c r="L740" s="719"/>
      <c r="M740" s="719"/>
      <c r="N740" s="726"/>
      <c r="O740" s="726"/>
      <c r="P740" s="726"/>
      <c r="Q740" s="719"/>
      <c r="R740" s="719"/>
      <c r="S740" s="719">
        <f t="shared" si="171"/>
        <v>41.599999999998545</v>
      </c>
      <c r="T740" s="719"/>
      <c r="U740" s="719"/>
      <c r="V740" s="719"/>
      <c r="W740" s="721"/>
      <c r="X740" s="719"/>
      <c r="Y740" s="719"/>
      <c r="Z740" s="719"/>
      <c r="AA740" s="719"/>
      <c r="AB740" s="719"/>
      <c r="AC740" s="719"/>
      <c r="AD740" s="719"/>
      <c r="AE740" s="719"/>
      <c r="AF740" s="719"/>
      <c r="AG740" s="789"/>
      <c r="AH740" s="719"/>
      <c r="AI740" s="719"/>
      <c r="AJ740" s="719"/>
      <c r="AK740" s="719"/>
      <c r="AL740" s="720"/>
      <c r="AM740" s="719"/>
      <c r="AN740" s="719"/>
      <c r="AO740" s="719"/>
      <c r="AP740" s="719"/>
      <c r="AQ740" s="724">
        <f>+FL_1($T$741,$T$739,$G$740,1200,9.28, 1*$F$741)</f>
        <v>0.35</v>
      </c>
      <c r="AR740" s="724"/>
      <c r="AS740" s="724"/>
      <c r="AT740" s="724"/>
      <c r="AU740" s="724"/>
      <c r="AV740" s="724"/>
      <c r="AW740" s="720"/>
      <c r="AX740" s="720"/>
      <c r="AY740" s="720"/>
      <c r="AZ740" s="532"/>
    </row>
    <row r="741" spans="1:52" ht="15.75" hidden="1" customHeight="1">
      <c r="A741" s="716"/>
      <c r="B741" s="741" t="s">
        <v>2024</v>
      </c>
      <c r="C741" s="789">
        <f>+$C$739+$G$740</f>
        <v>48275</v>
      </c>
      <c r="D741" s="719"/>
      <c r="E741" s="719"/>
      <c r="F741" s="720">
        <v>0</v>
      </c>
      <c r="G741" s="721"/>
      <c r="H741" s="726"/>
      <c r="I741" s="726"/>
      <c r="J741" s="762"/>
      <c r="K741" s="719"/>
      <c r="L741" s="719" t="s">
        <v>2999</v>
      </c>
      <c r="M741" s="719"/>
      <c r="N741" s="726" t="s">
        <v>695</v>
      </c>
      <c r="O741" s="726"/>
      <c r="P741" s="726"/>
      <c r="Q741" s="719">
        <v>0</v>
      </c>
      <c r="R741" s="719">
        <v>0</v>
      </c>
      <c r="S741" s="719"/>
      <c r="T741" s="719">
        <v>-35</v>
      </c>
      <c r="U741" s="719"/>
      <c r="V741" s="719"/>
      <c r="W741" s="721">
        <v>1</v>
      </c>
      <c r="X741" s="719"/>
      <c r="Y741" s="719"/>
      <c r="Z741" s="719"/>
      <c r="AA741" s="719"/>
      <c r="AB741" s="719"/>
      <c r="AC741" s="719" t="s">
        <v>2978</v>
      </c>
      <c r="AD741" s="719"/>
      <c r="AE741" s="719"/>
      <c r="AF741" s="719">
        <v>400</v>
      </c>
      <c r="AG741" s="789">
        <v>48274.81</v>
      </c>
      <c r="AH741" s="719">
        <v>2239</v>
      </c>
      <c r="AI741" s="719">
        <v>-4829</v>
      </c>
      <c r="AJ741" s="719"/>
      <c r="AK741" s="719"/>
      <c r="AL741" s="720"/>
      <c r="AM741" s="719" t="s">
        <v>2610</v>
      </c>
      <c r="AN741" s="719">
        <v>5.25</v>
      </c>
      <c r="AO741" s="719"/>
      <c r="AP741" s="719"/>
      <c r="AQ741" s="724"/>
      <c r="AR741" s="724"/>
      <c r="AS741" s="724"/>
      <c r="AT741" s="724">
        <f>+ab($T$741,$T$739,$T$743,$G$740,$G$742, 1*$F$741,1200)</f>
        <v>-5.8700417230027524</v>
      </c>
      <c r="AU741" s="724"/>
      <c r="AV741" s="724"/>
      <c r="AW741" s="720"/>
      <c r="AX741" s="720"/>
      <c r="AY741" s="720"/>
      <c r="AZ741" s="532"/>
    </row>
    <row r="742" spans="1:52" ht="15.75" hidden="1" customHeight="1">
      <c r="A742" s="716"/>
      <c r="B742" s="735"/>
      <c r="C742" s="789"/>
      <c r="D742" s="719"/>
      <c r="E742" s="719"/>
      <c r="F742" s="720"/>
      <c r="G742" s="721">
        <v>44</v>
      </c>
      <c r="H742" s="726"/>
      <c r="I742" s="726"/>
      <c r="J742" s="762"/>
      <c r="K742" s="719"/>
      <c r="L742" s="719"/>
      <c r="M742" s="719"/>
      <c r="N742" s="726"/>
      <c r="O742" s="726"/>
      <c r="P742" s="726"/>
      <c r="Q742" s="719"/>
      <c r="R742" s="719"/>
      <c r="S742" s="719">
        <f t="shared" si="171"/>
        <v>44.080000000001746</v>
      </c>
      <c r="T742" s="719"/>
      <c r="U742" s="719"/>
      <c r="V742" s="719"/>
      <c r="W742" s="721"/>
      <c r="X742" s="719"/>
      <c r="Y742" s="719"/>
      <c r="Z742" s="719"/>
      <c r="AA742" s="719"/>
      <c r="AB742" s="719"/>
      <c r="AC742" s="719"/>
      <c r="AD742" s="719"/>
      <c r="AE742" s="719"/>
      <c r="AF742" s="719"/>
      <c r="AG742" s="789"/>
      <c r="AH742" s="719"/>
      <c r="AI742" s="719"/>
      <c r="AJ742" s="719"/>
      <c r="AK742" s="719"/>
      <c r="AL742" s="720"/>
      <c r="AM742" s="719"/>
      <c r="AN742" s="719"/>
      <c r="AO742" s="719"/>
      <c r="AP742" s="719"/>
      <c r="AQ742" s="724">
        <f>+FL_1($T$743,$T$741,$G$742,1200,9.28, 1*$F$743)</f>
        <v>0.35078837199999996</v>
      </c>
      <c r="AR742" s="724"/>
      <c r="AS742" s="724"/>
      <c r="AT742" s="724"/>
      <c r="AU742" s="724"/>
      <c r="AV742" s="724"/>
      <c r="AW742" s="720"/>
      <c r="AX742" s="720"/>
      <c r="AY742" s="720"/>
      <c r="AZ742" s="532"/>
    </row>
    <row r="743" spans="1:52" ht="15.75" hidden="1" customHeight="1">
      <c r="A743" s="716"/>
      <c r="B743" s="741" t="s">
        <v>2025</v>
      </c>
      <c r="C743" s="789">
        <f>+$C$741+$G$742</f>
        <v>48319</v>
      </c>
      <c r="D743" s="719"/>
      <c r="E743" s="719"/>
      <c r="F743" s="720">
        <v>0</v>
      </c>
      <c r="G743" s="721"/>
      <c r="H743" s="726"/>
      <c r="I743" s="726"/>
      <c r="J743" s="762"/>
      <c r="K743" s="719"/>
      <c r="L743" s="719" t="s">
        <v>2999</v>
      </c>
      <c r="M743" s="719"/>
      <c r="N743" s="726" t="s">
        <v>696</v>
      </c>
      <c r="O743" s="726"/>
      <c r="P743" s="726"/>
      <c r="Q743" s="719">
        <v>0</v>
      </c>
      <c r="R743" s="719">
        <v>0</v>
      </c>
      <c r="S743" s="719"/>
      <c r="T743" s="719">
        <v>35</v>
      </c>
      <c r="U743" s="719"/>
      <c r="V743" s="719"/>
      <c r="W743" s="721">
        <v>1</v>
      </c>
      <c r="X743" s="719"/>
      <c r="Y743" s="719"/>
      <c r="Z743" s="719"/>
      <c r="AA743" s="719"/>
      <c r="AB743" s="719"/>
      <c r="AC743" s="719" t="s">
        <v>2977</v>
      </c>
      <c r="AD743" s="719"/>
      <c r="AE743" s="719"/>
      <c r="AF743" s="719">
        <v>400</v>
      </c>
      <c r="AG743" s="789">
        <v>48318.89</v>
      </c>
      <c r="AH743" s="719">
        <v>2218</v>
      </c>
      <c r="AI743" s="719">
        <v>-4821</v>
      </c>
      <c r="AJ743" s="719"/>
      <c r="AK743" s="719"/>
      <c r="AL743" s="719"/>
      <c r="AM743" s="719" t="s">
        <v>2610</v>
      </c>
      <c r="AN743" s="719">
        <v>5.25</v>
      </c>
      <c r="AO743" s="719"/>
      <c r="AP743" s="719"/>
      <c r="AQ743" s="724"/>
      <c r="AR743" s="724"/>
      <c r="AS743" s="724"/>
      <c r="AT743" s="724">
        <f>+ab($T$743,$T$741,$T$745,$G$742,$G$744, 1*$F$743,1200)</f>
        <v>6.1412963126694589</v>
      </c>
      <c r="AU743" s="724"/>
      <c r="AV743" s="724"/>
      <c r="AW743" s="719"/>
      <c r="AX743" s="719"/>
      <c r="AY743" s="719"/>
      <c r="AZ743" s="532"/>
    </row>
    <row r="744" spans="1:52" ht="15.75" hidden="1" customHeight="1">
      <c r="A744" s="716"/>
      <c r="B744" s="735"/>
      <c r="C744" s="789"/>
      <c r="D744" s="719"/>
      <c r="E744" s="719"/>
      <c r="F744" s="720"/>
      <c r="G744" s="721">
        <v>46</v>
      </c>
      <c r="H744" s="726"/>
      <c r="I744" s="726"/>
      <c r="J744" s="762"/>
      <c r="K744" s="719"/>
      <c r="L744" s="719"/>
      <c r="M744" s="719"/>
      <c r="N744" s="726"/>
      <c r="O744" s="719"/>
      <c r="P744" s="726"/>
      <c r="Q744" s="719"/>
      <c r="R744" s="719"/>
      <c r="S744" s="719">
        <f t="shared" si="171"/>
        <v>46.489999999997963</v>
      </c>
      <c r="T744" s="719"/>
      <c r="U744" s="719"/>
      <c r="V744" s="719"/>
      <c r="W744" s="721"/>
      <c r="X744" s="719"/>
      <c r="Y744" s="719"/>
      <c r="Z744" s="719"/>
      <c r="AA744" s="719"/>
      <c r="AB744" s="719"/>
      <c r="AC744" s="719"/>
      <c r="AD744" s="719"/>
      <c r="AE744" s="719"/>
      <c r="AF744" s="719"/>
      <c r="AG744" s="789"/>
      <c r="AH744" s="719"/>
      <c r="AI744" s="719"/>
      <c r="AJ744" s="719"/>
      <c r="AK744" s="719"/>
      <c r="AL744" s="719"/>
      <c r="AM744" s="719"/>
      <c r="AN744" s="719"/>
      <c r="AO744" s="719"/>
      <c r="AP744" s="719"/>
      <c r="AQ744" s="724">
        <f>+FL_1($T$745,$T$743,$G$744,1200,9.28, 1*$F$745)</f>
        <v>0.35426799953623195</v>
      </c>
      <c r="AR744" s="724"/>
      <c r="AS744" s="724"/>
      <c r="AT744" s="724"/>
      <c r="AU744" s="724"/>
      <c r="AV744" s="724"/>
      <c r="AW744" s="719"/>
      <c r="AX744" s="719"/>
      <c r="AY744" s="719"/>
      <c r="AZ744" s="532"/>
    </row>
    <row r="745" spans="1:52" ht="15.75" hidden="1" customHeight="1">
      <c r="A745" s="716"/>
      <c r="B745" s="741" t="s">
        <v>2026</v>
      </c>
      <c r="C745" s="789">
        <f>+$C$743+$G$744</f>
        <v>48365</v>
      </c>
      <c r="D745" s="719"/>
      <c r="E745" s="719"/>
      <c r="F745" s="720">
        <v>0</v>
      </c>
      <c r="G745" s="721"/>
      <c r="H745" s="726"/>
      <c r="I745" s="726"/>
      <c r="J745" s="762"/>
      <c r="K745" s="719"/>
      <c r="L745" s="719" t="s">
        <v>2999</v>
      </c>
      <c r="M745" s="719"/>
      <c r="N745" s="726" t="s">
        <v>695</v>
      </c>
      <c r="O745" s="719"/>
      <c r="P745" s="726"/>
      <c r="Q745" s="719">
        <v>0</v>
      </c>
      <c r="R745" s="719">
        <v>0</v>
      </c>
      <c r="S745" s="719"/>
      <c r="T745" s="719">
        <v>-35</v>
      </c>
      <c r="U745" s="719"/>
      <c r="V745" s="719"/>
      <c r="W745" s="721">
        <v>1</v>
      </c>
      <c r="X745" s="719"/>
      <c r="Y745" s="719"/>
      <c r="Z745" s="719"/>
      <c r="AA745" s="719"/>
      <c r="AB745" s="719"/>
      <c r="AC745" s="719" t="s">
        <v>2978</v>
      </c>
      <c r="AD745" s="719"/>
      <c r="AE745" s="719"/>
      <c r="AF745" s="719">
        <v>400</v>
      </c>
      <c r="AG745" s="789">
        <v>48365.38</v>
      </c>
      <c r="AH745" s="719">
        <v>2228</v>
      </c>
      <c r="AI745" s="719">
        <v>-4813</v>
      </c>
      <c r="AJ745" s="719"/>
      <c r="AK745" s="719"/>
      <c r="AL745" s="719"/>
      <c r="AM745" s="719" t="s">
        <v>2610</v>
      </c>
      <c r="AN745" s="719">
        <v>5.25</v>
      </c>
      <c r="AO745" s="719"/>
      <c r="AP745" s="719"/>
      <c r="AQ745" s="724"/>
      <c r="AR745" s="724"/>
      <c r="AS745" s="724"/>
      <c r="AT745" s="724">
        <f>+ab($T$745,$T$743,$T$747,$G$744,$G$746, 1*$F$745,1200)</f>
        <v>-6.6007007664408972</v>
      </c>
      <c r="AU745" s="724"/>
      <c r="AV745" s="724"/>
      <c r="AW745" s="719"/>
      <c r="AX745" s="719"/>
      <c r="AY745" s="719"/>
      <c r="AZ745" s="532"/>
    </row>
    <row r="746" spans="1:52" ht="15.75" hidden="1" customHeight="1">
      <c r="A746" s="716"/>
      <c r="B746" s="735"/>
      <c r="C746" s="789"/>
      <c r="D746" s="719"/>
      <c r="E746" s="719"/>
      <c r="F746" s="720"/>
      <c r="G746" s="721">
        <v>51</v>
      </c>
      <c r="H746" s="726"/>
      <c r="I746" s="726"/>
      <c r="J746" s="762"/>
      <c r="K746" s="719"/>
      <c r="L746" s="719"/>
      <c r="M746" s="719"/>
      <c r="N746" s="726"/>
      <c r="O746" s="726"/>
      <c r="P746" s="726"/>
      <c r="Q746" s="719"/>
      <c r="R746" s="719"/>
      <c r="S746" s="719">
        <f t="shared" si="171"/>
        <v>51.350000000005821</v>
      </c>
      <c r="T746" s="719"/>
      <c r="U746" s="719"/>
      <c r="V746" s="719"/>
      <c r="W746" s="721"/>
      <c r="X746" s="719"/>
      <c r="Y746" s="719"/>
      <c r="Z746" s="719"/>
      <c r="AA746" s="719"/>
      <c r="AB746" s="719"/>
      <c r="AC746" s="719"/>
      <c r="AD746" s="719"/>
      <c r="AE746" s="719"/>
      <c r="AF746" s="719"/>
      <c r="AG746" s="789"/>
      <c r="AH746" s="719"/>
      <c r="AI746" s="719"/>
      <c r="AJ746" s="719"/>
      <c r="AK746" s="719"/>
      <c r="AL746" s="720"/>
      <c r="AM746" s="719"/>
      <c r="AN746" s="719"/>
      <c r="AO746" s="719"/>
      <c r="AP746" s="719"/>
      <c r="AQ746" s="724">
        <f>+FL_1($T$747,$T$745,$G$746,1200,9.28, 1*$F$747)</f>
        <v>0.37323328431372549</v>
      </c>
      <c r="AR746" s="724"/>
      <c r="AS746" s="724"/>
      <c r="AT746" s="724"/>
      <c r="AU746" s="724"/>
      <c r="AV746" s="724"/>
      <c r="AW746" s="720"/>
      <c r="AX746" s="720"/>
      <c r="AY746" s="720"/>
      <c r="AZ746" s="532"/>
    </row>
    <row r="747" spans="1:52" ht="15.75" hidden="1" customHeight="1">
      <c r="A747" s="716"/>
      <c r="B747" s="741" t="s">
        <v>2027</v>
      </c>
      <c r="C747" s="789">
        <f>+$C$745+$G$746</f>
        <v>48416</v>
      </c>
      <c r="D747" s="719"/>
      <c r="E747" s="719"/>
      <c r="F747" s="720">
        <v>0</v>
      </c>
      <c r="G747" s="721"/>
      <c r="H747" s="726"/>
      <c r="I747" s="726"/>
      <c r="J747" s="762"/>
      <c r="K747" s="719"/>
      <c r="L747" s="719" t="s">
        <v>2999</v>
      </c>
      <c r="M747" s="719"/>
      <c r="N747" s="726" t="s">
        <v>696</v>
      </c>
      <c r="O747" s="726"/>
      <c r="P747" s="726"/>
      <c r="Q747" s="719">
        <v>0</v>
      </c>
      <c r="R747" s="719">
        <v>0</v>
      </c>
      <c r="S747" s="719"/>
      <c r="T747" s="719">
        <v>35</v>
      </c>
      <c r="U747" s="719"/>
      <c r="V747" s="719"/>
      <c r="W747" s="721">
        <v>1</v>
      </c>
      <c r="X747" s="719"/>
      <c r="Y747" s="719"/>
      <c r="Z747" s="719"/>
      <c r="AA747" s="719"/>
      <c r="AB747" s="719"/>
      <c r="AC747" s="719" t="s">
        <v>2977</v>
      </c>
      <c r="AD747" s="719"/>
      <c r="AE747" s="719"/>
      <c r="AF747" s="719">
        <v>400</v>
      </c>
      <c r="AG747" s="789">
        <v>48416.73</v>
      </c>
      <c r="AH747" s="719">
        <v>2201</v>
      </c>
      <c r="AI747" s="719">
        <v>-4802</v>
      </c>
      <c r="AJ747" s="719"/>
      <c r="AK747" s="719"/>
      <c r="AL747" s="720"/>
      <c r="AM747" s="719" t="s">
        <v>2610</v>
      </c>
      <c r="AN747" s="719">
        <v>5.25</v>
      </c>
      <c r="AO747" s="719"/>
      <c r="AP747" s="719"/>
      <c r="AQ747" s="724"/>
      <c r="AR747" s="724"/>
      <c r="AS747" s="724"/>
      <c r="AT747" s="724">
        <f>+ab($T$747,$T$745,$T$749,$G$746,$G$748, 1*$F$747,1200)</f>
        <v>6.955984788150201</v>
      </c>
      <c r="AU747" s="724"/>
      <c r="AV747" s="724"/>
      <c r="AW747" s="720"/>
      <c r="AX747" s="720"/>
      <c r="AY747" s="720"/>
      <c r="AZ747" s="532"/>
    </row>
    <row r="748" spans="1:52" ht="15.75" hidden="1" customHeight="1">
      <c r="A748" s="716"/>
      <c r="B748" s="735"/>
      <c r="C748" s="789"/>
      <c r="D748" s="719"/>
      <c r="E748" s="719"/>
      <c r="F748" s="720"/>
      <c r="G748" s="721">
        <v>51</v>
      </c>
      <c r="H748" s="726"/>
      <c r="I748" s="726"/>
      <c r="J748" s="762"/>
      <c r="K748" s="719"/>
      <c r="L748" s="719"/>
      <c r="M748" s="719"/>
      <c r="N748" s="726"/>
      <c r="O748" s="726"/>
      <c r="P748" s="726"/>
      <c r="Q748" s="719"/>
      <c r="R748" s="719"/>
      <c r="S748" s="719">
        <f t="shared" si="171"/>
        <v>50.189999999995052</v>
      </c>
      <c r="T748" s="719"/>
      <c r="U748" s="719"/>
      <c r="V748" s="719"/>
      <c r="W748" s="721"/>
      <c r="X748" s="719"/>
      <c r="Y748" s="719"/>
      <c r="Z748" s="719"/>
      <c r="AA748" s="719"/>
      <c r="AB748" s="719"/>
      <c r="AC748" s="719"/>
      <c r="AD748" s="719"/>
      <c r="AE748" s="719"/>
      <c r="AF748" s="719"/>
      <c r="AG748" s="789"/>
      <c r="AH748" s="719"/>
      <c r="AI748" s="719"/>
      <c r="AJ748" s="719"/>
      <c r="AK748" s="719"/>
      <c r="AL748" s="720"/>
      <c r="AM748" s="719"/>
      <c r="AN748" s="719"/>
      <c r="AO748" s="719"/>
      <c r="AP748" s="719"/>
      <c r="AQ748" s="724">
        <f>+FL_2($T$749,$T$747,$G$748,1200,9.28, 1*$F$749)</f>
        <v>-0.37323328431372549</v>
      </c>
      <c r="AR748" s="724"/>
      <c r="AS748" s="724"/>
      <c r="AT748" s="724"/>
      <c r="AU748" s="724"/>
      <c r="AV748" s="724"/>
      <c r="AW748" s="720"/>
      <c r="AX748" s="720"/>
      <c r="AY748" s="720"/>
      <c r="AZ748" s="532"/>
    </row>
    <row r="749" spans="1:52" ht="15.75" hidden="1" customHeight="1">
      <c r="A749" s="716"/>
      <c r="B749" s="741" t="s">
        <v>2028</v>
      </c>
      <c r="C749" s="789">
        <f>+$C$747+$G$748</f>
        <v>48467</v>
      </c>
      <c r="D749" s="719"/>
      <c r="E749" s="719"/>
      <c r="F749" s="720">
        <v>0</v>
      </c>
      <c r="G749" s="721"/>
      <c r="H749" s="726"/>
      <c r="I749" s="726"/>
      <c r="J749" s="762"/>
      <c r="K749" s="719"/>
      <c r="L749" s="719" t="s">
        <v>2999</v>
      </c>
      <c r="M749" s="719"/>
      <c r="N749" s="726" t="s">
        <v>695</v>
      </c>
      <c r="O749" s="726"/>
      <c r="P749" s="726"/>
      <c r="Q749" s="719">
        <v>0</v>
      </c>
      <c r="R749" s="719">
        <v>0</v>
      </c>
      <c r="S749" s="719"/>
      <c r="T749" s="719">
        <v>-35</v>
      </c>
      <c r="U749" s="719"/>
      <c r="V749" s="719"/>
      <c r="W749" s="721">
        <v>1</v>
      </c>
      <c r="X749" s="719"/>
      <c r="Y749" s="719"/>
      <c r="Z749" s="719"/>
      <c r="AA749" s="719"/>
      <c r="AB749" s="719"/>
      <c r="AC749" s="719" t="s">
        <v>2978</v>
      </c>
      <c r="AD749" s="719"/>
      <c r="AE749" s="719"/>
      <c r="AF749" s="719">
        <v>400</v>
      </c>
      <c r="AG749" s="789">
        <v>48466.92</v>
      </c>
      <c r="AH749" s="719">
        <v>2249</v>
      </c>
      <c r="AI749" s="719">
        <v>-4822</v>
      </c>
      <c r="AJ749" s="719"/>
      <c r="AK749" s="719"/>
      <c r="AL749" s="720"/>
      <c r="AM749" s="719" t="s">
        <v>2610</v>
      </c>
      <c r="AN749" s="719">
        <v>5.25</v>
      </c>
      <c r="AO749" s="719"/>
      <c r="AP749" s="719"/>
      <c r="AQ749" s="724"/>
      <c r="AR749" s="724"/>
      <c r="AS749" s="724"/>
      <c r="AT749" s="724">
        <f>+ab($T$749,$T$747,$T$751,$G$748,$G$750, 1*$F$749,1200)</f>
        <v>-7.0884321597779012</v>
      </c>
      <c r="AU749" s="724"/>
      <c r="AV749" s="724"/>
      <c r="AW749" s="720"/>
      <c r="AX749" s="720"/>
      <c r="AY749" s="720"/>
      <c r="AZ749" s="532"/>
    </row>
    <row r="750" spans="1:52" ht="15.75" hidden="1" customHeight="1">
      <c r="A750" s="716"/>
      <c r="B750" s="735"/>
      <c r="C750" s="789"/>
      <c r="D750" s="719"/>
      <c r="E750" s="719"/>
      <c r="F750" s="720"/>
      <c r="G750" s="721">
        <v>53</v>
      </c>
      <c r="H750" s="726"/>
      <c r="I750" s="726"/>
      <c r="J750" s="762"/>
      <c r="K750" s="719"/>
      <c r="L750" s="719"/>
      <c r="M750" s="719"/>
      <c r="N750" s="726"/>
      <c r="O750" s="726"/>
      <c r="P750" s="726"/>
      <c r="Q750" s="719"/>
      <c r="R750" s="719"/>
      <c r="S750" s="719">
        <f t="shared" si="171"/>
        <v>47.75</v>
      </c>
      <c r="T750" s="719"/>
      <c r="U750" s="719"/>
      <c r="V750" s="719"/>
      <c r="W750" s="721"/>
      <c r="X750" s="719"/>
      <c r="Y750" s="719"/>
      <c r="Z750" s="719"/>
      <c r="AA750" s="719"/>
      <c r="AB750" s="719"/>
      <c r="AC750" s="719"/>
      <c r="AD750" s="719"/>
      <c r="AE750" s="719"/>
      <c r="AF750" s="719"/>
      <c r="AG750" s="789"/>
      <c r="AH750" s="719"/>
      <c r="AI750" s="719"/>
      <c r="AJ750" s="719"/>
      <c r="AK750" s="719"/>
      <c r="AL750" s="720"/>
      <c r="AM750" s="720"/>
      <c r="AN750" s="719"/>
      <c r="AO750" s="719"/>
      <c r="AP750" s="719"/>
      <c r="AQ750" s="724">
        <f>+FL_2($T$751,$T$749,$G$750,1200,9.28, 1*$F$751)</f>
        <v>-0.38432069766037741</v>
      </c>
      <c r="AR750" s="724"/>
      <c r="AS750" s="724"/>
      <c r="AT750" s="724"/>
      <c r="AU750" s="724"/>
      <c r="AV750" s="724"/>
      <c r="AW750" s="720"/>
      <c r="AX750" s="720"/>
      <c r="AY750" s="720"/>
      <c r="AZ750" s="532"/>
    </row>
    <row r="751" spans="1:52" ht="15.75" hidden="1" customHeight="1">
      <c r="A751" s="716"/>
      <c r="B751" s="741" t="s">
        <v>2029</v>
      </c>
      <c r="C751" s="789">
        <f>+$C$749+$G$750</f>
        <v>48520</v>
      </c>
      <c r="D751" s="719"/>
      <c r="E751" s="719"/>
      <c r="F751" s="720">
        <v>0</v>
      </c>
      <c r="G751" s="721"/>
      <c r="H751" s="726"/>
      <c r="I751" s="726"/>
      <c r="J751" s="762"/>
      <c r="K751" s="719"/>
      <c r="L751" s="719" t="s">
        <v>2999</v>
      </c>
      <c r="M751" s="719"/>
      <c r="N751" s="726" t="s">
        <v>696</v>
      </c>
      <c r="O751" s="726"/>
      <c r="P751" s="726"/>
      <c r="Q751" s="719">
        <v>0</v>
      </c>
      <c r="R751" s="719">
        <v>0</v>
      </c>
      <c r="S751" s="719"/>
      <c r="T751" s="719">
        <v>35</v>
      </c>
      <c r="U751" s="719"/>
      <c r="V751" s="719"/>
      <c r="W751" s="721">
        <v>1</v>
      </c>
      <c r="X751" s="719"/>
      <c r="Y751" s="719"/>
      <c r="Z751" s="719"/>
      <c r="AA751" s="719"/>
      <c r="AB751" s="719"/>
      <c r="AC751" s="719" t="s">
        <v>2612</v>
      </c>
      <c r="AD751" s="719"/>
      <c r="AE751" s="719"/>
      <c r="AF751" s="719">
        <v>400</v>
      </c>
      <c r="AG751" s="789">
        <v>48514.67</v>
      </c>
      <c r="AH751" s="719">
        <v>2277</v>
      </c>
      <c r="AI751" s="719">
        <v>-4826</v>
      </c>
      <c r="AJ751" s="719"/>
      <c r="AK751" s="719"/>
      <c r="AL751" s="720"/>
      <c r="AM751" s="719" t="s">
        <v>2610</v>
      </c>
      <c r="AN751" s="719">
        <v>5.25</v>
      </c>
      <c r="AO751" s="719"/>
      <c r="AP751" s="719"/>
      <c r="AQ751" s="724"/>
      <c r="AR751" s="724"/>
      <c r="AS751" s="724"/>
      <c r="AT751" s="724">
        <f>+ab($T$751,$T$749,$T$753,$G$750,$G$752, 1*$F$751,1200)</f>
        <v>9.3456302100977116</v>
      </c>
      <c r="AU751" s="724"/>
      <c r="AV751" s="724"/>
      <c r="AW751" s="720"/>
      <c r="AX751" s="720"/>
      <c r="AY751" s="720"/>
      <c r="AZ751" s="532"/>
    </row>
    <row r="752" spans="1:52" ht="15.75" hidden="1" customHeight="1">
      <c r="A752" s="716" t="s">
        <v>2969</v>
      </c>
      <c r="B752" s="735"/>
      <c r="C752" s="789"/>
      <c r="D752" s="719"/>
      <c r="E752" s="719"/>
      <c r="F752" s="720"/>
      <c r="G752" s="721">
        <v>49</v>
      </c>
      <c r="H752" s="726"/>
      <c r="I752" s="726"/>
      <c r="J752" s="762"/>
      <c r="K752" s="719"/>
      <c r="L752" s="719"/>
      <c r="M752" s="719"/>
      <c r="N752" s="726"/>
      <c r="O752" s="726"/>
      <c r="P752" s="726"/>
      <c r="Q752" s="719"/>
      <c r="R752" s="719"/>
      <c r="S752" s="719"/>
      <c r="T752" s="719"/>
      <c r="U752" s="719"/>
      <c r="V752" s="719"/>
      <c r="W752" s="719"/>
      <c r="X752" s="719"/>
      <c r="Y752" s="719"/>
      <c r="Z752" s="719"/>
      <c r="AA752" s="719"/>
      <c r="AB752" s="719"/>
      <c r="AC752" s="719"/>
      <c r="AD752" s="719"/>
      <c r="AE752" s="719"/>
      <c r="AF752" s="719"/>
      <c r="AG752" s="789"/>
      <c r="AH752" s="719"/>
      <c r="AI752" s="719"/>
      <c r="AJ752" s="719" t="s">
        <v>2665</v>
      </c>
      <c r="AK752" s="719"/>
      <c r="AL752" s="720"/>
      <c r="AM752" s="720"/>
      <c r="AN752" s="719"/>
      <c r="AO752" s="719"/>
      <c r="AP752" s="719"/>
      <c r="AQ752" s="724"/>
      <c r="AR752" s="724"/>
      <c r="AS752" s="724"/>
      <c r="AT752" s="724"/>
      <c r="AU752" s="724"/>
      <c r="AV752" s="724"/>
      <c r="AW752" s="720"/>
      <c r="AX752" s="720"/>
      <c r="AY752" s="720"/>
      <c r="AZ752" s="532"/>
    </row>
    <row r="753" spans="1:52" ht="15.75" hidden="1" customHeight="1">
      <c r="A753" s="716" t="s">
        <v>478</v>
      </c>
      <c r="B753" s="741" t="s">
        <v>2646</v>
      </c>
      <c r="C753" s="789">
        <f>+$C$751+$G$752</f>
        <v>48569</v>
      </c>
      <c r="D753" s="719"/>
      <c r="E753" s="719"/>
      <c r="F753" s="720">
        <v>0</v>
      </c>
      <c r="G753" s="721"/>
      <c r="H753" s="726" t="s">
        <v>138</v>
      </c>
      <c r="I753" s="726" t="s">
        <v>2831</v>
      </c>
      <c r="J753" s="762">
        <f>C753</f>
        <v>48569</v>
      </c>
      <c r="K753" s="719" t="s">
        <v>2587</v>
      </c>
      <c r="L753" s="719"/>
      <c r="M753" s="719"/>
      <c r="N753" s="726"/>
      <c r="O753" s="726"/>
      <c r="P753" s="726"/>
      <c r="Q753" s="719"/>
      <c r="R753" s="719"/>
      <c r="S753" s="719"/>
      <c r="T753" s="719"/>
      <c r="U753" s="719"/>
      <c r="V753" s="719"/>
      <c r="W753" s="719"/>
      <c r="X753" s="719"/>
      <c r="Y753" s="719"/>
      <c r="Z753" s="719"/>
      <c r="AA753" s="719"/>
      <c r="AB753" s="719"/>
      <c r="AC753" s="719"/>
      <c r="AD753" s="719"/>
      <c r="AE753" s="719"/>
      <c r="AF753" s="719"/>
      <c r="AG753" s="789"/>
      <c r="AH753" s="719"/>
      <c r="AI753" s="719"/>
      <c r="AJ753" s="719" t="s">
        <v>2456</v>
      </c>
      <c r="AK753" s="719"/>
      <c r="AL753" s="720"/>
      <c r="AM753" s="720"/>
      <c r="AN753" s="719"/>
      <c r="AO753" s="719"/>
      <c r="AP753" s="719"/>
      <c r="AQ753" s="724"/>
      <c r="AR753" s="724"/>
      <c r="AS753" s="724"/>
      <c r="AT753" s="724"/>
      <c r="AU753" s="724"/>
      <c r="AV753" s="724"/>
      <c r="AW753" s="720"/>
      <c r="AX753" s="720"/>
      <c r="AY753" s="720"/>
      <c r="AZ753" s="532"/>
    </row>
    <row r="754" spans="1:52" ht="15.75" hidden="1" customHeight="1">
      <c r="A754" s="716" t="s">
        <v>1136</v>
      </c>
      <c r="B754" s="735"/>
      <c r="C754" s="789"/>
      <c r="D754" s="719"/>
      <c r="E754" s="719"/>
      <c r="F754" s="720"/>
      <c r="G754" s="721"/>
      <c r="H754" s="726"/>
      <c r="I754" s="726"/>
      <c r="J754" s="762"/>
      <c r="K754" s="719"/>
      <c r="L754" s="719"/>
      <c r="M754" s="719"/>
      <c r="N754" s="726"/>
      <c r="O754" s="726"/>
      <c r="P754" s="726"/>
      <c r="Q754" s="719"/>
      <c r="R754" s="719"/>
      <c r="S754" s="719"/>
      <c r="T754" s="719"/>
      <c r="U754" s="719"/>
      <c r="V754" s="719"/>
      <c r="W754" s="719"/>
      <c r="X754" s="719"/>
      <c r="Y754" s="719"/>
      <c r="Z754" s="719"/>
      <c r="AA754" s="719"/>
      <c r="AB754" s="719"/>
      <c r="AC754" s="719"/>
      <c r="AD754" s="719"/>
      <c r="AE754" s="719"/>
      <c r="AF754" s="719"/>
      <c r="AG754" s="789"/>
      <c r="AH754" s="719"/>
      <c r="AI754" s="719"/>
      <c r="AJ754" s="719"/>
      <c r="AK754" s="719"/>
      <c r="AL754" s="720"/>
      <c r="AM754" s="720"/>
      <c r="AN754" s="719"/>
      <c r="AO754" s="719"/>
      <c r="AP754" s="719"/>
      <c r="AQ754" s="724"/>
      <c r="AR754" s="724"/>
      <c r="AS754" s="724"/>
      <c r="AT754" s="724"/>
      <c r="AU754" s="724"/>
      <c r="AV754" s="724"/>
      <c r="AW754" s="720"/>
      <c r="AX754" s="720"/>
      <c r="AY754" s="720"/>
      <c r="AZ754" s="532"/>
    </row>
    <row r="755" spans="1:52" ht="15.75" customHeight="1">
      <c r="A755" s="500"/>
      <c r="B755" s="680"/>
      <c r="C755" s="481"/>
      <c r="D755" s="47"/>
      <c r="E755" s="47"/>
      <c r="F755" s="478"/>
      <c r="G755" s="479"/>
      <c r="H755" s="9"/>
      <c r="I755" s="10"/>
      <c r="J755" s="505"/>
      <c r="K755" s="47"/>
      <c r="L755" s="47"/>
      <c r="M755" s="47"/>
      <c r="N755" s="9"/>
      <c r="O755" s="9"/>
      <c r="P755" s="9"/>
      <c r="Q755" s="47"/>
      <c r="R755" s="47"/>
      <c r="S755" s="47"/>
      <c r="T755" s="47"/>
      <c r="U755" s="47"/>
      <c r="V755" s="47"/>
      <c r="W755" s="47"/>
      <c r="X755" s="47"/>
      <c r="Y755" s="47"/>
      <c r="Z755" s="47"/>
      <c r="AA755" s="47"/>
      <c r="AB755" s="47"/>
      <c r="AC755" s="47"/>
      <c r="AD755" s="47"/>
      <c r="AE755" s="47"/>
      <c r="AF755" s="47"/>
      <c r="AG755" s="47"/>
      <c r="AH755" s="47"/>
      <c r="AI755" s="47"/>
      <c r="AJ755" s="47"/>
      <c r="AK755" s="47"/>
      <c r="AL755" s="47"/>
      <c r="AM755" s="47"/>
      <c r="AN755" s="47"/>
      <c r="AO755" s="47"/>
      <c r="AP755" s="47"/>
      <c r="AQ755" s="47"/>
      <c r="AR755" s="47"/>
      <c r="AS755" s="47"/>
      <c r="AT755" s="47"/>
      <c r="AU755" s="47"/>
      <c r="AV755" s="47"/>
      <c r="AW755" s="47"/>
      <c r="AX755" s="47"/>
      <c r="AY755" s="47"/>
      <c r="AZ755" s="532"/>
    </row>
    <row r="756" spans="1:52" ht="15.75" customHeight="1">
      <c r="A756" s="500"/>
      <c r="B756" s="477"/>
      <c r="C756" s="481"/>
      <c r="D756" s="47"/>
      <c r="E756" s="47"/>
      <c r="F756" s="478"/>
      <c r="G756" s="479"/>
      <c r="H756" s="9"/>
      <c r="I756" s="9"/>
      <c r="J756" s="505"/>
      <c r="K756" s="47"/>
      <c r="L756" s="47"/>
      <c r="M756" s="47"/>
      <c r="N756" s="9"/>
      <c r="O756" s="9"/>
      <c r="P756" s="9"/>
      <c r="Q756" s="47"/>
      <c r="R756" s="47"/>
      <c r="S756" s="47"/>
      <c r="T756" s="47"/>
      <c r="U756" s="47"/>
      <c r="V756" s="47"/>
      <c r="W756" s="47"/>
      <c r="X756" s="47"/>
      <c r="Y756" s="47"/>
      <c r="Z756" s="47"/>
      <c r="AA756" s="47"/>
      <c r="AB756" s="47"/>
      <c r="AC756" s="47"/>
      <c r="AD756" s="47"/>
      <c r="AE756" s="47"/>
      <c r="AF756" s="47"/>
      <c r="AG756" s="47"/>
      <c r="AH756" s="47"/>
      <c r="AI756" s="47"/>
      <c r="AJ756" s="47"/>
      <c r="AK756" s="47"/>
      <c r="AL756" s="47"/>
      <c r="AM756" s="47"/>
      <c r="AN756" s="47"/>
      <c r="AO756" s="47"/>
      <c r="AP756" s="47"/>
      <c r="AQ756" s="47"/>
      <c r="AR756" s="47"/>
      <c r="AS756" s="47"/>
      <c r="AT756" s="47"/>
      <c r="AU756" s="47"/>
      <c r="AV756" s="47"/>
      <c r="AW756" s="47"/>
      <c r="AX756" s="47"/>
      <c r="AY756" s="47"/>
      <c r="AZ756" s="532"/>
    </row>
    <row r="757" spans="1:52" ht="15.75" customHeight="1">
      <c r="A757" s="500"/>
      <c r="B757" s="477"/>
      <c r="C757" s="481"/>
      <c r="D757" s="47"/>
      <c r="E757" s="47"/>
      <c r="F757" s="478"/>
      <c r="G757" s="479"/>
      <c r="H757" s="9"/>
      <c r="I757" s="10"/>
      <c r="J757" s="505"/>
      <c r="K757" s="47"/>
      <c r="L757" s="47"/>
      <c r="M757" s="47"/>
      <c r="N757" s="9"/>
      <c r="O757" s="9"/>
      <c r="P757" s="9"/>
      <c r="Q757" s="47"/>
      <c r="R757" s="47"/>
      <c r="S757" s="47"/>
      <c r="T757" s="47"/>
      <c r="U757" s="47"/>
      <c r="V757" s="47"/>
      <c r="W757" s="47"/>
      <c r="X757" s="47"/>
      <c r="Y757" s="47"/>
      <c r="Z757" s="47"/>
      <c r="AA757" s="47"/>
      <c r="AB757" s="47"/>
      <c r="AC757" s="47"/>
      <c r="AD757" s="47"/>
      <c r="AE757" s="47"/>
      <c r="AF757" s="47"/>
      <c r="AG757" s="47"/>
      <c r="AH757" s="47"/>
      <c r="AI757" s="47"/>
      <c r="AJ757" s="47"/>
      <c r="AK757" s="47"/>
      <c r="AL757" s="47"/>
      <c r="AM757" s="47"/>
      <c r="AN757" s="47"/>
      <c r="AO757" s="47"/>
      <c r="AP757" s="47"/>
      <c r="AQ757" s="47"/>
      <c r="AR757" s="47"/>
      <c r="AS757" s="47"/>
      <c r="AT757" s="47"/>
      <c r="AU757" s="47"/>
      <c r="AV757" s="47"/>
      <c r="AW757" s="47"/>
      <c r="AX757" s="47"/>
      <c r="AY757" s="47"/>
      <c r="AZ757" s="532"/>
    </row>
    <row r="758" spans="1:52" ht="15.75" customHeight="1">
      <c r="A758" s="500"/>
      <c r="B758" s="477"/>
      <c r="C758" s="481"/>
      <c r="D758" s="47"/>
      <c r="E758" s="47"/>
      <c r="F758" s="478"/>
      <c r="G758" s="479"/>
      <c r="H758" s="9"/>
      <c r="I758" s="9"/>
      <c r="J758" s="505"/>
      <c r="K758" s="47"/>
      <c r="L758" s="47"/>
      <c r="M758" s="47"/>
      <c r="N758" s="9"/>
      <c r="O758" s="9"/>
      <c r="P758" s="9"/>
      <c r="Q758" s="47"/>
      <c r="R758" s="47"/>
      <c r="S758" s="47"/>
      <c r="T758" s="47"/>
      <c r="U758" s="47"/>
      <c r="V758" s="47"/>
      <c r="W758" s="47"/>
      <c r="X758" s="47"/>
      <c r="Y758" s="47"/>
      <c r="Z758" s="47"/>
      <c r="AA758" s="47"/>
      <c r="AB758" s="47"/>
      <c r="AC758" s="47"/>
      <c r="AD758" s="47"/>
      <c r="AE758" s="47"/>
      <c r="AF758" s="47"/>
      <c r="AG758" s="47"/>
      <c r="AH758" s="47"/>
      <c r="AI758" s="47"/>
      <c r="AJ758" s="47"/>
      <c r="AK758" s="47"/>
      <c r="AL758" s="47"/>
      <c r="AM758" s="47"/>
      <c r="AN758" s="47"/>
      <c r="AO758" s="47"/>
      <c r="AP758" s="47"/>
      <c r="AQ758" s="47"/>
      <c r="AR758" s="47"/>
      <c r="AS758" s="47"/>
      <c r="AT758" s="47"/>
      <c r="AU758" s="47"/>
      <c r="AV758" s="47"/>
      <c r="AW758" s="47"/>
      <c r="AX758" s="47"/>
      <c r="AY758" s="47"/>
      <c r="AZ758" s="532"/>
    </row>
    <row r="759" spans="1:52" ht="15.75" customHeight="1">
      <c r="A759" s="500"/>
      <c r="B759" s="477"/>
      <c r="C759" s="481"/>
      <c r="D759" s="47"/>
      <c r="E759" s="47"/>
      <c r="F759" s="478"/>
      <c r="G759" s="479"/>
      <c r="H759" s="9"/>
      <c r="I759" s="9"/>
      <c r="J759" s="505"/>
      <c r="K759" s="47"/>
      <c r="L759" s="47"/>
      <c r="M759" s="47"/>
      <c r="N759" s="9"/>
      <c r="O759" s="9"/>
      <c r="P759" s="9"/>
      <c r="Q759" s="47"/>
      <c r="R759" s="47"/>
      <c r="S759" s="47"/>
      <c r="T759" s="47"/>
      <c r="U759" s="47"/>
      <c r="V759" s="47"/>
      <c r="W759" s="47"/>
      <c r="X759" s="47"/>
      <c r="Y759" s="47"/>
      <c r="Z759" s="47"/>
      <c r="AA759" s="47"/>
      <c r="AB759" s="47"/>
      <c r="AC759" s="47"/>
      <c r="AD759" s="47"/>
      <c r="AE759" s="47"/>
      <c r="AF759" s="47"/>
      <c r="AG759" s="47"/>
      <c r="AH759" s="47"/>
      <c r="AI759" s="47"/>
      <c r="AJ759" s="47"/>
      <c r="AK759" s="47"/>
      <c r="AL759" s="47"/>
      <c r="AM759" s="47"/>
      <c r="AN759" s="47"/>
      <c r="AO759" s="47"/>
      <c r="AP759" s="47"/>
      <c r="AQ759" s="47"/>
      <c r="AR759" s="47"/>
      <c r="AS759" s="47"/>
      <c r="AT759" s="47"/>
      <c r="AU759" s="47"/>
      <c r="AV759" s="47"/>
      <c r="AW759" s="47"/>
      <c r="AX759" s="47"/>
      <c r="AY759" s="47"/>
      <c r="AZ759" s="532"/>
    </row>
    <row r="760" spans="1:52" ht="15.75" customHeight="1">
      <c r="A760" s="500"/>
      <c r="B760" s="477"/>
      <c r="C760" s="481"/>
      <c r="D760" s="47"/>
      <c r="E760" s="47"/>
      <c r="F760" s="478"/>
      <c r="G760" s="479"/>
      <c r="H760" s="9"/>
      <c r="I760" s="9"/>
      <c r="J760" s="505"/>
      <c r="K760" s="47"/>
      <c r="L760" s="47"/>
      <c r="M760" s="47"/>
      <c r="N760" s="9"/>
      <c r="O760" s="9"/>
      <c r="P760" s="9"/>
      <c r="Q760" s="47"/>
      <c r="R760" s="47"/>
      <c r="S760" s="47"/>
      <c r="T760" s="47"/>
      <c r="U760" s="47"/>
      <c r="V760" s="47"/>
      <c r="W760" s="47"/>
      <c r="X760" s="47"/>
      <c r="Y760" s="47"/>
      <c r="Z760" s="47"/>
      <c r="AA760" s="47"/>
      <c r="AB760" s="47"/>
      <c r="AC760" s="47"/>
      <c r="AD760" s="47"/>
      <c r="AE760" s="47"/>
      <c r="AF760" s="47"/>
      <c r="AG760" s="47"/>
      <c r="AH760" s="47"/>
      <c r="AI760" s="47"/>
      <c r="AJ760" s="47"/>
      <c r="AK760" s="47"/>
      <c r="AL760" s="47"/>
      <c r="AM760" s="47"/>
      <c r="AN760" s="47"/>
      <c r="AO760" s="47"/>
      <c r="AP760" s="47"/>
      <c r="AQ760" s="47"/>
      <c r="AR760" s="47"/>
      <c r="AS760" s="47"/>
      <c r="AT760" s="47"/>
      <c r="AU760" s="47"/>
      <c r="AV760" s="47"/>
      <c r="AW760" s="47"/>
      <c r="AX760" s="47"/>
      <c r="AY760" s="47"/>
      <c r="AZ760" s="532"/>
    </row>
    <row r="761" spans="1:52" ht="15.75" customHeight="1">
      <c r="A761" s="500"/>
      <c r="B761" s="477"/>
      <c r="C761" s="481"/>
      <c r="D761" s="47"/>
      <c r="E761" s="47"/>
      <c r="F761" s="478"/>
      <c r="G761" s="479"/>
      <c r="H761" s="9"/>
      <c r="I761" s="9"/>
      <c r="J761" s="505"/>
      <c r="K761" s="47"/>
      <c r="L761" s="47"/>
      <c r="M761" s="47"/>
      <c r="N761" s="9"/>
      <c r="O761" s="9"/>
      <c r="P761" s="9"/>
      <c r="Q761" s="47"/>
      <c r="R761" s="47"/>
      <c r="S761" s="47"/>
      <c r="T761" s="47"/>
      <c r="U761" s="47"/>
      <c r="V761" s="47"/>
      <c r="W761" s="47"/>
      <c r="X761" s="47"/>
      <c r="Y761" s="47"/>
      <c r="Z761" s="47"/>
      <c r="AA761" s="47"/>
      <c r="AB761" s="47"/>
      <c r="AC761" s="47"/>
      <c r="AD761" s="47"/>
      <c r="AE761" s="47"/>
      <c r="AF761" s="47"/>
      <c r="AG761" s="47"/>
      <c r="AH761" s="47"/>
      <c r="AI761" s="47"/>
      <c r="AJ761" s="47"/>
      <c r="AK761" s="47"/>
      <c r="AL761" s="47"/>
      <c r="AM761" s="47"/>
      <c r="AN761" s="47"/>
      <c r="AO761" s="47"/>
      <c r="AP761" s="47"/>
      <c r="AQ761" s="47"/>
      <c r="AR761" s="47"/>
      <c r="AS761" s="47"/>
      <c r="AT761" s="47"/>
      <c r="AU761" s="47"/>
      <c r="AV761" s="47"/>
      <c r="AW761" s="47"/>
      <c r="AX761" s="47"/>
      <c r="AY761" s="47"/>
      <c r="AZ761" s="532"/>
    </row>
    <row r="762" spans="1:52" ht="15.75" customHeight="1">
      <c r="A762" s="500"/>
      <c r="B762" s="477"/>
      <c r="C762" s="481"/>
      <c r="D762" s="47"/>
      <c r="E762" s="47"/>
      <c r="F762" s="478"/>
      <c r="G762" s="479"/>
      <c r="H762" s="9"/>
      <c r="I762" s="9"/>
      <c r="J762" s="505"/>
      <c r="K762" s="47"/>
      <c r="L762" s="47"/>
      <c r="M762" s="47"/>
      <c r="N762" s="9"/>
      <c r="O762" s="9"/>
      <c r="P762" s="9"/>
      <c r="Q762" s="47"/>
      <c r="R762" s="47"/>
      <c r="S762" s="47"/>
      <c r="T762" s="47"/>
      <c r="U762" s="47"/>
      <c r="V762" s="47"/>
      <c r="W762" s="47"/>
      <c r="X762" s="47"/>
      <c r="Y762" s="47"/>
      <c r="Z762" s="47"/>
      <c r="AA762" s="47"/>
      <c r="AB762" s="47"/>
      <c r="AC762" s="47"/>
      <c r="AD762" s="47"/>
      <c r="AE762" s="47"/>
      <c r="AF762" s="47"/>
      <c r="AG762" s="47"/>
      <c r="AH762" s="47"/>
      <c r="AI762" s="47"/>
      <c r="AJ762" s="47"/>
      <c r="AK762" s="47"/>
      <c r="AL762" s="47"/>
      <c r="AM762" s="47"/>
      <c r="AN762" s="47"/>
      <c r="AO762" s="47"/>
      <c r="AP762" s="47"/>
      <c r="AQ762" s="47"/>
      <c r="AR762" s="47"/>
      <c r="AS762" s="47"/>
      <c r="AT762" s="47"/>
      <c r="AU762" s="47"/>
      <c r="AV762" s="47"/>
      <c r="AW762" s="47"/>
      <c r="AX762" s="47"/>
      <c r="AY762" s="47"/>
      <c r="AZ762" s="532"/>
    </row>
    <row r="763" spans="1:52" ht="15.75" customHeight="1">
      <c r="A763" s="500"/>
      <c r="B763" s="477"/>
      <c r="C763" s="481"/>
      <c r="D763" s="47"/>
      <c r="E763" s="47"/>
      <c r="F763" s="478"/>
      <c r="G763" s="479"/>
      <c r="H763" s="9"/>
      <c r="I763" s="10"/>
      <c r="J763" s="505"/>
      <c r="K763" s="47"/>
      <c r="L763" s="47"/>
      <c r="M763" s="47"/>
      <c r="N763" s="9"/>
      <c r="O763" s="9"/>
      <c r="P763" s="9"/>
      <c r="Q763" s="47"/>
      <c r="R763" s="47"/>
      <c r="S763" s="47"/>
      <c r="T763" s="47"/>
      <c r="U763" s="47"/>
      <c r="V763" s="47"/>
      <c r="W763" s="47"/>
      <c r="X763" s="47"/>
      <c r="Y763" s="47"/>
      <c r="Z763" s="47"/>
      <c r="AA763" s="47"/>
      <c r="AB763" s="47"/>
      <c r="AC763" s="47"/>
      <c r="AD763" s="47"/>
      <c r="AE763" s="47"/>
      <c r="AF763" s="47"/>
      <c r="AG763" s="47"/>
      <c r="AH763" s="47"/>
      <c r="AI763" s="47"/>
      <c r="AJ763" s="47"/>
      <c r="AK763" s="47"/>
      <c r="AL763" s="47"/>
      <c r="AM763" s="47"/>
      <c r="AN763" s="47"/>
      <c r="AO763" s="47"/>
      <c r="AP763" s="47"/>
      <c r="AQ763" s="47"/>
      <c r="AR763" s="47"/>
      <c r="AS763" s="47"/>
      <c r="AT763" s="47"/>
      <c r="AU763" s="47"/>
      <c r="AV763" s="47"/>
      <c r="AW763" s="47"/>
      <c r="AX763" s="47"/>
      <c r="AY763" s="47"/>
      <c r="AZ763" s="532"/>
    </row>
    <row r="764" spans="1:52" ht="15.75" customHeight="1">
      <c r="A764" s="500"/>
      <c r="B764" s="477"/>
      <c r="C764" s="481"/>
      <c r="D764" s="47"/>
      <c r="E764" s="47"/>
      <c r="F764" s="478"/>
      <c r="G764" s="479"/>
      <c r="H764" s="9"/>
      <c r="I764" s="9"/>
      <c r="J764" s="505"/>
      <c r="K764" s="47"/>
      <c r="L764" s="47"/>
      <c r="M764" s="47"/>
      <c r="N764" s="9"/>
      <c r="O764" s="9"/>
      <c r="P764" s="9"/>
      <c r="Q764" s="47"/>
      <c r="R764" s="47"/>
      <c r="S764" s="47"/>
      <c r="T764" s="47"/>
      <c r="U764" s="47"/>
      <c r="V764" s="47"/>
      <c r="W764" s="47"/>
      <c r="X764" s="47"/>
      <c r="Y764" s="47"/>
      <c r="Z764" s="47"/>
      <c r="AA764" s="47"/>
      <c r="AB764" s="47"/>
      <c r="AC764" s="47"/>
      <c r="AD764" s="47"/>
      <c r="AE764" s="47"/>
      <c r="AF764" s="47"/>
      <c r="AG764" s="47"/>
      <c r="AH764" s="47"/>
      <c r="AI764" s="47"/>
      <c r="AJ764" s="47"/>
      <c r="AK764" s="47"/>
      <c r="AL764" s="47"/>
      <c r="AM764" s="47"/>
      <c r="AN764" s="47"/>
      <c r="AO764" s="47"/>
      <c r="AP764" s="47"/>
      <c r="AQ764" s="47"/>
      <c r="AR764" s="47"/>
      <c r="AS764" s="47"/>
      <c r="AT764" s="47"/>
      <c r="AU764" s="47"/>
      <c r="AV764" s="47"/>
      <c r="AW764" s="47"/>
      <c r="AX764" s="47"/>
      <c r="AY764" s="47"/>
      <c r="AZ764" s="532"/>
    </row>
    <row r="765" spans="1:52" ht="15.75" customHeight="1">
      <c r="A765" s="500"/>
      <c r="B765" s="477"/>
      <c r="C765" s="481"/>
      <c r="D765" s="47"/>
      <c r="E765" s="47"/>
      <c r="F765" s="478"/>
      <c r="G765" s="479"/>
      <c r="H765" s="9"/>
      <c r="I765" s="10"/>
      <c r="J765" s="505"/>
      <c r="K765" s="47"/>
      <c r="L765" s="47"/>
      <c r="M765" s="47"/>
      <c r="N765" s="9"/>
      <c r="O765" s="9"/>
      <c r="P765" s="9"/>
      <c r="Q765" s="47"/>
      <c r="R765" s="47"/>
      <c r="S765" s="47"/>
      <c r="T765" s="47"/>
      <c r="U765" s="47"/>
      <c r="V765" s="47"/>
      <c r="W765" s="47"/>
      <c r="X765" s="47"/>
      <c r="Y765" s="47"/>
      <c r="Z765" s="47"/>
      <c r="AA765" s="47"/>
      <c r="AB765" s="47"/>
      <c r="AC765" s="47"/>
      <c r="AD765" s="47"/>
      <c r="AE765" s="47"/>
      <c r="AF765" s="47"/>
      <c r="AG765" s="47"/>
      <c r="AH765" s="47"/>
      <c r="AI765" s="47"/>
      <c r="AJ765" s="47"/>
      <c r="AK765" s="47"/>
      <c r="AL765" s="47"/>
      <c r="AM765" s="47"/>
      <c r="AN765" s="47"/>
      <c r="AO765" s="47"/>
      <c r="AP765" s="47"/>
      <c r="AQ765" s="47"/>
      <c r="AR765" s="47"/>
      <c r="AS765" s="47"/>
      <c r="AT765" s="47"/>
      <c r="AU765" s="47"/>
      <c r="AV765" s="47"/>
      <c r="AW765" s="47"/>
      <c r="AX765" s="47"/>
      <c r="AY765" s="47"/>
      <c r="AZ765" s="532"/>
    </row>
    <row r="766" spans="1:52" ht="15.75" customHeight="1">
      <c r="A766" s="500"/>
      <c r="B766" s="477"/>
      <c r="C766" s="481"/>
      <c r="D766" s="47"/>
      <c r="E766" s="47"/>
      <c r="F766" s="478"/>
      <c r="G766" s="479"/>
      <c r="H766" s="9"/>
      <c r="I766" s="9"/>
      <c r="J766" s="505"/>
      <c r="K766" s="47"/>
      <c r="L766" s="47"/>
      <c r="M766" s="47"/>
      <c r="N766" s="9"/>
      <c r="O766" s="9"/>
      <c r="P766" s="9"/>
      <c r="Q766" s="47"/>
      <c r="R766" s="47"/>
      <c r="S766" s="47"/>
      <c r="T766" s="47"/>
      <c r="U766" s="47"/>
      <c r="V766" s="47"/>
      <c r="W766" s="47"/>
      <c r="X766" s="47"/>
      <c r="Y766" s="47"/>
      <c r="Z766" s="47"/>
      <c r="AA766" s="47"/>
      <c r="AB766" s="47"/>
      <c r="AC766" s="47"/>
      <c r="AD766" s="47"/>
      <c r="AE766" s="47"/>
      <c r="AF766" s="47"/>
      <c r="AG766" s="47"/>
      <c r="AH766" s="47"/>
      <c r="AI766" s="47"/>
      <c r="AJ766" s="47"/>
      <c r="AK766" s="47"/>
      <c r="AL766" s="47"/>
      <c r="AM766" s="47"/>
      <c r="AN766" s="47"/>
      <c r="AO766" s="47"/>
      <c r="AP766" s="47"/>
      <c r="AQ766" s="47"/>
      <c r="AR766" s="47"/>
      <c r="AS766" s="47"/>
      <c r="AT766" s="47"/>
      <c r="AU766" s="47"/>
      <c r="AV766" s="47"/>
      <c r="AW766" s="47"/>
      <c r="AX766" s="47"/>
      <c r="AY766" s="47"/>
      <c r="AZ766" s="532"/>
    </row>
    <row r="767" spans="1:52" ht="15.75" customHeight="1">
      <c r="A767" s="500"/>
      <c r="B767" s="477"/>
      <c r="C767" s="481"/>
      <c r="D767" s="47"/>
      <c r="E767" s="47"/>
      <c r="F767" s="478"/>
      <c r="G767" s="479"/>
      <c r="H767" s="9"/>
      <c r="I767" s="10"/>
      <c r="J767" s="505"/>
      <c r="K767" s="47"/>
      <c r="L767" s="47"/>
      <c r="M767" s="47"/>
      <c r="N767" s="9"/>
      <c r="O767" s="9"/>
      <c r="P767" s="9"/>
      <c r="Q767" s="47"/>
      <c r="R767" s="47"/>
      <c r="S767" s="47"/>
      <c r="T767" s="47"/>
      <c r="U767" s="47"/>
      <c r="V767" s="47"/>
      <c r="W767" s="47"/>
      <c r="X767" s="47"/>
      <c r="Y767" s="47"/>
      <c r="Z767" s="47"/>
      <c r="AA767" s="47"/>
      <c r="AB767" s="47"/>
      <c r="AC767" s="47"/>
      <c r="AD767" s="47"/>
      <c r="AE767" s="47"/>
      <c r="AF767" s="47"/>
      <c r="AG767" s="47"/>
      <c r="AH767" s="47"/>
      <c r="AI767" s="47"/>
      <c r="AJ767" s="47"/>
      <c r="AK767" s="47"/>
      <c r="AL767" s="47"/>
      <c r="AM767" s="47"/>
      <c r="AN767" s="47"/>
      <c r="AO767" s="47"/>
      <c r="AP767" s="47"/>
      <c r="AQ767" s="47"/>
      <c r="AR767" s="47"/>
      <c r="AS767" s="47"/>
      <c r="AT767" s="47"/>
      <c r="AU767" s="47"/>
      <c r="AV767" s="47"/>
      <c r="AW767" s="47"/>
      <c r="AX767" s="47"/>
      <c r="AY767" s="47"/>
      <c r="AZ767" s="532"/>
    </row>
    <row r="768" spans="1:52" ht="15.75" customHeight="1">
      <c r="A768" s="500"/>
      <c r="B768" s="477"/>
      <c r="C768" s="481"/>
      <c r="D768" s="47"/>
      <c r="E768" s="47"/>
      <c r="F768" s="478"/>
      <c r="G768" s="479"/>
      <c r="H768" s="9"/>
      <c r="I768" s="9"/>
      <c r="J768" s="505"/>
      <c r="K768" s="47"/>
      <c r="L768" s="47"/>
      <c r="M768" s="47"/>
      <c r="N768" s="9"/>
      <c r="O768" s="9"/>
      <c r="P768" s="9"/>
      <c r="Q768" s="47"/>
      <c r="R768" s="47"/>
      <c r="S768" s="47"/>
      <c r="T768" s="47"/>
      <c r="U768" s="47"/>
      <c r="V768" s="47"/>
      <c r="W768" s="47"/>
      <c r="X768" s="47"/>
      <c r="Y768" s="47"/>
      <c r="Z768" s="47"/>
      <c r="AA768" s="47"/>
      <c r="AB768" s="47"/>
      <c r="AC768" s="47"/>
      <c r="AD768" s="47"/>
      <c r="AE768" s="47"/>
      <c r="AF768" s="47"/>
      <c r="AG768" s="47"/>
      <c r="AH768" s="47"/>
      <c r="AI768" s="47"/>
      <c r="AJ768" s="47"/>
      <c r="AK768" s="47"/>
      <c r="AL768" s="47"/>
      <c r="AM768" s="47"/>
      <c r="AN768" s="47"/>
      <c r="AO768" s="47"/>
      <c r="AP768" s="47"/>
      <c r="AQ768" s="47"/>
      <c r="AR768" s="47"/>
      <c r="AS768" s="47"/>
      <c r="AT768" s="47"/>
      <c r="AU768" s="47"/>
      <c r="AV768" s="47"/>
      <c r="AW768" s="47"/>
      <c r="AX768" s="47"/>
      <c r="AY768" s="47"/>
      <c r="AZ768" s="532"/>
    </row>
    <row r="769" spans="1:52" ht="15.75" customHeight="1">
      <c r="A769" s="500"/>
      <c r="B769" s="477"/>
      <c r="C769" s="481"/>
      <c r="D769" s="47"/>
      <c r="E769" s="47"/>
      <c r="F769" s="478"/>
      <c r="G769" s="479"/>
      <c r="H769" s="9"/>
      <c r="I769" s="9"/>
      <c r="J769" s="505"/>
      <c r="K769" s="47"/>
      <c r="L769" s="47"/>
      <c r="M769" s="47"/>
      <c r="N769" s="9"/>
      <c r="O769" s="9"/>
      <c r="P769" s="9"/>
      <c r="Q769" s="47"/>
      <c r="R769" s="47"/>
      <c r="S769" s="47"/>
      <c r="T769" s="47"/>
      <c r="U769" s="47"/>
      <c r="V769" s="47"/>
      <c r="W769" s="47"/>
      <c r="X769" s="47"/>
      <c r="Y769" s="47"/>
      <c r="Z769" s="47"/>
      <c r="AA769" s="47"/>
      <c r="AB769" s="47"/>
      <c r="AC769" s="47"/>
      <c r="AD769" s="47"/>
      <c r="AE769" s="47"/>
      <c r="AF769" s="47"/>
      <c r="AG769" s="47"/>
      <c r="AH769" s="47"/>
      <c r="AI769" s="47"/>
      <c r="AJ769" s="47"/>
      <c r="AK769" s="47"/>
      <c r="AL769" s="47"/>
      <c r="AM769" s="47"/>
      <c r="AN769" s="47"/>
      <c r="AO769" s="47"/>
      <c r="AP769" s="47"/>
      <c r="AQ769" s="47"/>
      <c r="AR769" s="47"/>
      <c r="AS769" s="47"/>
      <c r="AT769" s="47"/>
      <c r="AU769" s="47"/>
      <c r="AV769" s="47"/>
      <c r="AW769" s="47"/>
      <c r="AX769" s="47"/>
      <c r="AY769" s="47"/>
      <c r="AZ769" s="532"/>
    </row>
    <row r="770" spans="1:52" ht="15.75" customHeight="1">
      <c r="A770" s="500"/>
      <c r="B770" s="477"/>
      <c r="C770" s="481"/>
      <c r="D770" s="47"/>
      <c r="E770" s="47"/>
      <c r="F770" s="478"/>
      <c r="G770" s="479"/>
      <c r="H770" s="9"/>
      <c r="I770" s="9"/>
      <c r="J770" s="505"/>
      <c r="K770" s="47"/>
      <c r="L770" s="47"/>
      <c r="M770" s="47"/>
      <c r="N770" s="9"/>
      <c r="O770" s="9"/>
      <c r="P770" s="9"/>
      <c r="Q770" s="47"/>
      <c r="R770" s="47"/>
      <c r="S770" s="47"/>
      <c r="T770" s="47"/>
      <c r="U770" s="47"/>
      <c r="V770" s="47"/>
      <c r="W770" s="47"/>
      <c r="X770" s="47"/>
      <c r="Y770" s="47"/>
      <c r="Z770" s="47"/>
      <c r="AA770" s="47"/>
      <c r="AB770" s="47"/>
      <c r="AC770" s="47"/>
      <c r="AD770" s="47"/>
      <c r="AE770" s="47"/>
      <c r="AF770" s="47"/>
      <c r="AG770" s="47"/>
      <c r="AH770" s="47"/>
      <c r="AI770" s="47"/>
      <c r="AJ770" s="47"/>
      <c r="AK770" s="47"/>
      <c r="AL770" s="47"/>
      <c r="AM770" s="47"/>
      <c r="AN770" s="47"/>
      <c r="AO770" s="47"/>
      <c r="AP770" s="47"/>
      <c r="AQ770" s="47"/>
      <c r="AR770" s="47"/>
      <c r="AS770" s="47"/>
      <c r="AT770" s="47"/>
      <c r="AU770" s="47"/>
      <c r="AV770" s="47"/>
      <c r="AW770" s="47"/>
      <c r="AX770" s="47"/>
      <c r="AY770" s="47"/>
      <c r="AZ770" s="532"/>
    </row>
    <row r="771" spans="1:52" ht="15.75" customHeight="1">
      <c r="A771" s="500"/>
      <c r="B771" s="477"/>
      <c r="C771" s="481"/>
      <c r="D771" s="47"/>
      <c r="E771" s="47"/>
      <c r="F771" s="478"/>
      <c r="G771" s="479"/>
      <c r="H771" s="9"/>
      <c r="I771" s="9"/>
      <c r="J771" s="505"/>
      <c r="K771" s="47"/>
      <c r="L771" s="47"/>
      <c r="M771" s="47"/>
      <c r="N771" s="9"/>
      <c r="O771" s="9"/>
      <c r="P771" s="9"/>
      <c r="Q771" s="47"/>
      <c r="R771" s="47"/>
      <c r="S771" s="47"/>
      <c r="T771" s="47"/>
      <c r="U771" s="47"/>
      <c r="V771" s="47"/>
      <c r="W771" s="47"/>
      <c r="X771" s="47"/>
      <c r="Y771" s="47"/>
      <c r="Z771" s="47"/>
      <c r="AA771" s="47"/>
      <c r="AB771" s="47"/>
      <c r="AC771" s="47"/>
      <c r="AD771" s="47"/>
      <c r="AE771" s="47"/>
      <c r="AF771" s="47"/>
      <c r="AG771" s="47"/>
      <c r="AH771" s="47"/>
      <c r="AI771" s="47"/>
      <c r="AJ771" s="47"/>
      <c r="AK771" s="47"/>
      <c r="AL771" s="47"/>
      <c r="AM771" s="47"/>
      <c r="AN771" s="47"/>
      <c r="AO771" s="47"/>
      <c r="AP771" s="47"/>
      <c r="AQ771" s="47"/>
      <c r="AR771" s="47"/>
      <c r="AS771" s="47"/>
      <c r="AT771" s="47"/>
      <c r="AU771" s="47"/>
      <c r="AV771" s="47"/>
      <c r="AW771" s="47"/>
      <c r="AX771" s="47"/>
      <c r="AY771" s="47"/>
      <c r="AZ771" s="532"/>
    </row>
    <row r="772" spans="1:52" ht="15.75" customHeight="1">
      <c r="A772" s="500"/>
      <c r="B772" s="477"/>
      <c r="C772" s="481"/>
      <c r="D772" s="47"/>
      <c r="E772" s="47"/>
      <c r="F772" s="478"/>
      <c r="G772" s="479"/>
      <c r="H772" s="9"/>
      <c r="I772" s="9"/>
      <c r="J772" s="505"/>
      <c r="K772" s="47"/>
      <c r="L772" s="47"/>
      <c r="M772" s="47"/>
      <c r="N772" s="9"/>
      <c r="O772" s="9"/>
      <c r="P772" s="9"/>
      <c r="Q772" s="47"/>
      <c r="R772" s="47"/>
      <c r="S772" s="47"/>
      <c r="T772" s="47"/>
      <c r="U772" s="47"/>
      <c r="V772" s="47"/>
      <c r="W772" s="47"/>
      <c r="X772" s="47"/>
      <c r="Y772" s="47"/>
      <c r="Z772" s="47"/>
      <c r="AA772" s="47"/>
      <c r="AB772" s="47"/>
      <c r="AC772" s="47"/>
      <c r="AD772" s="47"/>
      <c r="AE772" s="47"/>
      <c r="AF772" s="47"/>
      <c r="AG772" s="47"/>
      <c r="AH772" s="47"/>
      <c r="AI772" s="47"/>
      <c r="AJ772" s="47"/>
      <c r="AK772" s="47"/>
      <c r="AL772" s="47"/>
      <c r="AM772" s="47"/>
      <c r="AN772" s="47"/>
      <c r="AO772" s="47"/>
      <c r="AP772" s="47"/>
      <c r="AQ772" s="47"/>
      <c r="AR772" s="47"/>
      <c r="AS772" s="47"/>
      <c r="AT772" s="47"/>
      <c r="AU772" s="47"/>
      <c r="AV772" s="47"/>
      <c r="AW772" s="47"/>
      <c r="AX772" s="47"/>
      <c r="AY772" s="47"/>
      <c r="AZ772" s="532"/>
    </row>
    <row r="773" spans="1:52" ht="15.75" customHeight="1">
      <c r="A773" s="500"/>
      <c r="B773" s="477"/>
      <c r="C773" s="481"/>
      <c r="D773" s="47"/>
      <c r="E773" s="47"/>
      <c r="F773" s="478"/>
      <c r="G773" s="479"/>
      <c r="H773" s="9"/>
      <c r="I773" s="9"/>
      <c r="J773" s="505"/>
      <c r="K773" s="47"/>
      <c r="L773" s="47"/>
      <c r="M773" s="47"/>
      <c r="N773" s="9"/>
      <c r="O773" s="9"/>
      <c r="P773" s="9"/>
      <c r="Q773" s="47"/>
      <c r="R773" s="47"/>
      <c r="S773" s="47"/>
      <c r="T773" s="47"/>
      <c r="U773" s="47"/>
      <c r="V773" s="47"/>
      <c r="W773" s="47"/>
      <c r="X773" s="47"/>
      <c r="Y773" s="47"/>
      <c r="Z773" s="47"/>
      <c r="AA773" s="47"/>
      <c r="AB773" s="47"/>
      <c r="AC773" s="47"/>
      <c r="AD773" s="47"/>
      <c r="AE773" s="47"/>
      <c r="AF773" s="47"/>
      <c r="AG773" s="47"/>
      <c r="AH773" s="47"/>
      <c r="AI773" s="47"/>
      <c r="AJ773" s="47"/>
      <c r="AK773" s="47"/>
      <c r="AL773" s="47"/>
      <c r="AM773" s="47"/>
      <c r="AN773" s="47"/>
      <c r="AO773" s="47"/>
      <c r="AP773" s="47"/>
      <c r="AQ773" s="47"/>
      <c r="AR773" s="47"/>
      <c r="AS773" s="47"/>
      <c r="AT773" s="47"/>
      <c r="AU773" s="47"/>
      <c r="AV773" s="47"/>
      <c r="AW773" s="47"/>
      <c r="AX773" s="47"/>
      <c r="AY773" s="47"/>
      <c r="AZ773" s="532"/>
    </row>
    <row r="774" spans="1:52" ht="15.75" customHeight="1">
      <c r="A774" s="500"/>
      <c r="B774" s="477"/>
      <c r="C774" s="481"/>
      <c r="D774" s="47"/>
      <c r="E774" s="47"/>
      <c r="F774" s="478"/>
      <c r="G774" s="479"/>
      <c r="H774" s="9"/>
      <c r="I774" s="9"/>
      <c r="J774" s="505"/>
      <c r="K774" s="47"/>
      <c r="L774" s="47"/>
      <c r="M774" s="47"/>
      <c r="N774" s="9"/>
      <c r="O774" s="9"/>
      <c r="P774" s="9"/>
      <c r="Q774" s="47"/>
      <c r="R774" s="47"/>
      <c r="S774" s="47"/>
      <c r="T774" s="47"/>
      <c r="U774" s="47"/>
      <c r="V774" s="47"/>
      <c r="W774" s="47"/>
      <c r="X774" s="47"/>
      <c r="Y774" s="47"/>
      <c r="Z774" s="47"/>
      <c r="AA774" s="47"/>
      <c r="AB774" s="47"/>
      <c r="AC774" s="47"/>
      <c r="AD774" s="47"/>
      <c r="AE774" s="47"/>
      <c r="AF774" s="47"/>
      <c r="AG774" s="47"/>
      <c r="AH774" s="47"/>
      <c r="AI774" s="47"/>
      <c r="AJ774" s="47"/>
      <c r="AK774" s="47"/>
      <c r="AL774" s="47"/>
      <c r="AM774" s="47"/>
      <c r="AN774" s="47"/>
      <c r="AO774" s="47"/>
      <c r="AP774" s="47"/>
      <c r="AQ774" s="47"/>
      <c r="AR774" s="47"/>
      <c r="AS774" s="47"/>
      <c r="AT774" s="47"/>
      <c r="AU774" s="47"/>
      <c r="AV774" s="47"/>
      <c r="AW774" s="47"/>
      <c r="AX774" s="47"/>
      <c r="AY774" s="47"/>
      <c r="AZ774" s="532"/>
    </row>
    <row r="775" spans="1:52" ht="15.75" customHeight="1">
      <c r="A775" s="500"/>
      <c r="B775" s="477"/>
      <c r="C775" s="481"/>
      <c r="D775" s="47"/>
      <c r="E775" s="47"/>
      <c r="F775" s="478"/>
      <c r="G775" s="479"/>
      <c r="H775" s="9"/>
      <c r="I775" s="9"/>
      <c r="J775" s="505"/>
      <c r="K775" s="47"/>
      <c r="L775" s="47"/>
      <c r="M775" s="47"/>
      <c r="N775" s="9"/>
      <c r="O775" s="9"/>
      <c r="P775" s="9"/>
      <c r="Q775" s="47"/>
      <c r="R775" s="47"/>
      <c r="S775" s="47"/>
      <c r="T775" s="47"/>
      <c r="U775" s="47"/>
      <c r="V775" s="47"/>
      <c r="W775" s="47"/>
      <c r="X775" s="47"/>
      <c r="Y775" s="47"/>
      <c r="Z775" s="47"/>
      <c r="AA775" s="47"/>
      <c r="AB775" s="47"/>
      <c r="AC775" s="47"/>
      <c r="AD775" s="47"/>
      <c r="AE775" s="47"/>
      <c r="AF775" s="47"/>
      <c r="AG775" s="47"/>
      <c r="AH775" s="47"/>
      <c r="AI775" s="47"/>
      <c r="AJ775" s="47"/>
      <c r="AK775" s="47"/>
      <c r="AL775" s="47"/>
      <c r="AM775" s="47"/>
      <c r="AN775" s="47"/>
      <c r="AO775" s="47"/>
      <c r="AP775" s="47"/>
      <c r="AQ775" s="47"/>
      <c r="AR775" s="47"/>
      <c r="AS775" s="47"/>
      <c r="AT775" s="47"/>
      <c r="AU775" s="47"/>
      <c r="AV775" s="47"/>
      <c r="AW775" s="47"/>
      <c r="AX775" s="47"/>
      <c r="AY775" s="47"/>
      <c r="AZ775" s="532"/>
    </row>
    <row r="776" spans="1:52" ht="15.75" customHeight="1">
      <c r="A776" s="500"/>
      <c r="B776" s="477"/>
      <c r="C776" s="481"/>
      <c r="D776" s="47"/>
      <c r="E776" s="47"/>
      <c r="F776" s="478"/>
      <c r="G776" s="479"/>
      <c r="H776" s="9"/>
      <c r="I776" s="9"/>
      <c r="J776" s="505"/>
      <c r="K776" s="47"/>
      <c r="L776" s="47"/>
      <c r="M776" s="47"/>
      <c r="N776" s="9"/>
      <c r="O776" s="9"/>
      <c r="P776" s="9"/>
      <c r="Q776" s="47"/>
      <c r="R776" s="47"/>
      <c r="S776" s="47"/>
      <c r="T776" s="47"/>
      <c r="U776" s="47"/>
      <c r="V776" s="47"/>
      <c r="W776" s="47"/>
      <c r="X776" s="47"/>
      <c r="Y776" s="47"/>
      <c r="Z776" s="47"/>
      <c r="AA776" s="47"/>
      <c r="AB776" s="47"/>
      <c r="AC776" s="47"/>
      <c r="AD776" s="47"/>
      <c r="AE776" s="47"/>
      <c r="AF776" s="47"/>
      <c r="AG776" s="47"/>
      <c r="AH776" s="47"/>
      <c r="AI776" s="47"/>
      <c r="AJ776" s="47"/>
      <c r="AK776" s="47"/>
      <c r="AL776" s="47"/>
      <c r="AM776" s="47"/>
      <c r="AN776" s="47"/>
      <c r="AO776" s="47"/>
      <c r="AP776" s="47"/>
      <c r="AQ776" s="47"/>
      <c r="AR776" s="47"/>
      <c r="AS776" s="47"/>
      <c r="AT776" s="47"/>
      <c r="AU776" s="47"/>
      <c r="AV776" s="47"/>
      <c r="AW776" s="47"/>
      <c r="AX776" s="47"/>
      <c r="AY776" s="47"/>
      <c r="AZ776" s="532"/>
    </row>
    <row r="777" spans="1:52" ht="15.75" customHeight="1">
      <c r="A777" s="500"/>
      <c r="B777" s="477"/>
      <c r="C777" s="481"/>
      <c r="D777" s="47"/>
      <c r="E777" s="47"/>
      <c r="F777" s="478"/>
      <c r="G777" s="479"/>
      <c r="H777" s="9"/>
      <c r="I777" s="9"/>
      <c r="J777" s="505"/>
      <c r="K777" s="47"/>
      <c r="L777" s="47"/>
      <c r="M777" s="47"/>
      <c r="N777" s="9"/>
      <c r="O777" s="9"/>
      <c r="P777" s="9"/>
      <c r="Q777" s="47"/>
      <c r="R777" s="47"/>
      <c r="S777" s="47"/>
      <c r="T777" s="47"/>
      <c r="U777" s="47"/>
      <c r="V777" s="47"/>
      <c r="W777" s="47"/>
      <c r="X777" s="47"/>
      <c r="Y777" s="47"/>
      <c r="Z777" s="47"/>
      <c r="AA777" s="47"/>
      <c r="AB777" s="47"/>
      <c r="AC777" s="47"/>
      <c r="AD777" s="47"/>
      <c r="AE777" s="47"/>
      <c r="AF777" s="47"/>
      <c r="AG777" s="47"/>
      <c r="AH777" s="47"/>
      <c r="AI777" s="47"/>
      <c r="AJ777" s="47"/>
      <c r="AK777" s="47"/>
      <c r="AL777" s="47"/>
      <c r="AM777" s="47"/>
      <c r="AN777" s="47"/>
      <c r="AO777" s="47"/>
      <c r="AP777" s="47"/>
      <c r="AQ777" s="47"/>
      <c r="AR777" s="47"/>
      <c r="AS777" s="47"/>
      <c r="AT777" s="47"/>
      <c r="AU777" s="47"/>
      <c r="AV777" s="47"/>
      <c r="AW777" s="47"/>
      <c r="AX777" s="47"/>
      <c r="AY777" s="47"/>
      <c r="AZ777" s="532"/>
    </row>
    <row r="778" spans="1:52" ht="15.75" customHeight="1">
      <c r="A778" s="500"/>
      <c r="B778" s="477"/>
      <c r="C778" s="481"/>
      <c r="D778" s="47"/>
      <c r="E778" s="47"/>
      <c r="F778" s="478"/>
      <c r="G778" s="479"/>
      <c r="H778" s="9"/>
      <c r="I778" s="9"/>
      <c r="J778" s="505"/>
      <c r="K778" s="47"/>
      <c r="L778" s="47"/>
      <c r="M778" s="47"/>
      <c r="N778" s="9"/>
      <c r="O778" s="9"/>
      <c r="P778" s="9"/>
      <c r="Q778" s="47"/>
      <c r="R778" s="47"/>
      <c r="S778" s="47"/>
      <c r="T778" s="47"/>
      <c r="U778" s="47"/>
      <c r="V778" s="47"/>
      <c r="W778" s="47"/>
      <c r="X778" s="47"/>
      <c r="Y778" s="47"/>
      <c r="Z778" s="47"/>
      <c r="AA778" s="47"/>
      <c r="AB778" s="47"/>
      <c r="AC778" s="47"/>
      <c r="AD778" s="47"/>
      <c r="AE778" s="47"/>
      <c r="AF778" s="47"/>
      <c r="AG778" s="47"/>
      <c r="AH778" s="47"/>
      <c r="AI778" s="47"/>
      <c r="AJ778" s="47"/>
      <c r="AK778" s="47"/>
      <c r="AL778" s="47"/>
      <c r="AM778" s="47"/>
      <c r="AN778" s="47"/>
      <c r="AO778" s="47"/>
      <c r="AP778" s="47"/>
      <c r="AQ778" s="47"/>
      <c r="AR778" s="47"/>
      <c r="AS778" s="47"/>
      <c r="AT778" s="47"/>
      <c r="AU778" s="47"/>
      <c r="AV778" s="47"/>
      <c r="AW778" s="47"/>
      <c r="AX778" s="47"/>
      <c r="AY778" s="47"/>
      <c r="AZ778" s="532"/>
    </row>
    <row r="779" spans="1:52" ht="15.75" customHeight="1">
      <c r="A779" s="500"/>
      <c r="B779" s="477"/>
      <c r="C779" s="481"/>
      <c r="D779" s="47"/>
      <c r="E779" s="47"/>
      <c r="F779" s="478"/>
      <c r="G779" s="479"/>
      <c r="H779" s="9"/>
      <c r="I779" s="9"/>
      <c r="J779" s="505"/>
      <c r="K779" s="47"/>
      <c r="L779" s="47"/>
      <c r="M779" s="47"/>
      <c r="N779" s="9"/>
      <c r="O779" s="9"/>
      <c r="P779" s="9"/>
      <c r="Q779" s="47"/>
      <c r="R779" s="47"/>
      <c r="S779" s="47"/>
      <c r="T779" s="47"/>
      <c r="U779" s="47"/>
      <c r="V779" s="47"/>
      <c r="W779" s="47"/>
      <c r="X779" s="47"/>
      <c r="Y779" s="47"/>
      <c r="Z779" s="47"/>
      <c r="AA779" s="47"/>
      <c r="AB779" s="47"/>
      <c r="AC779" s="47"/>
      <c r="AD779" s="47"/>
      <c r="AE779" s="47"/>
      <c r="AF779" s="47"/>
      <c r="AG779" s="47"/>
      <c r="AH779" s="47"/>
      <c r="AI779" s="47"/>
      <c r="AJ779" s="47"/>
      <c r="AK779" s="47"/>
      <c r="AL779" s="47"/>
      <c r="AM779" s="47"/>
      <c r="AN779" s="47"/>
      <c r="AO779" s="47"/>
      <c r="AP779" s="47"/>
      <c r="AQ779" s="47"/>
      <c r="AR779" s="47"/>
      <c r="AS779" s="47"/>
      <c r="AT779" s="47"/>
      <c r="AU779" s="47"/>
      <c r="AV779" s="47"/>
      <c r="AW779" s="47"/>
      <c r="AX779" s="47"/>
      <c r="AY779" s="47"/>
      <c r="AZ779" s="532"/>
    </row>
    <row r="780" spans="1:52" ht="15.75" customHeight="1">
      <c r="A780" s="500"/>
      <c r="B780" s="477"/>
      <c r="C780" s="481"/>
      <c r="D780" s="47"/>
      <c r="E780" s="47"/>
      <c r="F780" s="478"/>
      <c r="G780" s="479"/>
      <c r="H780" s="9"/>
      <c r="I780" s="9"/>
      <c r="J780" s="505"/>
      <c r="K780" s="47"/>
      <c r="L780" s="47"/>
      <c r="M780" s="47"/>
      <c r="N780" s="9"/>
      <c r="O780" s="9"/>
      <c r="P780" s="9"/>
      <c r="Q780" s="47"/>
      <c r="R780" s="47"/>
      <c r="S780" s="47"/>
      <c r="T780" s="47"/>
      <c r="U780" s="47"/>
      <c r="V780" s="47"/>
      <c r="W780" s="47"/>
      <c r="X780" s="47"/>
      <c r="Y780" s="47"/>
      <c r="Z780" s="47"/>
      <c r="AA780" s="47"/>
      <c r="AB780" s="47"/>
      <c r="AC780" s="47"/>
      <c r="AD780" s="47"/>
      <c r="AE780" s="47"/>
      <c r="AF780" s="47"/>
      <c r="AG780" s="47"/>
      <c r="AH780" s="47"/>
      <c r="AI780" s="47"/>
      <c r="AJ780" s="47"/>
      <c r="AK780" s="47"/>
      <c r="AL780" s="47"/>
      <c r="AM780" s="47"/>
      <c r="AN780" s="47"/>
      <c r="AO780" s="47"/>
      <c r="AP780" s="47"/>
      <c r="AQ780" s="47"/>
      <c r="AR780" s="47"/>
      <c r="AS780" s="47"/>
      <c r="AT780" s="47"/>
      <c r="AU780" s="47"/>
      <c r="AV780" s="47"/>
      <c r="AW780" s="47"/>
      <c r="AX780" s="47"/>
      <c r="AY780" s="47"/>
      <c r="AZ780" s="532"/>
    </row>
    <row r="781" spans="1:52" ht="15.75" customHeight="1">
      <c r="A781" s="500"/>
      <c r="B781" s="477"/>
      <c r="C781" s="481"/>
      <c r="D781" s="47"/>
      <c r="E781" s="47"/>
      <c r="F781" s="478"/>
      <c r="G781" s="479"/>
      <c r="H781" s="9"/>
      <c r="I781" s="9"/>
      <c r="J781" s="505"/>
      <c r="K781" s="47"/>
      <c r="L781" s="47"/>
      <c r="M781" s="47"/>
      <c r="N781" s="9"/>
      <c r="O781" s="9"/>
      <c r="P781" s="9"/>
      <c r="Q781" s="47"/>
      <c r="R781" s="47"/>
      <c r="S781" s="47"/>
      <c r="T781" s="47"/>
      <c r="U781" s="47"/>
      <c r="V781" s="47"/>
      <c r="W781" s="47"/>
      <c r="X781" s="47"/>
      <c r="Y781" s="47"/>
      <c r="Z781" s="47"/>
      <c r="AA781" s="47"/>
      <c r="AB781" s="47"/>
      <c r="AC781" s="47"/>
      <c r="AD781" s="47"/>
      <c r="AE781" s="47"/>
      <c r="AF781" s="47"/>
      <c r="AG781" s="47"/>
      <c r="AH781" s="47"/>
      <c r="AI781" s="47"/>
      <c r="AJ781" s="47"/>
      <c r="AK781" s="47"/>
      <c r="AL781" s="47"/>
      <c r="AM781" s="47"/>
      <c r="AN781" s="47"/>
      <c r="AO781" s="47"/>
      <c r="AP781" s="47"/>
      <c r="AQ781" s="47"/>
      <c r="AR781" s="47"/>
      <c r="AS781" s="47"/>
      <c r="AT781" s="47"/>
      <c r="AU781" s="47"/>
      <c r="AV781" s="47"/>
      <c r="AW781" s="47"/>
      <c r="AX781" s="47"/>
      <c r="AY781" s="47"/>
      <c r="AZ781" s="532"/>
    </row>
    <row r="782" spans="1:52" ht="15.75" customHeight="1">
      <c r="A782" s="500"/>
      <c r="B782" s="477"/>
      <c r="C782" s="481"/>
      <c r="D782" s="47"/>
      <c r="E782" s="47"/>
      <c r="F782" s="478"/>
      <c r="G782" s="479"/>
      <c r="H782" s="9"/>
      <c r="I782" s="9"/>
      <c r="J782" s="505"/>
      <c r="K782" s="47"/>
      <c r="L782" s="47"/>
      <c r="M782" s="47"/>
      <c r="N782" s="9"/>
      <c r="O782" s="9"/>
      <c r="P782" s="9"/>
      <c r="Q782" s="47"/>
      <c r="R782" s="47"/>
      <c r="S782" s="47"/>
      <c r="T782" s="47"/>
      <c r="U782" s="47"/>
      <c r="V782" s="47"/>
      <c r="W782" s="47"/>
      <c r="X782" s="47"/>
      <c r="Y782" s="47"/>
      <c r="Z782" s="47"/>
      <c r="AA782" s="47"/>
      <c r="AB782" s="47"/>
      <c r="AC782" s="47"/>
      <c r="AD782" s="47"/>
      <c r="AE782" s="47"/>
      <c r="AF782" s="47"/>
      <c r="AG782" s="47"/>
      <c r="AH782" s="47"/>
      <c r="AI782" s="47"/>
      <c r="AJ782" s="47"/>
      <c r="AK782" s="47"/>
      <c r="AL782" s="47"/>
      <c r="AM782" s="47"/>
      <c r="AN782" s="47"/>
      <c r="AO782" s="47"/>
      <c r="AP782" s="47"/>
      <c r="AQ782" s="47"/>
      <c r="AR782" s="47"/>
      <c r="AS782" s="47"/>
      <c r="AT782" s="47"/>
      <c r="AU782" s="47"/>
      <c r="AV782" s="47"/>
      <c r="AW782" s="47"/>
      <c r="AX782" s="47"/>
      <c r="AY782" s="47"/>
      <c r="AZ782" s="532"/>
    </row>
    <row r="783" spans="1:52" ht="15.75" customHeight="1">
      <c r="A783" s="500"/>
      <c r="B783" s="477"/>
      <c r="C783" s="481"/>
      <c r="D783" s="47"/>
      <c r="E783" s="47"/>
      <c r="F783" s="478"/>
      <c r="G783" s="479"/>
      <c r="H783" s="9"/>
      <c r="I783" s="9"/>
      <c r="J783" s="505"/>
      <c r="K783" s="47"/>
      <c r="L783" s="47"/>
      <c r="M783" s="47"/>
      <c r="N783" s="9"/>
      <c r="O783" s="9"/>
      <c r="P783" s="9"/>
      <c r="Q783" s="47"/>
      <c r="R783" s="47"/>
      <c r="S783" s="47"/>
      <c r="T783" s="47"/>
      <c r="U783" s="47"/>
      <c r="V783" s="47"/>
      <c r="W783" s="47"/>
      <c r="X783" s="47"/>
      <c r="Y783" s="47"/>
      <c r="Z783" s="47"/>
      <c r="AA783" s="47"/>
      <c r="AB783" s="47"/>
      <c r="AC783" s="47"/>
      <c r="AD783" s="47"/>
      <c r="AE783" s="47"/>
      <c r="AF783" s="47"/>
      <c r="AG783" s="47"/>
      <c r="AH783" s="47"/>
      <c r="AI783" s="47"/>
      <c r="AJ783" s="47"/>
      <c r="AK783" s="47"/>
      <c r="AL783" s="47"/>
      <c r="AM783" s="47"/>
      <c r="AN783" s="47"/>
      <c r="AO783" s="47"/>
      <c r="AP783" s="47"/>
      <c r="AQ783" s="47"/>
      <c r="AR783" s="47"/>
      <c r="AS783" s="47"/>
      <c r="AT783" s="47"/>
      <c r="AU783" s="47"/>
      <c r="AV783" s="47"/>
      <c r="AW783" s="47"/>
      <c r="AX783" s="47"/>
      <c r="AY783" s="47"/>
      <c r="AZ783" s="532"/>
    </row>
    <row r="784" spans="1:52" ht="15.75" customHeight="1">
      <c r="A784" s="500"/>
      <c r="B784" s="477"/>
      <c r="C784" s="481"/>
      <c r="D784" s="47"/>
      <c r="E784" s="47"/>
      <c r="F784" s="478"/>
      <c r="G784" s="479"/>
      <c r="H784" s="9"/>
      <c r="I784" s="9"/>
      <c r="J784" s="505"/>
      <c r="K784" s="47"/>
      <c r="L784" s="47"/>
      <c r="M784" s="47"/>
      <c r="N784" s="9"/>
      <c r="O784" s="9"/>
      <c r="P784" s="9"/>
      <c r="Q784" s="47"/>
      <c r="R784" s="47"/>
      <c r="S784" s="47"/>
      <c r="T784" s="47"/>
      <c r="U784" s="47"/>
      <c r="V784" s="47"/>
      <c r="W784" s="47"/>
      <c r="X784" s="47"/>
      <c r="Y784" s="47"/>
      <c r="Z784" s="47"/>
      <c r="AA784" s="47"/>
      <c r="AB784" s="47"/>
      <c r="AC784" s="47"/>
      <c r="AD784" s="47"/>
      <c r="AE784" s="47"/>
      <c r="AF784" s="47"/>
      <c r="AG784" s="47"/>
      <c r="AH784" s="47"/>
      <c r="AI784" s="47"/>
      <c r="AJ784" s="47"/>
      <c r="AK784" s="47"/>
      <c r="AL784" s="47"/>
      <c r="AM784" s="47"/>
      <c r="AN784" s="47"/>
      <c r="AO784" s="47"/>
      <c r="AP784" s="47"/>
      <c r="AQ784" s="47"/>
      <c r="AR784" s="47"/>
      <c r="AS784" s="47"/>
      <c r="AT784" s="47"/>
      <c r="AU784" s="47"/>
      <c r="AV784" s="47"/>
      <c r="AW784" s="47"/>
      <c r="AX784" s="47"/>
      <c r="AY784" s="47"/>
      <c r="AZ784" s="532"/>
    </row>
    <row r="785" spans="1:52" ht="15.75" customHeight="1">
      <c r="A785" s="500"/>
      <c r="B785" s="477"/>
      <c r="C785" s="481"/>
      <c r="D785" s="47"/>
      <c r="E785" s="47"/>
      <c r="F785" s="478"/>
      <c r="G785" s="479"/>
      <c r="H785" s="9"/>
      <c r="I785" s="9"/>
      <c r="J785" s="505"/>
      <c r="K785" s="47"/>
      <c r="L785" s="47"/>
      <c r="M785" s="47"/>
      <c r="N785" s="9"/>
      <c r="O785" s="9"/>
      <c r="P785" s="9"/>
      <c r="Q785" s="47"/>
      <c r="R785" s="47"/>
      <c r="S785" s="47"/>
      <c r="T785" s="47"/>
      <c r="U785" s="47"/>
      <c r="V785" s="47"/>
      <c r="W785" s="47"/>
      <c r="X785" s="47"/>
      <c r="Y785" s="47"/>
      <c r="Z785" s="47"/>
      <c r="AA785" s="47"/>
      <c r="AB785" s="47"/>
      <c r="AC785" s="47"/>
      <c r="AD785" s="47"/>
      <c r="AE785" s="47"/>
      <c r="AF785" s="47"/>
      <c r="AG785" s="47"/>
      <c r="AH785" s="47"/>
      <c r="AI785" s="47"/>
      <c r="AJ785" s="47"/>
      <c r="AK785" s="47"/>
      <c r="AL785" s="47"/>
      <c r="AM785" s="47"/>
      <c r="AN785" s="47"/>
      <c r="AO785" s="47"/>
      <c r="AP785" s="47"/>
      <c r="AQ785" s="47"/>
      <c r="AR785" s="47"/>
      <c r="AS785" s="47"/>
      <c r="AT785" s="47"/>
      <c r="AU785" s="47"/>
      <c r="AV785" s="47"/>
      <c r="AW785" s="47"/>
      <c r="AX785" s="47"/>
      <c r="AY785" s="47"/>
      <c r="AZ785" s="532"/>
    </row>
    <row r="786" spans="1:52" ht="15.75" customHeight="1">
      <c r="A786" s="500"/>
      <c r="B786" s="477"/>
      <c r="C786" s="481"/>
      <c r="D786" s="47"/>
      <c r="E786" s="47"/>
      <c r="F786" s="478"/>
      <c r="G786" s="479"/>
      <c r="H786" s="9"/>
      <c r="I786" s="10"/>
      <c r="J786" s="505"/>
      <c r="K786" s="47"/>
      <c r="L786" s="47"/>
      <c r="M786" s="47"/>
      <c r="N786" s="9"/>
      <c r="O786" s="9"/>
      <c r="P786" s="9"/>
      <c r="Q786" s="47"/>
      <c r="R786" s="47"/>
      <c r="S786" s="47"/>
      <c r="T786" s="47"/>
      <c r="U786" s="47"/>
      <c r="V786" s="47"/>
      <c r="W786" s="47"/>
      <c r="X786" s="47"/>
      <c r="Y786" s="47"/>
      <c r="Z786" s="47"/>
      <c r="AA786" s="47"/>
      <c r="AB786" s="47"/>
      <c r="AC786" s="47"/>
      <c r="AD786" s="47"/>
      <c r="AE786" s="47"/>
      <c r="AF786" s="47"/>
      <c r="AG786" s="47"/>
      <c r="AH786" s="47"/>
      <c r="AI786" s="47"/>
      <c r="AJ786" s="47"/>
      <c r="AK786" s="47"/>
      <c r="AL786" s="47"/>
      <c r="AM786" s="47"/>
      <c r="AN786" s="47"/>
      <c r="AO786" s="47"/>
      <c r="AP786" s="47"/>
      <c r="AQ786" s="47"/>
      <c r="AR786" s="47"/>
      <c r="AS786" s="47"/>
      <c r="AT786" s="47"/>
      <c r="AU786" s="47"/>
      <c r="AV786" s="47"/>
      <c r="AW786" s="47"/>
      <c r="AX786" s="47"/>
      <c r="AY786" s="47"/>
      <c r="AZ786" s="532"/>
    </row>
    <row r="787" spans="1:52" ht="15.75" customHeight="1">
      <c r="A787" s="500"/>
      <c r="B787" s="477"/>
      <c r="C787" s="481"/>
      <c r="D787" s="47"/>
      <c r="E787" s="47"/>
      <c r="F787" s="478"/>
      <c r="G787" s="479"/>
      <c r="H787" s="9"/>
      <c r="I787" s="9"/>
      <c r="J787" s="505"/>
      <c r="K787" s="47"/>
      <c r="L787" s="47"/>
      <c r="M787" s="47"/>
      <c r="N787" s="9"/>
      <c r="O787" s="9"/>
      <c r="P787" s="9"/>
      <c r="Q787" s="47"/>
      <c r="R787" s="47"/>
      <c r="S787" s="47"/>
      <c r="T787" s="47"/>
      <c r="U787" s="47"/>
      <c r="V787" s="47"/>
      <c r="W787" s="47"/>
      <c r="X787" s="47"/>
      <c r="Y787" s="47"/>
      <c r="Z787" s="47"/>
      <c r="AA787" s="47"/>
      <c r="AB787" s="47"/>
      <c r="AC787" s="47"/>
      <c r="AD787" s="47"/>
      <c r="AE787" s="47"/>
      <c r="AF787" s="47"/>
      <c r="AG787" s="47"/>
      <c r="AH787" s="47"/>
      <c r="AI787" s="47"/>
      <c r="AJ787" s="47"/>
      <c r="AK787" s="47"/>
      <c r="AL787" s="47"/>
      <c r="AM787" s="47"/>
      <c r="AN787" s="47"/>
      <c r="AO787" s="47"/>
      <c r="AP787" s="47"/>
      <c r="AQ787" s="47"/>
      <c r="AR787" s="47"/>
      <c r="AS787" s="47"/>
      <c r="AT787" s="47"/>
      <c r="AU787" s="47"/>
      <c r="AV787" s="47"/>
      <c r="AW787" s="47"/>
      <c r="AX787" s="47"/>
      <c r="AY787" s="47"/>
      <c r="AZ787" s="532"/>
    </row>
    <row r="788" spans="1:52" ht="15.75" customHeight="1">
      <c r="A788" s="500"/>
      <c r="B788" s="477"/>
      <c r="C788" s="481"/>
      <c r="D788" s="47"/>
      <c r="E788" s="47"/>
      <c r="F788" s="478"/>
      <c r="G788" s="479"/>
      <c r="H788" s="9"/>
      <c r="I788" s="9"/>
      <c r="J788" s="505"/>
      <c r="K788" s="47"/>
      <c r="L788" s="47"/>
      <c r="M788" s="47"/>
      <c r="N788" s="9"/>
      <c r="O788" s="9"/>
      <c r="P788" s="9"/>
      <c r="Q788" s="47"/>
      <c r="R788" s="47"/>
      <c r="S788" s="47"/>
      <c r="T788" s="47"/>
      <c r="U788" s="47"/>
      <c r="V788" s="47"/>
      <c r="W788" s="47"/>
      <c r="X788" s="47"/>
      <c r="Y788" s="47"/>
      <c r="Z788" s="47"/>
      <c r="AA788" s="47"/>
      <c r="AB788" s="47"/>
      <c r="AC788" s="47"/>
      <c r="AD788" s="47"/>
      <c r="AE788" s="47"/>
      <c r="AF788" s="47"/>
      <c r="AG788" s="47"/>
      <c r="AH788" s="47"/>
      <c r="AI788" s="47"/>
      <c r="AJ788" s="47"/>
      <c r="AK788" s="47"/>
      <c r="AL788" s="47"/>
      <c r="AM788" s="47"/>
      <c r="AN788" s="47"/>
      <c r="AO788" s="47"/>
      <c r="AP788" s="47"/>
      <c r="AQ788" s="47"/>
      <c r="AR788" s="47"/>
      <c r="AS788" s="47"/>
      <c r="AT788" s="47"/>
      <c r="AU788" s="47"/>
      <c r="AV788" s="47"/>
      <c r="AW788" s="47"/>
      <c r="AX788" s="47"/>
      <c r="AY788" s="47"/>
      <c r="AZ788" s="532"/>
    </row>
    <row r="789" spans="1:52" ht="15.75" customHeight="1">
      <c r="A789" s="500"/>
      <c r="B789" s="477"/>
      <c r="C789" s="481"/>
      <c r="D789" s="47"/>
      <c r="E789" s="47"/>
      <c r="F789" s="478"/>
      <c r="G789" s="479"/>
      <c r="H789" s="9"/>
      <c r="I789" s="10"/>
      <c r="J789" s="505"/>
      <c r="K789" s="47"/>
      <c r="L789" s="47"/>
      <c r="M789" s="47"/>
      <c r="N789" s="9"/>
      <c r="O789" s="9"/>
      <c r="P789" s="9"/>
      <c r="Q789" s="47"/>
      <c r="R789" s="47"/>
      <c r="S789" s="47"/>
      <c r="T789" s="47"/>
      <c r="U789" s="47"/>
      <c r="V789" s="47"/>
      <c r="W789" s="47"/>
      <c r="X789" s="47"/>
      <c r="Y789" s="47"/>
      <c r="Z789" s="47"/>
      <c r="AA789" s="47"/>
      <c r="AB789" s="47"/>
      <c r="AC789" s="47"/>
      <c r="AD789" s="47"/>
      <c r="AE789" s="47"/>
      <c r="AF789" s="47"/>
      <c r="AG789" s="47"/>
      <c r="AH789" s="47"/>
      <c r="AI789" s="47"/>
      <c r="AJ789" s="47"/>
      <c r="AK789" s="47"/>
      <c r="AL789" s="47"/>
      <c r="AM789" s="47"/>
      <c r="AN789" s="47"/>
      <c r="AO789" s="47"/>
      <c r="AP789" s="47"/>
      <c r="AQ789" s="47"/>
      <c r="AR789" s="47"/>
      <c r="AS789" s="47"/>
      <c r="AT789" s="47"/>
      <c r="AU789" s="47"/>
      <c r="AV789" s="47"/>
      <c r="AW789" s="47"/>
      <c r="AX789" s="47"/>
      <c r="AY789" s="47"/>
      <c r="AZ789" s="532"/>
    </row>
    <row r="790" spans="1:52" ht="15.75" customHeight="1">
      <c r="A790" s="500"/>
      <c r="B790" s="477"/>
      <c r="C790" s="481"/>
      <c r="D790" s="47"/>
      <c r="E790" s="47"/>
      <c r="F790" s="478"/>
      <c r="G790" s="479"/>
      <c r="H790" s="9"/>
      <c r="I790" s="9"/>
      <c r="J790" s="505"/>
      <c r="K790" s="47"/>
      <c r="L790" s="47"/>
      <c r="M790" s="47"/>
      <c r="N790" s="9"/>
      <c r="O790" s="9"/>
      <c r="P790" s="9"/>
      <c r="Q790" s="47"/>
      <c r="R790" s="47"/>
      <c r="S790" s="47"/>
      <c r="T790" s="47"/>
      <c r="U790" s="47"/>
      <c r="V790" s="47"/>
      <c r="W790" s="47"/>
      <c r="X790" s="47"/>
      <c r="Y790" s="47"/>
      <c r="Z790" s="47"/>
      <c r="AA790" s="47"/>
      <c r="AB790" s="47"/>
      <c r="AC790" s="47"/>
      <c r="AD790" s="47"/>
      <c r="AE790" s="47"/>
      <c r="AF790" s="47"/>
      <c r="AG790" s="47"/>
      <c r="AH790" s="47"/>
      <c r="AI790" s="47"/>
      <c r="AJ790" s="47"/>
      <c r="AK790" s="47"/>
      <c r="AL790" s="47"/>
      <c r="AM790" s="47"/>
      <c r="AN790" s="47"/>
      <c r="AO790" s="47"/>
      <c r="AP790" s="47"/>
      <c r="AQ790" s="47"/>
      <c r="AR790" s="47"/>
      <c r="AS790" s="47"/>
      <c r="AT790" s="47"/>
      <c r="AU790" s="47"/>
      <c r="AV790" s="47"/>
      <c r="AW790" s="47"/>
      <c r="AX790" s="47"/>
      <c r="AY790" s="47"/>
      <c r="AZ790" s="532"/>
    </row>
    <row r="791" spans="1:52" ht="15.75" customHeight="1">
      <c r="A791" s="500"/>
      <c r="B791" s="477"/>
      <c r="C791" s="481"/>
      <c r="D791" s="47"/>
      <c r="E791" s="47"/>
      <c r="F791" s="478"/>
      <c r="G791" s="479"/>
      <c r="H791" s="9"/>
      <c r="I791" s="10"/>
      <c r="J791" s="505"/>
      <c r="K791" s="47"/>
      <c r="L791" s="47"/>
      <c r="M791" s="47"/>
      <c r="N791" s="9"/>
      <c r="O791" s="9"/>
      <c r="P791" s="9"/>
      <c r="Q791" s="47"/>
      <c r="R791" s="47"/>
      <c r="S791" s="47"/>
      <c r="T791" s="47"/>
      <c r="U791" s="47"/>
      <c r="V791" s="47"/>
      <c r="W791" s="47"/>
      <c r="X791" s="47"/>
      <c r="Y791" s="47"/>
      <c r="Z791" s="47"/>
      <c r="AA791" s="47"/>
      <c r="AB791" s="47"/>
      <c r="AC791" s="47"/>
      <c r="AD791" s="47"/>
      <c r="AE791" s="47"/>
      <c r="AF791" s="47"/>
      <c r="AG791" s="47"/>
      <c r="AH791" s="47"/>
      <c r="AI791" s="47"/>
      <c r="AJ791" s="47"/>
      <c r="AK791" s="47"/>
      <c r="AL791" s="47"/>
      <c r="AM791" s="47"/>
      <c r="AN791" s="47"/>
      <c r="AO791" s="47"/>
      <c r="AP791" s="47"/>
      <c r="AQ791" s="47"/>
      <c r="AR791" s="47"/>
      <c r="AS791" s="47"/>
      <c r="AT791" s="47"/>
      <c r="AU791" s="47"/>
      <c r="AV791" s="47"/>
      <c r="AW791" s="47"/>
      <c r="AX791" s="47"/>
      <c r="AY791" s="47"/>
      <c r="AZ791" s="532"/>
    </row>
    <row r="792" spans="1:52" ht="15.75" customHeight="1">
      <c r="A792" s="500"/>
      <c r="B792" s="477"/>
      <c r="C792" s="481"/>
      <c r="D792" s="47"/>
      <c r="E792" s="47"/>
      <c r="F792" s="478"/>
      <c r="G792" s="479"/>
      <c r="H792" s="9"/>
      <c r="I792" s="9"/>
      <c r="J792" s="505"/>
      <c r="K792" s="47"/>
      <c r="L792" s="47"/>
      <c r="M792" s="47"/>
      <c r="N792" s="9"/>
      <c r="O792" s="9"/>
      <c r="P792" s="9"/>
      <c r="Q792" s="47"/>
      <c r="R792" s="47"/>
      <c r="S792" s="47"/>
      <c r="T792" s="47"/>
      <c r="U792" s="47"/>
      <c r="V792" s="47"/>
      <c r="W792" s="47"/>
      <c r="X792" s="47"/>
      <c r="Y792" s="47"/>
      <c r="Z792" s="47"/>
      <c r="AA792" s="47"/>
      <c r="AB792" s="47"/>
      <c r="AC792" s="47"/>
      <c r="AD792" s="47"/>
      <c r="AE792" s="47"/>
      <c r="AF792" s="47"/>
      <c r="AG792" s="47"/>
      <c r="AH792" s="47"/>
      <c r="AI792" s="47"/>
      <c r="AJ792" s="47"/>
      <c r="AK792" s="47"/>
      <c r="AL792" s="47"/>
      <c r="AM792" s="47"/>
      <c r="AN792" s="47"/>
      <c r="AO792" s="47"/>
      <c r="AP792" s="47"/>
      <c r="AQ792" s="47"/>
      <c r="AR792" s="47"/>
      <c r="AS792" s="47"/>
      <c r="AT792" s="47"/>
      <c r="AU792" s="47"/>
      <c r="AV792" s="47"/>
      <c r="AW792" s="47"/>
      <c r="AX792" s="47"/>
      <c r="AY792" s="47"/>
      <c r="AZ792" s="532"/>
    </row>
    <row r="793" spans="1:52" ht="15.75" customHeight="1">
      <c r="A793" s="500"/>
      <c r="B793" s="477"/>
      <c r="C793" s="481"/>
      <c r="D793" s="47"/>
      <c r="E793" s="47"/>
      <c r="F793" s="478"/>
      <c r="G793" s="479"/>
      <c r="H793" s="9"/>
      <c r="I793" s="9"/>
      <c r="J793" s="505"/>
      <c r="K793" s="47"/>
      <c r="L793" s="47"/>
      <c r="M793" s="47"/>
      <c r="N793" s="9"/>
      <c r="O793" s="9"/>
      <c r="P793" s="9"/>
      <c r="Q793" s="47"/>
      <c r="R793" s="47"/>
      <c r="S793" s="47"/>
      <c r="T793" s="47"/>
      <c r="U793" s="47"/>
      <c r="V793" s="47"/>
      <c r="W793" s="47"/>
      <c r="X793" s="47"/>
      <c r="Y793" s="47"/>
      <c r="Z793" s="47"/>
      <c r="AA793" s="47"/>
      <c r="AB793" s="47"/>
      <c r="AC793" s="47"/>
      <c r="AD793" s="47"/>
      <c r="AE793" s="47"/>
      <c r="AF793" s="47"/>
      <c r="AG793" s="47"/>
      <c r="AH793" s="47"/>
      <c r="AI793" s="47"/>
      <c r="AJ793" s="47"/>
      <c r="AK793" s="47"/>
      <c r="AL793" s="47"/>
      <c r="AM793" s="47"/>
      <c r="AN793" s="47"/>
      <c r="AO793" s="47"/>
      <c r="AP793" s="47"/>
      <c r="AQ793" s="47"/>
      <c r="AR793" s="47"/>
      <c r="AS793" s="47"/>
      <c r="AT793" s="47"/>
      <c r="AU793" s="47"/>
      <c r="AV793" s="47"/>
      <c r="AW793" s="47"/>
      <c r="AX793" s="47"/>
      <c r="AY793" s="47"/>
      <c r="AZ793" s="532"/>
    </row>
    <row r="794" spans="1:52" ht="15.75" customHeight="1">
      <c r="A794" s="500"/>
      <c r="B794" s="477"/>
      <c r="C794" s="481"/>
      <c r="D794" s="47"/>
      <c r="E794" s="47"/>
      <c r="F794" s="478"/>
      <c r="G794" s="479"/>
      <c r="H794" s="9"/>
      <c r="I794" s="9"/>
      <c r="J794" s="505"/>
      <c r="K794" s="47"/>
      <c r="L794" s="47"/>
      <c r="M794" s="47"/>
      <c r="N794" s="9"/>
      <c r="O794" s="9"/>
      <c r="P794" s="9"/>
      <c r="Q794" s="47"/>
      <c r="R794" s="47"/>
      <c r="S794" s="47"/>
      <c r="T794" s="47"/>
      <c r="U794" s="47"/>
      <c r="V794" s="47"/>
      <c r="W794" s="47"/>
      <c r="X794" s="47"/>
      <c r="Y794" s="47"/>
      <c r="Z794" s="47"/>
      <c r="AA794" s="47"/>
      <c r="AB794" s="47"/>
      <c r="AC794" s="47"/>
      <c r="AD794" s="47"/>
      <c r="AE794" s="47"/>
      <c r="AF794" s="47"/>
      <c r="AG794" s="47"/>
      <c r="AH794" s="47"/>
      <c r="AI794" s="47"/>
      <c r="AJ794" s="47"/>
      <c r="AK794" s="47"/>
      <c r="AL794" s="47"/>
      <c r="AM794" s="47"/>
      <c r="AN794" s="47"/>
      <c r="AO794" s="47"/>
      <c r="AP794" s="47"/>
      <c r="AQ794" s="47"/>
      <c r="AR794" s="47"/>
      <c r="AS794" s="47"/>
      <c r="AT794" s="47"/>
      <c r="AU794" s="47"/>
      <c r="AV794" s="47"/>
      <c r="AW794" s="47"/>
      <c r="AX794" s="47"/>
      <c r="AY794" s="47"/>
      <c r="AZ794" s="532"/>
    </row>
    <row r="795" spans="1:52" ht="15.75" customHeight="1">
      <c r="A795" s="500"/>
      <c r="B795" s="477"/>
      <c r="C795" s="481"/>
      <c r="D795" s="47"/>
      <c r="E795" s="47"/>
      <c r="F795" s="478"/>
      <c r="G795" s="479"/>
      <c r="H795" s="9"/>
      <c r="I795" s="9"/>
      <c r="J795" s="505"/>
      <c r="K795" s="47"/>
      <c r="L795" s="47"/>
      <c r="M795" s="47"/>
      <c r="N795" s="9"/>
      <c r="O795" s="9"/>
      <c r="P795" s="9"/>
      <c r="Q795" s="47"/>
      <c r="R795" s="47"/>
      <c r="S795" s="47"/>
      <c r="T795" s="47"/>
      <c r="U795" s="47"/>
      <c r="V795" s="47"/>
      <c r="W795" s="47"/>
      <c r="X795" s="47"/>
      <c r="Y795" s="47"/>
      <c r="Z795" s="47"/>
      <c r="AA795" s="47"/>
      <c r="AB795" s="47"/>
      <c r="AC795" s="47"/>
      <c r="AD795" s="47"/>
      <c r="AE795" s="47"/>
      <c r="AF795" s="47"/>
      <c r="AG795" s="47"/>
      <c r="AH795" s="47"/>
      <c r="AI795" s="47"/>
      <c r="AJ795" s="47"/>
      <c r="AK795" s="47"/>
      <c r="AL795" s="47"/>
      <c r="AM795" s="47"/>
      <c r="AN795" s="47"/>
      <c r="AO795" s="47"/>
      <c r="AP795" s="47"/>
      <c r="AQ795" s="47"/>
      <c r="AR795" s="47"/>
      <c r="AS795" s="47"/>
      <c r="AT795" s="47"/>
      <c r="AU795" s="47"/>
      <c r="AV795" s="47"/>
      <c r="AW795" s="47"/>
      <c r="AX795" s="47"/>
      <c r="AY795" s="47"/>
      <c r="AZ795" s="532"/>
    </row>
    <row r="796" spans="1:52" ht="15.75" customHeight="1">
      <c r="A796" s="500"/>
      <c r="B796" s="477"/>
      <c r="C796" s="481"/>
      <c r="D796" s="47"/>
      <c r="E796" s="47"/>
      <c r="F796" s="478"/>
      <c r="G796" s="479"/>
      <c r="H796" s="9"/>
      <c r="I796" s="9"/>
      <c r="J796" s="505"/>
      <c r="K796" s="47"/>
      <c r="L796" s="47"/>
      <c r="M796" s="47"/>
      <c r="N796" s="9"/>
      <c r="O796" s="9"/>
      <c r="P796" s="9"/>
      <c r="Q796" s="47"/>
      <c r="R796" s="47"/>
      <c r="S796" s="47"/>
      <c r="T796" s="47"/>
      <c r="U796" s="47"/>
      <c r="V796" s="47"/>
      <c r="W796" s="47"/>
      <c r="X796" s="47"/>
      <c r="Y796" s="47"/>
      <c r="Z796" s="47"/>
      <c r="AA796" s="47"/>
      <c r="AB796" s="47"/>
      <c r="AC796" s="47"/>
      <c r="AD796" s="47"/>
      <c r="AE796" s="47"/>
      <c r="AF796" s="47"/>
      <c r="AG796" s="47"/>
      <c r="AH796" s="47"/>
      <c r="AI796" s="47"/>
      <c r="AJ796" s="47"/>
      <c r="AK796" s="47"/>
      <c r="AL796" s="47"/>
      <c r="AM796" s="47"/>
      <c r="AN796" s="47"/>
      <c r="AO796" s="47"/>
      <c r="AP796" s="47"/>
      <c r="AQ796" s="47"/>
      <c r="AR796" s="47"/>
      <c r="AS796" s="47"/>
      <c r="AT796" s="47"/>
      <c r="AU796" s="47"/>
      <c r="AV796" s="47"/>
      <c r="AW796" s="47"/>
      <c r="AX796" s="47"/>
      <c r="AY796" s="47"/>
      <c r="AZ796" s="532"/>
    </row>
    <row r="797" spans="1:52" ht="15.75" customHeight="1">
      <c r="A797" s="500"/>
      <c r="B797" s="477"/>
      <c r="C797" s="481"/>
      <c r="D797" s="47"/>
      <c r="E797" s="47"/>
      <c r="F797" s="478"/>
      <c r="G797" s="479"/>
      <c r="H797" s="9"/>
      <c r="I797" s="10"/>
      <c r="J797" s="505"/>
      <c r="K797" s="47"/>
      <c r="L797" s="47"/>
      <c r="M797" s="47"/>
      <c r="N797" s="9"/>
      <c r="O797" s="9"/>
      <c r="P797" s="9"/>
      <c r="Q797" s="47"/>
      <c r="R797" s="47"/>
      <c r="S797" s="47"/>
      <c r="T797" s="47"/>
      <c r="U797" s="47"/>
      <c r="V797" s="47"/>
      <c r="W797" s="47"/>
      <c r="X797" s="47"/>
      <c r="Y797" s="47"/>
      <c r="Z797" s="47"/>
      <c r="AA797" s="47"/>
      <c r="AB797" s="47"/>
      <c r="AC797" s="47"/>
      <c r="AD797" s="47"/>
      <c r="AE797" s="47"/>
      <c r="AF797" s="47"/>
      <c r="AG797" s="47"/>
      <c r="AH797" s="47"/>
      <c r="AI797" s="47"/>
      <c r="AJ797" s="47"/>
      <c r="AK797" s="47"/>
      <c r="AL797" s="47"/>
      <c r="AM797" s="47"/>
      <c r="AN797" s="47"/>
      <c r="AO797" s="47"/>
      <c r="AP797" s="47"/>
      <c r="AQ797" s="47"/>
      <c r="AR797" s="47"/>
      <c r="AS797" s="47"/>
      <c r="AT797" s="47"/>
      <c r="AU797" s="47"/>
      <c r="AV797" s="47"/>
      <c r="AW797" s="47"/>
      <c r="AX797" s="47"/>
      <c r="AY797" s="47"/>
      <c r="AZ797" s="532"/>
    </row>
    <row r="798" spans="1:52" ht="15.75" customHeight="1">
      <c r="A798" s="500"/>
      <c r="B798" s="477"/>
      <c r="C798" s="481"/>
      <c r="D798" s="47"/>
      <c r="E798" s="47"/>
      <c r="F798" s="478"/>
      <c r="G798" s="479"/>
      <c r="H798" s="9"/>
      <c r="I798" s="9"/>
      <c r="J798" s="505"/>
      <c r="K798" s="47"/>
      <c r="L798" s="47"/>
      <c r="M798" s="47"/>
      <c r="N798" s="9"/>
      <c r="O798" s="9"/>
      <c r="P798" s="9"/>
      <c r="Q798" s="47"/>
      <c r="R798" s="47"/>
      <c r="S798" s="47"/>
      <c r="T798" s="47"/>
      <c r="U798" s="47"/>
      <c r="V798" s="47"/>
      <c r="W798" s="47"/>
      <c r="X798" s="47"/>
      <c r="Y798" s="47"/>
      <c r="Z798" s="47"/>
      <c r="AA798" s="47"/>
      <c r="AB798" s="47"/>
      <c r="AC798" s="47"/>
      <c r="AD798" s="47"/>
      <c r="AE798" s="47"/>
      <c r="AF798" s="47"/>
      <c r="AG798" s="47"/>
      <c r="AH798" s="47"/>
      <c r="AI798" s="47"/>
      <c r="AJ798" s="47"/>
      <c r="AK798" s="47"/>
      <c r="AL798" s="47"/>
      <c r="AM798" s="47"/>
      <c r="AN798" s="47"/>
      <c r="AO798" s="47"/>
      <c r="AP798" s="47"/>
      <c r="AQ798" s="47"/>
      <c r="AR798" s="47"/>
      <c r="AS798" s="47"/>
      <c r="AT798" s="47"/>
      <c r="AU798" s="47"/>
      <c r="AV798" s="47"/>
      <c r="AW798" s="47"/>
      <c r="AX798" s="47"/>
      <c r="AY798" s="47"/>
      <c r="AZ798" s="532"/>
    </row>
    <row r="799" spans="1:52" ht="15.75" customHeight="1">
      <c r="A799" s="500"/>
      <c r="B799" s="477"/>
      <c r="C799" s="481"/>
      <c r="D799" s="47"/>
      <c r="E799" s="47"/>
      <c r="F799" s="478"/>
      <c r="G799" s="479"/>
      <c r="H799" s="9"/>
      <c r="I799" s="10"/>
      <c r="J799" s="505"/>
      <c r="K799" s="47"/>
      <c r="L799" s="47"/>
      <c r="M799" s="47"/>
      <c r="N799" s="9"/>
      <c r="O799" s="9"/>
      <c r="P799" s="9"/>
      <c r="Q799" s="47"/>
      <c r="R799" s="47"/>
      <c r="S799" s="47"/>
      <c r="T799" s="47"/>
      <c r="U799" s="47"/>
      <c r="V799" s="47"/>
      <c r="W799" s="47"/>
      <c r="X799" s="47"/>
      <c r="Y799" s="47"/>
      <c r="Z799" s="47"/>
      <c r="AA799" s="47"/>
      <c r="AB799" s="47"/>
      <c r="AC799" s="47"/>
      <c r="AD799" s="47"/>
      <c r="AE799" s="47"/>
      <c r="AF799" s="47"/>
      <c r="AG799" s="47"/>
      <c r="AH799" s="47"/>
      <c r="AI799" s="47"/>
      <c r="AJ799" s="47"/>
      <c r="AK799" s="47"/>
      <c r="AL799" s="47"/>
      <c r="AM799" s="47"/>
      <c r="AN799" s="47"/>
      <c r="AO799" s="47"/>
      <c r="AP799" s="47"/>
      <c r="AQ799" s="47"/>
      <c r="AR799" s="47"/>
      <c r="AS799" s="47"/>
      <c r="AT799" s="47"/>
      <c r="AU799" s="47"/>
      <c r="AV799" s="47"/>
      <c r="AW799" s="47"/>
      <c r="AX799" s="47"/>
      <c r="AY799" s="47"/>
      <c r="AZ799" s="532"/>
    </row>
    <row r="800" spans="1:52" ht="15.75" customHeight="1">
      <c r="A800" s="500"/>
      <c r="B800" s="477"/>
      <c r="C800" s="481"/>
      <c r="D800" s="47"/>
      <c r="E800" s="47"/>
      <c r="F800" s="478"/>
      <c r="G800" s="479"/>
      <c r="H800" s="9"/>
      <c r="I800" s="9"/>
      <c r="J800" s="505"/>
      <c r="K800" s="47"/>
      <c r="L800" s="47"/>
      <c r="M800" s="47"/>
      <c r="N800" s="9"/>
      <c r="O800" s="9"/>
      <c r="P800" s="9"/>
      <c r="Q800" s="47"/>
      <c r="R800" s="47"/>
      <c r="S800" s="47"/>
      <c r="T800" s="47"/>
      <c r="U800" s="47"/>
      <c r="V800" s="47"/>
      <c r="W800" s="47"/>
      <c r="X800" s="47"/>
      <c r="Y800" s="47"/>
      <c r="Z800" s="47"/>
      <c r="AA800" s="47"/>
      <c r="AB800" s="47"/>
      <c r="AC800" s="47"/>
      <c r="AD800" s="47"/>
      <c r="AE800" s="47"/>
      <c r="AF800" s="47"/>
      <c r="AG800" s="47"/>
      <c r="AH800" s="47"/>
      <c r="AI800" s="47"/>
      <c r="AJ800" s="47"/>
      <c r="AK800" s="47"/>
      <c r="AL800" s="47"/>
      <c r="AM800" s="47"/>
      <c r="AN800" s="47"/>
      <c r="AO800" s="47"/>
      <c r="AP800" s="47"/>
      <c r="AQ800" s="47"/>
      <c r="AR800" s="47"/>
      <c r="AS800" s="47"/>
      <c r="AT800" s="47"/>
      <c r="AU800" s="47"/>
      <c r="AV800" s="47"/>
      <c r="AW800" s="47"/>
      <c r="AX800" s="47"/>
      <c r="AY800" s="47"/>
      <c r="AZ800" s="532"/>
    </row>
    <row r="801" spans="1:52" ht="15.75" customHeight="1">
      <c r="A801" s="500"/>
      <c r="B801" s="477"/>
      <c r="C801" s="481"/>
      <c r="D801" s="47"/>
      <c r="E801" s="47"/>
      <c r="F801" s="478"/>
      <c r="G801" s="479"/>
      <c r="H801" s="9"/>
      <c r="I801" s="10"/>
      <c r="J801" s="505"/>
      <c r="K801" s="47"/>
      <c r="L801" s="47"/>
      <c r="M801" s="47"/>
      <c r="N801" s="9"/>
      <c r="O801" s="9"/>
      <c r="P801" s="9"/>
      <c r="Q801" s="47"/>
      <c r="R801" s="47"/>
      <c r="S801" s="47"/>
      <c r="T801" s="47"/>
      <c r="U801" s="47"/>
      <c r="V801" s="47"/>
      <c r="W801" s="47"/>
      <c r="X801" s="47"/>
      <c r="Y801" s="47"/>
      <c r="Z801" s="47"/>
      <c r="AA801" s="47"/>
      <c r="AB801" s="47"/>
      <c r="AC801" s="47"/>
      <c r="AD801" s="47"/>
      <c r="AE801" s="47"/>
      <c r="AF801" s="47"/>
      <c r="AG801" s="47"/>
      <c r="AH801" s="47"/>
      <c r="AI801" s="47"/>
      <c r="AJ801" s="47"/>
      <c r="AK801" s="47"/>
      <c r="AL801" s="47"/>
      <c r="AM801" s="47"/>
      <c r="AN801" s="47"/>
      <c r="AO801" s="47"/>
      <c r="AP801" s="47"/>
      <c r="AQ801" s="47"/>
      <c r="AR801" s="47"/>
      <c r="AS801" s="47"/>
      <c r="AT801" s="47"/>
      <c r="AU801" s="47"/>
      <c r="AV801" s="47"/>
      <c r="AW801" s="47"/>
      <c r="AX801" s="47"/>
      <c r="AY801" s="47"/>
      <c r="AZ801" s="532"/>
    </row>
    <row r="802" spans="1:52" ht="15.75" customHeight="1">
      <c r="A802" s="500"/>
      <c r="B802" s="477"/>
      <c r="C802" s="481"/>
      <c r="D802" s="47"/>
      <c r="E802" s="47"/>
      <c r="F802" s="478"/>
      <c r="G802" s="479"/>
      <c r="H802" s="9"/>
      <c r="I802" s="9"/>
      <c r="J802" s="505"/>
      <c r="K802" s="47"/>
      <c r="L802" s="47"/>
      <c r="M802" s="47"/>
      <c r="N802" s="9"/>
      <c r="O802" s="9"/>
      <c r="P802" s="9"/>
      <c r="Q802" s="47"/>
      <c r="R802" s="47"/>
      <c r="S802" s="47"/>
      <c r="T802" s="47"/>
      <c r="U802" s="47"/>
      <c r="V802" s="47"/>
      <c r="W802" s="47"/>
      <c r="X802" s="47"/>
      <c r="Y802" s="47"/>
      <c r="Z802" s="47"/>
      <c r="AA802" s="47"/>
      <c r="AB802" s="47"/>
      <c r="AC802" s="47"/>
      <c r="AD802" s="47"/>
      <c r="AE802" s="47"/>
      <c r="AF802" s="47"/>
      <c r="AG802" s="47"/>
      <c r="AH802" s="47"/>
      <c r="AI802" s="47"/>
      <c r="AJ802" s="47"/>
      <c r="AK802" s="47"/>
      <c r="AL802" s="47"/>
      <c r="AM802" s="47"/>
      <c r="AN802" s="47"/>
      <c r="AO802" s="47"/>
      <c r="AP802" s="47"/>
      <c r="AQ802" s="47"/>
      <c r="AR802" s="47"/>
      <c r="AS802" s="47"/>
      <c r="AT802" s="47"/>
      <c r="AU802" s="47"/>
      <c r="AV802" s="47"/>
      <c r="AW802" s="47"/>
      <c r="AX802" s="47"/>
      <c r="AY802" s="47"/>
      <c r="AZ802" s="532"/>
    </row>
    <row r="803" spans="1:52" ht="15.75" customHeight="1">
      <c r="A803" s="500"/>
      <c r="B803" s="477"/>
      <c r="C803" s="481"/>
      <c r="D803" s="47"/>
      <c r="E803" s="47"/>
      <c r="F803" s="478"/>
      <c r="G803" s="479"/>
      <c r="H803" s="9"/>
      <c r="I803" s="9"/>
      <c r="J803" s="505"/>
      <c r="K803" s="47"/>
      <c r="L803" s="47"/>
      <c r="M803" s="47"/>
      <c r="N803" s="9"/>
      <c r="O803" s="9"/>
      <c r="P803" s="9"/>
      <c r="Q803" s="47"/>
      <c r="R803" s="47"/>
      <c r="S803" s="47"/>
      <c r="T803" s="47"/>
      <c r="U803" s="47"/>
      <c r="V803" s="47"/>
      <c r="W803" s="47"/>
      <c r="X803" s="47"/>
      <c r="Y803" s="47"/>
      <c r="Z803" s="47"/>
      <c r="AA803" s="47"/>
      <c r="AB803" s="47"/>
      <c r="AC803" s="47"/>
      <c r="AD803" s="47"/>
      <c r="AE803" s="47"/>
      <c r="AF803" s="47"/>
      <c r="AG803" s="47"/>
      <c r="AH803" s="47"/>
      <c r="AI803" s="47"/>
      <c r="AJ803" s="47"/>
      <c r="AK803" s="47"/>
      <c r="AL803" s="47"/>
      <c r="AM803" s="47"/>
      <c r="AN803" s="47"/>
      <c r="AO803" s="47"/>
      <c r="AP803" s="47"/>
      <c r="AQ803" s="47"/>
      <c r="AR803" s="47"/>
      <c r="AS803" s="47"/>
      <c r="AT803" s="47"/>
      <c r="AU803" s="47"/>
      <c r="AV803" s="47"/>
      <c r="AW803" s="47"/>
      <c r="AX803" s="47"/>
      <c r="AY803" s="47"/>
      <c r="AZ803" s="532"/>
    </row>
    <row r="804" spans="1:52" ht="15.75" customHeight="1">
      <c r="A804" s="500"/>
      <c r="B804" s="477"/>
      <c r="C804" s="481"/>
      <c r="D804" s="47"/>
      <c r="E804" s="47"/>
      <c r="F804" s="478"/>
      <c r="G804" s="479"/>
      <c r="H804" s="9"/>
      <c r="I804" s="9"/>
      <c r="J804" s="505"/>
      <c r="K804" s="47"/>
      <c r="L804" s="47"/>
      <c r="M804" s="47"/>
      <c r="N804" s="9"/>
      <c r="O804" s="9"/>
      <c r="P804" s="9"/>
      <c r="Q804" s="47"/>
      <c r="R804" s="47"/>
      <c r="S804" s="47"/>
      <c r="T804" s="47"/>
      <c r="U804" s="47"/>
      <c r="V804" s="47"/>
      <c r="W804" s="47"/>
      <c r="X804" s="47"/>
      <c r="Y804" s="47"/>
      <c r="Z804" s="47"/>
      <c r="AA804" s="47"/>
      <c r="AB804" s="47"/>
      <c r="AC804" s="47"/>
      <c r="AD804" s="47"/>
      <c r="AE804" s="47"/>
      <c r="AF804" s="47"/>
      <c r="AG804" s="47"/>
      <c r="AH804" s="47"/>
      <c r="AI804" s="47"/>
      <c r="AJ804" s="47"/>
      <c r="AK804" s="47"/>
      <c r="AL804" s="47"/>
      <c r="AM804" s="47"/>
      <c r="AN804" s="47"/>
      <c r="AO804" s="47"/>
      <c r="AP804" s="47"/>
      <c r="AQ804" s="47"/>
      <c r="AR804" s="47"/>
      <c r="AS804" s="47"/>
      <c r="AT804" s="47"/>
      <c r="AU804" s="47"/>
      <c r="AV804" s="47"/>
      <c r="AW804" s="47"/>
      <c r="AX804" s="47"/>
      <c r="AY804" s="47"/>
      <c r="AZ804" s="532"/>
    </row>
    <row r="805" spans="1:52" ht="15.75" customHeight="1">
      <c r="A805" s="500"/>
      <c r="B805" s="477"/>
      <c r="C805" s="481"/>
      <c r="D805" s="47"/>
      <c r="E805" s="47"/>
      <c r="F805" s="478"/>
      <c r="G805" s="479"/>
      <c r="H805" s="9"/>
      <c r="I805" s="9"/>
      <c r="J805" s="505"/>
      <c r="K805" s="47"/>
      <c r="L805" s="47"/>
      <c r="M805" s="47"/>
      <c r="N805" s="9"/>
      <c r="O805" s="9"/>
      <c r="P805" s="9"/>
      <c r="Q805" s="47"/>
      <c r="R805" s="47"/>
      <c r="S805" s="47"/>
      <c r="T805" s="47"/>
      <c r="U805" s="47"/>
      <c r="V805" s="47"/>
      <c r="W805" s="47"/>
      <c r="X805" s="47"/>
      <c r="Y805" s="47"/>
      <c r="Z805" s="47"/>
      <c r="AA805" s="47"/>
      <c r="AB805" s="47"/>
      <c r="AC805" s="47"/>
      <c r="AD805" s="47"/>
      <c r="AE805" s="47"/>
      <c r="AF805" s="47"/>
      <c r="AG805" s="47"/>
      <c r="AH805" s="47"/>
      <c r="AI805" s="47"/>
      <c r="AJ805" s="47"/>
      <c r="AK805" s="47"/>
      <c r="AL805" s="47"/>
      <c r="AM805" s="47"/>
      <c r="AN805" s="47"/>
      <c r="AO805" s="47"/>
      <c r="AP805" s="47"/>
      <c r="AQ805" s="47"/>
      <c r="AR805" s="47"/>
      <c r="AS805" s="47"/>
      <c r="AT805" s="47"/>
      <c r="AU805" s="47"/>
      <c r="AV805" s="47"/>
      <c r="AW805" s="47"/>
      <c r="AX805" s="47"/>
      <c r="AY805" s="47"/>
      <c r="AZ805" s="532"/>
    </row>
    <row r="806" spans="1:52" ht="15.75" customHeight="1">
      <c r="A806" s="500"/>
      <c r="B806" s="477"/>
      <c r="C806" s="481"/>
      <c r="D806" s="47"/>
      <c r="E806" s="47"/>
      <c r="F806" s="478"/>
      <c r="G806" s="479"/>
      <c r="H806" s="9"/>
      <c r="I806" s="9"/>
      <c r="J806" s="505"/>
      <c r="K806" s="47"/>
      <c r="L806" s="47"/>
      <c r="M806" s="47"/>
      <c r="N806" s="9"/>
      <c r="O806" s="9"/>
      <c r="P806" s="9"/>
      <c r="Q806" s="47"/>
      <c r="R806" s="47"/>
      <c r="S806" s="47"/>
      <c r="T806" s="47"/>
      <c r="U806" s="47"/>
      <c r="V806" s="47"/>
      <c r="W806" s="47"/>
      <c r="X806" s="47"/>
      <c r="Y806" s="47"/>
      <c r="Z806" s="47"/>
      <c r="AA806" s="47"/>
      <c r="AB806" s="47"/>
      <c r="AC806" s="47"/>
      <c r="AD806" s="47"/>
      <c r="AE806" s="47"/>
      <c r="AF806" s="47"/>
      <c r="AG806" s="47"/>
      <c r="AH806" s="47"/>
      <c r="AI806" s="47"/>
      <c r="AJ806" s="47"/>
      <c r="AK806" s="47"/>
      <c r="AL806" s="47"/>
      <c r="AM806" s="47"/>
      <c r="AN806" s="47"/>
      <c r="AO806" s="47"/>
      <c r="AP806" s="47"/>
      <c r="AQ806" s="47"/>
      <c r="AR806" s="47"/>
      <c r="AS806" s="47"/>
      <c r="AT806" s="47"/>
      <c r="AU806" s="47"/>
      <c r="AV806" s="47"/>
      <c r="AW806" s="47"/>
      <c r="AX806" s="47"/>
      <c r="AY806" s="47"/>
      <c r="AZ806" s="532"/>
    </row>
    <row r="807" spans="1:52" ht="15.75" customHeight="1">
      <c r="A807" s="500"/>
      <c r="B807" s="477"/>
      <c r="C807" s="481"/>
      <c r="D807" s="47"/>
      <c r="E807" s="47"/>
      <c r="F807" s="478"/>
      <c r="G807" s="479"/>
      <c r="H807" s="9"/>
      <c r="I807" s="9"/>
      <c r="J807" s="505"/>
      <c r="K807" s="47"/>
      <c r="L807" s="47"/>
      <c r="M807" s="47"/>
      <c r="N807" s="9"/>
      <c r="O807" s="9"/>
      <c r="P807" s="9"/>
      <c r="Q807" s="47"/>
      <c r="R807" s="47"/>
      <c r="S807" s="47"/>
      <c r="T807" s="47"/>
      <c r="U807" s="47"/>
      <c r="V807" s="47"/>
      <c r="W807" s="47"/>
      <c r="X807" s="47"/>
      <c r="Y807" s="47"/>
      <c r="Z807" s="47"/>
      <c r="AA807" s="47"/>
      <c r="AB807" s="47"/>
      <c r="AC807" s="47"/>
      <c r="AD807" s="47"/>
      <c r="AE807" s="47"/>
      <c r="AF807" s="47"/>
      <c r="AG807" s="47"/>
      <c r="AH807" s="47"/>
      <c r="AI807" s="47"/>
      <c r="AJ807" s="47"/>
      <c r="AK807" s="47"/>
      <c r="AL807" s="47"/>
      <c r="AM807" s="47"/>
      <c r="AN807" s="47"/>
      <c r="AO807" s="47"/>
      <c r="AP807" s="47"/>
      <c r="AQ807" s="47"/>
      <c r="AR807" s="47"/>
      <c r="AS807" s="47"/>
      <c r="AT807" s="47"/>
      <c r="AU807" s="47"/>
      <c r="AV807" s="47"/>
      <c r="AW807" s="47"/>
      <c r="AX807" s="47"/>
      <c r="AY807" s="47"/>
      <c r="AZ807" s="532"/>
    </row>
    <row r="808" spans="1:52" ht="15.75" customHeight="1">
      <c r="A808" s="500"/>
      <c r="B808" s="477"/>
      <c r="C808" s="481"/>
      <c r="D808" s="47"/>
      <c r="E808" s="47"/>
      <c r="F808" s="478"/>
      <c r="G808" s="479"/>
      <c r="H808" s="9"/>
      <c r="I808" s="9"/>
      <c r="J808" s="505"/>
      <c r="K808" s="47"/>
      <c r="L808" s="47"/>
      <c r="M808" s="47"/>
      <c r="N808" s="9"/>
      <c r="O808" s="9"/>
      <c r="P808" s="9"/>
      <c r="Q808" s="47"/>
      <c r="R808" s="47"/>
      <c r="S808" s="47"/>
      <c r="T808" s="47"/>
      <c r="U808" s="47"/>
      <c r="V808" s="47"/>
      <c r="W808" s="47"/>
      <c r="X808" s="47"/>
      <c r="Y808" s="47"/>
      <c r="Z808" s="47"/>
      <c r="AA808" s="47"/>
      <c r="AB808" s="47"/>
      <c r="AC808" s="47"/>
      <c r="AD808" s="47"/>
      <c r="AE808" s="47"/>
      <c r="AF808" s="47"/>
      <c r="AG808" s="47"/>
      <c r="AH808" s="47"/>
      <c r="AI808" s="47"/>
      <c r="AJ808" s="47"/>
      <c r="AK808" s="47"/>
      <c r="AL808" s="47"/>
      <c r="AM808" s="47"/>
      <c r="AN808" s="47"/>
      <c r="AO808" s="47"/>
      <c r="AP808" s="47"/>
      <c r="AQ808" s="47"/>
      <c r="AR808" s="47"/>
      <c r="AS808" s="47"/>
      <c r="AT808" s="47"/>
      <c r="AU808" s="47"/>
      <c r="AV808" s="47"/>
      <c r="AW808" s="47"/>
      <c r="AX808" s="47"/>
      <c r="AY808" s="47"/>
      <c r="AZ808" s="532"/>
    </row>
    <row r="809" spans="1:52" ht="15.75" customHeight="1">
      <c r="A809" s="500"/>
      <c r="B809" s="477"/>
      <c r="C809" s="481"/>
      <c r="D809" s="47"/>
      <c r="E809" s="47"/>
      <c r="F809" s="478"/>
      <c r="G809" s="479"/>
      <c r="H809" s="9"/>
      <c r="I809" s="9"/>
      <c r="J809" s="505"/>
      <c r="K809" s="47"/>
      <c r="L809" s="47"/>
      <c r="M809" s="47"/>
      <c r="N809" s="9"/>
      <c r="O809" s="9"/>
      <c r="P809" s="9"/>
      <c r="Q809" s="47"/>
      <c r="R809" s="47"/>
      <c r="S809" s="47"/>
      <c r="T809" s="47"/>
      <c r="U809" s="47"/>
      <c r="V809" s="47"/>
      <c r="W809" s="47"/>
      <c r="X809" s="47"/>
      <c r="Y809" s="47"/>
      <c r="Z809" s="47"/>
      <c r="AA809" s="47"/>
      <c r="AB809" s="47"/>
      <c r="AC809" s="47"/>
      <c r="AD809" s="47"/>
      <c r="AE809" s="47"/>
      <c r="AF809" s="47"/>
      <c r="AG809" s="47"/>
      <c r="AH809" s="47"/>
      <c r="AI809" s="47"/>
      <c r="AJ809" s="47"/>
      <c r="AK809" s="47"/>
      <c r="AL809" s="47"/>
      <c r="AM809" s="47"/>
      <c r="AN809" s="47"/>
      <c r="AO809" s="47"/>
      <c r="AP809" s="47"/>
      <c r="AQ809" s="47"/>
      <c r="AR809" s="47"/>
      <c r="AS809" s="47"/>
      <c r="AT809" s="47"/>
      <c r="AU809" s="47"/>
      <c r="AV809" s="47"/>
      <c r="AW809" s="47"/>
      <c r="AX809" s="47"/>
      <c r="AY809" s="47"/>
      <c r="AZ809" s="532"/>
    </row>
    <row r="810" spans="1:52" ht="15.75" customHeight="1">
      <c r="A810" s="500"/>
      <c r="B810" s="477"/>
      <c r="C810" s="481"/>
      <c r="D810" s="47"/>
      <c r="E810" s="47"/>
      <c r="F810" s="478"/>
      <c r="G810" s="479"/>
      <c r="H810" s="9"/>
      <c r="I810" s="9"/>
      <c r="J810" s="505"/>
      <c r="K810" s="47"/>
      <c r="L810" s="47"/>
      <c r="M810" s="47"/>
      <c r="N810" s="9"/>
      <c r="O810" s="9"/>
      <c r="P810" s="9"/>
      <c r="Q810" s="47"/>
      <c r="R810" s="47"/>
      <c r="S810" s="47"/>
      <c r="T810" s="47"/>
      <c r="U810" s="47"/>
      <c r="V810" s="47"/>
      <c r="W810" s="47"/>
      <c r="X810" s="47"/>
      <c r="Y810" s="47"/>
      <c r="Z810" s="47"/>
      <c r="AA810" s="47"/>
      <c r="AB810" s="47"/>
      <c r="AC810" s="47"/>
      <c r="AD810" s="47"/>
      <c r="AE810" s="47"/>
      <c r="AF810" s="47"/>
      <c r="AG810" s="47"/>
      <c r="AH810" s="47"/>
      <c r="AI810" s="47"/>
      <c r="AJ810" s="47"/>
      <c r="AK810" s="47"/>
      <c r="AL810" s="47"/>
      <c r="AM810" s="47"/>
      <c r="AN810" s="47"/>
      <c r="AO810" s="47"/>
      <c r="AP810" s="47"/>
      <c r="AQ810" s="47"/>
      <c r="AR810" s="47"/>
      <c r="AS810" s="47"/>
      <c r="AT810" s="47"/>
      <c r="AU810" s="47"/>
      <c r="AV810" s="47"/>
      <c r="AW810" s="47"/>
      <c r="AX810" s="47"/>
      <c r="AY810" s="47"/>
      <c r="AZ810" s="532"/>
    </row>
    <row r="811" spans="1:52" ht="15.75" customHeight="1">
      <c r="A811" s="500"/>
      <c r="B811" s="477"/>
      <c r="C811" s="481"/>
      <c r="D811" s="47"/>
      <c r="E811" s="47"/>
      <c r="F811" s="478"/>
      <c r="G811" s="479"/>
      <c r="H811" s="9"/>
      <c r="I811" s="9"/>
      <c r="J811" s="505"/>
      <c r="K811" s="47"/>
      <c r="L811" s="47"/>
      <c r="M811" s="47"/>
      <c r="N811" s="9"/>
      <c r="O811" s="9"/>
      <c r="P811" s="9"/>
      <c r="Q811" s="47"/>
      <c r="R811" s="47"/>
      <c r="S811" s="47"/>
      <c r="T811" s="47"/>
      <c r="U811" s="47"/>
      <c r="V811" s="47"/>
      <c r="W811" s="47"/>
      <c r="X811" s="47"/>
      <c r="Y811" s="47"/>
      <c r="Z811" s="47"/>
      <c r="AA811" s="47"/>
      <c r="AB811" s="47"/>
      <c r="AC811" s="47"/>
      <c r="AD811" s="47"/>
      <c r="AE811" s="47"/>
      <c r="AF811" s="47"/>
      <c r="AG811" s="47"/>
      <c r="AH811" s="47"/>
      <c r="AI811" s="47"/>
      <c r="AJ811" s="47"/>
      <c r="AK811" s="47"/>
      <c r="AL811" s="47"/>
      <c r="AM811" s="47"/>
      <c r="AN811" s="47"/>
      <c r="AO811" s="47"/>
      <c r="AP811" s="47"/>
      <c r="AQ811" s="47"/>
      <c r="AR811" s="47"/>
      <c r="AS811" s="47"/>
      <c r="AT811" s="47"/>
      <c r="AU811" s="47"/>
      <c r="AV811" s="47"/>
      <c r="AW811" s="47"/>
      <c r="AX811" s="47"/>
      <c r="AY811" s="47"/>
      <c r="AZ811" s="532"/>
    </row>
    <row r="812" spans="1:52" ht="15.75" customHeight="1">
      <c r="A812" s="500"/>
      <c r="B812" s="477"/>
      <c r="C812" s="481"/>
      <c r="D812" s="47"/>
      <c r="E812" s="47"/>
      <c r="F812" s="478"/>
      <c r="G812" s="479"/>
      <c r="H812" s="9"/>
      <c r="I812" s="9"/>
      <c r="J812" s="505"/>
      <c r="K812" s="47"/>
      <c r="L812" s="47"/>
      <c r="M812" s="47"/>
      <c r="N812" s="9"/>
      <c r="O812" s="9"/>
      <c r="P812" s="9"/>
      <c r="Q812" s="47"/>
      <c r="R812" s="47"/>
      <c r="S812" s="47"/>
      <c r="T812" s="47"/>
      <c r="U812" s="47"/>
      <c r="V812" s="47"/>
      <c r="W812" s="47"/>
      <c r="X812" s="47"/>
      <c r="Y812" s="47"/>
      <c r="Z812" s="47"/>
      <c r="AA812" s="47"/>
      <c r="AB812" s="47"/>
      <c r="AC812" s="47"/>
      <c r="AD812" s="47"/>
      <c r="AE812" s="47"/>
      <c r="AF812" s="47"/>
      <c r="AG812" s="47"/>
      <c r="AH812" s="47"/>
      <c r="AI812" s="47"/>
      <c r="AJ812" s="47"/>
      <c r="AK812" s="47"/>
      <c r="AL812" s="47"/>
      <c r="AM812" s="47"/>
      <c r="AN812" s="47"/>
      <c r="AO812" s="47"/>
      <c r="AP812" s="47"/>
      <c r="AQ812" s="47"/>
      <c r="AR812" s="47"/>
      <c r="AS812" s="47"/>
      <c r="AT812" s="47"/>
      <c r="AU812" s="47"/>
      <c r="AV812" s="47"/>
      <c r="AW812" s="47"/>
      <c r="AX812" s="47"/>
      <c r="AY812" s="47"/>
      <c r="AZ812" s="532"/>
    </row>
    <row r="813" spans="1:52" ht="15.75" customHeight="1">
      <c r="A813" s="500"/>
      <c r="B813" s="477"/>
      <c r="C813" s="481"/>
      <c r="D813" s="47"/>
      <c r="E813" s="47"/>
      <c r="F813" s="478"/>
      <c r="G813" s="479"/>
      <c r="H813" s="9"/>
      <c r="I813" s="9"/>
      <c r="J813" s="505"/>
      <c r="K813" s="47"/>
      <c r="L813" s="47"/>
      <c r="M813" s="47"/>
      <c r="N813" s="9"/>
      <c r="O813" s="9"/>
      <c r="P813" s="9"/>
      <c r="Q813" s="47"/>
      <c r="R813" s="47"/>
      <c r="S813" s="47"/>
      <c r="T813" s="47"/>
      <c r="U813" s="47"/>
      <c r="V813" s="47"/>
      <c r="W813" s="47"/>
      <c r="X813" s="47"/>
      <c r="Y813" s="47"/>
      <c r="Z813" s="47"/>
      <c r="AA813" s="47"/>
      <c r="AB813" s="47"/>
      <c r="AC813" s="47"/>
      <c r="AD813" s="47"/>
      <c r="AE813" s="47"/>
      <c r="AF813" s="47"/>
      <c r="AG813" s="47"/>
      <c r="AH813" s="47"/>
      <c r="AI813" s="47"/>
      <c r="AJ813" s="47"/>
      <c r="AK813" s="47"/>
      <c r="AL813" s="47"/>
      <c r="AM813" s="47"/>
      <c r="AN813" s="47"/>
      <c r="AO813" s="47"/>
      <c r="AP813" s="47"/>
      <c r="AQ813" s="47"/>
      <c r="AR813" s="47"/>
      <c r="AS813" s="47"/>
      <c r="AT813" s="47"/>
      <c r="AU813" s="47"/>
      <c r="AV813" s="47"/>
      <c r="AW813" s="47"/>
      <c r="AX813" s="47"/>
      <c r="AY813" s="47"/>
      <c r="AZ813" s="532"/>
    </row>
    <row r="814" spans="1:52" ht="15.75" customHeight="1">
      <c r="A814" s="500"/>
      <c r="B814" s="477"/>
      <c r="C814" s="481"/>
      <c r="D814" s="47"/>
      <c r="E814" s="47"/>
      <c r="F814" s="478"/>
      <c r="G814" s="479"/>
      <c r="H814" s="9"/>
      <c r="I814" s="9"/>
      <c r="J814" s="505"/>
      <c r="K814" s="47"/>
      <c r="L814" s="47"/>
      <c r="M814" s="47"/>
      <c r="N814" s="9"/>
      <c r="O814" s="9"/>
      <c r="P814" s="9"/>
      <c r="Q814" s="47"/>
      <c r="R814" s="47"/>
      <c r="S814" s="47"/>
      <c r="T814" s="47"/>
      <c r="U814" s="47"/>
      <c r="V814" s="47"/>
      <c r="W814" s="47"/>
      <c r="X814" s="47"/>
      <c r="Y814" s="47"/>
      <c r="Z814" s="47"/>
      <c r="AA814" s="47"/>
      <c r="AB814" s="47"/>
      <c r="AC814" s="47"/>
      <c r="AD814" s="47"/>
      <c r="AE814" s="47"/>
      <c r="AF814" s="47"/>
      <c r="AG814" s="47"/>
      <c r="AH814" s="47"/>
      <c r="AI814" s="47"/>
      <c r="AJ814" s="47"/>
      <c r="AK814" s="47"/>
      <c r="AL814" s="47"/>
      <c r="AM814" s="47"/>
      <c r="AN814" s="47"/>
      <c r="AO814" s="47"/>
      <c r="AP814" s="47"/>
      <c r="AQ814" s="47"/>
      <c r="AR814" s="47"/>
      <c r="AS814" s="47"/>
      <c r="AT814" s="47"/>
      <c r="AU814" s="47"/>
      <c r="AV814" s="47"/>
      <c r="AW814" s="47"/>
      <c r="AX814" s="47"/>
      <c r="AY814" s="47"/>
      <c r="AZ814" s="532"/>
    </row>
    <row r="815" spans="1:52" ht="15.75" customHeight="1">
      <c r="A815" s="500"/>
      <c r="B815" s="477"/>
      <c r="C815" s="481"/>
      <c r="D815" s="47"/>
      <c r="E815" s="47"/>
      <c r="F815" s="478"/>
      <c r="G815" s="479"/>
      <c r="H815" s="9"/>
      <c r="I815" s="9"/>
      <c r="J815" s="505"/>
      <c r="K815" s="47"/>
      <c r="L815" s="47"/>
      <c r="M815" s="47"/>
      <c r="N815" s="9"/>
      <c r="O815" s="9"/>
      <c r="P815" s="9"/>
      <c r="Q815" s="47"/>
      <c r="R815" s="47"/>
      <c r="S815" s="47"/>
      <c r="T815" s="47"/>
      <c r="U815" s="47"/>
      <c r="V815" s="47"/>
      <c r="W815" s="47"/>
      <c r="X815" s="47"/>
      <c r="Y815" s="47"/>
      <c r="Z815" s="47"/>
      <c r="AA815" s="47"/>
      <c r="AB815" s="47"/>
      <c r="AC815" s="47"/>
      <c r="AD815" s="47"/>
      <c r="AE815" s="47"/>
      <c r="AF815" s="47"/>
      <c r="AG815" s="47"/>
      <c r="AH815" s="47"/>
      <c r="AI815" s="47"/>
      <c r="AJ815" s="47"/>
      <c r="AK815" s="47"/>
      <c r="AL815" s="47"/>
      <c r="AM815" s="47"/>
      <c r="AN815" s="47"/>
      <c r="AO815" s="47"/>
      <c r="AP815" s="47"/>
      <c r="AQ815" s="47"/>
      <c r="AR815" s="47"/>
      <c r="AS815" s="47"/>
      <c r="AT815" s="47"/>
      <c r="AU815" s="47"/>
      <c r="AV815" s="47"/>
      <c r="AW815" s="47"/>
      <c r="AX815" s="47"/>
      <c r="AY815" s="47"/>
      <c r="AZ815" s="532"/>
    </row>
    <row r="816" spans="1:52" ht="15.75" customHeight="1">
      <c r="A816" s="500"/>
      <c r="B816" s="477"/>
      <c r="C816" s="481"/>
      <c r="D816" s="47"/>
      <c r="E816" s="47"/>
      <c r="F816" s="478"/>
      <c r="G816" s="479"/>
      <c r="H816" s="9"/>
      <c r="I816" s="9"/>
      <c r="J816" s="505"/>
      <c r="K816" s="47"/>
      <c r="L816" s="47"/>
      <c r="M816" s="47"/>
      <c r="N816" s="9"/>
      <c r="O816" s="9"/>
      <c r="P816" s="9"/>
      <c r="Q816" s="47"/>
      <c r="R816" s="47"/>
      <c r="S816" s="47"/>
      <c r="T816" s="47"/>
      <c r="U816" s="47"/>
      <c r="V816" s="47"/>
      <c r="W816" s="47"/>
      <c r="X816" s="47"/>
      <c r="Y816" s="47"/>
      <c r="Z816" s="47"/>
      <c r="AA816" s="47"/>
      <c r="AB816" s="47"/>
      <c r="AC816" s="47"/>
      <c r="AD816" s="47"/>
      <c r="AE816" s="47"/>
      <c r="AF816" s="47"/>
      <c r="AG816" s="47"/>
      <c r="AH816" s="47"/>
      <c r="AI816" s="47"/>
      <c r="AJ816" s="47"/>
      <c r="AK816" s="47"/>
      <c r="AL816" s="47"/>
      <c r="AM816" s="47"/>
      <c r="AN816" s="47"/>
      <c r="AO816" s="47"/>
      <c r="AP816" s="47"/>
      <c r="AQ816" s="47"/>
      <c r="AR816" s="47"/>
      <c r="AS816" s="47"/>
      <c r="AT816" s="47"/>
      <c r="AU816" s="47"/>
      <c r="AV816" s="47"/>
      <c r="AW816" s="47"/>
      <c r="AX816" s="47"/>
      <c r="AY816" s="47"/>
      <c r="AZ816" s="532"/>
    </row>
    <row r="817" spans="1:52" ht="15.75" customHeight="1">
      <c r="A817" s="500"/>
      <c r="B817" s="477"/>
      <c r="C817" s="481"/>
      <c r="D817" s="47"/>
      <c r="E817" s="47"/>
      <c r="F817" s="478"/>
      <c r="G817" s="479"/>
      <c r="H817" s="9"/>
      <c r="I817" s="9"/>
      <c r="J817" s="505"/>
      <c r="K817" s="47"/>
      <c r="L817" s="47"/>
      <c r="M817" s="47"/>
      <c r="N817" s="9"/>
      <c r="O817" s="9"/>
      <c r="P817" s="9"/>
      <c r="Q817" s="47"/>
      <c r="R817" s="47"/>
      <c r="S817" s="47"/>
      <c r="T817" s="47"/>
      <c r="U817" s="47"/>
      <c r="V817" s="47"/>
      <c r="W817" s="47"/>
      <c r="X817" s="47"/>
      <c r="Y817" s="47"/>
      <c r="Z817" s="47"/>
      <c r="AA817" s="47"/>
      <c r="AB817" s="47"/>
      <c r="AC817" s="47"/>
      <c r="AD817" s="47"/>
      <c r="AE817" s="47"/>
      <c r="AF817" s="47"/>
      <c r="AG817" s="47"/>
      <c r="AH817" s="47"/>
      <c r="AI817" s="47"/>
      <c r="AJ817" s="47"/>
      <c r="AK817" s="47"/>
      <c r="AL817" s="47"/>
      <c r="AM817" s="47"/>
      <c r="AN817" s="47"/>
      <c r="AO817" s="47"/>
      <c r="AP817" s="47"/>
      <c r="AQ817" s="47"/>
      <c r="AR817" s="47"/>
      <c r="AS817" s="47"/>
      <c r="AT817" s="47"/>
      <c r="AU817" s="47"/>
      <c r="AV817" s="47"/>
      <c r="AW817" s="47"/>
      <c r="AX817" s="47"/>
      <c r="AY817" s="47"/>
      <c r="AZ817" s="532"/>
    </row>
    <row r="818" spans="1:52" ht="15.75" customHeight="1">
      <c r="A818" s="500"/>
      <c r="B818" s="477"/>
      <c r="C818" s="481"/>
      <c r="D818" s="47"/>
      <c r="E818" s="47"/>
      <c r="F818" s="478"/>
      <c r="G818" s="479"/>
      <c r="H818" s="9"/>
      <c r="I818" s="9"/>
      <c r="J818" s="505"/>
      <c r="K818" s="47"/>
      <c r="L818" s="47"/>
      <c r="M818" s="47"/>
      <c r="N818" s="9"/>
      <c r="O818" s="9"/>
      <c r="P818" s="9"/>
      <c r="Q818" s="47"/>
      <c r="R818" s="47"/>
      <c r="S818" s="47"/>
      <c r="T818" s="47"/>
      <c r="U818" s="47"/>
      <c r="V818" s="47"/>
      <c r="W818" s="47"/>
      <c r="X818" s="47"/>
      <c r="Y818" s="47"/>
      <c r="Z818" s="47"/>
      <c r="AA818" s="47"/>
      <c r="AB818" s="47"/>
      <c r="AC818" s="47"/>
      <c r="AD818" s="47"/>
      <c r="AE818" s="47"/>
      <c r="AF818" s="47"/>
      <c r="AG818" s="47"/>
      <c r="AH818" s="47"/>
      <c r="AI818" s="47"/>
      <c r="AJ818" s="47"/>
      <c r="AK818" s="47"/>
      <c r="AL818" s="47"/>
      <c r="AM818" s="47"/>
      <c r="AN818" s="47"/>
      <c r="AO818" s="47"/>
      <c r="AP818" s="47"/>
      <c r="AQ818" s="47"/>
      <c r="AR818" s="47"/>
      <c r="AS818" s="47"/>
      <c r="AT818" s="47"/>
      <c r="AU818" s="47"/>
      <c r="AV818" s="47"/>
      <c r="AW818" s="47"/>
      <c r="AX818" s="47"/>
      <c r="AY818" s="47"/>
      <c r="AZ818" s="532"/>
    </row>
    <row r="819" spans="1:52" ht="15.75" customHeight="1">
      <c r="A819" s="500"/>
      <c r="B819" s="477"/>
      <c r="C819" s="481"/>
      <c r="D819" s="47"/>
      <c r="E819" s="47"/>
      <c r="F819" s="478"/>
      <c r="G819" s="479"/>
      <c r="H819" s="9"/>
      <c r="I819" s="9"/>
      <c r="J819" s="505"/>
      <c r="K819" s="47"/>
      <c r="L819" s="47"/>
      <c r="M819" s="47"/>
      <c r="N819" s="9"/>
      <c r="O819" s="9"/>
      <c r="P819" s="9"/>
      <c r="Q819" s="47"/>
      <c r="R819" s="47"/>
      <c r="S819" s="47"/>
      <c r="T819" s="47"/>
      <c r="U819" s="47"/>
      <c r="V819" s="47"/>
      <c r="W819" s="47"/>
      <c r="X819" s="47"/>
      <c r="Y819" s="47"/>
      <c r="Z819" s="47"/>
      <c r="AA819" s="47"/>
      <c r="AB819" s="47"/>
      <c r="AC819" s="47"/>
      <c r="AD819" s="47"/>
      <c r="AE819" s="47"/>
      <c r="AF819" s="47"/>
      <c r="AG819" s="47"/>
      <c r="AH819" s="47"/>
      <c r="AI819" s="47"/>
      <c r="AJ819" s="47"/>
      <c r="AK819" s="47"/>
      <c r="AL819" s="47"/>
      <c r="AM819" s="47"/>
      <c r="AN819" s="47"/>
      <c r="AO819" s="47"/>
      <c r="AP819" s="47"/>
      <c r="AQ819" s="47"/>
      <c r="AR819" s="47"/>
      <c r="AS819" s="47"/>
      <c r="AT819" s="47"/>
      <c r="AU819" s="47"/>
      <c r="AV819" s="47"/>
      <c r="AW819" s="47"/>
      <c r="AX819" s="47"/>
      <c r="AY819" s="47"/>
      <c r="AZ819" s="532"/>
    </row>
    <row r="820" spans="1:52" ht="15.75" customHeight="1">
      <c r="A820" s="500"/>
      <c r="B820" s="477"/>
      <c r="C820" s="481"/>
      <c r="D820" s="47"/>
      <c r="E820" s="47"/>
      <c r="F820" s="478"/>
      <c r="G820" s="479"/>
      <c r="H820" s="9"/>
      <c r="I820" s="9"/>
      <c r="J820" s="505"/>
      <c r="K820" s="47"/>
      <c r="L820" s="47"/>
      <c r="M820" s="47"/>
      <c r="N820" s="9"/>
      <c r="O820" s="9"/>
      <c r="P820" s="9"/>
      <c r="Q820" s="47"/>
      <c r="R820" s="47"/>
      <c r="S820" s="47"/>
      <c r="T820" s="47"/>
      <c r="U820" s="47"/>
      <c r="V820" s="47"/>
      <c r="W820" s="47"/>
      <c r="X820" s="47"/>
      <c r="Y820" s="47"/>
      <c r="Z820" s="47"/>
      <c r="AA820" s="47"/>
      <c r="AB820" s="47"/>
      <c r="AC820" s="47"/>
      <c r="AD820" s="47"/>
      <c r="AE820" s="47"/>
      <c r="AF820" s="47"/>
      <c r="AG820" s="47"/>
      <c r="AH820" s="47"/>
      <c r="AI820" s="47"/>
      <c r="AJ820" s="47"/>
      <c r="AK820" s="47"/>
      <c r="AL820" s="47"/>
      <c r="AM820" s="47"/>
      <c r="AN820" s="47"/>
      <c r="AO820" s="47"/>
      <c r="AP820" s="47"/>
      <c r="AQ820" s="47"/>
      <c r="AR820" s="47"/>
      <c r="AS820" s="47"/>
      <c r="AT820" s="47"/>
      <c r="AU820" s="47"/>
      <c r="AV820" s="47"/>
      <c r="AW820" s="47"/>
      <c r="AX820" s="47"/>
      <c r="AY820" s="47"/>
      <c r="AZ820" s="532"/>
    </row>
    <row r="821" spans="1:52" ht="15.75" customHeight="1">
      <c r="A821" s="500"/>
      <c r="B821" s="477"/>
      <c r="C821" s="481"/>
      <c r="D821" s="47"/>
      <c r="E821" s="47"/>
      <c r="F821" s="478"/>
      <c r="G821" s="479"/>
      <c r="H821" s="9"/>
      <c r="I821" s="10"/>
      <c r="J821" s="505"/>
      <c r="K821" s="47"/>
      <c r="L821" s="47"/>
      <c r="M821" s="47"/>
      <c r="N821" s="9"/>
      <c r="O821" s="9"/>
      <c r="P821" s="9"/>
      <c r="Q821" s="47"/>
      <c r="R821" s="47"/>
      <c r="S821" s="47"/>
      <c r="T821" s="47"/>
      <c r="U821" s="47"/>
      <c r="V821" s="47"/>
      <c r="W821" s="47"/>
      <c r="X821" s="47"/>
      <c r="Y821" s="47"/>
      <c r="Z821" s="47"/>
      <c r="AA821" s="47"/>
      <c r="AB821" s="47"/>
      <c r="AC821" s="47"/>
      <c r="AD821" s="47"/>
      <c r="AE821" s="47"/>
      <c r="AF821" s="47"/>
      <c r="AG821" s="47"/>
      <c r="AH821" s="47"/>
      <c r="AI821" s="47"/>
      <c r="AJ821" s="47"/>
      <c r="AK821" s="47"/>
      <c r="AL821" s="47"/>
      <c r="AM821" s="47"/>
      <c r="AN821" s="47"/>
      <c r="AO821" s="47"/>
      <c r="AP821" s="47"/>
      <c r="AQ821" s="47"/>
      <c r="AR821" s="47"/>
      <c r="AS821" s="47"/>
      <c r="AT821" s="47"/>
      <c r="AU821" s="47"/>
      <c r="AV821" s="47"/>
      <c r="AW821" s="47"/>
      <c r="AX821" s="47"/>
      <c r="AY821" s="47"/>
      <c r="AZ821" s="532"/>
    </row>
    <row r="822" spans="1:52" ht="15.75" customHeight="1">
      <c r="A822" s="500"/>
      <c r="B822" s="477"/>
      <c r="C822" s="481"/>
      <c r="D822" s="47"/>
      <c r="E822" s="47"/>
      <c r="F822" s="478"/>
      <c r="G822" s="479"/>
      <c r="H822" s="9"/>
      <c r="I822" s="9"/>
      <c r="J822" s="505"/>
      <c r="K822" s="47"/>
      <c r="L822" s="47"/>
      <c r="M822" s="47"/>
      <c r="N822" s="9"/>
      <c r="O822" s="9"/>
      <c r="P822" s="9"/>
      <c r="Q822" s="47"/>
      <c r="R822" s="47"/>
      <c r="S822" s="47"/>
      <c r="T822" s="47"/>
      <c r="U822" s="47"/>
      <c r="V822" s="47"/>
      <c r="W822" s="47"/>
      <c r="X822" s="47"/>
      <c r="Y822" s="47"/>
      <c r="Z822" s="47"/>
      <c r="AA822" s="47"/>
      <c r="AB822" s="47"/>
      <c r="AC822" s="47"/>
      <c r="AD822" s="47"/>
      <c r="AE822" s="47"/>
      <c r="AF822" s="47"/>
      <c r="AG822" s="47"/>
      <c r="AH822" s="47"/>
      <c r="AI822" s="47"/>
      <c r="AJ822" s="47"/>
      <c r="AK822" s="47"/>
      <c r="AL822" s="47"/>
      <c r="AM822" s="47"/>
      <c r="AN822" s="47"/>
      <c r="AO822" s="47"/>
      <c r="AP822" s="47"/>
      <c r="AQ822" s="47"/>
      <c r="AR822" s="47"/>
      <c r="AS822" s="47"/>
      <c r="AT822" s="47"/>
      <c r="AU822" s="47"/>
      <c r="AV822" s="47"/>
      <c r="AW822" s="47"/>
      <c r="AX822" s="47"/>
      <c r="AY822" s="47"/>
      <c r="AZ822" s="532"/>
    </row>
    <row r="823" spans="1:52" ht="15.75" customHeight="1">
      <c r="A823" s="500"/>
      <c r="B823" s="477"/>
      <c r="C823" s="481"/>
      <c r="D823" s="47"/>
      <c r="E823" s="47"/>
      <c r="F823" s="478"/>
      <c r="G823" s="479"/>
      <c r="H823" s="9"/>
      <c r="I823" s="10"/>
      <c r="J823" s="505"/>
      <c r="K823" s="47"/>
      <c r="L823" s="47"/>
      <c r="M823" s="47"/>
      <c r="N823" s="9"/>
      <c r="O823" s="9"/>
      <c r="P823" s="9"/>
      <c r="Q823" s="47"/>
      <c r="R823" s="47"/>
      <c r="S823" s="47"/>
      <c r="T823" s="47"/>
      <c r="U823" s="47"/>
      <c r="V823" s="47"/>
      <c r="W823" s="47"/>
      <c r="X823" s="47"/>
      <c r="Y823" s="47"/>
      <c r="Z823" s="47"/>
      <c r="AA823" s="47"/>
      <c r="AB823" s="47"/>
      <c r="AC823" s="47"/>
      <c r="AD823" s="47"/>
      <c r="AE823" s="47"/>
      <c r="AF823" s="47"/>
      <c r="AG823" s="47"/>
      <c r="AH823" s="47"/>
      <c r="AI823" s="47"/>
      <c r="AJ823" s="47"/>
      <c r="AK823" s="47"/>
      <c r="AL823" s="47"/>
      <c r="AM823" s="47"/>
      <c r="AN823" s="47"/>
      <c r="AO823" s="47"/>
      <c r="AP823" s="47"/>
      <c r="AQ823" s="47"/>
      <c r="AR823" s="47"/>
      <c r="AS823" s="47"/>
      <c r="AT823" s="47"/>
      <c r="AU823" s="47"/>
      <c r="AV823" s="47"/>
      <c r="AW823" s="47"/>
      <c r="AX823" s="47"/>
      <c r="AY823" s="47"/>
      <c r="AZ823" s="532"/>
    </row>
    <row r="824" spans="1:52" ht="15.75" customHeight="1">
      <c r="A824" s="500"/>
      <c r="B824" s="477"/>
      <c r="C824" s="481"/>
      <c r="D824" s="47"/>
      <c r="E824" s="47"/>
      <c r="F824" s="478"/>
      <c r="G824" s="479"/>
      <c r="H824" s="9"/>
      <c r="I824" s="9"/>
      <c r="J824" s="505"/>
      <c r="K824" s="47"/>
      <c r="L824" s="47"/>
      <c r="M824" s="47"/>
      <c r="N824" s="9"/>
      <c r="O824" s="9"/>
      <c r="P824" s="9"/>
      <c r="Q824" s="47"/>
      <c r="R824" s="47"/>
      <c r="S824" s="47"/>
      <c r="T824" s="47"/>
      <c r="U824" s="47"/>
      <c r="V824" s="47"/>
      <c r="W824" s="47"/>
      <c r="X824" s="47"/>
      <c r="Y824" s="47"/>
      <c r="Z824" s="47"/>
      <c r="AA824" s="47"/>
      <c r="AB824" s="47"/>
      <c r="AC824" s="47"/>
      <c r="AD824" s="47"/>
      <c r="AE824" s="47"/>
      <c r="AF824" s="47"/>
      <c r="AG824" s="47"/>
      <c r="AH824" s="47"/>
      <c r="AI824" s="47"/>
      <c r="AJ824" s="47"/>
      <c r="AK824" s="47"/>
      <c r="AL824" s="47"/>
      <c r="AM824" s="47"/>
      <c r="AN824" s="47"/>
      <c r="AO824" s="47"/>
      <c r="AP824" s="47"/>
      <c r="AQ824" s="47"/>
      <c r="AR824" s="47"/>
      <c r="AS824" s="47"/>
      <c r="AT824" s="47"/>
      <c r="AU824" s="47"/>
      <c r="AV824" s="47"/>
      <c r="AW824" s="47"/>
      <c r="AX824" s="47"/>
      <c r="AY824" s="47"/>
      <c r="AZ824" s="532"/>
    </row>
    <row r="825" spans="1:52" ht="15.75" customHeight="1">
      <c r="A825" s="500"/>
      <c r="B825" s="477"/>
      <c r="C825" s="481"/>
      <c r="D825" s="47"/>
      <c r="E825" s="47"/>
      <c r="F825" s="478"/>
      <c r="G825" s="479"/>
      <c r="H825" s="9"/>
      <c r="I825" s="9"/>
      <c r="J825" s="505"/>
      <c r="K825" s="47"/>
      <c r="L825" s="47"/>
      <c r="M825" s="47"/>
      <c r="N825" s="9"/>
      <c r="O825" s="9"/>
      <c r="P825" s="9"/>
      <c r="Q825" s="47"/>
      <c r="R825" s="47"/>
      <c r="S825" s="47"/>
      <c r="T825" s="47"/>
      <c r="U825" s="47"/>
      <c r="V825" s="47"/>
      <c r="W825" s="47"/>
      <c r="X825" s="47"/>
      <c r="Y825" s="47"/>
      <c r="Z825" s="47"/>
      <c r="AA825" s="47"/>
      <c r="AB825" s="47"/>
      <c r="AC825" s="47"/>
      <c r="AD825" s="47"/>
      <c r="AE825" s="47"/>
      <c r="AF825" s="47"/>
      <c r="AG825" s="47"/>
      <c r="AH825" s="47"/>
      <c r="AI825" s="47"/>
      <c r="AJ825" s="47"/>
      <c r="AK825" s="47"/>
      <c r="AL825" s="47"/>
      <c r="AM825" s="47"/>
      <c r="AN825" s="47"/>
      <c r="AO825" s="47"/>
      <c r="AP825" s="47"/>
      <c r="AQ825" s="47"/>
      <c r="AR825" s="47"/>
      <c r="AS825" s="47"/>
      <c r="AT825" s="47"/>
      <c r="AU825" s="47"/>
      <c r="AV825" s="47"/>
      <c r="AW825" s="47"/>
      <c r="AX825" s="47"/>
      <c r="AY825" s="47"/>
      <c r="AZ825" s="532"/>
    </row>
    <row r="826" spans="1:52" ht="15.75" customHeight="1">
      <c r="A826" s="500"/>
      <c r="B826" s="477"/>
      <c r="C826" s="481"/>
      <c r="D826" s="47"/>
      <c r="E826" s="47"/>
      <c r="F826" s="478"/>
      <c r="G826" s="479"/>
      <c r="H826" s="9"/>
      <c r="I826" s="10"/>
      <c r="J826" s="505"/>
      <c r="K826" s="47"/>
      <c r="L826" s="47"/>
      <c r="M826" s="47"/>
      <c r="N826" s="9"/>
      <c r="O826" s="9"/>
      <c r="P826" s="9"/>
      <c r="Q826" s="47"/>
      <c r="R826" s="47"/>
      <c r="S826" s="47"/>
      <c r="T826" s="47"/>
      <c r="U826" s="47"/>
      <c r="V826" s="47"/>
      <c r="W826" s="47"/>
      <c r="X826" s="47"/>
      <c r="Y826" s="47"/>
      <c r="Z826" s="47"/>
      <c r="AA826" s="47"/>
      <c r="AB826" s="47"/>
      <c r="AC826" s="47"/>
      <c r="AD826" s="47"/>
      <c r="AE826" s="47"/>
      <c r="AF826" s="47"/>
      <c r="AG826" s="47"/>
      <c r="AH826" s="47"/>
      <c r="AI826" s="47"/>
      <c r="AJ826" s="47"/>
      <c r="AK826" s="47"/>
      <c r="AL826" s="47"/>
      <c r="AM826" s="47"/>
      <c r="AN826" s="47"/>
      <c r="AO826" s="47"/>
      <c r="AP826" s="47"/>
      <c r="AQ826" s="47"/>
      <c r="AR826" s="47"/>
      <c r="AS826" s="47"/>
      <c r="AT826" s="47"/>
      <c r="AU826" s="47"/>
      <c r="AV826" s="47"/>
      <c r="AW826" s="47"/>
      <c r="AX826" s="47"/>
      <c r="AY826" s="47"/>
      <c r="AZ826" s="532"/>
    </row>
    <row r="827" spans="1:52" ht="15.75" customHeight="1">
      <c r="A827" s="500"/>
      <c r="B827" s="477"/>
      <c r="C827" s="481"/>
      <c r="D827" s="47"/>
      <c r="E827" s="47"/>
      <c r="F827" s="478"/>
      <c r="G827" s="479"/>
      <c r="H827" s="9"/>
      <c r="I827" s="9"/>
      <c r="J827" s="505"/>
      <c r="K827" s="47"/>
      <c r="L827" s="47"/>
      <c r="M827" s="47"/>
      <c r="N827" s="9"/>
      <c r="O827" s="9"/>
      <c r="P827" s="9"/>
      <c r="Q827" s="47"/>
      <c r="R827" s="47"/>
      <c r="S827" s="47"/>
      <c r="T827" s="47"/>
      <c r="U827" s="47"/>
      <c r="V827" s="47"/>
      <c r="W827" s="47"/>
      <c r="X827" s="47"/>
      <c r="Y827" s="47"/>
      <c r="Z827" s="47"/>
      <c r="AA827" s="47"/>
      <c r="AB827" s="47"/>
      <c r="AC827" s="47"/>
      <c r="AD827" s="47"/>
      <c r="AE827" s="47"/>
      <c r="AF827" s="47"/>
      <c r="AG827" s="47"/>
      <c r="AH827" s="47"/>
      <c r="AI827" s="47"/>
      <c r="AJ827" s="47"/>
      <c r="AK827" s="47"/>
      <c r="AL827" s="47"/>
      <c r="AM827" s="47"/>
      <c r="AN827" s="47"/>
      <c r="AO827" s="47"/>
      <c r="AP827" s="47"/>
      <c r="AQ827" s="47"/>
      <c r="AR827" s="47"/>
      <c r="AS827" s="47"/>
      <c r="AT827" s="47"/>
      <c r="AU827" s="47"/>
      <c r="AV827" s="47"/>
      <c r="AW827" s="47"/>
      <c r="AX827" s="47"/>
      <c r="AY827" s="47"/>
      <c r="AZ827" s="532"/>
    </row>
    <row r="828" spans="1:52" ht="15.75" customHeight="1">
      <c r="A828" s="500"/>
      <c r="B828" s="477"/>
      <c r="C828" s="481"/>
      <c r="D828" s="47"/>
      <c r="E828" s="47"/>
      <c r="F828" s="478"/>
      <c r="G828" s="479"/>
      <c r="H828" s="9"/>
      <c r="I828" s="9"/>
      <c r="J828" s="505"/>
      <c r="K828" s="47"/>
      <c r="L828" s="47"/>
      <c r="M828" s="47"/>
      <c r="N828" s="9"/>
      <c r="O828" s="9"/>
      <c r="P828" s="9"/>
      <c r="Q828" s="47"/>
      <c r="R828" s="47"/>
      <c r="S828" s="47"/>
      <c r="T828" s="47"/>
      <c r="U828" s="47"/>
      <c r="V828" s="47"/>
      <c r="W828" s="47"/>
      <c r="X828" s="47"/>
      <c r="Y828" s="47"/>
      <c r="Z828" s="47"/>
      <c r="AA828" s="47"/>
      <c r="AB828" s="47"/>
      <c r="AC828" s="47"/>
      <c r="AD828" s="47"/>
      <c r="AE828" s="47"/>
      <c r="AF828" s="47"/>
      <c r="AG828" s="47"/>
      <c r="AH828" s="47"/>
      <c r="AI828" s="47"/>
      <c r="AJ828" s="47"/>
      <c r="AK828" s="47"/>
      <c r="AL828" s="47"/>
      <c r="AM828" s="47"/>
      <c r="AN828" s="47"/>
      <c r="AO828" s="47"/>
      <c r="AP828" s="47"/>
      <c r="AQ828" s="47"/>
      <c r="AR828" s="47"/>
      <c r="AS828" s="47"/>
      <c r="AT828" s="47"/>
      <c r="AU828" s="47"/>
      <c r="AV828" s="47"/>
      <c r="AW828" s="47"/>
      <c r="AX828" s="47"/>
      <c r="AY828" s="47"/>
      <c r="AZ828" s="532"/>
    </row>
    <row r="829" spans="1:52" ht="15.75" customHeight="1">
      <c r="A829" s="500"/>
      <c r="B829" s="477"/>
      <c r="C829" s="481"/>
      <c r="D829" s="47"/>
      <c r="E829" s="47"/>
      <c r="F829" s="478"/>
      <c r="G829" s="479"/>
      <c r="H829" s="9"/>
      <c r="I829" s="9"/>
      <c r="J829" s="505"/>
      <c r="K829" s="47"/>
      <c r="L829" s="47"/>
      <c r="M829" s="47"/>
      <c r="N829" s="9"/>
      <c r="O829" s="9"/>
      <c r="P829" s="9"/>
      <c r="Q829" s="47"/>
      <c r="R829" s="47"/>
      <c r="S829" s="47"/>
      <c r="T829" s="47"/>
      <c r="U829" s="47"/>
      <c r="V829" s="47"/>
      <c r="W829" s="47"/>
      <c r="X829" s="47"/>
      <c r="Y829" s="47"/>
      <c r="Z829" s="47"/>
      <c r="AA829" s="47"/>
      <c r="AB829" s="47"/>
      <c r="AC829" s="47"/>
      <c r="AD829" s="47"/>
      <c r="AE829" s="47"/>
      <c r="AF829" s="47"/>
      <c r="AG829" s="47"/>
      <c r="AH829" s="47"/>
      <c r="AI829" s="47"/>
      <c r="AJ829" s="47"/>
      <c r="AK829" s="47"/>
      <c r="AL829" s="47"/>
      <c r="AM829" s="47"/>
      <c r="AN829" s="47"/>
      <c r="AO829" s="47"/>
      <c r="AP829" s="47"/>
      <c r="AQ829" s="47"/>
      <c r="AR829" s="47"/>
      <c r="AS829" s="47"/>
      <c r="AT829" s="47"/>
      <c r="AU829" s="47"/>
      <c r="AV829" s="47"/>
      <c r="AW829" s="47"/>
      <c r="AX829" s="47"/>
      <c r="AY829" s="47"/>
      <c r="AZ829" s="532"/>
    </row>
    <row r="830" spans="1:52" ht="15.75" customHeight="1">
      <c r="A830" s="500"/>
      <c r="B830" s="477"/>
      <c r="C830" s="481"/>
      <c r="D830" s="47"/>
      <c r="E830" s="47"/>
      <c r="F830" s="478"/>
      <c r="G830" s="479"/>
      <c r="H830" s="9"/>
      <c r="I830" s="9"/>
      <c r="J830" s="505"/>
      <c r="K830" s="47"/>
      <c r="L830" s="47"/>
      <c r="M830" s="47"/>
      <c r="N830" s="9"/>
      <c r="O830" s="9"/>
      <c r="P830" s="9"/>
      <c r="Q830" s="47"/>
      <c r="R830" s="47"/>
      <c r="S830" s="47"/>
      <c r="T830" s="47"/>
      <c r="U830" s="47"/>
      <c r="V830" s="47"/>
      <c r="W830" s="47"/>
      <c r="X830" s="47"/>
      <c r="Y830" s="47"/>
      <c r="Z830" s="47"/>
      <c r="AA830" s="47"/>
      <c r="AB830" s="47"/>
      <c r="AC830" s="47"/>
      <c r="AD830" s="47"/>
      <c r="AE830" s="47"/>
      <c r="AF830" s="47"/>
      <c r="AG830" s="47"/>
      <c r="AH830" s="47"/>
      <c r="AI830" s="47"/>
      <c r="AJ830" s="47"/>
      <c r="AK830" s="47"/>
      <c r="AL830" s="47"/>
      <c r="AM830" s="47"/>
      <c r="AN830" s="47"/>
      <c r="AO830" s="47"/>
      <c r="AP830" s="47"/>
      <c r="AQ830" s="47"/>
      <c r="AR830" s="47"/>
      <c r="AS830" s="47"/>
      <c r="AT830" s="47"/>
      <c r="AU830" s="47"/>
      <c r="AV830" s="47"/>
      <c r="AW830" s="47"/>
      <c r="AX830" s="47"/>
      <c r="AY830" s="47"/>
      <c r="AZ830" s="532"/>
    </row>
    <row r="831" spans="1:52" ht="15.75" customHeight="1">
      <c r="A831" s="500"/>
      <c r="B831" s="477"/>
      <c r="C831" s="481"/>
      <c r="D831" s="47"/>
      <c r="E831" s="47"/>
      <c r="F831" s="478"/>
      <c r="G831" s="479"/>
      <c r="H831" s="9"/>
      <c r="I831" s="10"/>
      <c r="J831" s="505"/>
      <c r="K831" s="47"/>
      <c r="L831" s="47"/>
      <c r="M831" s="47"/>
      <c r="N831" s="9"/>
      <c r="O831" s="9"/>
      <c r="P831" s="9"/>
      <c r="Q831" s="47"/>
      <c r="R831" s="47"/>
      <c r="S831" s="47"/>
      <c r="T831" s="47"/>
      <c r="U831" s="47"/>
      <c r="V831" s="47"/>
      <c r="W831" s="47"/>
      <c r="X831" s="47"/>
      <c r="Y831" s="47"/>
      <c r="Z831" s="47"/>
      <c r="AA831" s="47"/>
      <c r="AB831" s="47"/>
      <c r="AC831" s="47"/>
      <c r="AD831" s="47"/>
      <c r="AE831" s="47"/>
      <c r="AF831" s="47"/>
      <c r="AG831" s="47"/>
      <c r="AH831" s="47"/>
      <c r="AI831" s="47"/>
      <c r="AJ831" s="47"/>
      <c r="AK831" s="47"/>
      <c r="AL831" s="47"/>
      <c r="AM831" s="47"/>
      <c r="AN831" s="47"/>
      <c r="AO831" s="47"/>
      <c r="AP831" s="47"/>
      <c r="AQ831" s="47"/>
      <c r="AR831" s="47"/>
      <c r="AS831" s="47"/>
      <c r="AT831" s="47"/>
      <c r="AU831" s="47"/>
      <c r="AV831" s="47"/>
      <c r="AW831" s="47"/>
      <c r="AX831" s="47"/>
      <c r="AY831" s="47"/>
      <c r="AZ831" s="532"/>
    </row>
    <row r="832" spans="1:52" ht="15.75" customHeight="1">
      <c r="A832" s="500"/>
      <c r="B832" s="477"/>
      <c r="C832" s="481"/>
      <c r="D832" s="47"/>
      <c r="E832" s="47"/>
      <c r="F832" s="478"/>
      <c r="G832" s="479"/>
      <c r="H832" s="9"/>
      <c r="I832" s="9"/>
      <c r="J832" s="505"/>
      <c r="K832" s="47"/>
      <c r="L832" s="47"/>
      <c r="M832" s="47"/>
      <c r="N832" s="9"/>
      <c r="O832" s="9"/>
      <c r="P832" s="9"/>
      <c r="Q832" s="47"/>
      <c r="R832" s="47"/>
      <c r="S832" s="47"/>
      <c r="T832" s="47"/>
      <c r="U832" s="47"/>
      <c r="V832" s="47"/>
      <c r="W832" s="47"/>
      <c r="X832" s="47"/>
      <c r="Y832" s="47"/>
      <c r="Z832" s="47"/>
      <c r="AA832" s="47"/>
      <c r="AB832" s="47"/>
      <c r="AC832" s="47"/>
      <c r="AD832" s="47"/>
      <c r="AE832" s="47"/>
      <c r="AF832" s="47"/>
      <c r="AG832" s="47"/>
      <c r="AH832" s="47"/>
      <c r="AI832" s="47"/>
      <c r="AJ832" s="47"/>
      <c r="AK832" s="47"/>
      <c r="AL832" s="47"/>
      <c r="AM832" s="47"/>
      <c r="AN832" s="47"/>
      <c r="AO832" s="47"/>
      <c r="AP832" s="47"/>
      <c r="AQ832" s="47"/>
      <c r="AR832" s="47"/>
      <c r="AS832" s="47"/>
      <c r="AT832" s="47"/>
      <c r="AU832" s="47"/>
      <c r="AV832" s="47"/>
      <c r="AW832" s="47"/>
      <c r="AX832" s="47"/>
      <c r="AY832" s="47"/>
      <c r="AZ832" s="532"/>
    </row>
    <row r="833" spans="1:52" ht="15.75" customHeight="1">
      <c r="A833" s="500"/>
      <c r="B833" s="477"/>
      <c r="C833" s="481"/>
      <c r="D833" s="47"/>
      <c r="E833" s="47"/>
      <c r="F833" s="478"/>
      <c r="G833" s="479"/>
      <c r="H833" s="9"/>
      <c r="I833" s="10"/>
      <c r="J833" s="505"/>
      <c r="K833" s="47"/>
      <c r="L833" s="47"/>
      <c r="M833" s="47"/>
      <c r="N833" s="9"/>
      <c r="O833" s="9"/>
      <c r="P833" s="9"/>
      <c r="Q833" s="47"/>
      <c r="R833" s="47"/>
      <c r="S833" s="47"/>
      <c r="T833" s="47"/>
      <c r="U833" s="47"/>
      <c r="V833" s="47"/>
      <c r="W833" s="47"/>
      <c r="X833" s="47"/>
      <c r="Y833" s="47"/>
      <c r="Z833" s="47"/>
      <c r="AA833" s="47"/>
      <c r="AB833" s="47"/>
      <c r="AC833" s="47"/>
      <c r="AD833" s="47"/>
      <c r="AE833" s="47"/>
      <c r="AF833" s="47"/>
      <c r="AG833" s="47"/>
      <c r="AH833" s="47"/>
      <c r="AI833" s="47"/>
      <c r="AJ833" s="47"/>
      <c r="AK833" s="47"/>
      <c r="AL833" s="47"/>
      <c r="AM833" s="47"/>
      <c r="AN833" s="47"/>
      <c r="AO833" s="47"/>
      <c r="AP833" s="47"/>
      <c r="AQ833" s="47"/>
      <c r="AR833" s="47"/>
      <c r="AS833" s="47"/>
      <c r="AT833" s="47"/>
      <c r="AU833" s="47"/>
      <c r="AV833" s="47"/>
      <c r="AW833" s="47"/>
      <c r="AX833" s="47"/>
      <c r="AY833" s="47"/>
      <c r="AZ833" s="532"/>
    </row>
    <row r="834" spans="1:52" ht="15.75" customHeight="1">
      <c r="A834" s="500"/>
      <c r="B834" s="477"/>
      <c r="C834" s="481"/>
      <c r="D834" s="47"/>
      <c r="E834" s="47"/>
      <c r="F834" s="478"/>
      <c r="G834" s="479"/>
      <c r="H834" s="9"/>
      <c r="I834" s="9"/>
      <c r="J834" s="505"/>
      <c r="K834" s="47"/>
      <c r="L834" s="47"/>
      <c r="M834" s="47"/>
      <c r="N834" s="9"/>
      <c r="O834" s="9"/>
      <c r="P834" s="9"/>
      <c r="Q834" s="47"/>
      <c r="R834" s="47"/>
      <c r="S834" s="47"/>
      <c r="T834" s="47"/>
      <c r="U834" s="47"/>
      <c r="V834" s="47"/>
      <c r="W834" s="47"/>
      <c r="X834" s="47"/>
      <c r="Y834" s="47"/>
      <c r="Z834" s="47"/>
      <c r="AA834" s="47"/>
      <c r="AB834" s="47"/>
      <c r="AC834" s="47"/>
      <c r="AD834" s="47"/>
      <c r="AE834" s="47"/>
      <c r="AF834" s="47"/>
      <c r="AG834" s="47"/>
      <c r="AH834" s="47"/>
      <c r="AI834" s="47"/>
      <c r="AJ834" s="47"/>
      <c r="AK834" s="47"/>
      <c r="AL834" s="47"/>
      <c r="AM834" s="47"/>
      <c r="AN834" s="47"/>
      <c r="AO834" s="47"/>
      <c r="AP834" s="47"/>
      <c r="AQ834" s="47"/>
      <c r="AR834" s="47"/>
      <c r="AS834" s="47"/>
      <c r="AT834" s="47"/>
      <c r="AU834" s="47"/>
      <c r="AV834" s="47"/>
      <c r="AW834" s="47"/>
      <c r="AX834" s="47"/>
      <c r="AY834" s="47"/>
      <c r="AZ834" s="532"/>
    </row>
    <row r="835" spans="1:52" ht="15.75" customHeight="1">
      <c r="A835" s="500"/>
      <c r="B835" s="477"/>
      <c r="C835" s="481"/>
      <c r="D835" s="47"/>
      <c r="E835" s="47"/>
      <c r="F835" s="478"/>
      <c r="G835" s="479"/>
      <c r="H835" s="9"/>
      <c r="I835" s="10"/>
      <c r="J835" s="505"/>
      <c r="K835" s="47"/>
      <c r="L835" s="47"/>
      <c r="M835" s="47"/>
      <c r="N835" s="9"/>
      <c r="O835" s="9"/>
      <c r="P835" s="9"/>
      <c r="Q835" s="47"/>
      <c r="R835" s="47"/>
      <c r="S835" s="47"/>
      <c r="T835" s="47"/>
      <c r="U835" s="47"/>
      <c r="V835" s="47"/>
      <c r="W835" s="47"/>
      <c r="X835" s="47"/>
      <c r="Y835" s="47"/>
      <c r="Z835" s="47"/>
      <c r="AA835" s="47"/>
      <c r="AB835" s="47"/>
      <c r="AC835" s="47"/>
      <c r="AD835" s="47"/>
      <c r="AE835" s="47"/>
      <c r="AF835" s="47"/>
      <c r="AG835" s="47"/>
      <c r="AH835" s="47"/>
      <c r="AI835" s="47"/>
      <c r="AJ835" s="47"/>
      <c r="AK835" s="47"/>
      <c r="AL835" s="47"/>
      <c r="AM835" s="47"/>
      <c r="AN835" s="47"/>
      <c r="AO835" s="47"/>
      <c r="AP835" s="47"/>
      <c r="AQ835" s="47"/>
      <c r="AR835" s="47"/>
      <c r="AS835" s="47"/>
      <c r="AT835" s="47"/>
      <c r="AU835" s="47"/>
      <c r="AV835" s="47"/>
      <c r="AW835" s="47"/>
      <c r="AX835" s="47"/>
      <c r="AY835" s="47"/>
      <c r="AZ835" s="532"/>
    </row>
    <row r="836" spans="1:52" ht="15.75" customHeight="1">
      <c r="A836" s="500"/>
      <c r="B836" s="477"/>
      <c r="C836" s="481"/>
      <c r="D836" s="47"/>
      <c r="E836" s="47"/>
      <c r="F836" s="478"/>
      <c r="G836" s="479"/>
      <c r="H836" s="9"/>
      <c r="I836" s="9"/>
      <c r="J836" s="505"/>
      <c r="K836" s="47"/>
      <c r="L836" s="47"/>
      <c r="M836" s="47"/>
      <c r="N836" s="9"/>
      <c r="O836" s="9"/>
      <c r="P836" s="9"/>
      <c r="Q836" s="47"/>
      <c r="R836" s="47"/>
      <c r="S836" s="47"/>
      <c r="T836" s="47"/>
      <c r="U836" s="47"/>
      <c r="V836" s="47"/>
      <c r="W836" s="47"/>
      <c r="X836" s="47"/>
      <c r="Y836" s="47"/>
      <c r="Z836" s="47"/>
      <c r="AA836" s="47"/>
      <c r="AB836" s="47"/>
      <c r="AC836" s="47"/>
      <c r="AD836" s="47"/>
      <c r="AE836" s="47"/>
      <c r="AF836" s="47"/>
      <c r="AG836" s="47"/>
      <c r="AH836" s="47"/>
      <c r="AI836" s="47"/>
      <c r="AJ836" s="47"/>
      <c r="AK836" s="47"/>
      <c r="AL836" s="47"/>
      <c r="AM836" s="47"/>
      <c r="AN836" s="47"/>
      <c r="AO836" s="47"/>
      <c r="AP836" s="47"/>
      <c r="AQ836" s="47"/>
      <c r="AR836" s="47"/>
      <c r="AS836" s="47"/>
      <c r="AT836" s="47"/>
      <c r="AU836" s="47"/>
      <c r="AV836" s="47"/>
      <c r="AW836" s="47"/>
      <c r="AX836" s="47"/>
      <c r="AY836" s="47"/>
      <c r="AZ836" s="532"/>
    </row>
    <row r="837" spans="1:52" ht="15.75" customHeight="1">
      <c r="A837" s="500"/>
      <c r="B837" s="477"/>
      <c r="C837" s="481"/>
      <c r="D837" s="47"/>
      <c r="E837" s="47"/>
      <c r="F837" s="478"/>
      <c r="G837" s="479"/>
      <c r="H837" s="9"/>
      <c r="I837" s="9"/>
      <c r="J837" s="505"/>
      <c r="K837" s="47"/>
      <c r="L837" s="47"/>
      <c r="M837" s="47"/>
      <c r="N837" s="9"/>
      <c r="O837" s="9"/>
      <c r="P837" s="9"/>
      <c r="Q837" s="47"/>
      <c r="R837" s="47"/>
      <c r="S837" s="47"/>
      <c r="T837" s="47"/>
      <c r="U837" s="47"/>
      <c r="V837" s="47"/>
      <c r="W837" s="47"/>
      <c r="X837" s="47"/>
      <c r="Y837" s="47"/>
      <c r="Z837" s="47"/>
      <c r="AA837" s="47"/>
      <c r="AB837" s="47"/>
      <c r="AC837" s="47"/>
      <c r="AD837" s="47"/>
      <c r="AE837" s="47"/>
      <c r="AF837" s="47"/>
      <c r="AG837" s="47"/>
      <c r="AH837" s="47"/>
      <c r="AI837" s="47"/>
      <c r="AJ837" s="47"/>
      <c r="AK837" s="47"/>
      <c r="AL837" s="47"/>
      <c r="AM837" s="47"/>
      <c r="AN837" s="47"/>
      <c r="AO837" s="47"/>
      <c r="AP837" s="47"/>
      <c r="AQ837" s="47"/>
      <c r="AR837" s="47"/>
      <c r="AS837" s="47"/>
      <c r="AT837" s="47"/>
      <c r="AU837" s="47"/>
      <c r="AV837" s="47"/>
      <c r="AW837" s="47"/>
      <c r="AX837" s="47"/>
      <c r="AY837" s="47"/>
      <c r="AZ837" s="532"/>
    </row>
    <row r="838" spans="1:52" ht="15.75" customHeight="1">
      <c r="A838" s="500"/>
      <c r="B838" s="477"/>
      <c r="C838" s="481"/>
      <c r="D838" s="47"/>
      <c r="E838" s="47"/>
      <c r="F838" s="478"/>
      <c r="G838" s="479"/>
      <c r="H838" s="9"/>
      <c r="I838" s="9"/>
      <c r="J838" s="505"/>
      <c r="K838" s="47"/>
      <c r="L838" s="47"/>
      <c r="M838" s="47"/>
      <c r="N838" s="9"/>
      <c r="O838" s="9"/>
      <c r="P838" s="9"/>
      <c r="Q838" s="47"/>
      <c r="R838" s="47"/>
      <c r="S838" s="47"/>
      <c r="T838" s="47"/>
      <c r="U838" s="47"/>
      <c r="V838" s="47"/>
      <c r="W838" s="47"/>
      <c r="X838" s="47"/>
      <c r="Y838" s="47"/>
      <c r="Z838" s="47"/>
      <c r="AA838" s="47"/>
      <c r="AB838" s="47"/>
      <c r="AC838" s="47"/>
      <c r="AD838" s="47"/>
      <c r="AE838" s="47"/>
      <c r="AF838" s="47"/>
      <c r="AG838" s="47"/>
      <c r="AH838" s="47"/>
      <c r="AI838" s="47"/>
      <c r="AJ838" s="47"/>
      <c r="AK838" s="47"/>
      <c r="AL838" s="47"/>
      <c r="AM838" s="47"/>
      <c r="AN838" s="47"/>
      <c r="AO838" s="47"/>
      <c r="AP838" s="47"/>
      <c r="AQ838" s="47"/>
      <c r="AR838" s="47"/>
      <c r="AS838" s="47"/>
      <c r="AT838" s="47"/>
      <c r="AU838" s="47"/>
      <c r="AV838" s="47"/>
      <c r="AW838" s="47"/>
      <c r="AX838" s="47"/>
      <c r="AY838" s="47"/>
      <c r="AZ838" s="532"/>
    </row>
    <row r="839" spans="1:52" ht="15.75" customHeight="1">
      <c r="A839" s="500"/>
      <c r="B839" s="477"/>
      <c r="C839" s="481"/>
      <c r="D839" s="47"/>
      <c r="E839" s="47"/>
      <c r="F839" s="478"/>
      <c r="G839" s="479"/>
      <c r="H839" s="9"/>
      <c r="I839" s="9"/>
      <c r="J839" s="505"/>
      <c r="K839" s="47"/>
      <c r="L839" s="47"/>
      <c r="M839" s="47"/>
      <c r="N839" s="9"/>
      <c r="O839" s="9"/>
      <c r="P839" s="9"/>
      <c r="Q839" s="47"/>
      <c r="R839" s="47"/>
      <c r="S839" s="47"/>
      <c r="T839" s="47"/>
      <c r="U839" s="47"/>
      <c r="V839" s="47"/>
      <c r="W839" s="47"/>
      <c r="X839" s="47"/>
      <c r="Y839" s="47"/>
      <c r="Z839" s="47"/>
      <c r="AA839" s="47"/>
      <c r="AB839" s="47"/>
      <c r="AC839" s="47"/>
      <c r="AD839" s="47"/>
      <c r="AE839" s="47"/>
      <c r="AF839" s="47"/>
      <c r="AG839" s="47"/>
      <c r="AH839" s="47"/>
      <c r="AI839" s="47"/>
      <c r="AJ839" s="47"/>
      <c r="AK839" s="47"/>
      <c r="AL839" s="47"/>
      <c r="AM839" s="47"/>
      <c r="AN839" s="47"/>
      <c r="AO839" s="47"/>
      <c r="AP839" s="47"/>
      <c r="AQ839" s="47"/>
      <c r="AR839" s="47"/>
      <c r="AS839" s="47"/>
      <c r="AT839" s="47"/>
      <c r="AU839" s="47"/>
      <c r="AV839" s="47"/>
      <c r="AW839" s="47"/>
      <c r="AX839" s="47"/>
      <c r="AY839" s="47"/>
      <c r="AZ839" s="532"/>
    </row>
    <row r="840" spans="1:52" ht="15.75" customHeight="1">
      <c r="A840" s="500"/>
      <c r="B840" s="477"/>
      <c r="C840" s="481"/>
      <c r="D840" s="47"/>
      <c r="E840" s="47"/>
      <c r="F840" s="478"/>
      <c r="G840" s="479"/>
      <c r="H840" s="9"/>
      <c r="I840" s="9"/>
      <c r="J840" s="505"/>
      <c r="K840" s="47"/>
      <c r="L840" s="47"/>
      <c r="M840" s="47"/>
      <c r="N840" s="9"/>
      <c r="O840" s="9"/>
      <c r="P840" s="9"/>
      <c r="Q840" s="47"/>
      <c r="R840" s="47"/>
      <c r="S840" s="47"/>
      <c r="T840" s="47"/>
      <c r="U840" s="47"/>
      <c r="V840" s="47"/>
      <c r="W840" s="47"/>
      <c r="X840" s="47"/>
      <c r="Y840" s="47"/>
      <c r="Z840" s="47"/>
      <c r="AA840" s="47"/>
      <c r="AB840" s="47"/>
      <c r="AC840" s="47"/>
      <c r="AD840" s="47"/>
      <c r="AE840" s="47"/>
      <c r="AF840" s="47"/>
      <c r="AG840" s="47"/>
      <c r="AH840" s="47"/>
      <c r="AI840" s="47"/>
      <c r="AJ840" s="47"/>
      <c r="AK840" s="47"/>
      <c r="AL840" s="47"/>
      <c r="AM840" s="47"/>
      <c r="AN840" s="47"/>
      <c r="AO840" s="47"/>
      <c r="AP840" s="47"/>
      <c r="AQ840" s="47"/>
      <c r="AR840" s="47"/>
      <c r="AS840" s="47"/>
      <c r="AT840" s="47"/>
      <c r="AU840" s="47"/>
      <c r="AV840" s="47"/>
      <c r="AW840" s="47"/>
      <c r="AX840" s="47"/>
      <c r="AY840" s="47"/>
      <c r="AZ840" s="532"/>
    </row>
    <row r="841" spans="1:52" ht="15.75" customHeight="1">
      <c r="A841" s="500"/>
      <c r="B841" s="477"/>
      <c r="C841" s="481"/>
      <c r="D841" s="47"/>
      <c r="E841" s="47"/>
      <c r="F841" s="478"/>
      <c r="G841" s="479"/>
      <c r="H841" s="9"/>
      <c r="I841" s="9"/>
      <c r="J841" s="505"/>
      <c r="K841" s="47"/>
      <c r="L841" s="47"/>
      <c r="M841" s="47"/>
      <c r="N841" s="9"/>
      <c r="O841" s="9"/>
      <c r="P841" s="9"/>
      <c r="Q841" s="47"/>
      <c r="R841" s="47"/>
      <c r="S841" s="47"/>
      <c r="T841" s="47"/>
      <c r="U841" s="47"/>
      <c r="V841" s="47"/>
      <c r="W841" s="47"/>
      <c r="X841" s="47"/>
      <c r="Y841" s="47"/>
      <c r="Z841" s="47"/>
      <c r="AA841" s="47"/>
      <c r="AB841" s="47"/>
      <c r="AC841" s="47"/>
      <c r="AD841" s="47"/>
      <c r="AE841" s="47"/>
      <c r="AF841" s="47"/>
      <c r="AG841" s="47"/>
      <c r="AH841" s="47"/>
      <c r="AI841" s="47"/>
      <c r="AJ841" s="47"/>
      <c r="AK841" s="47"/>
      <c r="AL841" s="47"/>
      <c r="AM841" s="47"/>
      <c r="AN841" s="47"/>
      <c r="AO841" s="47"/>
      <c r="AP841" s="47"/>
      <c r="AQ841" s="47"/>
      <c r="AR841" s="47"/>
      <c r="AS841" s="47"/>
      <c r="AT841" s="47"/>
      <c r="AU841" s="47"/>
      <c r="AV841" s="47"/>
      <c r="AW841" s="47"/>
      <c r="AX841" s="47"/>
      <c r="AY841" s="47"/>
      <c r="AZ841" s="532"/>
    </row>
    <row r="842" spans="1:52" ht="15.75" customHeight="1">
      <c r="A842" s="500"/>
      <c r="B842" s="477"/>
      <c r="C842" s="481"/>
      <c r="D842" s="47"/>
      <c r="E842" s="47"/>
      <c r="F842" s="478"/>
      <c r="G842" s="479"/>
      <c r="H842" s="9"/>
      <c r="I842" s="9"/>
      <c r="J842" s="505"/>
      <c r="K842" s="47"/>
      <c r="L842" s="47"/>
      <c r="M842" s="47"/>
      <c r="N842" s="9"/>
      <c r="O842" s="9"/>
      <c r="P842" s="9"/>
      <c r="Q842" s="47"/>
      <c r="R842" s="47"/>
      <c r="S842" s="47"/>
      <c r="T842" s="47"/>
      <c r="U842" s="47"/>
      <c r="V842" s="47"/>
      <c r="W842" s="47"/>
      <c r="X842" s="47"/>
      <c r="Y842" s="47"/>
      <c r="Z842" s="47"/>
      <c r="AA842" s="47"/>
      <c r="AB842" s="47"/>
      <c r="AC842" s="47"/>
      <c r="AD842" s="47"/>
      <c r="AE842" s="47"/>
      <c r="AF842" s="47"/>
      <c r="AG842" s="47"/>
      <c r="AH842" s="47"/>
      <c r="AI842" s="47"/>
      <c r="AJ842" s="47"/>
      <c r="AK842" s="47"/>
      <c r="AL842" s="47"/>
      <c r="AM842" s="47"/>
      <c r="AN842" s="47"/>
      <c r="AO842" s="47"/>
      <c r="AP842" s="47"/>
      <c r="AQ842" s="47"/>
      <c r="AR842" s="47"/>
      <c r="AS842" s="47"/>
      <c r="AT842" s="47"/>
      <c r="AU842" s="47"/>
      <c r="AV842" s="47"/>
      <c r="AW842" s="47"/>
      <c r="AX842" s="47"/>
      <c r="AY842" s="47"/>
      <c r="AZ842" s="532"/>
    </row>
    <row r="843" spans="1:52" ht="15.75" customHeight="1">
      <c r="A843" s="500"/>
      <c r="B843" s="477"/>
      <c r="C843" s="481"/>
      <c r="D843" s="47"/>
      <c r="E843" s="47"/>
      <c r="F843" s="478"/>
      <c r="G843" s="479"/>
      <c r="H843" s="9"/>
      <c r="I843" s="9"/>
      <c r="J843" s="505"/>
      <c r="K843" s="47"/>
      <c r="L843" s="47"/>
      <c r="M843" s="47"/>
      <c r="N843" s="9"/>
      <c r="O843" s="9"/>
      <c r="P843" s="9"/>
      <c r="Q843" s="47"/>
      <c r="R843" s="47"/>
      <c r="S843" s="47"/>
      <c r="T843" s="47"/>
      <c r="U843" s="47"/>
      <c r="V843" s="47"/>
      <c r="W843" s="47"/>
      <c r="X843" s="47"/>
      <c r="Y843" s="47"/>
      <c r="Z843" s="47"/>
      <c r="AA843" s="47"/>
      <c r="AB843" s="47"/>
      <c r="AC843" s="47"/>
      <c r="AD843" s="47"/>
      <c r="AE843" s="47"/>
      <c r="AF843" s="47"/>
      <c r="AG843" s="47"/>
      <c r="AH843" s="47"/>
      <c r="AI843" s="47"/>
      <c r="AJ843" s="47"/>
      <c r="AK843" s="47"/>
      <c r="AL843" s="47"/>
      <c r="AM843" s="47"/>
      <c r="AN843" s="47"/>
      <c r="AO843" s="47"/>
      <c r="AP843" s="47"/>
      <c r="AQ843" s="47"/>
      <c r="AR843" s="47"/>
      <c r="AS843" s="47"/>
      <c r="AT843" s="47"/>
      <c r="AU843" s="47"/>
      <c r="AV843" s="47"/>
      <c r="AW843" s="47"/>
      <c r="AX843" s="47"/>
      <c r="AY843" s="47"/>
      <c r="AZ843" s="532"/>
    </row>
    <row r="844" spans="1:52" ht="15.75" customHeight="1">
      <c r="A844" s="500"/>
      <c r="B844" s="477"/>
      <c r="C844" s="481"/>
      <c r="D844" s="47"/>
      <c r="E844" s="47"/>
      <c r="F844" s="478"/>
      <c r="G844" s="479"/>
      <c r="H844" s="9"/>
      <c r="I844" s="9"/>
      <c r="J844" s="505"/>
      <c r="K844" s="47"/>
      <c r="L844" s="47"/>
      <c r="M844" s="47"/>
      <c r="N844" s="9"/>
      <c r="O844" s="9"/>
      <c r="P844" s="9"/>
      <c r="Q844" s="47"/>
      <c r="R844" s="47"/>
      <c r="S844" s="47"/>
      <c r="T844" s="47"/>
      <c r="U844" s="47"/>
      <c r="V844" s="47"/>
      <c r="W844" s="47"/>
      <c r="X844" s="47"/>
      <c r="Y844" s="47"/>
      <c r="Z844" s="47"/>
      <c r="AA844" s="47"/>
      <c r="AB844" s="47"/>
      <c r="AC844" s="47"/>
      <c r="AD844" s="47"/>
      <c r="AE844" s="47"/>
      <c r="AF844" s="47"/>
      <c r="AG844" s="47"/>
      <c r="AH844" s="47"/>
      <c r="AI844" s="47"/>
      <c r="AJ844" s="47"/>
      <c r="AK844" s="47"/>
      <c r="AL844" s="47"/>
      <c r="AM844" s="47"/>
      <c r="AN844" s="47"/>
      <c r="AO844" s="47"/>
      <c r="AP844" s="47"/>
      <c r="AQ844" s="47"/>
      <c r="AR844" s="47"/>
      <c r="AS844" s="47"/>
      <c r="AT844" s="47"/>
      <c r="AU844" s="47"/>
      <c r="AV844" s="47"/>
      <c r="AW844" s="47"/>
      <c r="AX844" s="47"/>
      <c r="AY844" s="47"/>
      <c r="AZ844" s="532"/>
    </row>
    <row r="845" spans="1:52" ht="15.75" customHeight="1">
      <c r="A845" s="500"/>
      <c r="B845" s="477"/>
      <c r="C845" s="481"/>
      <c r="D845" s="47"/>
      <c r="E845" s="47"/>
      <c r="F845" s="478"/>
      <c r="G845" s="479"/>
      <c r="H845" s="9"/>
      <c r="I845" s="9"/>
      <c r="J845" s="505"/>
      <c r="K845" s="47"/>
      <c r="L845" s="47"/>
      <c r="M845" s="47"/>
      <c r="N845" s="9"/>
      <c r="O845" s="9"/>
      <c r="P845" s="9"/>
      <c r="Q845" s="47"/>
      <c r="R845" s="47"/>
      <c r="S845" s="47"/>
      <c r="T845" s="47"/>
      <c r="U845" s="47"/>
      <c r="V845" s="47"/>
      <c r="W845" s="47"/>
      <c r="X845" s="47"/>
      <c r="Y845" s="47"/>
      <c r="Z845" s="47"/>
      <c r="AA845" s="47"/>
      <c r="AB845" s="47"/>
      <c r="AC845" s="47"/>
      <c r="AD845" s="47"/>
      <c r="AE845" s="47"/>
      <c r="AF845" s="47"/>
      <c r="AG845" s="47"/>
      <c r="AH845" s="47"/>
      <c r="AI845" s="47"/>
      <c r="AJ845" s="47"/>
      <c r="AK845" s="47"/>
      <c r="AL845" s="47"/>
      <c r="AM845" s="47"/>
      <c r="AN845" s="47"/>
      <c r="AO845" s="47"/>
      <c r="AP845" s="47"/>
      <c r="AQ845" s="47"/>
      <c r="AR845" s="47"/>
      <c r="AS845" s="47"/>
      <c r="AT845" s="47"/>
      <c r="AU845" s="47"/>
      <c r="AV845" s="47"/>
      <c r="AW845" s="47"/>
      <c r="AX845" s="47"/>
      <c r="AY845" s="47"/>
      <c r="AZ845" s="532"/>
    </row>
    <row r="846" spans="1:52" ht="15.75" customHeight="1">
      <c r="A846" s="500"/>
      <c r="B846" s="477"/>
      <c r="C846" s="481"/>
      <c r="D846" s="47"/>
      <c r="E846" s="47"/>
      <c r="F846" s="478"/>
      <c r="G846" s="479"/>
      <c r="H846" s="9"/>
      <c r="I846" s="9"/>
      <c r="J846" s="505"/>
      <c r="K846" s="47"/>
      <c r="L846" s="47"/>
      <c r="M846" s="47"/>
      <c r="N846" s="9"/>
      <c r="O846" s="9"/>
      <c r="P846" s="9"/>
      <c r="Q846" s="47"/>
      <c r="R846" s="47"/>
      <c r="S846" s="47"/>
      <c r="T846" s="47"/>
      <c r="U846" s="47"/>
      <c r="V846" s="47"/>
      <c r="W846" s="47"/>
      <c r="X846" s="47"/>
      <c r="Y846" s="47"/>
      <c r="Z846" s="47"/>
      <c r="AA846" s="47"/>
      <c r="AB846" s="47"/>
      <c r="AC846" s="47"/>
      <c r="AD846" s="47"/>
      <c r="AE846" s="47"/>
      <c r="AF846" s="47"/>
      <c r="AG846" s="47"/>
      <c r="AH846" s="47"/>
      <c r="AI846" s="47"/>
      <c r="AJ846" s="47"/>
      <c r="AK846" s="47"/>
      <c r="AL846" s="47"/>
      <c r="AM846" s="47"/>
      <c r="AN846" s="47"/>
      <c r="AO846" s="47"/>
      <c r="AP846" s="47"/>
      <c r="AQ846" s="47"/>
      <c r="AR846" s="47"/>
      <c r="AS846" s="47"/>
      <c r="AT846" s="47"/>
      <c r="AU846" s="47"/>
      <c r="AV846" s="47"/>
      <c r="AW846" s="47"/>
      <c r="AX846" s="47"/>
      <c r="AY846" s="47"/>
      <c r="AZ846" s="532"/>
    </row>
    <row r="847" spans="1:52" ht="15.75" customHeight="1">
      <c r="A847" s="500"/>
      <c r="B847" s="477"/>
      <c r="C847" s="481"/>
      <c r="D847" s="47"/>
      <c r="E847" s="47"/>
      <c r="F847" s="478"/>
      <c r="G847" s="479"/>
      <c r="H847" s="9"/>
      <c r="I847" s="9"/>
      <c r="J847" s="505"/>
      <c r="K847" s="47"/>
      <c r="L847" s="47"/>
      <c r="M847" s="47"/>
      <c r="N847" s="9"/>
      <c r="O847" s="9"/>
      <c r="P847" s="9"/>
      <c r="Q847" s="47"/>
      <c r="R847" s="47"/>
      <c r="S847" s="47"/>
      <c r="T847" s="47"/>
      <c r="U847" s="47"/>
      <c r="V847" s="47"/>
      <c r="W847" s="47"/>
      <c r="X847" s="47"/>
      <c r="Y847" s="47"/>
      <c r="Z847" s="47"/>
      <c r="AA847" s="47"/>
      <c r="AB847" s="47"/>
      <c r="AC847" s="47"/>
      <c r="AD847" s="47"/>
      <c r="AE847" s="47"/>
      <c r="AF847" s="47"/>
      <c r="AG847" s="47"/>
      <c r="AH847" s="47"/>
      <c r="AI847" s="47"/>
      <c r="AJ847" s="47"/>
      <c r="AK847" s="47"/>
      <c r="AL847" s="47"/>
      <c r="AM847" s="47"/>
      <c r="AN847" s="47"/>
      <c r="AO847" s="47"/>
      <c r="AP847" s="47"/>
      <c r="AQ847" s="47"/>
      <c r="AR847" s="47"/>
      <c r="AS847" s="47"/>
      <c r="AT847" s="47"/>
      <c r="AU847" s="47"/>
      <c r="AV847" s="47"/>
      <c r="AW847" s="47"/>
      <c r="AX847" s="47"/>
      <c r="AY847" s="47"/>
      <c r="AZ847" s="532"/>
    </row>
    <row r="848" spans="1:52" ht="15.75" customHeight="1">
      <c r="A848" s="500"/>
      <c r="B848" s="477"/>
      <c r="C848" s="481"/>
      <c r="D848" s="47"/>
      <c r="E848" s="47"/>
      <c r="F848" s="478"/>
      <c r="G848" s="479"/>
      <c r="H848" s="9"/>
      <c r="I848" s="9"/>
      <c r="J848" s="505"/>
      <c r="K848" s="47"/>
      <c r="L848" s="47"/>
      <c r="M848" s="47"/>
      <c r="N848" s="9"/>
      <c r="O848" s="9"/>
      <c r="P848" s="9"/>
      <c r="Q848" s="47"/>
      <c r="R848" s="47"/>
      <c r="S848" s="47"/>
      <c r="T848" s="47"/>
      <c r="U848" s="47"/>
      <c r="V848" s="47"/>
      <c r="W848" s="47"/>
      <c r="X848" s="47"/>
      <c r="Y848" s="47"/>
      <c r="Z848" s="47"/>
      <c r="AA848" s="47"/>
      <c r="AB848" s="47"/>
      <c r="AC848" s="47"/>
      <c r="AD848" s="47"/>
      <c r="AE848" s="47"/>
      <c r="AF848" s="47"/>
      <c r="AG848" s="47"/>
      <c r="AH848" s="47"/>
      <c r="AI848" s="47"/>
      <c r="AJ848" s="47"/>
      <c r="AK848" s="47"/>
      <c r="AL848" s="47"/>
      <c r="AM848" s="47"/>
      <c r="AN848" s="47"/>
      <c r="AO848" s="47"/>
      <c r="AP848" s="47"/>
      <c r="AQ848" s="47"/>
      <c r="AR848" s="47"/>
      <c r="AS848" s="47"/>
      <c r="AT848" s="47"/>
      <c r="AU848" s="47"/>
      <c r="AV848" s="47"/>
      <c r="AW848" s="47"/>
      <c r="AX848" s="47"/>
      <c r="AY848" s="47"/>
      <c r="AZ848" s="532"/>
    </row>
    <row r="849" spans="1:52" ht="15.75" customHeight="1">
      <c r="A849" s="500"/>
      <c r="B849" s="477"/>
      <c r="C849" s="481"/>
      <c r="D849" s="47"/>
      <c r="E849" s="47"/>
      <c r="F849" s="478"/>
      <c r="G849" s="479"/>
      <c r="H849" s="9"/>
      <c r="I849" s="9"/>
      <c r="J849" s="505"/>
      <c r="K849" s="47"/>
      <c r="L849" s="47"/>
      <c r="M849" s="47"/>
      <c r="N849" s="9"/>
      <c r="O849" s="9"/>
      <c r="P849" s="9"/>
      <c r="Q849" s="47"/>
      <c r="R849" s="47"/>
      <c r="S849" s="47"/>
      <c r="T849" s="47"/>
      <c r="U849" s="47"/>
      <c r="V849" s="47"/>
      <c r="W849" s="47"/>
      <c r="X849" s="47"/>
      <c r="Y849" s="47"/>
      <c r="Z849" s="47"/>
      <c r="AA849" s="47"/>
      <c r="AB849" s="47"/>
      <c r="AC849" s="47"/>
      <c r="AD849" s="47"/>
      <c r="AE849" s="47"/>
      <c r="AF849" s="47"/>
      <c r="AG849" s="47"/>
      <c r="AH849" s="47"/>
      <c r="AI849" s="47"/>
      <c r="AJ849" s="47"/>
      <c r="AK849" s="47"/>
      <c r="AL849" s="47"/>
      <c r="AM849" s="47"/>
      <c r="AN849" s="47"/>
      <c r="AO849" s="47"/>
      <c r="AP849" s="47"/>
      <c r="AQ849" s="47"/>
      <c r="AR849" s="47"/>
      <c r="AS849" s="47"/>
      <c r="AT849" s="47"/>
      <c r="AU849" s="47"/>
      <c r="AV849" s="47"/>
      <c r="AW849" s="47"/>
      <c r="AX849" s="47"/>
      <c r="AY849" s="47"/>
      <c r="AZ849" s="532"/>
    </row>
    <row r="850" spans="1:52" ht="15.75" customHeight="1">
      <c r="A850" s="500"/>
      <c r="B850" s="477"/>
      <c r="C850" s="481"/>
      <c r="D850" s="47"/>
      <c r="E850" s="47"/>
      <c r="F850" s="478"/>
      <c r="G850" s="479"/>
      <c r="H850" s="9"/>
      <c r="I850" s="9"/>
      <c r="J850" s="505"/>
      <c r="K850" s="47"/>
      <c r="L850" s="47"/>
      <c r="M850" s="47"/>
      <c r="N850" s="9"/>
      <c r="O850" s="9"/>
      <c r="P850" s="9"/>
      <c r="Q850" s="47"/>
      <c r="R850" s="47"/>
      <c r="S850" s="47"/>
      <c r="T850" s="47"/>
      <c r="U850" s="47"/>
      <c r="V850" s="47"/>
      <c r="W850" s="47"/>
      <c r="X850" s="47"/>
      <c r="Y850" s="47"/>
      <c r="Z850" s="47"/>
      <c r="AA850" s="47"/>
      <c r="AB850" s="47"/>
      <c r="AC850" s="47"/>
      <c r="AD850" s="47"/>
      <c r="AE850" s="47"/>
      <c r="AF850" s="47"/>
      <c r="AG850" s="47"/>
      <c r="AH850" s="47"/>
      <c r="AI850" s="47"/>
      <c r="AJ850" s="47"/>
      <c r="AK850" s="47"/>
      <c r="AL850" s="47"/>
      <c r="AM850" s="47"/>
      <c r="AN850" s="47"/>
      <c r="AO850" s="47"/>
      <c r="AP850" s="47"/>
      <c r="AQ850" s="47"/>
      <c r="AR850" s="47"/>
      <c r="AS850" s="47"/>
      <c r="AT850" s="47"/>
      <c r="AU850" s="47"/>
      <c r="AV850" s="47"/>
      <c r="AW850" s="47"/>
      <c r="AX850" s="47"/>
      <c r="AY850" s="47"/>
      <c r="AZ850" s="532"/>
    </row>
    <row r="851" spans="1:52" ht="15.75" customHeight="1">
      <c r="A851" s="500"/>
      <c r="B851" s="477"/>
      <c r="C851" s="481"/>
      <c r="D851" s="47"/>
      <c r="E851" s="47"/>
      <c r="F851" s="478"/>
      <c r="G851" s="479"/>
      <c r="H851" s="9"/>
      <c r="I851" s="9"/>
      <c r="J851" s="505"/>
      <c r="K851" s="47"/>
      <c r="L851" s="47"/>
      <c r="M851" s="47"/>
      <c r="N851" s="9"/>
      <c r="O851" s="9"/>
      <c r="P851" s="9"/>
      <c r="Q851" s="47"/>
      <c r="R851" s="47"/>
      <c r="S851" s="47"/>
      <c r="T851" s="47"/>
      <c r="U851" s="47"/>
      <c r="V851" s="47"/>
      <c r="W851" s="47"/>
      <c r="X851" s="47"/>
      <c r="Y851" s="47"/>
      <c r="Z851" s="47"/>
      <c r="AA851" s="47"/>
      <c r="AB851" s="47"/>
      <c r="AC851" s="47"/>
      <c r="AD851" s="47"/>
      <c r="AE851" s="47"/>
      <c r="AF851" s="47"/>
      <c r="AG851" s="47"/>
      <c r="AH851" s="47"/>
      <c r="AI851" s="47"/>
      <c r="AJ851" s="47"/>
      <c r="AK851" s="47"/>
      <c r="AL851" s="47"/>
      <c r="AM851" s="47"/>
      <c r="AN851" s="47"/>
      <c r="AO851" s="47"/>
      <c r="AP851" s="47"/>
      <c r="AQ851" s="47"/>
      <c r="AR851" s="47"/>
      <c r="AS851" s="47"/>
      <c r="AT851" s="47"/>
      <c r="AU851" s="47"/>
      <c r="AV851" s="47"/>
      <c r="AW851" s="47"/>
      <c r="AX851" s="47"/>
      <c r="AY851" s="47"/>
      <c r="AZ851" s="532"/>
    </row>
    <row r="852" spans="1:52" ht="15.75" customHeight="1">
      <c r="A852" s="500"/>
      <c r="B852" s="477"/>
      <c r="C852" s="481"/>
      <c r="D852" s="47"/>
      <c r="E852" s="47"/>
      <c r="F852" s="478"/>
      <c r="G852" s="479"/>
      <c r="H852" s="9"/>
      <c r="I852" s="9"/>
      <c r="J852" s="505"/>
      <c r="K852" s="47"/>
      <c r="L852" s="47"/>
      <c r="M852" s="47"/>
      <c r="N852" s="9"/>
      <c r="O852" s="9"/>
      <c r="P852" s="9"/>
      <c r="Q852" s="47"/>
      <c r="R852" s="47"/>
      <c r="S852" s="47"/>
      <c r="T852" s="47"/>
      <c r="U852" s="47"/>
      <c r="V852" s="47"/>
      <c r="W852" s="47"/>
      <c r="X852" s="47"/>
      <c r="Y852" s="47"/>
      <c r="Z852" s="47"/>
      <c r="AA852" s="47"/>
      <c r="AB852" s="47"/>
      <c r="AC852" s="47"/>
      <c r="AD852" s="47"/>
      <c r="AE852" s="47"/>
      <c r="AF852" s="47"/>
      <c r="AG852" s="47"/>
      <c r="AH852" s="47"/>
      <c r="AI852" s="47"/>
      <c r="AJ852" s="47"/>
      <c r="AK852" s="47"/>
      <c r="AL852" s="47"/>
      <c r="AM852" s="47"/>
      <c r="AN852" s="47"/>
      <c r="AO852" s="47"/>
      <c r="AP852" s="47"/>
      <c r="AQ852" s="47"/>
      <c r="AR852" s="47"/>
      <c r="AS852" s="47"/>
      <c r="AT852" s="47"/>
      <c r="AU852" s="47"/>
      <c r="AV852" s="47"/>
      <c r="AW852" s="47"/>
      <c r="AX852" s="47"/>
      <c r="AY852" s="47"/>
      <c r="AZ852" s="532"/>
    </row>
    <row r="853" spans="1:52" ht="15.75" customHeight="1">
      <c r="A853" s="500"/>
      <c r="B853" s="477"/>
      <c r="C853" s="481"/>
      <c r="D853" s="47"/>
      <c r="E853" s="47"/>
      <c r="F853" s="478"/>
      <c r="G853" s="479"/>
      <c r="H853" s="9"/>
      <c r="I853" s="9"/>
      <c r="J853" s="505"/>
      <c r="K853" s="47"/>
      <c r="L853" s="47"/>
      <c r="M853" s="47"/>
      <c r="N853" s="9"/>
      <c r="O853" s="9"/>
      <c r="P853" s="9"/>
      <c r="Q853" s="47"/>
      <c r="R853" s="47"/>
      <c r="S853" s="47"/>
      <c r="T853" s="47"/>
      <c r="U853" s="47"/>
      <c r="V853" s="47"/>
      <c r="W853" s="47"/>
      <c r="X853" s="47"/>
      <c r="Y853" s="47"/>
      <c r="Z853" s="47"/>
      <c r="AA853" s="47"/>
      <c r="AB853" s="47"/>
      <c r="AC853" s="47"/>
      <c r="AD853" s="47"/>
      <c r="AE853" s="47"/>
      <c r="AF853" s="47"/>
      <c r="AG853" s="47"/>
      <c r="AH853" s="47"/>
      <c r="AI853" s="47"/>
      <c r="AJ853" s="47"/>
      <c r="AK853" s="47"/>
      <c r="AL853" s="47"/>
      <c r="AM853" s="47"/>
      <c r="AN853" s="47"/>
      <c r="AO853" s="47"/>
      <c r="AP853" s="47"/>
      <c r="AQ853" s="47"/>
      <c r="AR853" s="47"/>
      <c r="AS853" s="47"/>
      <c r="AT853" s="47"/>
      <c r="AU853" s="47"/>
      <c r="AV853" s="47"/>
      <c r="AW853" s="47"/>
      <c r="AX853" s="47"/>
      <c r="AY853" s="47"/>
      <c r="AZ853" s="532"/>
    </row>
    <row r="854" spans="1:52" ht="15.75" customHeight="1">
      <c r="A854" s="500"/>
      <c r="B854" s="477"/>
      <c r="C854" s="481"/>
      <c r="D854" s="47"/>
      <c r="E854" s="47"/>
      <c r="F854" s="478"/>
      <c r="G854" s="479"/>
      <c r="H854" s="9"/>
      <c r="I854" s="9"/>
      <c r="J854" s="505"/>
      <c r="K854" s="47"/>
      <c r="L854" s="47"/>
      <c r="M854" s="47"/>
      <c r="N854" s="9"/>
      <c r="O854" s="9"/>
      <c r="P854" s="9"/>
      <c r="Q854" s="47"/>
      <c r="R854" s="47"/>
      <c r="S854" s="47"/>
      <c r="T854" s="47"/>
      <c r="U854" s="47"/>
      <c r="V854" s="47"/>
      <c r="W854" s="47"/>
      <c r="X854" s="47"/>
      <c r="Y854" s="47"/>
      <c r="Z854" s="47"/>
      <c r="AA854" s="47"/>
      <c r="AB854" s="47"/>
      <c r="AC854" s="47"/>
      <c r="AD854" s="47"/>
      <c r="AE854" s="47"/>
      <c r="AF854" s="47"/>
      <c r="AG854" s="47"/>
      <c r="AH854" s="47"/>
      <c r="AI854" s="47"/>
      <c r="AJ854" s="47"/>
      <c r="AK854" s="47"/>
      <c r="AL854" s="47"/>
      <c r="AM854" s="47"/>
      <c r="AN854" s="47"/>
      <c r="AO854" s="47"/>
      <c r="AP854" s="47"/>
      <c r="AQ854" s="47"/>
      <c r="AR854" s="47"/>
      <c r="AS854" s="47"/>
      <c r="AT854" s="47"/>
      <c r="AU854" s="47"/>
      <c r="AV854" s="47"/>
      <c r="AW854" s="47"/>
      <c r="AX854" s="47"/>
      <c r="AY854" s="47"/>
      <c r="AZ854" s="532"/>
    </row>
    <row r="855" spans="1:52" ht="15.75" customHeight="1">
      <c r="A855" s="500"/>
      <c r="B855" s="477"/>
      <c r="C855" s="481"/>
      <c r="D855" s="47"/>
      <c r="E855" s="47"/>
      <c r="F855" s="478"/>
      <c r="G855" s="479"/>
      <c r="H855" s="9"/>
      <c r="I855" s="10"/>
      <c r="J855" s="505"/>
      <c r="K855" s="47"/>
      <c r="L855" s="47"/>
      <c r="M855" s="47"/>
      <c r="N855" s="9"/>
      <c r="O855" s="9"/>
      <c r="P855" s="9"/>
      <c r="Q855" s="47"/>
      <c r="R855" s="47"/>
      <c r="S855" s="47"/>
      <c r="T855" s="47"/>
      <c r="U855" s="47"/>
      <c r="V855" s="47"/>
      <c r="W855" s="47"/>
      <c r="X855" s="47"/>
      <c r="Y855" s="47"/>
      <c r="Z855" s="47"/>
      <c r="AA855" s="47"/>
      <c r="AB855" s="47"/>
      <c r="AC855" s="47"/>
      <c r="AD855" s="47"/>
      <c r="AE855" s="47"/>
      <c r="AF855" s="47"/>
      <c r="AG855" s="47"/>
      <c r="AH855" s="47"/>
      <c r="AI855" s="47"/>
      <c r="AJ855" s="47"/>
      <c r="AK855" s="47"/>
      <c r="AL855" s="47"/>
      <c r="AM855" s="47"/>
      <c r="AN855" s="47"/>
      <c r="AO855" s="47"/>
      <c r="AP855" s="47"/>
      <c r="AQ855" s="47"/>
      <c r="AR855" s="47"/>
      <c r="AS855" s="47"/>
      <c r="AT855" s="47"/>
      <c r="AU855" s="47"/>
      <c r="AV855" s="47"/>
      <c r="AW855" s="47"/>
      <c r="AX855" s="47"/>
      <c r="AY855" s="47"/>
      <c r="AZ855" s="532"/>
    </row>
    <row r="856" spans="1:52" ht="15.75" customHeight="1">
      <c r="A856" s="500"/>
      <c r="B856" s="477"/>
      <c r="C856" s="481"/>
      <c r="D856" s="47"/>
      <c r="E856" s="47"/>
      <c r="F856" s="478"/>
      <c r="G856" s="479"/>
      <c r="H856" s="9"/>
      <c r="I856" s="9"/>
      <c r="J856" s="505"/>
      <c r="K856" s="47"/>
      <c r="L856" s="47"/>
      <c r="M856" s="47"/>
      <c r="N856" s="9"/>
      <c r="O856" s="9"/>
      <c r="P856" s="9"/>
      <c r="Q856" s="47"/>
      <c r="R856" s="47"/>
      <c r="S856" s="47"/>
      <c r="T856" s="47"/>
      <c r="U856" s="47"/>
      <c r="V856" s="47"/>
      <c r="W856" s="47"/>
      <c r="X856" s="47"/>
      <c r="Y856" s="47"/>
      <c r="Z856" s="47"/>
      <c r="AA856" s="47"/>
      <c r="AB856" s="47"/>
      <c r="AC856" s="47"/>
      <c r="AD856" s="47"/>
      <c r="AE856" s="47"/>
      <c r="AF856" s="47"/>
      <c r="AG856" s="47"/>
      <c r="AH856" s="47"/>
      <c r="AI856" s="47"/>
      <c r="AJ856" s="47"/>
      <c r="AK856" s="47"/>
      <c r="AL856" s="47"/>
      <c r="AM856" s="47"/>
      <c r="AN856" s="47"/>
      <c r="AO856" s="47"/>
      <c r="AP856" s="47"/>
      <c r="AQ856" s="47"/>
      <c r="AR856" s="47"/>
      <c r="AS856" s="47"/>
      <c r="AT856" s="47"/>
      <c r="AU856" s="47"/>
      <c r="AV856" s="47"/>
      <c r="AW856" s="47"/>
      <c r="AX856" s="47"/>
      <c r="AY856" s="47"/>
      <c r="AZ856" s="532"/>
    </row>
    <row r="857" spans="1:52" ht="15.75" customHeight="1">
      <c r="A857" s="500"/>
      <c r="B857" s="477"/>
      <c r="C857" s="481"/>
      <c r="D857" s="47"/>
      <c r="E857" s="47"/>
      <c r="F857" s="478"/>
      <c r="G857" s="479"/>
      <c r="H857" s="9"/>
      <c r="I857" s="10"/>
      <c r="J857" s="505"/>
      <c r="K857" s="47"/>
      <c r="L857" s="47"/>
      <c r="M857" s="47"/>
      <c r="N857" s="9"/>
      <c r="O857" s="9"/>
      <c r="P857" s="9"/>
      <c r="Q857" s="47"/>
      <c r="R857" s="47"/>
      <c r="S857" s="47"/>
      <c r="T857" s="47"/>
      <c r="U857" s="47"/>
      <c r="V857" s="47"/>
      <c r="W857" s="47"/>
      <c r="X857" s="47"/>
      <c r="Y857" s="47"/>
      <c r="Z857" s="47"/>
      <c r="AA857" s="47"/>
      <c r="AB857" s="47"/>
      <c r="AC857" s="47"/>
      <c r="AD857" s="47"/>
      <c r="AE857" s="47"/>
      <c r="AF857" s="47"/>
      <c r="AG857" s="47"/>
      <c r="AH857" s="47"/>
      <c r="AI857" s="47"/>
      <c r="AJ857" s="47"/>
      <c r="AK857" s="47"/>
      <c r="AL857" s="47"/>
      <c r="AM857" s="47"/>
      <c r="AN857" s="47"/>
      <c r="AO857" s="47"/>
      <c r="AP857" s="47"/>
      <c r="AQ857" s="47"/>
      <c r="AR857" s="47"/>
      <c r="AS857" s="47"/>
      <c r="AT857" s="47"/>
      <c r="AU857" s="47"/>
      <c r="AV857" s="47"/>
      <c r="AW857" s="47"/>
      <c r="AX857" s="47"/>
      <c r="AY857" s="47"/>
      <c r="AZ857" s="532"/>
    </row>
    <row r="858" spans="1:52" ht="15.75" customHeight="1">
      <c r="A858" s="500"/>
      <c r="B858" s="477"/>
      <c r="C858" s="481"/>
      <c r="D858" s="47"/>
      <c r="E858" s="47"/>
      <c r="F858" s="478"/>
      <c r="G858" s="479"/>
      <c r="H858" s="9"/>
      <c r="I858" s="9"/>
      <c r="J858" s="505"/>
      <c r="K858" s="47"/>
      <c r="L858" s="47"/>
      <c r="M858" s="47"/>
      <c r="N858" s="9"/>
      <c r="O858" s="9"/>
      <c r="P858" s="9"/>
      <c r="Q858" s="47"/>
      <c r="R858" s="47"/>
      <c r="S858" s="47"/>
      <c r="T858" s="47"/>
      <c r="U858" s="47"/>
      <c r="V858" s="47"/>
      <c r="W858" s="47"/>
      <c r="X858" s="47"/>
      <c r="Y858" s="47"/>
      <c r="Z858" s="47"/>
      <c r="AA858" s="47"/>
      <c r="AB858" s="47"/>
      <c r="AC858" s="47"/>
      <c r="AD858" s="47"/>
      <c r="AE858" s="47"/>
      <c r="AF858" s="47"/>
      <c r="AG858" s="47"/>
      <c r="AH858" s="47"/>
      <c r="AI858" s="47"/>
      <c r="AJ858" s="47"/>
      <c r="AK858" s="47"/>
      <c r="AL858" s="47"/>
      <c r="AM858" s="47"/>
      <c r="AN858" s="47"/>
      <c r="AO858" s="47"/>
      <c r="AP858" s="47"/>
      <c r="AQ858" s="47"/>
      <c r="AR858" s="47"/>
      <c r="AS858" s="47"/>
      <c r="AT858" s="47"/>
      <c r="AU858" s="47"/>
      <c r="AV858" s="47"/>
      <c r="AW858" s="47"/>
      <c r="AX858" s="47"/>
      <c r="AY858" s="47"/>
      <c r="AZ858" s="532"/>
    </row>
    <row r="859" spans="1:52" ht="15.75" customHeight="1">
      <c r="A859" s="500"/>
      <c r="B859" s="477"/>
      <c r="C859" s="481"/>
      <c r="D859" s="47"/>
      <c r="E859" s="47"/>
      <c r="F859" s="478"/>
      <c r="G859" s="479"/>
      <c r="H859" s="9"/>
      <c r="I859" s="9"/>
      <c r="J859" s="505"/>
      <c r="K859" s="47"/>
      <c r="L859" s="47"/>
      <c r="M859" s="47"/>
      <c r="N859" s="9"/>
      <c r="O859" s="9"/>
      <c r="P859" s="9"/>
      <c r="Q859" s="47"/>
      <c r="R859" s="47"/>
      <c r="S859" s="47"/>
      <c r="T859" s="47"/>
      <c r="U859" s="47"/>
      <c r="V859" s="47"/>
      <c r="W859" s="47"/>
      <c r="X859" s="47"/>
      <c r="Y859" s="47"/>
      <c r="Z859" s="47"/>
      <c r="AA859" s="47"/>
      <c r="AB859" s="47"/>
      <c r="AC859" s="47"/>
      <c r="AD859" s="47"/>
      <c r="AE859" s="47"/>
      <c r="AF859" s="47"/>
      <c r="AG859" s="47"/>
      <c r="AH859" s="47"/>
      <c r="AI859" s="47"/>
      <c r="AJ859" s="47"/>
      <c r="AK859" s="47"/>
      <c r="AL859" s="47"/>
      <c r="AM859" s="47"/>
      <c r="AN859" s="47"/>
      <c r="AO859" s="47"/>
      <c r="AP859" s="47"/>
      <c r="AQ859" s="47"/>
      <c r="AR859" s="47"/>
      <c r="AS859" s="47"/>
      <c r="AT859" s="47"/>
      <c r="AU859" s="47"/>
      <c r="AV859" s="47"/>
      <c r="AW859" s="47"/>
      <c r="AX859" s="47"/>
      <c r="AY859" s="47"/>
      <c r="AZ859" s="532"/>
    </row>
    <row r="860" spans="1:52" ht="15.75" customHeight="1">
      <c r="A860" s="500"/>
      <c r="B860" s="477"/>
      <c r="C860" s="481"/>
      <c r="D860" s="47"/>
      <c r="E860" s="47"/>
      <c r="F860" s="478"/>
      <c r="G860" s="479"/>
      <c r="H860" s="9"/>
      <c r="I860" s="10"/>
      <c r="J860" s="505"/>
      <c r="K860" s="47"/>
      <c r="L860" s="47"/>
      <c r="M860" s="47"/>
      <c r="N860" s="9"/>
      <c r="O860" s="9"/>
      <c r="P860" s="9"/>
      <c r="Q860" s="47"/>
      <c r="R860" s="47"/>
      <c r="S860" s="47"/>
      <c r="T860" s="47"/>
      <c r="U860" s="47"/>
      <c r="V860" s="47"/>
      <c r="W860" s="47"/>
      <c r="X860" s="47"/>
      <c r="Y860" s="47"/>
      <c r="Z860" s="47"/>
      <c r="AA860" s="47"/>
      <c r="AB860" s="47"/>
      <c r="AC860" s="47"/>
      <c r="AD860" s="47"/>
      <c r="AE860" s="47"/>
      <c r="AF860" s="47"/>
      <c r="AG860" s="47"/>
      <c r="AH860" s="47"/>
      <c r="AI860" s="47"/>
      <c r="AJ860" s="47"/>
      <c r="AK860" s="47"/>
      <c r="AL860" s="47"/>
      <c r="AM860" s="47"/>
      <c r="AN860" s="47"/>
      <c r="AO860" s="47"/>
      <c r="AP860" s="47"/>
      <c r="AQ860" s="47"/>
      <c r="AR860" s="47"/>
      <c r="AS860" s="47"/>
      <c r="AT860" s="47"/>
      <c r="AU860" s="47"/>
      <c r="AV860" s="47"/>
      <c r="AW860" s="47"/>
      <c r="AX860" s="47"/>
      <c r="AY860" s="47"/>
      <c r="AZ860" s="532"/>
    </row>
    <row r="861" spans="1:52" ht="15.75" customHeight="1">
      <c r="A861" s="500"/>
      <c r="B861" s="477"/>
      <c r="C861" s="481"/>
      <c r="D861" s="47"/>
      <c r="E861" s="47"/>
      <c r="F861" s="478"/>
      <c r="G861" s="479"/>
      <c r="H861" s="9"/>
      <c r="I861" s="9"/>
      <c r="J861" s="505"/>
      <c r="K861" s="47"/>
      <c r="L861" s="47"/>
      <c r="M861" s="47"/>
      <c r="N861" s="9"/>
      <c r="O861" s="9"/>
      <c r="P861" s="9"/>
      <c r="Q861" s="47"/>
      <c r="R861" s="47"/>
      <c r="S861" s="47"/>
      <c r="T861" s="47"/>
      <c r="U861" s="47"/>
      <c r="V861" s="47"/>
      <c r="W861" s="47"/>
      <c r="X861" s="47"/>
      <c r="Y861" s="47"/>
      <c r="Z861" s="47"/>
      <c r="AA861" s="47"/>
      <c r="AB861" s="47"/>
      <c r="AC861" s="47"/>
      <c r="AD861" s="47"/>
      <c r="AE861" s="47"/>
      <c r="AF861" s="47"/>
      <c r="AG861" s="47"/>
      <c r="AH861" s="47"/>
      <c r="AI861" s="47"/>
      <c r="AJ861" s="47"/>
      <c r="AK861" s="47"/>
      <c r="AL861" s="47"/>
      <c r="AM861" s="47"/>
      <c r="AN861" s="47"/>
      <c r="AO861" s="47"/>
      <c r="AP861" s="47"/>
      <c r="AQ861" s="47"/>
      <c r="AR861" s="47"/>
      <c r="AS861" s="47"/>
      <c r="AT861" s="47"/>
      <c r="AU861" s="47"/>
      <c r="AV861" s="47"/>
      <c r="AW861" s="47"/>
      <c r="AX861" s="47"/>
      <c r="AY861" s="47"/>
      <c r="AZ861" s="532"/>
    </row>
    <row r="862" spans="1:52" ht="15.75" customHeight="1">
      <c r="A862" s="500"/>
      <c r="B862" s="477"/>
      <c r="C862" s="481"/>
      <c r="D862" s="47"/>
      <c r="E862" s="47"/>
      <c r="F862" s="478"/>
      <c r="G862" s="479"/>
      <c r="H862" s="9"/>
      <c r="I862" s="9"/>
      <c r="J862" s="505"/>
      <c r="K862" s="47"/>
      <c r="L862" s="47"/>
      <c r="M862" s="47"/>
      <c r="N862" s="9"/>
      <c r="O862" s="9"/>
      <c r="P862" s="9"/>
      <c r="Q862" s="47"/>
      <c r="R862" s="47"/>
      <c r="S862" s="47"/>
      <c r="T862" s="47"/>
      <c r="U862" s="47"/>
      <c r="V862" s="47"/>
      <c r="W862" s="47"/>
      <c r="X862" s="47"/>
      <c r="Y862" s="47"/>
      <c r="Z862" s="47"/>
      <c r="AA862" s="47"/>
      <c r="AB862" s="47"/>
      <c r="AC862" s="47"/>
      <c r="AD862" s="47"/>
      <c r="AE862" s="47"/>
      <c r="AF862" s="47"/>
      <c r="AG862" s="47"/>
      <c r="AH862" s="47"/>
      <c r="AI862" s="47"/>
      <c r="AJ862" s="47"/>
      <c r="AK862" s="47"/>
      <c r="AL862" s="47"/>
      <c r="AM862" s="47"/>
      <c r="AN862" s="47"/>
      <c r="AO862" s="47"/>
      <c r="AP862" s="47"/>
      <c r="AQ862" s="47"/>
      <c r="AR862" s="47"/>
      <c r="AS862" s="47"/>
      <c r="AT862" s="47"/>
      <c r="AU862" s="47"/>
      <c r="AV862" s="47"/>
      <c r="AW862" s="47"/>
      <c r="AX862" s="47"/>
      <c r="AY862" s="47"/>
      <c r="AZ862" s="532"/>
    </row>
    <row r="863" spans="1:52" ht="15.75" customHeight="1">
      <c r="A863" s="500"/>
      <c r="B863" s="477"/>
      <c r="C863" s="481"/>
      <c r="D863" s="47"/>
      <c r="E863" s="47"/>
      <c r="F863" s="478"/>
      <c r="G863" s="479"/>
      <c r="H863" s="9"/>
      <c r="I863" s="9"/>
      <c r="J863" s="505"/>
      <c r="K863" s="47"/>
      <c r="L863" s="47"/>
      <c r="M863" s="47"/>
      <c r="N863" s="9"/>
      <c r="O863" s="9"/>
      <c r="P863" s="9"/>
      <c r="Q863" s="47"/>
      <c r="R863" s="47"/>
      <c r="S863" s="47"/>
      <c r="T863" s="47"/>
      <c r="U863" s="47"/>
      <c r="V863" s="47"/>
      <c r="W863" s="47"/>
      <c r="X863" s="47"/>
      <c r="Y863" s="47"/>
      <c r="Z863" s="47"/>
      <c r="AA863" s="47"/>
      <c r="AB863" s="47"/>
      <c r="AC863" s="47"/>
      <c r="AD863" s="47"/>
      <c r="AE863" s="47"/>
      <c r="AF863" s="47"/>
      <c r="AG863" s="47"/>
      <c r="AH863" s="47"/>
      <c r="AI863" s="47"/>
      <c r="AJ863" s="47"/>
      <c r="AK863" s="47"/>
      <c r="AL863" s="47"/>
      <c r="AM863" s="47"/>
      <c r="AN863" s="47"/>
      <c r="AO863" s="47"/>
      <c r="AP863" s="47"/>
      <c r="AQ863" s="47"/>
      <c r="AR863" s="47"/>
      <c r="AS863" s="47"/>
      <c r="AT863" s="47"/>
      <c r="AU863" s="47"/>
      <c r="AV863" s="47"/>
      <c r="AW863" s="47"/>
      <c r="AX863" s="47"/>
      <c r="AY863" s="47"/>
      <c r="AZ863" s="532"/>
    </row>
    <row r="864" spans="1:52" ht="15.75" customHeight="1">
      <c r="A864" s="500"/>
      <c r="B864" s="477"/>
      <c r="C864" s="481"/>
      <c r="D864" s="47"/>
      <c r="E864" s="47"/>
      <c r="F864" s="478"/>
      <c r="G864" s="479"/>
      <c r="H864" s="9"/>
      <c r="I864" s="9"/>
      <c r="J864" s="505"/>
      <c r="K864" s="47"/>
      <c r="L864" s="47"/>
      <c r="M864" s="47"/>
      <c r="N864" s="9"/>
      <c r="O864" s="9"/>
      <c r="P864" s="9"/>
      <c r="Q864" s="47"/>
      <c r="R864" s="47"/>
      <c r="S864" s="47"/>
      <c r="T864" s="47"/>
      <c r="U864" s="47"/>
      <c r="V864" s="47"/>
      <c r="W864" s="47"/>
      <c r="X864" s="47"/>
      <c r="Y864" s="47"/>
      <c r="Z864" s="47"/>
      <c r="AA864" s="47"/>
      <c r="AB864" s="47"/>
      <c r="AC864" s="47"/>
      <c r="AD864" s="47"/>
      <c r="AE864" s="47"/>
      <c r="AF864" s="47"/>
      <c r="AG864" s="47"/>
      <c r="AH864" s="47"/>
      <c r="AI864" s="47"/>
      <c r="AJ864" s="47"/>
      <c r="AK864" s="47"/>
      <c r="AL864" s="47"/>
      <c r="AM864" s="47"/>
      <c r="AN864" s="47"/>
      <c r="AO864" s="47"/>
      <c r="AP864" s="47"/>
      <c r="AQ864" s="47"/>
      <c r="AR864" s="47"/>
      <c r="AS864" s="47"/>
      <c r="AT864" s="47"/>
      <c r="AU864" s="47"/>
      <c r="AV864" s="47"/>
      <c r="AW864" s="47"/>
      <c r="AX864" s="47"/>
      <c r="AY864" s="47"/>
      <c r="AZ864" s="532"/>
    </row>
    <row r="865" spans="1:52" ht="15.75" customHeight="1">
      <c r="A865" s="500"/>
      <c r="B865" s="477"/>
      <c r="C865" s="481"/>
      <c r="D865" s="47"/>
      <c r="E865" s="47"/>
      <c r="F865" s="478"/>
      <c r="G865" s="479"/>
      <c r="H865" s="9"/>
      <c r="I865" s="10"/>
      <c r="J865" s="505"/>
      <c r="K865" s="47"/>
      <c r="L865" s="47"/>
      <c r="M865" s="47"/>
      <c r="N865" s="9"/>
      <c r="O865" s="9"/>
      <c r="P865" s="9"/>
      <c r="Q865" s="47"/>
      <c r="R865" s="47"/>
      <c r="S865" s="47"/>
      <c r="T865" s="47"/>
      <c r="U865" s="47"/>
      <c r="V865" s="47"/>
      <c r="W865" s="47"/>
      <c r="X865" s="47"/>
      <c r="Y865" s="47"/>
      <c r="Z865" s="47"/>
      <c r="AA865" s="47"/>
      <c r="AB865" s="47"/>
      <c r="AC865" s="47"/>
      <c r="AD865" s="47"/>
      <c r="AE865" s="47"/>
      <c r="AF865" s="47"/>
      <c r="AG865" s="47"/>
      <c r="AH865" s="47"/>
      <c r="AI865" s="47"/>
      <c r="AJ865" s="47"/>
      <c r="AK865" s="47"/>
      <c r="AL865" s="47"/>
      <c r="AM865" s="47"/>
      <c r="AN865" s="47"/>
      <c r="AO865" s="47"/>
      <c r="AP865" s="47"/>
      <c r="AQ865" s="47"/>
      <c r="AR865" s="47"/>
      <c r="AS865" s="47"/>
      <c r="AT865" s="47"/>
      <c r="AU865" s="47"/>
      <c r="AV865" s="47"/>
      <c r="AW865" s="47"/>
      <c r="AX865" s="47"/>
      <c r="AY865" s="47"/>
      <c r="AZ865" s="532"/>
    </row>
    <row r="866" spans="1:52" ht="15.75" customHeight="1">
      <c r="A866" s="500"/>
      <c r="B866" s="477"/>
      <c r="C866" s="481"/>
      <c r="D866" s="47"/>
      <c r="E866" s="47"/>
      <c r="F866" s="478"/>
      <c r="G866" s="479"/>
      <c r="H866" s="9"/>
      <c r="I866" s="9"/>
      <c r="J866" s="505"/>
      <c r="K866" s="47"/>
      <c r="L866" s="47"/>
      <c r="M866" s="47"/>
      <c r="N866" s="9"/>
      <c r="O866" s="9"/>
      <c r="P866" s="9"/>
      <c r="Q866" s="47"/>
      <c r="R866" s="47"/>
      <c r="S866" s="47"/>
      <c r="T866" s="47"/>
      <c r="U866" s="47"/>
      <c r="V866" s="47"/>
      <c r="W866" s="47"/>
      <c r="X866" s="47"/>
      <c r="Y866" s="47"/>
      <c r="Z866" s="47"/>
      <c r="AA866" s="47"/>
      <c r="AB866" s="47"/>
      <c r="AC866" s="47"/>
      <c r="AD866" s="47"/>
      <c r="AE866" s="47"/>
      <c r="AF866" s="47"/>
      <c r="AG866" s="47"/>
      <c r="AH866" s="47"/>
      <c r="AI866" s="47"/>
      <c r="AJ866" s="47"/>
      <c r="AK866" s="47"/>
      <c r="AL866" s="47"/>
      <c r="AM866" s="47"/>
      <c r="AN866" s="47"/>
      <c r="AO866" s="47"/>
      <c r="AP866" s="47"/>
      <c r="AQ866" s="47"/>
      <c r="AR866" s="47"/>
      <c r="AS866" s="47"/>
      <c r="AT866" s="47"/>
      <c r="AU866" s="47"/>
      <c r="AV866" s="47"/>
      <c r="AW866" s="47"/>
      <c r="AX866" s="47"/>
      <c r="AY866" s="47"/>
      <c r="AZ866" s="532"/>
    </row>
    <row r="867" spans="1:52" ht="15.75" customHeight="1">
      <c r="A867" s="500"/>
      <c r="B867" s="477"/>
      <c r="C867" s="481"/>
      <c r="D867" s="47"/>
      <c r="E867" s="47"/>
      <c r="F867" s="478"/>
      <c r="G867" s="479"/>
      <c r="H867" s="9"/>
      <c r="I867" s="10"/>
      <c r="J867" s="505"/>
      <c r="K867" s="47"/>
      <c r="L867" s="47"/>
      <c r="M867" s="47"/>
      <c r="N867" s="9"/>
      <c r="O867" s="9"/>
      <c r="P867" s="9"/>
      <c r="Q867" s="47"/>
      <c r="R867" s="47"/>
      <c r="S867" s="47"/>
      <c r="T867" s="47"/>
      <c r="U867" s="47"/>
      <c r="V867" s="47"/>
      <c r="W867" s="47"/>
      <c r="X867" s="47"/>
      <c r="Y867" s="47"/>
      <c r="Z867" s="47"/>
      <c r="AA867" s="47"/>
      <c r="AB867" s="47"/>
      <c r="AC867" s="47"/>
      <c r="AD867" s="47"/>
      <c r="AE867" s="47"/>
      <c r="AF867" s="47"/>
      <c r="AG867" s="47"/>
      <c r="AH867" s="47"/>
      <c r="AI867" s="47"/>
      <c r="AJ867" s="47"/>
      <c r="AK867" s="47"/>
      <c r="AL867" s="47"/>
      <c r="AM867" s="47"/>
      <c r="AN867" s="47"/>
      <c r="AO867" s="47"/>
      <c r="AP867" s="47"/>
      <c r="AQ867" s="47"/>
      <c r="AR867" s="47"/>
      <c r="AS867" s="47"/>
      <c r="AT867" s="47"/>
      <c r="AU867" s="47"/>
      <c r="AV867" s="47"/>
      <c r="AW867" s="47"/>
      <c r="AX867" s="47"/>
      <c r="AY867" s="47"/>
      <c r="AZ867" s="532"/>
    </row>
    <row r="868" spans="1:52" ht="15.75" customHeight="1">
      <c r="A868" s="500"/>
      <c r="B868" s="477"/>
      <c r="C868" s="481"/>
      <c r="D868" s="47"/>
      <c r="E868" s="47"/>
      <c r="F868" s="478"/>
      <c r="G868" s="479"/>
      <c r="H868" s="9"/>
      <c r="I868" s="9"/>
      <c r="J868" s="505"/>
      <c r="K868" s="47"/>
      <c r="L868" s="47"/>
      <c r="M868" s="47"/>
      <c r="N868" s="9"/>
      <c r="O868" s="9"/>
      <c r="P868" s="9"/>
      <c r="Q868" s="47"/>
      <c r="R868" s="47"/>
      <c r="S868" s="47"/>
      <c r="T868" s="47"/>
      <c r="U868" s="47"/>
      <c r="V868" s="47"/>
      <c r="W868" s="47"/>
      <c r="X868" s="47"/>
      <c r="Y868" s="47"/>
      <c r="Z868" s="47"/>
      <c r="AA868" s="47"/>
      <c r="AB868" s="47"/>
      <c r="AC868" s="47"/>
      <c r="AD868" s="47"/>
      <c r="AE868" s="47"/>
      <c r="AF868" s="47"/>
      <c r="AG868" s="47"/>
      <c r="AH868" s="47"/>
      <c r="AI868" s="47"/>
      <c r="AJ868" s="47"/>
      <c r="AK868" s="47"/>
      <c r="AL868" s="47"/>
      <c r="AM868" s="47"/>
      <c r="AN868" s="47"/>
      <c r="AO868" s="47"/>
      <c r="AP868" s="47"/>
      <c r="AQ868" s="47"/>
      <c r="AR868" s="47"/>
      <c r="AS868" s="47"/>
      <c r="AT868" s="47"/>
      <c r="AU868" s="47"/>
      <c r="AV868" s="47"/>
      <c r="AW868" s="47"/>
      <c r="AX868" s="47"/>
      <c r="AY868" s="47"/>
      <c r="AZ868" s="532"/>
    </row>
    <row r="869" spans="1:52" ht="15.75" customHeight="1">
      <c r="A869" s="500"/>
      <c r="B869" s="477"/>
      <c r="C869" s="481"/>
      <c r="D869" s="47"/>
      <c r="E869" s="47"/>
      <c r="F869" s="478"/>
      <c r="G869" s="479"/>
      <c r="H869" s="9"/>
      <c r="I869" s="10"/>
      <c r="J869" s="505"/>
      <c r="K869" s="47"/>
      <c r="L869" s="47"/>
      <c r="M869" s="47"/>
      <c r="N869" s="9"/>
      <c r="O869" s="9"/>
      <c r="P869" s="8"/>
      <c r="Q869" s="47"/>
      <c r="R869" s="47"/>
      <c r="S869" s="47"/>
      <c r="T869" s="47"/>
      <c r="U869" s="47"/>
      <c r="V869" s="47"/>
      <c r="W869" s="47"/>
      <c r="X869" s="47"/>
      <c r="Y869" s="47"/>
      <c r="Z869" s="47"/>
      <c r="AA869" s="47"/>
      <c r="AB869" s="47"/>
      <c r="AC869" s="47"/>
      <c r="AD869" s="47"/>
      <c r="AE869" s="47"/>
      <c r="AF869" s="47"/>
      <c r="AG869" s="47"/>
      <c r="AH869" s="47"/>
      <c r="AI869" s="47"/>
      <c r="AJ869" s="47"/>
      <c r="AK869" s="47"/>
      <c r="AL869" s="47"/>
      <c r="AM869" s="47"/>
      <c r="AN869" s="47"/>
      <c r="AO869" s="47"/>
      <c r="AP869" s="47"/>
      <c r="AQ869" s="47"/>
      <c r="AR869" s="47"/>
      <c r="AS869" s="47"/>
      <c r="AT869" s="47"/>
      <c r="AU869" s="47"/>
      <c r="AV869" s="47"/>
      <c r="AW869" s="47"/>
      <c r="AX869" s="47"/>
      <c r="AY869" s="47"/>
      <c r="AZ869" s="532"/>
    </row>
    <row r="870" spans="1:52" ht="15.75" customHeight="1">
      <c r="A870" s="500"/>
      <c r="B870" s="477"/>
      <c r="C870" s="481"/>
      <c r="D870" s="47"/>
      <c r="E870" s="47"/>
      <c r="F870" s="478"/>
      <c r="G870" s="479"/>
      <c r="H870" s="9"/>
      <c r="I870" s="9"/>
      <c r="J870" s="505"/>
      <c r="K870" s="47"/>
      <c r="L870" s="47"/>
      <c r="M870" s="47"/>
      <c r="N870" s="9"/>
      <c r="O870" s="9"/>
      <c r="P870" s="8"/>
      <c r="Q870" s="47"/>
      <c r="R870" s="47"/>
      <c r="S870" s="47"/>
      <c r="T870" s="47"/>
      <c r="U870" s="47"/>
      <c r="V870" s="47"/>
      <c r="W870" s="47"/>
      <c r="X870" s="47"/>
      <c r="Y870" s="47"/>
      <c r="Z870" s="47"/>
      <c r="AA870" s="47"/>
      <c r="AB870" s="47"/>
      <c r="AC870" s="47"/>
      <c r="AD870" s="47"/>
      <c r="AE870" s="47"/>
      <c r="AF870" s="47"/>
      <c r="AG870" s="47"/>
      <c r="AH870" s="47"/>
      <c r="AI870" s="47"/>
      <c r="AJ870" s="47"/>
      <c r="AK870" s="47"/>
      <c r="AL870" s="47"/>
      <c r="AM870" s="47"/>
      <c r="AN870" s="47"/>
      <c r="AO870" s="47"/>
      <c r="AP870" s="47"/>
      <c r="AQ870" s="47"/>
      <c r="AR870" s="47"/>
      <c r="AS870" s="47"/>
      <c r="AT870" s="47"/>
      <c r="AU870" s="47"/>
      <c r="AV870" s="47"/>
      <c r="AW870" s="47"/>
      <c r="AX870" s="47"/>
      <c r="AY870" s="47"/>
      <c r="AZ870" s="532"/>
    </row>
    <row r="871" spans="1:52" ht="15.75" customHeight="1">
      <c r="A871" s="500"/>
      <c r="B871" s="477"/>
      <c r="C871" s="481"/>
      <c r="D871" s="47"/>
      <c r="E871" s="47"/>
      <c r="F871" s="478"/>
      <c r="G871" s="479"/>
      <c r="H871" s="9"/>
      <c r="I871" s="9"/>
      <c r="J871" s="505"/>
      <c r="K871" s="47"/>
      <c r="L871" s="47"/>
      <c r="M871" s="47"/>
      <c r="N871" s="9"/>
      <c r="O871" s="9"/>
      <c r="P871" s="8"/>
      <c r="Q871" s="47"/>
      <c r="R871" s="47"/>
      <c r="S871" s="47"/>
      <c r="T871" s="47"/>
      <c r="U871" s="47"/>
      <c r="V871" s="47"/>
      <c r="W871" s="47"/>
      <c r="X871" s="47"/>
      <c r="Y871" s="47"/>
      <c r="Z871" s="47"/>
      <c r="AA871" s="47"/>
      <c r="AB871" s="47"/>
      <c r="AC871" s="47"/>
      <c r="AD871" s="47"/>
      <c r="AE871" s="47"/>
      <c r="AF871" s="47"/>
      <c r="AG871" s="47"/>
      <c r="AH871" s="47"/>
      <c r="AI871" s="47"/>
      <c r="AJ871" s="47"/>
      <c r="AK871" s="47"/>
      <c r="AL871" s="47"/>
      <c r="AM871" s="47"/>
      <c r="AN871" s="47"/>
      <c r="AO871" s="47"/>
      <c r="AP871" s="47"/>
      <c r="AQ871" s="47"/>
      <c r="AR871" s="47"/>
      <c r="AS871" s="47"/>
      <c r="AT871" s="47"/>
      <c r="AU871" s="47"/>
      <c r="AV871" s="47"/>
      <c r="AW871" s="47"/>
      <c r="AX871" s="47"/>
      <c r="AY871" s="47"/>
      <c r="AZ871" s="532"/>
    </row>
    <row r="872" spans="1:52" ht="15.75" customHeight="1">
      <c r="A872" s="500"/>
      <c r="B872" s="477"/>
      <c r="C872" s="481"/>
      <c r="D872" s="47"/>
      <c r="E872" s="47"/>
      <c r="F872" s="478"/>
      <c r="G872" s="479"/>
      <c r="H872" s="9"/>
      <c r="I872" s="9"/>
      <c r="J872" s="505"/>
      <c r="K872" s="47"/>
      <c r="L872" s="47"/>
      <c r="M872" s="47"/>
      <c r="N872" s="9"/>
      <c r="O872" s="9"/>
      <c r="P872" s="9"/>
      <c r="Q872" s="47"/>
      <c r="R872" s="47"/>
      <c r="S872" s="47"/>
      <c r="T872" s="47"/>
      <c r="U872" s="47"/>
      <c r="V872" s="47"/>
      <c r="W872" s="47"/>
      <c r="X872" s="47"/>
      <c r="Y872" s="47"/>
      <c r="Z872" s="47"/>
      <c r="AA872" s="47"/>
      <c r="AB872" s="47"/>
      <c r="AC872" s="47"/>
      <c r="AD872" s="47"/>
      <c r="AE872" s="47"/>
      <c r="AF872" s="47"/>
      <c r="AG872" s="47"/>
      <c r="AH872" s="47"/>
      <c r="AI872" s="47"/>
      <c r="AJ872" s="47"/>
      <c r="AK872" s="47"/>
      <c r="AL872" s="47"/>
      <c r="AM872" s="47"/>
      <c r="AN872" s="47"/>
      <c r="AO872" s="47"/>
      <c r="AP872" s="47"/>
      <c r="AQ872" s="47"/>
      <c r="AR872" s="47"/>
      <c r="AS872" s="47"/>
      <c r="AT872" s="47"/>
      <c r="AU872" s="47"/>
      <c r="AV872" s="47"/>
      <c r="AW872" s="47"/>
      <c r="AX872" s="47"/>
      <c r="AY872" s="47"/>
      <c r="AZ872" s="532"/>
    </row>
    <row r="873" spans="1:52" ht="15.75" customHeight="1">
      <c r="A873" s="500"/>
      <c r="B873" s="477"/>
      <c r="C873" s="481"/>
      <c r="D873" s="47"/>
      <c r="E873" s="47"/>
      <c r="F873" s="478"/>
      <c r="G873" s="479"/>
      <c r="H873" s="9"/>
      <c r="I873" s="9"/>
      <c r="J873" s="505"/>
      <c r="K873" s="47"/>
      <c r="L873" s="47"/>
      <c r="M873" s="47"/>
      <c r="N873" s="9"/>
      <c r="O873" s="9"/>
      <c r="P873" s="9"/>
      <c r="Q873" s="47"/>
      <c r="R873" s="47"/>
      <c r="S873" s="47"/>
      <c r="T873" s="47"/>
      <c r="U873" s="47"/>
      <c r="V873" s="47"/>
      <c r="W873" s="47"/>
      <c r="X873" s="47"/>
      <c r="Y873" s="47"/>
      <c r="Z873" s="47"/>
      <c r="AA873" s="47"/>
      <c r="AB873" s="47"/>
      <c r="AC873" s="47"/>
      <c r="AD873" s="47"/>
      <c r="AE873" s="47"/>
      <c r="AF873" s="47"/>
      <c r="AG873" s="47"/>
      <c r="AH873" s="47"/>
      <c r="AI873" s="47"/>
      <c r="AJ873" s="47"/>
      <c r="AK873" s="47"/>
      <c r="AL873" s="47"/>
      <c r="AM873" s="47"/>
      <c r="AN873" s="47"/>
      <c r="AO873" s="47"/>
      <c r="AP873" s="47"/>
      <c r="AQ873" s="47"/>
      <c r="AR873" s="47"/>
      <c r="AS873" s="47"/>
      <c r="AT873" s="47"/>
      <c r="AU873" s="47"/>
      <c r="AV873" s="47"/>
      <c r="AW873" s="47"/>
      <c r="AX873" s="47"/>
      <c r="AY873" s="47"/>
      <c r="AZ873" s="532"/>
    </row>
    <row r="874" spans="1:52" ht="15.75" customHeight="1">
      <c r="A874" s="500"/>
      <c r="B874" s="477"/>
      <c r="C874" s="481"/>
      <c r="D874" s="47"/>
      <c r="E874" s="47"/>
      <c r="F874" s="478"/>
      <c r="G874" s="479"/>
      <c r="H874" s="9"/>
      <c r="I874" s="9"/>
      <c r="J874" s="505"/>
      <c r="K874" s="47"/>
      <c r="L874" s="47"/>
      <c r="M874" s="47"/>
      <c r="N874" s="9"/>
      <c r="O874" s="9"/>
      <c r="P874" s="9"/>
      <c r="Q874" s="47"/>
      <c r="R874" s="47"/>
      <c r="S874" s="47"/>
      <c r="T874" s="47"/>
      <c r="U874" s="47"/>
      <c r="V874" s="47"/>
      <c r="W874" s="47"/>
      <c r="X874" s="47"/>
      <c r="Y874" s="47"/>
      <c r="Z874" s="47"/>
      <c r="AA874" s="47"/>
      <c r="AB874" s="47"/>
      <c r="AC874" s="47"/>
      <c r="AD874" s="47"/>
      <c r="AE874" s="47"/>
      <c r="AF874" s="47"/>
      <c r="AG874" s="47"/>
      <c r="AH874" s="47"/>
      <c r="AI874" s="47"/>
      <c r="AJ874" s="47"/>
      <c r="AK874" s="47"/>
      <c r="AL874" s="47"/>
      <c r="AM874" s="47"/>
      <c r="AN874" s="47"/>
      <c r="AO874" s="47"/>
      <c r="AP874" s="47"/>
      <c r="AQ874" s="47"/>
      <c r="AR874" s="47"/>
      <c r="AS874" s="47"/>
      <c r="AT874" s="47"/>
      <c r="AU874" s="47"/>
      <c r="AV874" s="47"/>
      <c r="AW874" s="47"/>
      <c r="AX874" s="47"/>
      <c r="AY874" s="47"/>
      <c r="AZ874" s="532"/>
    </row>
    <row r="875" spans="1:52" ht="15.75" customHeight="1">
      <c r="A875" s="500"/>
      <c r="B875" s="477"/>
      <c r="C875" s="481"/>
      <c r="D875" s="47"/>
      <c r="E875" s="47"/>
      <c r="F875" s="478"/>
      <c r="G875" s="479"/>
      <c r="H875" s="9"/>
      <c r="I875" s="9"/>
      <c r="J875" s="505"/>
      <c r="K875" s="47"/>
      <c r="L875" s="47"/>
      <c r="M875" s="47"/>
      <c r="N875" s="9"/>
      <c r="O875" s="9"/>
      <c r="P875" s="9"/>
      <c r="Q875" s="47"/>
      <c r="R875" s="47"/>
      <c r="S875" s="47"/>
      <c r="T875" s="47"/>
      <c r="U875" s="47"/>
      <c r="V875" s="47"/>
      <c r="W875" s="47"/>
      <c r="X875" s="47"/>
      <c r="Y875" s="47"/>
      <c r="Z875" s="47"/>
      <c r="AA875" s="47"/>
      <c r="AB875" s="47"/>
      <c r="AC875" s="47"/>
      <c r="AD875" s="47"/>
      <c r="AE875" s="47"/>
      <c r="AF875" s="47"/>
      <c r="AG875" s="47"/>
      <c r="AH875" s="47"/>
      <c r="AI875" s="47"/>
      <c r="AJ875" s="47"/>
      <c r="AK875" s="47"/>
      <c r="AL875" s="47"/>
      <c r="AM875" s="47"/>
      <c r="AN875" s="47"/>
      <c r="AO875" s="47"/>
      <c r="AP875" s="47"/>
      <c r="AQ875" s="47"/>
      <c r="AR875" s="47"/>
      <c r="AS875" s="47"/>
      <c r="AT875" s="47"/>
      <c r="AU875" s="47"/>
      <c r="AV875" s="47"/>
      <c r="AW875" s="47"/>
      <c r="AX875" s="47"/>
      <c r="AY875" s="47"/>
      <c r="AZ875" s="532"/>
    </row>
    <row r="876" spans="1:52" ht="15.75" customHeight="1">
      <c r="A876" s="500"/>
      <c r="B876" s="477"/>
      <c r="C876" s="481"/>
      <c r="D876" s="47"/>
      <c r="E876" s="47"/>
      <c r="F876" s="478"/>
      <c r="G876" s="479"/>
      <c r="H876" s="9"/>
      <c r="I876" s="9"/>
      <c r="J876" s="505"/>
      <c r="K876" s="47"/>
      <c r="L876" s="47"/>
      <c r="M876" s="47"/>
      <c r="N876" s="9"/>
      <c r="O876" s="9"/>
      <c r="P876" s="9"/>
      <c r="Q876" s="47"/>
      <c r="R876" s="47"/>
      <c r="S876" s="47"/>
      <c r="T876" s="47"/>
      <c r="U876" s="47"/>
      <c r="V876" s="47"/>
      <c r="W876" s="47"/>
      <c r="X876" s="47"/>
      <c r="Y876" s="47"/>
      <c r="Z876" s="47"/>
      <c r="AA876" s="47"/>
      <c r="AB876" s="47"/>
      <c r="AC876" s="47"/>
      <c r="AD876" s="47"/>
      <c r="AE876" s="47"/>
      <c r="AF876" s="47"/>
      <c r="AG876" s="47"/>
      <c r="AH876" s="47"/>
      <c r="AI876" s="47"/>
      <c r="AJ876" s="47"/>
      <c r="AK876" s="47"/>
      <c r="AL876" s="47"/>
      <c r="AM876" s="47"/>
      <c r="AN876" s="47"/>
      <c r="AO876" s="47"/>
      <c r="AP876" s="47"/>
      <c r="AQ876" s="47"/>
      <c r="AR876" s="47"/>
      <c r="AS876" s="47"/>
      <c r="AT876" s="47"/>
      <c r="AU876" s="47"/>
      <c r="AV876" s="47"/>
      <c r="AW876" s="47"/>
      <c r="AX876" s="47"/>
      <c r="AY876" s="47"/>
      <c r="AZ876" s="532"/>
    </row>
    <row r="877" spans="1:52" ht="15.75" customHeight="1">
      <c r="A877" s="500"/>
      <c r="B877" s="477"/>
      <c r="C877" s="481"/>
      <c r="D877" s="47"/>
      <c r="E877" s="47"/>
      <c r="F877" s="478"/>
      <c r="G877" s="479"/>
      <c r="H877" s="9"/>
      <c r="I877" s="9"/>
      <c r="J877" s="505"/>
      <c r="K877" s="47"/>
      <c r="L877" s="47"/>
      <c r="M877" s="47"/>
      <c r="N877" s="9"/>
      <c r="O877" s="9"/>
      <c r="P877" s="9"/>
      <c r="Q877" s="47"/>
      <c r="R877" s="47"/>
      <c r="S877" s="47"/>
      <c r="T877" s="47"/>
      <c r="U877" s="47"/>
      <c r="V877" s="47"/>
      <c r="W877" s="47"/>
      <c r="X877" s="47"/>
      <c r="Y877" s="47"/>
      <c r="Z877" s="47"/>
      <c r="AA877" s="47"/>
      <c r="AB877" s="47"/>
      <c r="AC877" s="47"/>
      <c r="AD877" s="47"/>
      <c r="AE877" s="47"/>
      <c r="AF877" s="47"/>
      <c r="AG877" s="47"/>
      <c r="AH877" s="47"/>
      <c r="AI877" s="47"/>
      <c r="AJ877" s="47"/>
      <c r="AK877" s="47"/>
      <c r="AL877" s="47"/>
      <c r="AM877" s="47"/>
      <c r="AN877" s="47"/>
      <c r="AO877" s="47"/>
      <c r="AP877" s="47"/>
      <c r="AQ877" s="47"/>
      <c r="AR877" s="47"/>
      <c r="AS877" s="47"/>
      <c r="AT877" s="47"/>
      <c r="AU877" s="47"/>
      <c r="AV877" s="47"/>
      <c r="AW877" s="47"/>
      <c r="AX877" s="47"/>
      <c r="AY877" s="47"/>
      <c r="AZ877" s="532"/>
    </row>
    <row r="878" spans="1:52" ht="15.75" customHeight="1">
      <c r="A878" s="500"/>
      <c r="B878" s="477"/>
      <c r="C878" s="481"/>
      <c r="D878" s="47"/>
      <c r="E878" s="47"/>
      <c r="F878" s="478"/>
      <c r="G878" s="479"/>
      <c r="H878" s="9"/>
      <c r="I878" s="9"/>
      <c r="J878" s="505"/>
      <c r="K878" s="47"/>
      <c r="L878" s="47"/>
      <c r="M878" s="47"/>
      <c r="N878" s="9"/>
      <c r="O878" s="9"/>
      <c r="P878" s="9"/>
      <c r="Q878" s="47"/>
      <c r="R878" s="47"/>
      <c r="S878" s="47"/>
      <c r="T878" s="47"/>
      <c r="U878" s="47"/>
      <c r="V878" s="47"/>
      <c r="W878" s="47"/>
      <c r="X878" s="47"/>
      <c r="Y878" s="47"/>
      <c r="Z878" s="47"/>
      <c r="AA878" s="47"/>
      <c r="AB878" s="47"/>
      <c r="AC878" s="47"/>
      <c r="AD878" s="47"/>
      <c r="AE878" s="47"/>
      <c r="AF878" s="47"/>
      <c r="AG878" s="47"/>
      <c r="AH878" s="47"/>
      <c r="AI878" s="47"/>
      <c r="AJ878" s="47"/>
      <c r="AK878" s="47"/>
      <c r="AL878" s="47"/>
      <c r="AM878" s="47"/>
      <c r="AN878" s="47"/>
      <c r="AO878" s="47"/>
      <c r="AP878" s="47"/>
      <c r="AQ878" s="47"/>
      <c r="AR878" s="47"/>
      <c r="AS878" s="47"/>
      <c r="AT878" s="47"/>
      <c r="AU878" s="47"/>
      <c r="AV878" s="47"/>
      <c r="AW878" s="47"/>
      <c r="AX878" s="47"/>
      <c r="AY878" s="47"/>
      <c r="AZ878" s="532"/>
    </row>
    <row r="879" spans="1:52" ht="15.75" customHeight="1">
      <c r="A879" s="500"/>
      <c r="B879" s="477"/>
      <c r="C879" s="481"/>
      <c r="D879" s="47"/>
      <c r="E879" s="47"/>
      <c r="F879" s="478"/>
      <c r="G879" s="479"/>
      <c r="H879" s="9"/>
      <c r="I879" s="9"/>
      <c r="J879" s="505"/>
      <c r="K879" s="47"/>
      <c r="L879" s="47"/>
      <c r="M879" s="47"/>
      <c r="N879" s="9"/>
      <c r="O879" s="9"/>
      <c r="P879" s="9"/>
      <c r="Q879" s="47"/>
      <c r="R879" s="47"/>
      <c r="S879" s="47"/>
      <c r="T879" s="47"/>
      <c r="U879" s="47"/>
      <c r="V879" s="47"/>
      <c r="W879" s="47"/>
      <c r="X879" s="47"/>
      <c r="Y879" s="47"/>
      <c r="Z879" s="47"/>
      <c r="AA879" s="47"/>
      <c r="AB879" s="47"/>
      <c r="AC879" s="47"/>
      <c r="AD879" s="47"/>
      <c r="AE879" s="47"/>
      <c r="AF879" s="47"/>
      <c r="AG879" s="47"/>
      <c r="AH879" s="47"/>
      <c r="AI879" s="47"/>
      <c r="AJ879" s="47"/>
      <c r="AK879" s="47"/>
      <c r="AL879" s="47"/>
      <c r="AM879" s="47"/>
      <c r="AN879" s="47"/>
      <c r="AO879" s="47"/>
      <c r="AP879" s="47"/>
      <c r="AQ879" s="47"/>
      <c r="AR879" s="47"/>
      <c r="AS879" s="47"/>
      <c r="AT879" s="47"/>
      <c r="AU879" s="47"/>
      <c r="AV879" s="47"/>
      <c r="AW879" s="47"/>
      <c r="AX879" s="47"/>
      <c r="AY879" s="47"/>
      <c r="AZ879" s="532"/>
    </row>
    <row r="880" spans="1:52" ht="15.75" customHeight="1">
      <c r="A880" s="500"/>
      <c r="B880" s="477"/>
      <c r="C880" s="481"/>
      <c r="D880" s="47"/>
      <c r="E880" s="47"/>
      <c r="F880" s="478"/>
      <c r="G880" s="479"/>
      <c r="H880" s="9"/>
      <c r="I880" s="9"/>
      <c r="J880" s="505"/>
      <c r="K880" s="47"/>
      <c r="L880" s="47"/>
      <c r="M880" s="47"/>
      <c r="N880" s="9"/>
      <c r="O880" s="9"/>
      <c r="P880" s="9"/>
      <c r="Q880" s="47"/>
      <c r="R880" s="47"/>
      <c r="S880" s="47"/>
      <c r="T880" s="47"/>
      <c r="U880" s="47"/>
      <c r="V880" s="47"/>
      <c r="W880" s="47"/>
      <c r="X880" s="47"/>
      <c r="Y880" s="47"/>
      <c r="Z880" s="47"/>
      <c r="AA880" s="47"/>
      <c r="AB880" s="47"/>
      <c r="AC880" s="47"/>
      <c r="AD880" s="47"/>
      <c r="AE880" s="47"/>
      <c r="AF880" s="47"/>
      <c r="AG880" s="47"/>
      <c r="AH880" s="47"/>
      <c r="AI880" s="47"/>
      <c r="AJ880" s="47"/>
      <c r="AK880" s="47"/>
      <c r="AL880" s="47"/>
      <c r="AM880" s="47"/>
      <c r="AN880" s="47"/>
      <c r="AO880" s="47"/>
      <c r="AP880" s="47"/>
      <c r="AQ880" s="47"/>
      <c r="AR880" s="47"/>
      <c r="AS880" s="47"/>
      <c r="AT880" s="47"/>
      <c r="AU880" s="47"/>
      <c r="AV880" s="47"/>
      <c r="AW880" s="47"/>
      <c r="AX880" s="47"/>
      <c r="AY880" s="47"/>
      <c r="AZ880" s="532"/>
    </row>
    <row r="881" spans="1:52" ht="15.75" customHeight="1">
      <c r="A881" s="500"/>
      <c r="B881" s="477"/>
      <c r="C881" s="481"/>
      <c r="D881" s="47"/>
      <c r="E881" s="47"/>
      <c r="F881" s="478"/>
      <c r="G881" s="479"/>
      <c r="H881" s="9"/>
      <c r="I881" s="9"/>
      <c r="J881" s="505"/>
      <c r="K881" s="47"/>
      <c r="L881" s="47"/>
      <c r="M881" s="47"/>
      <c r="N881" s="9"/>
      <c r="O881" s="9"/>
      <c r="P881" s="9"/>
      <c r="Q881" s="47"/>
      <c r="R881" s="47"/>
      <c r="S881" s="47"/>
      <c r="T881" s="47"/>
      <c r="U881" s="47"/>
      <c r="V881" s="47"/>
      <c r="W881" s="47"/>
      <c r="X881" s="47"/>
      <c r="Y881" s="47"/>
      <c r="Z881" s="47"/>
      <c r="AA881" s="47"/>
      <c r="AB881" s="47"/>
      <c r="AC881" s="47"/>
      <c r="AD881" s="47"/>
      <c r="AE881" s="47"/>
      <c r="AF881" s="47"/>
      <c r="AG881" s="47"/>
      <c r="AH881" s="47"/>
      <c r="AI881" s="47"/>
      <c r="AJ881" s="47"/>
      <c r="AK881" s="47"/>
      <c r="AL881" s="47"/>
      <c r="AM881" s="47"/>
      <c r="AN881" s="47"/>
      <c r="AO881" s="47"/>
      <c r="AP881" s="47"/>
      <c r="AQ881" s="47"/>
      <c r="AR881" s="47"/>
      <c r="AS881" s="47"/>
      <c r="AT881" s="47"/>
      <c r="AU881" s="47"/>
      <c r="AV881" s="47"/>
      <c r="AW881" s="47"/>
      <c r="AX881" s="47"/>
      <c r="AY881" s="47"/>
      <c r="AZ881" s="532"/>
    </row>
    <row r="882" spans="1:52" ht="15.75" customHeight="1">
      <c r="A882" s="500"/>
      <c r="B882" s="477"/>
      <c r="C882" s="481"/>
      <c r="D882" s="47"/>
      <c r="E882" s="47"/>
      <c r="F882" s="478"/>
      <c r="G882" s="479"/>
      <c r="H882" s="9"/>
      <c r="I882" s="9"/>
      <c r="J882" s="505"/>
      <c r="K882" s="47"/>
      <c r="L882" s="47"/>
      <c r="M882" s="47"/>
      <c r="N882" s="9"/>
      <c r="O882" s="9"/>
      <c r="P882" s="9"/>
      <c r="Q882" s="47"/>
      <c r="R882" s="47"/>
      <c r="S882" s="47"/>
      <c r="T882" s="47"/>
      <c r="U882" s="47"/>
      <c r="V882" s="47"/>
      <c r="W882" s="47"/>
      <c r="X882" s="47"/>
      <c r="Y882" s="47"/>
      <c r="Z882" s="47"/>
      <c r="AA882" s="47"/>
      <c r="AB882" s="47"/>
      <c r="AC882" s="47"/>
      <c r="AD882" s="47"/>
      <c r="AE882" s="47"/>
      <c r="AF882" s="47"/>
      <c r="AG882" s="47"/>
      <c r="AH882" s="47"/>
      <c r="AI882" s="47"/>
      <c r="AJ882" s="47"/>
      <c r="AK882" s="47"/>
      <c r="AL882" s="47"/>
      <c r="AM882" s="47"/>
      <c r="AN882" s="47"/>
      <c r="AO882" s="47"/>
      <c r="AP882" s="47"/>
      <c r="AQ882" s="47"/>
      <c r="AR882" s="47"/>
      <c r="AS882" s="47"/>
      <c r="AT882" s="47"/>
      <c r="AU882" s="47"/>
      <c r="AV882" s="47"/>
      <c r="AW882" s="47"/>
      <c r="AX882" s="47"/>
      <c r="AY882" s="47"/>
      <c r="AZ882" s="532"/>
    </row>
    <row r="883" spans="1:52" ht="15.75" customHeight="1">
      <c r="A883" s="500"/>
      <c r="B883" s="477"/>
      <c r="C883" s="481"/>
      <c r="D883" s="47"/>
      <c r="E883" s="47"/>
      <c r="F883" s="478"/>
      <c r="G883" s="479"/>
      <c r="H883" s="9"/>
      <c r="I883" s="9"/>
      <c r="J883" s="505"/>
      <c r="K883" s="47"/>
      <c r="L883" s="47"/>
      <c r="M883" s="47"/>
      <c r="N883" s="9"/>
      <c r="O883" s="9"/>
      <c r="P883" s="9"/>
      <c r="Q883" s="47"/>
      <c r="R883" s="47"/>
      <c r="S883" s="47"/>
      <c r="T883" s="47"/>
      <c r="U883" s="47"/>
      <c r="V883" s="47"/>
      <c r="W883" s="47"/>
      <c r="X883" s="47"/>
      <c r="Y883" s="47"/>
      <c r="Z883" s="47"/>
      <c r="AA883" s="47"/>
      <c r="AB883" s="47"/>
      <c r="AC883" s="47"/>
      <c r="AD883" s="47"/>
      <c r="AE883" s="47"/>
      <c r="AF883" s="47"/>
      <c r="AG883" s="47"/>
      <c r="AH883" s="47"/>
      <c r="AI883" s="47"/>
      <c r="AJ883" s="47"/>
      <c r="AK883" s="47"/>
      <c r="AL883" s="47"/>
      <c r="AM883" s="47"/>
      <c r="AN883" s="47"/>
      <c r="AO883" s="47"/>
      <c r="AP883" s="47"/>
      <c r="AQ883" s="47"/>
      <c r="AR883" s="47"/>
      <c r="AS883" s="47"/>
      <c r="AT883" s="47"/>
      <c r="AU883" s="47"/>
      <c r="AV883" s="47"/>
      <c r="AW883" s="47"/>
      <c r="AX883" s="47"/>
      <c r="AY883" s="47"/>
      <c r="AZ883" s="532"/>
    </row>
    <row r="884" spans="1:52" ht="15.75" customHeight="1">
      <c r="A884" s="500"/>
      <c r="B884" s="477"/>
      <c r="C884" s="481"/>
      <c r="D884" s="47"/>
      <c r="E884" s="47"/>
      <c r="F884" s="478"/>
      <c r="G884" s="479"/>
      <c r="H884" s="9"/>
      <c r="I884" s="9"/>
      <c r="J884" s="505"/>
      <c r="K884" s="47"/>
      <c r="L884" s="47"/>
      <c r="M884" s="47"/>
      <c r="N884" s="9"/>
      <c r="O884" s="9"/>
      <c r="P884" s="9"/>
      <c r="Q884" s="47"/>
      <c r="R884" s="47"/>
      <c r="S884" s="47"/>
      <c r="T884" s="47"/>
      <c r="U884" s="47"/>
      <c r="V884" s="47"/>
      <c r="W884" s="47"/>
      <c r="X884" s="47"/>
      <c r="Y884" s="47"/>
      <c r="Z884" s="47"/>
      <c r="AA884" s="47"/>
      <c r="AB884" s="47"/>
      <c r="AC884" s="47"/>
      <c r="AD884" s="47"/>
      <c r="AE884" s="47"/>
      <c r="AF884" s="47"/>
      <c r="AG884" s="47"/>
      <c r="AH884" s="47"/>
      <c r="AI884" s="47"/>
      <c r="AJ884" s="47"/>
      <c r="AK884" s="47"/>
      <c r="AL884" s="47"/>
      <c r="AM884" s="47"/>
      <c r="AN884" s="47"/>
      <c r="AO884" s="47"/>
      <c r="AP884" s="47"/>
      <c r="AQ884" s="47"/>
      <c r="AR884" s="47"/>
      <c r="AS884" s="47"/>
      <c r="AT884" s="47"/>
      <c r="AU884" s="47"/>
      <c r="AV884" s="47"/>
      <c r="AW884" s="47"/>
      <c r="AX884" s="47"/>
      <c r="AY884" s="47"/>
      <c r="AZ884" s="532"/>
    </row>
    <row r="885" spans="1:52" ht="15.75" customHeight="1">
      <c r="A885" s="500"/>
      <c r="B885" s="477"/>
      <c r="C885" s="481"/>
      <c r="D885" s="47"/>
      <c r="E885" s="47"/>
      <c r="F885" s="478"/>
      <c r="G885" s="479"/>
      <c r="H885" s="9"/>
      <c r="I885" s="10"/>
      <c r="J885" s="505"/>
      <c r="K885" s="47"/>
      <c r="L885" s="47"/>
      <c r="M885" s="47"/>
      <c r="N885" s="9"/>
      <c r="O885" s="9"/>
      <c r="P885" s="9"/>
      <c r="Q885" s="47"/>
      <c r="R885" s="47"/>
      <c r="S885" s="47"/>
      <c r="T885" s="47"/>
      <c r="U885" s="47"/>
      <c r="V885" s="47"/>
      <c r="W885" s="47"/>
      <c r="X885" s="47"/>
      <c r="Y885" s="47"/>
      <c r="Z885" s="47"/>
      <c r="AA885" s="47"/>
      <c r="AB885" s="47"/>
      <c r="AC885" s="47"/>
      <c r="AD885" s="47"/>
      <c r="AE885" s="47"/>
      <c r="AF885" s="47"/>
      <c r="AG885" s="47"/>
      <c r="AH885" s="47"/>
      <c r="AI885" s="47"/>
      <c r="AJ885" s="47"/>
      <c r="AK885" s="47"/>
      <c r="AL885" s="47"/>
      <c r="AM885" s="47"/>
      <c r="AN885" s="47"/>
      <c r="AO885" s="47"/>
      <c r="AP885" s="47"/>
      <c r="AQ885" s="47"/>
      <c r="AR885" s="47"/>
      <c r="AS885" s="47"/>
      <c r="AT885" s="47"/>
      <c r="AU885" s="47"/>
      <c r="AV885" s="47"/>
      <c r="AW885" s="47"/>
      <c r="AX885" s="47"/>
      <c r="AY885" s="47"/>
      <c r="AZ885" s="532"/>
    </row>
    <row r="886" spans="1:52" ht="15.75" customHeight="1">
      <c r="A886" s="500"/>
      <c r="B886" s="477"/>
      <c r="C886" s="481"/>
      <c r="D886" s="47"/>
      <c r="E886" s="47"/>
      <c r="F886" s="478"/>
      <c r="G886" s="479"/>
      <c r="H886" s="9"/>
      <c r="I886" s="9"/>
      <c r="J886" s="505"/>
      <c r="K886" s="47"/>
      <c r="L886" s="47"/>
      <c r="M886" s="47"/>
      <c r="N886" s="9"/>
      <c r="O886" s="9"/>
      <c r="P886" s="9"/>
      <c r="Q886" s="47"/>
      <c r="R886" s="47"/>
      <c r="S886" s="47"/>
      <c r="T886" s="47"/>
      <c r="U886" s="47"/>
      <c r="V886" s="47"/>
      <c r="W886" s="47"/>
      <c r="X886" s="47"/>
      <c r="Y886" s="47"/>
      <c r="Z886" s="47"/>
      <c r="AA886" s="47"/>
      <c r="AB886" s="47"/>
      <c r="AC886" s="47"/>
      <c r="AD886" s="47"/>
      <c r="AE886" s="47"/>
      <c r="AF886" s="47"/>
      <c r="AG886" s="47"/>
      <c r="AH886" s="47"/>
      <c r="AI886" s="47"/>
      <c r="AJ886" s="47"/>
      <c r="AK886" s="47"/>
      <c r="AL886" s="47"/>
      <c r="AM886" s="47"/>
      <c r="AN886" s="47"/>
      <c r="AO886" s="47"/>
      <c r="AP886" s="47"/>
      <c r="AQ886" s="47"/>
      <c r="AR886" s="47"/>
      <c r="AS886" s="47"/>
      <c r="AT886" s="47"/>
      <c r="AU886" s="47"/>
      <c r="AV886" s="47"/>
      <c r="AW886" s="47"/>
      <c r="AX886" s="47"/>
      <c r="AY886" s="47"/>
      <c r="AZ886" s="532"/>
    </row>
    <row r="887" spans="1:52" ht="15.75" customHeight="1">
      <c r="A887" s="500"/>
      <c r="B887" s="477"/>
      <c r="C887" s="481"/>
      <c r="D887" s="47"/>
      <c r="E887" s="47"/>
      <c r="F887" s="478"/>
      <c r="G887" s="479"/>
      <c r="H887" s="9"/>
      <c r="I887" s="10"/>
      <c r="J887" s="505"/>
      <c r="K887" s="47"/>
      <c r="L887" s="47"/>
      <c r="M887" s="47"/>
      <c r="N887" s="9"/>
      <c r="O887" s="9"/>
      <c r="P887" s="9"/>
      <c r="Q887" s="47"/>
      <c r="R887" s="47"/>
      <c r="S887" s="47"/>
      <c r="T887" s="47"/>
      <c r="U887" s="47"/>
      <c r="V887" s="47"/>
      <c r="W887" s="47"/>
      <c r="X887" s="47"/>
      <c r="Y887" s="47"/>
      <c r="Z887" s="47"/>
      <c r="AA887" s="47"/>
      <c r="AB887" s="47"/>
      <c r="AC887" s="47"/>
      <c r="AD887" s="47"/>
      <c r="AE887" s="47"/>
      <c r="AF887" s="47"/>
      <c r="AG887" s="47"/>
      <c r="AH887" s="47"/>
      <c r="AI887" s="47"/>
      <c r="AJ887" s="47"/>
      <c r="AK887" s="47"/>
      <c r="AL887" s="47"/>
      <c r="AM887" s="47"/>
      <c r="AN887" s="47"/>
      <c r="AO887" s="47"/>
      <c r="AP887" s="47"/>
      <c r="AQ887" s="47"/>
      <c r="AR887" s="47"/>
      <c r="AS887" s="47"/>
      <c r="AT887" s="47"/>
      <c r="AU887" s="47"/>
      <c r="AV887" s="47"/>
      <c r="AW887" s="47"/>
      <c r="AX887" s="47"/>
      <c r="AY887" s="47"/>
      <c r="AZ887" s="532"/>
    </row>
    <row r="888" spans="1:52" ht="15.75" customHeight="1">
      <c r="A888" s="500"/>
      <c r="B888" s="477"/>
      <c r="C888" s="481"/>
      <c r="D888" s="47"/>
      <c r="E888" s="47"/>
      <c r="F888" s="478"/>
      <c r="G888" s="479"/>
      <c r="H888" s="9"/>
      <c r="I888" s="9"/>
      <c r="J888" s="505"/>
      <c r="K888" s="47"/>
      <c r="L888" s="47"/>
      <c r="M888" s="47"/>
      <c r="N888" s="9"/>
      <c r="O888" s="9"/>
      <c r="P888" s="9"/>
      <c r="Q888" s="47"/>
      <c r="R888" s="47"/>
      <c r="S888" s="47"/>
      <c r="T888" s="47"/>
      <c r="U888" s="47"/>
      <c r="V888" s="47"/>
      <c r="W888" s="47"/>
      <c r="X888" s="47"/>
      <c r="Y888" s="47"/>
      <c r="Z888" s="47"/>
      <c r="AA888" s="47"/>
      <c r="AB888" s="47"/>
      <c r="AC888" s="47"/>
      <c r="AD888" s="47"/>
      <c r="AE888" s="47"/>
      <c r="AF888" s="47"/>
      <c r="AG888" s="47"/>
      <c r="AH888" s="47"/>
      <c r="AI888" s="47"/>
      <c r="AJ888" s="47"/>
      <c r="AK888" s="47"/>
      <c r="AL888" s="47"/>
      <c r="AM888" s="47"/>
      <c r="AN888" s="47"/>
      <c r="AO888" s="47"/>
      <c r="AP888" s="47"/>
      <c r="AQ888" s="47"/>
      <c r="AR888" s="47"/>
      <c r="AS888" s="47"/>
      <c r="AT888" s="47"/>
      <c r="AU888" s="47"/>
      <c r="AV888" s="47"/>
      <c r="AW888" s="47"/>
      <c r="AX888" s="47"/>
      <c r="AY888" s="47"/>
      <c r="AZ888" s="532"/>
    </row>
    <row r="889" spans="1:52" ht="15.75" customHeight="1">
      <c r="A889" s="500"/>
      <c r="B889" s="477"/>
      <c r="C889" s="481"/>
      <c r="D889" s="47"/>
      <c r="E889" s="47"/>
      <c r="F889" s="478"/>
      <c r="G889" s="479"/>
      <c r="H889" s="9"/>
      <c r="I889" s="9"/>
      <c r="J889" s="505"/>
      <c r="K889" s="47"/>
      <c r="L889" s="47"/>
      <c r="M889" s="47"/>
      <c r="N889" s="9"/>
      <c r="O889" s="9"/>
      <c r="P889" s="9"/>
      <c r="Q889" s="47"/>
      <c r="R889" s="47"/>
      <c r="S889" s="47"/>
      <c r="T889" s="47"/>
      <c r="U889" s="47"/>
      <c r="V889" s="47"/>
      <c r="W889" s="47"/>
      <c r="X889" s="47"/>
      <c r="Y889" s="47"/>
      <c r="Z889" s="47"/>
      <c r="AA889" s="47"/>
      <c r="AB889" s="47"/>
      <c r="AC889" s="47"/>
      <c r="AD889" s="47"/>
      <c r="AE889" s="47"/>
      <c r="AF889" s="47"/>
      <c r="AG889" s="47"/>
      <c r="AH889" s="47"/>
      <c r="AI889" s="47"/>
      <c r="AJ889" s="47"/>
      <c r="AK889" s="47"/>
      <c r="AL889" s="47"/>
      <c r="AM889" s="47"/>
      <c r="AN889" s="47"/>
      <c r="AO889" s="47"/>
      <c r="AP889" s="47"/>
      <c r="AQ889" s="47"/>
      <c r="AR889" s="47"/>
      <c r="AS889" s="47"/>
      <c r="AT889" s="47"/>
      <c r="AU889" s="47"/>
      <c r="AV889" s="47"/>
      <c r="AW889" s="47"/>
      <c r="AX889" s="47"/>
      <c r="AY889" s="47"/>
      <c r="AZ889" s="532"/>
    </row>
    <row r="890" spans="1:52" ht="15.75" customHeight="1">
      <c r="A890" s="500"/>
      <c r="B890" s="477"/>
      <c r="C890" s="481"/>
      <c r="D890" s="47"/>
      <c r="E890" s="47"/>
      <c r="F890" s="478"/>
      <c r="G890" s="479"/>
      <c r="H890" s="9"/>
      <c r="I890" s="10"/>
      <c r="J890" s="505"/>
      <c r="K890" s="47"/>
      <c r="L890" s="47"/>
      <c r="M890" s="47"/>
      <c r="N890" s="9"/>
      <c r="O890" s="9"/>
      <c r="P890" s="9"/>
      <c r="Q890" s="47"/>
      <c r="R890" s="47"/>
      <c r="S890" s="47"/>
      <c r="T890" s="47"/>
      <c r="U890" s="47"/>
      <c r="V890" s="47"/>
      <c r="W890" s="47"/>
      <c r="X890" s="47"/>
      <c r="Y890" s="47"/>
      <c r="Z890" s="47"/>
      <c r="AA890" s="47"/>
      <c r="AB890" s="47"/>
      <c r="AC890" s="47"/>
      <c r="AD890" s="47"/>
      <c r="AE890" s="47"/>
      <c r="AF890" s="47"/>
      <c r="AG890" s="47"/>
      <c r="AH890" s="47"/>
      <c r="AI890" s="47"/>
      <c r="AJ890" s="47"/>
      <c r="AK890" s="47"/>
      <c r="AL890" s="47"/>
      <c r="AM890" s="47"/>
      <c r="AN890" s="47"/>
      <c r="AO890" s="47"/>
      <c r="AP890" s="47"/>
      <c r="AQ890" s="47"/>
      <c r="AR890" s="47"/>
      <c r="AS890" s="47"/>
      <c r="AT890" s="47"/>
      <c r="AU890" s="47"/>
      <c r="AV890" s="47"/>
      <c r="AW890" s="47"/>
      <c r="AX890" s="47"/>
      <c r="AY890" s="47"/>
      <c r="AZ890" s="532"/>
    </row>
    <row r="891" spans="1:52" ht="15.75" customHeight="1">
      <c r="A891" s="500"/>
      <c r="B891" s="477"/>
      <c r="C891" s="481"/>
      <c r="D891" s="47"/>
      <c r="E891" s="47"/>
      <c r="F891" s="478"/>
      <c r="G891" s="479"/>
      <c r="H891" s="9"/>
      <c r="I891" s="9"/>
      <c r="J891" s="505"/>
      <c r="K891" s="47"/>
      <c r="L891" s="47"/>
      <c r="M891" s="47"/>
      <c r="N891" s="9"/>
      <c r="O891" s="9"/>
      <c r="P891" s="9"/>
      <c r="Q891" s="47"/>
      <c r="R891" s="47"/>
      <c r="S891" s="47"/>
      <c r="T891" s="47"/>
      <c r="U891" s="47"/>
      <c r="V891" s="47"/>
      <c r="W891" s="47"/>
      <c r="X891" s="47"/>
      <c r="Y891" s="47"/>
      <c r="Z891" s="47"/>
      <c r="AA891" s="47"/>
      <c r="AB891" s="47"/>
      <c r="AC891" s="47"/>
      <c r="AD891" s="47"/>
      <c r="AE891" s="47"/>
      <c r="AF891" s="47"/>
      <c r="AG891" s="47"/>
      <c r="AH891" s="47"/>
      <c r="AI891" s="47"/>
      <c r="AJ891" s="47"/>
      <c r="AK891" s="47"/>
      <c r="AL891" s="47"/>
      <c r="AM891" s="47"/>
      <c r="AN891" s="47"/>
      <c r="AO891" s="47"/>
      <c r="AP891" s="47"/>
      <c r="AQ891" s="47"/>
      <c r="AR891" s="47"/>
      <c r="AS891" s="47"/>
      <c r="AT891" s="47"/>
      <c r="AU891" s="47"/>
      <c r="AV891" s="47"/>
      <c r="AW891" s="47"/>
      <c r="AX891" s="47"/>
      <c r="AY891" s="47"/>
      <c r="AZ891" s="532"/>
    </row>
    <row r="892" spans="1:52" ht="15.75" customHeight="1">
      <c r="A892" s="500"/>
      <c r="B892" s="477"/>
      <c r="C892" s="481"/>
      <c r="D892" s="47"/>
      <c r="E892" s="47"/>
      <c r="F892" s="478"/>
      <c r="G892" s="479"/>
      <c r="H892" s="9"/>
      <c r="I892" s="10"/>
      <c r="J892" s="505"/>
      <c r="K892" s="47"/>
      <c r="L892" s="47"/>
      <c r="M892" s="47"/>
      <c r="N892" s="9"/>
      <c r="O892" s="9"/>
      <c r="P892" s="9"/>
      <c r="Q892" s="47"/>
      <c r="R892" s="47"/>
      <c r="S892" s="47"/>
      <c r="T892" s="47"/>
      <c r="U892" s="47"/>
      <c r="V892" s="47"/>
      <c r="W892" s="47"/>
      <c r="X892" s="47"/>
      <c r="Y892" s="47"/>
      <c r="Z892" s="47"/>
      <c r="AA892" s="47"/>
      <c r="AB892" s="47"/>
      <c r="AC892" s="47"/>
      <c r="AD892" s="47"/>
      <c r="AE892" s="47"/>
      <c r="AF892" s="47"/>
      <c r="AG892" s="47"/>
      <c r="AH892" s="47"/>
      <c r="AI892" s="47"/>
      <c r="AJ892" s="47"/>
      <c r="AK892" s="47"/>
      <c r="AL892" s="47"/>
      <c r="AM892" s="47"/>
      <c r="AN892" s="47"/>
      <c r="AO892" s="47"/>
      <c r="AP892" s="47"/>
      <c r="AQ892" s="47"/>
      <c r="AR892" s="47"/>
      <c r="AS892" s="47"/>
      <c r="AT892" s="47"/>
      <c r="AU892" s="47"/>
      <c r="AV892" s="47"/>
      <c r="AW892" s="47"/>
      <c r="AX892" s="47"/>
      <c r="AY892" s="47"/>
      <c r="AZ892" s="532"/>
    </row>
    <row r="893" spans="1:52" ht="15.75" customHeight="1">
      <c r="A893" s="500"/>
      <c r="B893" s="477"/>
      <c r="C893" s="481"/>
      <c r="D893" s="47"/>
      <c r="E893" s="47"/>
      <c r="F893" s="478"/>
      <c r="G893" s="479"/>
      <c r="H893" s="9"/>
      <c r="I893" s="9"/>
      <c r="J893" s="505"/>
      <c r="K893" s="47"/>
      <c r="L893" s="47"/>
      <c r="M893" s="47"/>
      <c r="N893" s="9"/>
      <c r="O893" s="9"/>
      <c r="P893" s="9"/>
      <c r="Q893" s="47"/>
      <c r="R893" s="47"/>
      <c r="S893" s="47"/>
      <c r="T893" s="47"/>
      <c r="U893" s="47"/>
      <c r="V893" s="47"/>
      <c r="W893" s="47"/>
      <c r="X893" s="47"/>
      <c r="Y893" s="47"/>
      <c r="Z893" s="47"/>
      <c r="AA893" s="47"/>
      <c r="AB893" s="47"/>
      <c r="AC893" s="47"/>
      <c r="AD893" s="47"/>
      <c r="AE893" s="47"/>
      <c r="AF893" s="47"/>
      <c r="AG893" s="47"/>
      <c r="AH893" s="47"/>
      <c r="AI893" s="47"/>
      <c r="AJ893" s="47"/>
      <c r="AK893" s="47"/>
      <c r="AL893" s="47"/>
      <c r="AM893" s="47"/>
      <c r="AN893" s="47"/>
      <c r="AO893" s="47"/>
      <c r="AP893" s="47"/>
      <c r="AQ893" s="47"/>
      <c r="AR893" s="47"/>
      <c r="AS893" s="47"/>
      <c r="AT893" s="47"/>
      <c r="AU893" s="47"/>
      <c r="AV893" s="47"/>
      <c r="AW893" s="47"/>
      <c r="AX893" s="47"/>
      <c r="AY893" s="47"/>
      <c r="AZ893" s="532"/>
    </row>
    <row r="894" spans="1:52" ht="15.75" customHeight="1">
      <c r="A894" s="500"/>
      <c r="B894" s="477"/>
      <c r="C894" s="481"/>
      <c r="D894" s="47"/>
      <c r="E894" s="47"/>
      <c r="F894" s="478"/>
      <c r="G894" s="479"/>
      <c r="H894" s="9"/>
      <c r="I894" s="9"/>
      <c r="J894" s="505"/>
      <c r="K894" s="47"/>
      <c r="L894" s="47"/>
      <c r="M894" s="47"/>
      <c r="N894" s="9"/>
      <c r="O894" s="9"/>
      <c r="P894" s="9"/>
      <c r="Q894" s="47"/>
      <c r="R894" s="47"/>
      <c r="S894" s="47"/>
      <c r="T894" s="47"/>
      <c r="U894" s="47"/>
      <c r="V894" s="47"/>
      <c r="W894" s="47"/>
      <c r="X894" s="47"/>
      <c r="Y894" s="47"/>
      <c r="Z894" s="47"/>
      <c r="AA894" s="47"/>
      <c r="AB894" s="47"/>
      <c r="AC894" s="47"/>
      <c r="AD894" s="47"/>
      <c r="AE894" s="47"/>
      <c r="AF894" s="47"/>
      <c r="AG894" s="47"/>
      <c r="AH894" s="47"/>
      <c r="AI894" s="47"/>
      <c r="AJ894" s="47"/>
      <c r="AK894" s="47"/>
      <c r="AL894" s="47"/>
      <c r="AM894" s="47"/>
      <c r="AN894" s="47"/>
      <c r="AO894" s="47"/>
      <c r="AP894" s="47"/>
      <c r="AQ894" s="47"/>
      <c r="AR894" s="47"/>
      <c r="AS894" s="47"/>
      <c r="AT894" s="47"/>
      <c r="AU894" s="47"/>
      <c r="AV894" s="47"/>
      <c r="AW894" s="47"/>
      <c r="AX894" s="47"/>
      <c r="AY894" s="47"/>
      <c r="AZ894" s="532"/>
    </row>
    <row r="895" spans="1:52" ht="15.75" customHeight="1">
      <c r="A895" s="500"/>
      <c r="B895" s="477"/>
      <c r="C895" s="481"/>
      <c r="D895" s="47"/>
      <c r="E895" s="47"/>
      <c r="F895" s="478"/>
      <c r="G895" s="479"/>
      <c r="H895" s="9"/>
      <c r="I895" s="9"/>
      <c r="J895" s="505"/>
      <c r="K895" s="47"/>
      <c r="L895" s="47"/>
      <c r="M895" s="47"/>
      <c r="N895" s="9"/>
      <c r="O895" s="9"/>
      <c r="P895" s="9"/>
      <c r="Q895" s="47"/>
      <c r="R895" s="47"/>
      <c r="S895" s="47"/>
      <c r="T895" s="47"/>
      <c r="U895" s="47"/>
      <c r="V895" s="47"/>
      <c r="W895" s="47"/>
      <c r="X895" s="47"/>
      <c r="Y895" s="47"/>
      <c r="Z895" s="47"/>
      <c r="AA895" s="47"/>
      <c r="AB895" s="47"/>
      <c r="AC895" s="47"/>
      <c r="AD895" s="47"/>
      <c r="AE895" s="47"/>
      <c r="AF895" s="47"/>
      <c r="AG895" s="47"/>
      <c r="AH895" s="47"/>
      <c r="AI895" s="47"/>
      <c r="AJ895" s="47"/>
      <c r="AK895" s="47"/>
      <c r="AL895" s="47"/>
      <c r="AM895" s="47"/>
      <c r="AN895" s="47"/>
      <c r="AO895" s="47"/>
      <c r="AP895" s="47"/>
      <c r="AQ895" s="47"/>
      <c r="AR895" s="47"/>
      <c r="AS895" s="47"/>
      <c r="AT895" s="47"/>
      <c r="AU895" s="47"/>
      <c r="AV895" s="47"/>
      <c r="AW895" s="47"/>
      <c r="AX895" s="47"/>
      <c r="AY895" s="47"/>
      <c r="AZ895" s="532"/>
    </row>
    <row r="896" spans="1:52" ht="15.75" customHeight="1">
      <c r="A896" s="500"/>
      <c r="B896" s="477"/>
      <c r="C896" s="481"/>
      <c r="D896" s="47"/>
      <c r="E896" s="47"/>
      <c r="F896" s="478"/>
      <c r="G896" s="479"/>
      <c r="H896" s="9"/>
      <c r="I896" s="9"/>
      <c r="J896" s="505"/>
      <c r="K896" s="47"/>
      <c r="L896" s="47"/>
      <c r="M896" s="47"/>
      <c r="N896" s="9"/>
      <c r="O896" s="9"/>
      <c r="P896" s="9"/>
      <c r="Q896" s="47"/>
      <c r="R896" s="47"/>
      <c r="S896" s="47"/>
      <c r="T896" s="47"/>
      <c r="U896" s="47"/>
      <c r="V896" s="47"/>
      <c r="W896" s="47"/>
      <c r="X896" s="47"/>
      <c r="Y896" s="47"/>
      <c r="Z896" s="47"/>
      <c r="AA896" s="47"/>
      <c r="AB896" s="47"/>
      <c r="AC896" s="47"/>
      <c r="AD896" s="47"/>
      <c r="AE896" s="47"/>
      <c r="AF896" s="47"/>
      <c r="AG896" s="47"/>
      <c r="AH896" s="47"/>
      <c r="AI896" s="47"/>
      <c r="AJ896" s="47"/>
      <c r="AK896" s="47"/>
      <c r="AL896" s="47"/>
      <c r="AM896" s="47"/>
      <c r="AN896" s="47"/>
      <c r="AO896" s="47"/>
      <c r="AP896" s="47"/>
      <c r="AQ896" s="47"/>
      <c r="AR896" s="47"/>
      <c r="AS896" s="47"/>
      <c r="AT896" s="47"/>
      <c r="AU896" s="47"/>
      <c r="AV896" s="47"/>
      <c r="AW896" s="47"/>
      <c r="AX896" s="47"/>
      <c r="AY896" s="47"/>
      <c r="AZ896" s="532"/>
    </row>
    <row r="897" spans="1:52" ht="15.75" customHeight="1">
      <c r="A897" s="500"/>
      <c r="B897" s="477"/>
      <c r="C897" s="481"/>
      <c r="D897" s="47"/>
      <c r="E897" s="47"/>
      <c r="F897" s="478"/>
      <c r="G897" s="479"/>
      <c r="H897" s="9"/>
      <c r="I897" s="9"/>
      <c r="J897" s="505"/>
      <c r="K897" s="47"/>
      <c r="L897" s="47"/>
      <c r="M897" s="47"/>
      <c r="N897" s="9"/>
      <c r="O897" s="9"/>
      <c r="P897" s="9"/>
      <c r="Q897" s="47"/>
      <c r="R897" s="47"/>
      <c r="S897" s="47"/>
      <c r="T897" s="47"/>
      <c r="U897" s="47"/>
      <c r="V897" s="47"/>
      <c r="W897" s="47"/>
      <c r="X897" s="47"/>
      <c r="Y897" s="47"/>
      <c r="Z897" s="47"/>
      <c r="AA897" s="47"/>
      <c r="AB897" s="47"/>
      <c r="AC897" s="47"/>
      <c r="AD897" s="47"/>
      <c r="AE897" s="47"/>
      <c r="AF897" s="47"/>
      <c r="AG897" s="47"/>
      <c r="AH897" s="47"/>
      <c r="AI897" s="47"/>
      <c r="AJ897" s="47"/>
      <c r="AK897" s="47"/>
      <c r="AL897" s="47"/>
      <c r="AM897" s="47"/>
      <c r="AN897" s="47"/>
      <c r="AO897" s="47"/>
      <c r="AP897" s="47"/>
      <c r="AQ897" s="47"/>
      <c r="AR897" s="47"/>
      <c r="AS897" s="47"/>
      <c r="AT897" s="47"/>
      <c r="AU897" s="47"/>
      <c r="AV897" s="47"/>
      <c r="AW897" s="47"/>
      <c r="AX897" s="47"/>
      <c r="AY897" s="47"/>
      <c r="AZ897" s="532"/>
    </row>
    <row r="898" spans="1:52" ht="15.75" customHeight="1">
      <c r="A898" s="500"/>
      <c r="B898" s="477"/>
      <c r="C898" s="481"/>
      <c r="D898" s="47"/>
      <c r="E898" s="47"/>
      <c r="F898" s="478"/>
      <c r="G898" s="479"/>
      <c r="H898" s="9"/>
      <c r="I898" s="9"/>
      <c r="J898" s="505"/>
      <c r="K898" s="47"/>
      <c r="L898" s="47"/>
      <c r="M898" s="47"/>
      <c r="N898" s="9"/>
      <c r="O898" s="9"/>
      <c r="P898" s="9"/>
      <c r="Q898" s="47"/>
      <c r="R898" s="47"/>
      <c r="S898" s="47"/>
      <c r="T898" s="47"/>
      <c r="U898" s="47"/>
      <c r="V898" s="47"/>
      <c r="W898" s="47"/>
      <c r="X898" s="47"/>
      <c r="Y898" s="47"/>
      <c r="Z898" s="47"/>
      <c r="AA898" s="47"/>
      <c r="AB898" s="47"/>
      <c r="AC898" s="47"/>
      <c r="AD898" s="47"/>
      <c r="AE898" s="47"/>
      <c r="AF898" s="47"/>
      <c r="AG898" s="47"/>
      <c r="AH898" s="47"/>
      <c r="AI898" s="47"/>
      <c r="AJ898" s="47"/>
      <c r="AK898" s="47"/>
      <c r="AL898" s="47"/>
      <c r="AM898" s="47"/>
      <c r="AN898" s="47"/>
      <c r="AO898" s="47"/>
      <c r="AP898" s="47"/>
      <c r="AQ898" s="47"/>
      <c r="AR898" s="47"/>
      <c r="AS898" s="47"/>
      <c r="AT898" s="47"/>
      <c r="AU898" s="47"/>
      <c r="AV898" s="47"/>
      <c r="AW898" s="47"/>
      <c r="AX898" s="47"/>
      <c r="AY898" s="47"/>
      <c r="AZ898" s="532"/>
    </row>
    <row r="899" spans="1:52" ht="15.75" customHeight="1">
      <c r="A899" s="500"/>
      <c r="B899" s="477"/>
      <c r="C899" s="481"/>
      <c r="D899" s="47"/>
      <c r="E899" s="47"/>
      <c r="F899" s="478"/>
      <c r="G899" s="479"/>
      <c r="H899" s="9"/>
      <c r="I899" s="9"/>
      <c r="J899" s="505"/>
      <c r="K899" s="47"/>
      <c r="L899" s="47"/>
      <c r="M899" s="47"/>
      <c r="N899" s="9"/>
      <c r="O899" s="9"/>
      <c r="P899" s="9"/>
      <c r="Q899" s="47"/>
      <c r="R899" s="47"/>
      <c r="S899" s="47"/>
      <c r="T899" s="47"/>
      <c r="U899" s="47"/>
      <c r="V899" s="47"/>
      <c r="W899" s="47"/>
      <c r="X899" s="47"/>
      <c r="Y899" s="47"/>
      <c r="Z899" s="47"/>
      <c r="AA899" s="47"/>
      <c r="AB899" s="47"/>
      <c r="AC899" s="47"/>
      <c r="AD899" s="47"/>
      <c r="AE899" s="47"/>
      <c r="AF899" s="47"/>
      <c r="AG899" s="47"/>
      <c r="AH899" s="47"/>
      <c r="AI899" s="47"/>
      <c r="AJ899" s="47"/>
      <c r="AK899" s="47"/>
      <c r="AL899" s="47"/>
      <c r="AM899" s="47"/>
      <c r="AN899" s="47"/>
      <c r="AO899" s="47"/>
      <c r="AP899" s="47"/>
      <c r="AQ899" s="47"/>
      <c r="AR899" s="47"/>
      <c r="AS899" s="47"/>
      <c r="AT899" s="47"/>
      <c r="AU899" s="47"/>
      <c r="AV899" s="47"/>
      <c r="AW899" s="47"/>
      <c r="AX899" s="47"/>
      <c r="AY899" s="47"/>
      <c r="AZ899" s="532"/>
    </row>
    <row r="900" spans="1:52" ht="15.75" customHeight="1">
      <c r="A900" s="500"/>
      <c r="B900" s="477"/>
      <c r="C900" s="481"/>
      <c r="D900" s="47"/>
      <c r="E900" s="47"/>
      <c r="F900" s="478"/>
      <c r="G900" s="479"/>
      <c r="H900" s="9"/>
      <c r="I900" s="9"/>
      <c r="J900" s="505"/>
      <c r="K900" s="47"/>
      <c r="L900" s="47"/>
      <c r="M900" s="47"/>
      <c r="N900" s="9"/>
      <c r="O900" s="9"/>
      <c r="P900" s="9"/>
      <c r="Q900" s="47"/>
      <c r="R900" s="47"/>
      <c r="S900" s="47"/>
      <c r="T900" s="47"/>
      <c r="U900" s="47"/>
      <c r="V900" s="47"/>
      <c r="W900" s="47"/>
      <c r="X900" s="47"/>
      <c r="Y900" s="47"/>
      <c r="Z900" s="47"/>
      <c r="AA900" s="47"/>
      <c r="AB900" s="47"/>
      <c r="AC900" s="47"/>
      <c r="AD900" s="47"/>
      <c r="AE900" s="47"/>
      <c r="AF900" s="47"/>
      <c r="AG900" s="47"/>
      <c r="AH900" s="47"/>
      <c r="AI900" s="47"/>
      <c r="AJ900" s="47"/>
      <c r="AK900" s="47"/>
      <c r="AL900" s="47"/>
      <c r="AM900" s="47"/>
      <c r="AN900" s="47"/>
      <c r="AO900" s="47"/>
      <c r="AP900" s="47"/>
      <c r="AQ900" s="47"/>
      <c r="AR900" s="47"/>
      <c r="AS900" s="47"/>
      <c r="AT900" s="47"/>
      <c r="AU900" s="47"/>
      <c r="AV900" s="47"/>
      <c r="AW900" s="47"/>
      <c r="AX900" s="47"/>
      <c r="AY900" s="47"/>
      <c r="AZ900" s="532"/>
    </row>
    <row r="901" spans="1:52" ht="15.75" customHeight="1">
      <c r="A901" s="500"/>
      <c r="B901" s="477"/>
      <c r="C901" s="481"/>
      <c r="D901" s="47"/>
      <c r="E901" s="47"/>
      <c r="F901" s="478"/>
      <c r="G901" s="479"/>
      <c r="H901" s="9"/>
      <c r="I901" s="9"/>
      <c r="J901" s="505"/>
      <c r="K901" s="47"/>
      <c r="L901" s="47"/>
      <c r="M901" s="47"/>
      <c r="N901" s="9"/>
      <c r="O901" s="9"/>
      <c r="P901" s="9"/>
      <c r="Q901" s="47"/>
      <c r="R901" s="47"/>
      <c r="S901" s="47"/>
      <c r="T901" s="47"/>
      <c r="U901" s="47"/>
      <c r="V901" s="47"/>
      <c r="W901" s="47"/>
      <c r="X901" s="47"/>
      <c r="Y901" s="47"/>
      <c r="Z901" s="47"/>
      <c r="AA901" s="47"/>
      <c r="AB901" s="47"/>
      <c r="AC901" s="47"/>
      <c r="AD901" s="47"/>
      <c r="AE901" s="47"/>
      <c r="AF901" s="47"/>
      <c r="AG901" s="47"/>
      <c r="AH901" s="47"/>
      <c r="AI901" s="47"/>
      <c r="AJ901" s="47"/>
      <c r="AK901" s="47"/>
      <c r="AL901" s="47"/>
      <c r="AM901" s="47"/>
      <c r="AN901" s="47"/>
      <c r="AO901" s="47"/>
      <c r="AP901" s="47"/>
      <c r="AQ901" s="47"/>
      <c r="AR901" s="47"/>
      <c r="AS901" s="47"/>
      <c r="AT901" s="47"/>
      <c r="AU901" s="47"/>
      <c r="AV901" s="47"/>
      <c r="AW901" s="47"/>
      <c r="AX901" s="47"/>
      <c r="AY901" s="47"/>
      <c r="AZ901" s="532"/>
    </row>
    <row r="902" spans="1:52" ht="15.75" customHeight="1">
      <c r="A902" s="500"/>
      <c r="B902" s="477"/>
      <c r="C902" s="481"/>
      <c r="D902" s="47"/>
      <c r="E902" s="47"/>
      <c r="F902" s="478"/>
      <c r="G902" s="479"/>
      <c r="H902" s="9"/>
      <c r="I902" s="9"/>
      <c r="J902" s="505"/>
      <c r="K902" s="47"/>
      <c r="L902" s="47"/>
      <c r="M902" s="47"/>
      <c r="N902" s="9"/>
      <c r="O902" s="9"/>
      <c r="P902" s="9"/>
      <c r="Q902" s="47"/>
      <c r="R902" s="47"/>
      <c r="S902" s="47"/>
      <c r="T902" s="47"/>
      <c r="U902" s="47"/>
      <c r="V902" s="47"/>
      <c r="W902" s="47"/>
      <c r="X902" s="47"/>
      <c r="Y902" s="47"/>
      <c r="Z902" s="47"/>
      <c r="AA902" s="47"/>
      <c r="AB902" s="47"/>
      <c r="AC902" s="47"/>
      <c r="AD902" s="47"/>
      <c r="AE902" s="47"/>
      <c r="AF902" s="47"/>
      <c r="AG902" s="47"/>
      <c r="AH902" s="47"/>
      <c r="AI902" s="47"/>
      <c r="AJ902" s="47"/>
      <c r="AK902" s="47"/>
      <c r="AL902" s="47"/>
      <c r="AM902" s="47"/>
      <c r="AN902" s="47"/>
      <c r="AO902" s="47"/>
      <c r="AP902" s="47"/>
      <c r="AQ902" s="47"/>
      <c r="AR902" s="47"/>
      <c r="AS902" s="47"/>
      <c r="AT902" s="47"/>
      <c r="AU902" s="47"/>
      <c r="AV902" s="47"/>
      <c r="AW902" s="47"/>
      <c r="AX902" s="47"/>
      <c r="AY902" s="47"/>
      <c r="AZ902" s="532"/>
    </row>
    <row r="903" spans="1:52" ht="15.75" customHeight="1">
      <c r="A903" s="500"/>
      <c r="B903" s="477"/>
      <c r="C903" s="481"/>
      <c r="D903" s="47"/>
      <c r="E903" s="47"/>
      <c r="F903" s="478"/>
      <c r="G903" s="479"/>
      <c r="H903" s="9"/>
      <c r="I903" s="10"/>
      <c r="J903" s="505"/>
      <c r="K903" s="47"/>
      <c r="L903" s="47"/>
      <c r="M903" s="47"/>
      <c r="N903" s="9"/>
      <c r="O903" s="9"/>
      <c r="P903" s="9"/>
      <c r="Q903" s="47"/>
      <c r="R903" s="47"/>
      <c r="S903" s="47"/>
      <c r="T903" s="47"/>
      <c r="U903" s="47"/>
      <c r="V903" s="47"/>
      <c r="W903" s="47"/>
      <c r="X903" s="47"/>
      <c r="Y903" s="47"/>
      <c r="Z903" s="47"/>
      <c r="AA903" s="47"/>
      <c r="AB903" s="47"/>
      <c r="AC903" s="47"/>
      <c r="AD903" s="47"/>
      <c r="AE903" s="47"/>
      <c r="AF903" s="47"/>
      <c r="AG903" s="47"/>
      <c r="AH903" s="47"/>
      <c r="AI903" s="47"/>
      <c r="AJ903" s="47"/>
      <c r="AK903" s="47"/>
      <c r="AL903" s="47"/>
      <c r="AM903" s="47"/>
      <c r="AN903" s="47"/>
      <c r="AO903" s="47"/>
      <c r="AP903" s="47"/>
      <c r="AQ903" s="47"/>
      <c r="AR903" s="47"/>
      <c r="AS903" s="47"/>
      <c r="AT903" s="47"/>
      <c r="AU903" s="47"/>
      <c r="AV903" s="47"/>
      <c r="AW903" s="47"/>
      <c r="AX903" s="47"/>
      <c r="AY903" s="47"/>
      <c r="AZ903" s="532"/>
    </row>
    <row r="904" spans="1:52" ht="15.75" customHeight="1">
      <c r="A904" s="500"/>
      <c r="B904" s="477"/>
      <c r="C904" s="481"/>
      <c r="D904" s="47"/>
      <c r="E904" s="47"/>
      <c r="F904" s="478"/>
      <c r="G904" s="479"/>
      <c r="H904" s="9"/>
      <c r="I904" s="9"/>
      <c r="J904" s="505"/>
      <c r="K904" s="47"/>
      <c r="L904" s="47"/>
      <c r="M904" s="47"/>
      <c r="N904" s="9"/>
      <c r="O904" s="9"/>
      <c r="P904" s="9"/>
      <c r="Q904" s="47"/>
      <c r="R904" s="47"/>
      <c r="S904" s="47"/>
      <c r="T904" s="47"/>
      <c r="U904" s="47"/>
      <c r="V904" s="47"/>
      <c r="W904" s="47"/>
      <c r="X904" s="47"/>
      <c r="Y904" s="47"/>
      <c r="Z904" s="47"/>
      <c r="AA904" s="47"/>
      <c r="AB904" s="47"/>
      <c r="AC904" s="47"/>
      <c r="AD904" s="47"/>
      <c r="AE904" s="47"/>
      <c r="AF904" s="47"/>
      <c r="AG904" s="47"/>
      <c r="AH904" s="47"/>
      <c r="AI904" s="47"/>
      <c r="AJ904" s="47"/>
      <c r="AK904" s="47"/>
      <c r="AL904" s="47"/>
      <c r="AM904" s="47"/>
      <c r="AN904" s="47"/>
      <c r="AO904" s="47"/>
      <c r="AP904" s="47"/>
      <c r="AQ904" s="47"/>
      <c r="AR904" s="47"/>
      <c r="AS904" s="47"/>
      <c r="AT904" s="47"/>
      <c r="AU904" s="47"/>
      <c r="AV904" s="47"/>
      <c r="AW904" s="47"/>
      <c r="AX904" s="47"/>
      <c r="AY904" s="47"/>
      <c r="AZ904" s="532"/>
    </row>
    <row r="905" spans="1:52" ht="15.75" customHeight="1">
      <c r="A905" s="500"/>
      <c r="B905" s="477"/>
      <c r="C905" s="481"/>
      <c r="D905" s="47"/>
      <c r="E905" s="47"/>
      <c r="F905" s="478"/>
      <c r="G905" s="479"/>
      <c r="H905" s="9"/>
      <c r="I905" s="9"/>
      <c r="J905" s="505"/>
      <c r="K905" s="47"/>
      <c r="L905" s="47"/>
      <c r="M905" s="47"/>
      <c r="N905" s="9"/>
      <c r="O905" s="9"/>
      <c r="P905" s="9"/>
      <c r="Q905" s="47"/>
      <c r="R905" s="47"/>
      <c r="S905" s="47"/>
      <c r="T905" s="47"/>
      <c r="U905" s="47"/>
      <c r="V905" s="47"/>
      <c r="W905" s="47"/>
      <c r="X905" s="47"/>
      <c r="Y905" s="47"/>
      <c r="Z905" s="47"/>
      <c r="AA905" s="47"/>
      <c r="AB905" s="47"/>
      <c r="AC905" s="47"/>
      <c r="AD905" s="47"/>
      <c r="AE905" s="47"/>
      <c r="AF905" s="47"/>
      <c r="AG905" s="47"/>
      <c r="AH905" s="47"/>
      <c r="AI905" s="47"/>
      <c r="AJ905" s="47"/>
      <c r="AK905" s="47"/>
      <c r="AL905" s="47"/>
      <c r="AM905" s="47"/>
      <c r="AN905" s="47"/>
      <c r="AO905" s="47"/>
      <c r="AP905" s="47"/>
      <c r="AQ905" s="47"/>
      <c r="AR905" s="47"/>
      <c r="AS905" s="47"/>
      <c r="AT905" s="47"/>
      <c r="AU905" s="47"/>
      <c r="AV905" s="47"/>
      <c r="AW905" s="47"/>
      <c r="AX905" s="47"/>
      <c r="AY905" s="47"/>
      <c r="AZ905" s="532"/>
    </row>
    <row r="906" spans="1:52" ht="15.75" customHeight="1">
      <c r="A906" s="500"/>
      <c r="B906" s="477"/>
      <c r="C906" s="481"/>
      <c r="D906" s="47"/>
      <c r="E906" s="47"/>
      <c r="F906" s="478"/>
      <c r="G906" s="479"/>
      <c r="H906" s="9"/>
      <c r="I906" s="9"/>
      <c r="J906" s="505"/>
      <c r="K906" s="47"/>
      <c r="L906" s="47"/>
      <c r="M906" s="47"/>
      <c r="N906" s="9"/>
      <c r="O906" s="9"/>
      <c r="P906" s="9"/>
      <c r="Q906" s="47"/>
      <c r="R906" s="47"/>
      <c r="S906" s="47"/>
      <c r="T906" s="47"/>
      <c r="U906" s="47"/>
      <c r="V906" s="47"/>
      <c r="W906" s="47"/>
      <c r="X906" s="47"/>
      <c r="Y906" s="47"/>
      <c r="Z906" s="47"/>
      <c r="AA906" s="47"/>
      <c r="AB906" s="47"/>
      <c r="AC906" s="47"/>
      <c r="AD906" s="47"/>
      <c r="AE906" s="47"/>
      <c r="AF906" s="47"/>
      <c r="AG906" s="47"/>
      <c r="AH906" s="47"/>
      <c r="AI906" s="47"/>
      <c r="AJ906" s="47"/>
      <c r="AK906" s="47"/>
      <c r="AL906" s="47"/>
      <c r="AM906" s="47"/>
      <c r="AN906" s="47"/>
      <c r="AO906" s="47"/>
      <c r="AP906" s="47"/>
      <c r="AQ906" s="47"/>
      <c r="AR906" s="47"/>
      <c r="AS906" s="47"/>
      <c r="AT906" s="47"/>
      <c r="AU906" s="47"/>
      <c r="AV906" s="47"/>
      <c r="AW906" s="47"/>
      <c r="AX906" s="47"/>
      <c r="AY906" s="47"/>
      <c r="AZ906" s="532"/>
    </row>
    <row r="907" spans="1:52" ht="15.75" customHeight="1">
      <c r="A907" s="500"/>
      <c r="B907" s="477"/>
      <c r="C907" s="481"/>
      <c r="D907" s="47"/>
      <c r="E907" s="47"/>
      <c r="F907" s="478"/>
      <c r="G907" s="479"/>
      <c r="H907" s="9"/>
      <c r="I907" s="9"/>
      <c r="J907" s="505"/>
      <c r="K907" s="47"/>
      <c r="L907" s="47"/>
      <c r="M907" s="47"/>
      <c r="N907" s="9"/>
      <c r="O907" s="9"/>
      <c r="P907" s="9"/>
      <c r="Q907" s="47"/>
      <c r="R907" s="47"/>
      <c r="S907" s="47"/>
      <c r="T907" s="47"/>
      <c r="U907" s="47"/>
      <c r="V907" s="47"/>
      <c r="W907" s="47"/>
      <c r="X907" s="47"/>
      <c r="Y907" s="47"/>
      <c r="Z907" s="47"/>
      <c r="AA907" s="47"/>
      <c r="AB907" s="47"/>
      <c r="AC907" s="47"/>
      <c r="AD907" s="47"/>
      <c r="AE907" s="47"/>
      <c r="AF907" s="47"/>
      <c r="AG907" s="47"/>
      <c r="AH907" s="47"/>
      <c r="AI907" s="47"/>
      <c r="AJ907" s="47"/>
      <c r="AK907" s="47"/>
      <c r="AL907" s="47"/>
      <c r="AM907" s="47"/>
      <c r="AN907" s="47"/>
      <c r="AO907" s="47"/>
      <c r="AP907" s="47"/>
      <c r="AQ907" s="47"/>
      <c r="AR907" s="47"/>
      <c r="AS907" s="47"/>
      <c r="AT907" s="47"/>
      <c r="AU907" s="47"/>
      <c r="AV907" s="47"/>
      <c r="AW907" s="47"/>
      <c r="AX907" s="47"/>
      <c r="AY907" s="47"/>
      <c r="AZ907" s="532"/>
    </row>
    <row r="908" spans="1:52" ht="15.75" customHeight="1">
      <c r="A908" s="500"/>
      <c r="B908" s="477"/>
      <c r="C908" s="481"/>
      <c r="D908" s="47"/>
      <c r="E908" s="47"/>
      <c r="F908" s="478"/>
      <c r="G908" s="479"/>
      <c r="H908" s="9"/>
      <c r="I908" s="9"/>
      <c r="J908" s="505"/>
      <c r="K908" s="47"/>
      <c r="L908" s="47"/>
      <c r="M908" s="47"/>
      <c r="N908" s="9"/>
      <c r="O908" s="9"/>
      <c r="P908" s="9"/>
      <c r="Q908" s="47"/>
      <c r="R908" s="47"/>
      <c r="S908" s="47"/>
      <c r="T908" s="47"/>
      <c r="U908" s="47"/>
      <c r="V908" s="47"/>
      <c r="W908" s="47"/>
      <c r="X908" s="47"/>
      <c r="Y908" s="47"/>
      <c r="Z908" s="47"/>
      <c r="AA908" s="47"/>
      <c r="AB908" s="47"/>
      <c r="AC908" s="47"/>
      <c r="AD908" s="47"/>
      <c r="AE908" s="47"/>
      <c r="AF908" s="47"/>
      <c r="AG908" s="47"/>
      <c r="AH908" s="47"/>
      <c r="AI908" s="47"/>
      <c r="AJ908" s="47"/>
      <c r="AK908" s="47"/>
      <c r="AL908" s="47"/>
      <c r="AM908" s="47"/>
      <c r="AN908" s="47"/>
      <c r="AO908" s="47"/>
      <c r="AP908" s="47"/>
      <c r="AQ908" s="47"/>
      <c r="AR908" s="47"/>
      <c r="AS908" s="47"/>
      <c r="AT908" s="47"/>
      <c r="AU908" s="47"/>
      <c r="AV908" s="47"/>
      <c r="AW908" s="47"/>
      <c r="AX908" s="47"/>
      <c r="AY908" s="47"/>
      <c r="AZ908" s="532"/>
    </row>
    <row r="909" spans="1:52" ht="15.75" customHeight="1">
      <c r="A909" s="500"/>
      <c r="B909" s="477"/>
      <c r="C909" s="481"/>
      <c r="D909" s="47"/>
      <c r="E909" s="47"/>
      <c r="F909" s="478"/>
      <c r="G909" s="479"/>
      <c r="H909" s="9"/>
      <c r="I909" s="9"/>
      <c r="J909" s="505"/>
      <c r="K909" s="47"/>
      <c r="L909" s="47"/>
      <c r="M909" s="47"/>
      <c r="N909" s="9"/>
      <c r="O909" s="9"/>
      <c r="P909" s="9"/>
      <c r="Q909" s="47"/>
      <c r="R909" s="47"/>
      <c r="S909" s="47"/>
      <c r="T909" s="47"/>
      <c r="U909" s="47"/>
      <c r="V909" s="47"/>
      <c r="W909" s="47"/>
      <c r="X909" s="47"/>
      <c r="Y909" s="47"/>
      <c r="Z909" s="47"/>
      <c r="AA909" s="47"/>
      <c r="AB909" s="47"/>
      <c r="AC909" s="47"/>
      <c r="AD909" s="47"/>
      <c r="AE909" s="47"/>
      <c r="AF909" s="47"/>
      <c r="AG909" s="47"/>
      <c r="AH909" s="47"/>
      <c r="AI909" s="47"/>
      <c r="AJ909" s="47"/>
      <c r="AK909" s="47"/>
      <c r="AL909" s="47"/>
      <c r="AM909" s="47"/>
      <c r="AN909" s="47"/>
      <c r="AO909" s="47"/>
      <c r="AP909" s="47"/>
      <c r="AQ909" s="47"/>
      <c r="AR909" s="47"/>
      <c r="AS909" s="47"/>
      <c r="AT909" s="47"/>
      <c r="AU909" s="47"/>
      <c r="AV909" s="47"/>
      <c r="AW909" s="47"/>
      <c r="AX909" s="47"/>
      <c r="AY909" s="47"/>
      <c r="AZ909" s="532"/>
    </row>
    <row r="910" spans="1:52" ht="15.75" customHeight="1">
      <c r="A910" s="500"/>
      <c r="B910" s="477"/>
      <c r="C910" s="481"/>
      <c r="D910" s="47"/>
      <c r="E910" s="47"/>
      <c r="F910" s="478"/>
      <c r="G910" s="479"/>
      <c r="H910" s="9"/>
      <c r="I910" s="9"/>
      <c r="J910" s="505"/>
      <c r="K910" s="47"/>
      <c r="L910" s="47"/>
      <c r="M910" s="47"/>
      <c r="N910" s="9"/>
      <c r="O910" s="9"/>
      <c r="P910" s="9"/>
      <c r="Q910" s="47"/>
      <c r="R910" s="47"/>
      <c r="S910" s="47"/>
      <c r="T910" s="47"/>
      <c r="U910" s="47"/>
      <c r="V910" s="47"/>
      <c r="W910" s="47"/>
      <c r="X910" s="47"/>
      <c r="Y910" s="47"/>
      <c r="Z910" s="47"/>
      <c r="AA910" s="47"/>
      <c r="AB910" s="47"/>
      <c r="AC910" s="47"/>
      <c r="AD910" s="47"/>
      <c r="AE910" s="47"/>
      <c r="AF910" s="47"/>
      <c r="AG910" s="47"/>
      <c r="AH910" s="47"/>
      <c r="AI910" s="47"/>
      <c r="AJ910" s="47"/>
      <c r="AK910" s="47"/>
      <c r="AL910" s="47"/>
      <c r="AM910" s="47"/>
      <c r="AN910" s="47"/>
      <c r="AO910" s="47"/>
      <c r="AP910" s="47"/>
      <c r="AQ910" s="47"/>
      <c r="AR910" s="47"/>
      <c r="AS910" s="47"/>
      <c r="AT910" s="47"/>
      <c r="AU910" s="47"/>
      <c r="AV910" s="47"/>
      <c r="AW910" s="47"/>
      <c r="AX910" s="47"/>
      <c r="AY910" s="47"/>
      <c r="AZ910" s="532"/>
    </row>
    <row r="911" spans="1:52" ht="15.75" customHeight="1">
      <c r="A911" s="500"/>
      <c r="B911" s="477"/>
      <c r="C911" s="481"/>
      <c r="D911" s="47"/>
      <c r="E911" s="47"/>
      <c r="F911" s="478"/>
      <c r="G911" s="479"/>
      <c r="H911" s="9"/>
      <c r="I911" s="9"/>
      <c r="J911" s="505"/>
      <c r="K911" s="47"/>
      <c r="L911" s="47"/>
      <c r="M911" s="47"/>
      <c r="N911" s="9"/>
      <c r="O911" s="9"/>
      <c r="P911" s="9"/>
      <c r="Q911" s="47"/>
      <c r="R911" s="47"/>
      <c r="S911" s="47"/>
      <c r="T911" s="47"/>
      <c r="U911" s="47"/>
      <c r="V911" s="47"/>
      <c r="W911" s="47"/>
      <c r="X911" s="47"/>
      <c r="Y911" s="47"/>
      <c r="Z911" s="47"/>
      <c r="AA911" s="47"/>
      <c r="AB911" s="47"/>
      <c r="AC911" s="47"/>
      <c r="AD911" s="47"/>
      <c r="AE911" s="47"/>
      <c r="AF911" s="47"/>
      <c r="AG911" s="47"/>
      <c r="AH911" s="47"/>
      <c r="AI911" s="47"/>
      <c r="AJ911" s="47"/>
      <c r="AK911" s="47"/>
      <c r="AL911" s="47"/>
      <c r="AM911" s="47"/>
      <c r="AN911" s="47"/>
      <c r="AO911" s="47"/>
      <c r="AP911" s="47"/>
      <c r="AQ911" s="47"/>
      <c r="AR911" s="47"/>
      <c r="AS911" s="47"/>
      <c r="AT911" s="47"/>
      <c r="AU911" s="47"/>
      <c r="AV911" s="47"/>
      <c r="AW911" s="47"/>
      <c r="AX911" s="47"/>
      <c r="AY911" s="47"/>
      <c r="AZ911" s="532"/>
    </row>
    <row r="912" spans="1:52" ht="15.75" customHeight="1">
      <c r="A912" s="500"/>
      <c r="B912" s="477"/>
      <c r="C912" s="481"/>
      <c r="D912" s="47"/>
      <c r="E912" s="47"/>
      <c r="F912" s="478"/>
      <c r="G912" s="479"/>
      <c r="H912" s="9"/>
      <c r="I912" s="9"/>
      <c r="J912" s="505"/>
      <c r="K912" s="47"/>
      <c r="L912" s="47"/>
      <c r="M912" s="47"/>
      <c r="N912" s="9"/>
      <c r="O912" s="9"/>
      <c r="P912" s="9"/>
      <c r="Q912" s="47"/>
      <c r="R912" s="47"/>
      <c r="S912" s="47"/>
      <c r="T912" s="47"/>
      <c r="U912" s="47"/>
      <c r="V912" s="47"/>
      <c r="W912" s="47"/>
      <c r="X912" s="47"/>
      <c r="Y912" s="47"/>
      <c r="Z912" s="47"/>
      <c r="AA912" s="47"/>
      <c r="AB912" s="47"/>
      <c r="AC912" s="47"/>
      <c r="AD912" s="47"/>
      <c r="AE912" s="47"/>
      <c r="AF912" s="47"/>
      <c r="AG912" s="47"/>
      <c r="AH912" s="47"/>
      <c r="AI912" s="47"/>
      <c r="AJ912" s="47"/>
      <c r="AK912" s="47"/>
      <c r="AL912" s="47"/>
      <c r="AM912" s="47"/>
      <c r="AN912" s="47"/>
      <c r="AO912" s="47"/>
      <c r="AP912" s="47"/>
      <c r="AQ912" s="47"/>
      <c r="AR912" s="47"/>
      <c r="AS912" s="47"/>
      <c r="AT912" s="47"/>
      <c r="AU912" s="47"/>
      <c r="AV912" s="47"/>
      <c r="AW912" s="47"/>
      <c r="AX912" s="47"/>
      <c r="AY912" s="47"/>
      <c r="AZ912" s="532"/>
    </row>
    <row r="913" spans="1:52" ht="15.75" customHeight="1">
      <c r="A913" s="500"/>
      <c r="B913" s="477"/>
      <c r="C913" s="481"/>
      <c r="D913" s="47"/>
      <c r="E913" s="47"/>
      <c r="F913" s="478"/>
      <c r="G913" s="479"/>
      <c r="H913" s="9"/>
      <c r="I913" s="9"/>
      <c r="J913" s="505"/>
      <c r="K913" s="47"/>
      <c r="L913" s="47"/>
      <c r="M913" s="47"/>
      <c r="N913" s="9"/>
      <c r="O913" s="9"/>
      <c r="P913" s="9"/>
      <c r="Q913" s="47"/>
      <c r="R913" s="47"/>
      <c r="S913" s="47"/>
      <c r="T913" s="47"/>
      <c r="U913" s="47"/>
      <c r="V913" s="47"/>
      <c r="W913" s="47"/>
      <c r="X913" s="47"/>
      <c r="Y913" s="47"/>
      <c r="Z913" s="47"/>
      <c r="AA913" s="47"/>
      <c r="AB913" s="47"/>
      <c r="AC913" s="47"/>
      <c r="AD913" s="47"/>
      <c r="AE913" s="47"/>
      <c r="AF913" s="47"/>
      <c r="AG913" s="47"/>
      <c r="AH913" s="47"/>
      <c r="AI913" s="47"/>
      <c r="AJ913" s="47"/>
      <c r="AK913" s="47"/>
      <c r="AL913" s="47"/>
      <c r="AM913" s="47"/>
      <c r="AN913" s="47"/>
      <c r="AO913" s="47"/>
      <c r="AP913" s="47"/>
      <c r="AQ913" s="47"/>
      <c r="AR913" s="47"/>
      <c r="AS913" s="47"/>
      <c r="AT913" s="47"/>
      <c r="AU913" s="47"/>
      <c r="AV913" s="47"/>
      <c r="AW913" s="47"/>
      <c r="AX913" s="47"/>
      <c r="AY913" s="47"/>
      <c r="AZ913" s="532"/>
    </row>
    <row r="914" spans="1:52" ht="15.75" customHeight="1">
      <c r="A914" s="500"/>
      <c r="B914" s="477"/>
      <c r="C914" s="481"/>
      <c r="D914" s="47"/>
      <c r="E914" s="47"/>
      <c r="F914" s="478"/>
      <c r="G914" s="479"/>
      <c r="H914" s="9"/>
      <c r="I914" s="9"/>
      <c r="J914" s="505"/>
      <c r="K914" s="47"/>
      <c r="L914" s="47"/>
      <c r="M914" s="47"/>
      <c r="N914" s="9"/>
      <c r="O914" s="9"/>
      <c r="P914" s="9"/>
      <c r="Q914" s="47"/>
      <c r="R914" s="47"/>
      <c r="S914" s="47"/>
      <c r="T914" s="47"/>
      <c r="U914" s="47"/>
      <c r="V914" s="47"/>
      <c r="W914" s="47"/>
      <c r="X914" s="47"/>
      <c r="Y914" s="47"/>
      <c r="Z914" s="47"/>
      <c r="AA914" s="47"/>
      <c r="AB914" s="47"/>
      <c r="AC914" s="47"/>
      <c r="AD914" s="47"/>
      <c r="AE914" s="47"/>
      <c r="AF914" s="47"/>
      <c r="AG914" s="47"/>
      <c r="AH914" s="47"/>
      <c r="AI914" s="47"/>
      <c r="AJ914" s="47"/>
      <c r="AK914" s="47"/>
      <c r="AL914" s="47"/>
      <c r="AM914" s="47"/>
      <c r="AN914" s="47"/>
      <c r="AO914" s="47"/>
      <c r="AP914" s="47"/>
      <c r="AQ914" s="47"/>
      <c r="AR914" s="47"/>
      <c r="AS914" s="47"/>
      <c r="AT914" s="47"/>
      <c r="AU914" s="47"/>
      <c r="AV914" s="47"/>
      <c r="AW914" s="47"/>
      <c r="AX914" s="47"/>
      <c r="AY914" s="47"/>
      <c r="AZ914" s="532"/>
    </row>
    <row r="915" spans="1:52" ht="15.75" customHeight="1">
      <c r="A915" s="500"/>
      <c r="B915" s="477"/>
      <c r="C915" s="481"/>
      <c r="D915" s="47"/>
      <c r="E915" s="47"/>
      <c r="F915" s="478"/>
      <c r="G915" s="479"/>
      <c r="H915" s="9"/>
      <c r="I915" s="10"/>
      <c r="J915" s="505"/>
      <c r="K915" s="47"/>
      <c r="L915" s="47"/>
      <c r="M915" s="47"/>
      <c r="N915" s="9"/>
      <c r="O915" s="9"/>
      <c r="P915" s="9"/>
      <c r="Q915" s="47"/>
      <c r="R915" s="47"/>
      <c r="S915" s="47"/>
      <c r="T915" s="47"/>
      <c r="U915" s="47"/>
      <c r="V915" s="47"/>
      <c r="W915" s="47"/>
      <c r="X915" s="47"/>
      <c r="Y915" s="47"/>
      <c r="Z915" s="47"/>
      <c r="AA915" s="47"/>
      <c r="AB915" s="47"/>
      <c r="AC915" s="47"/>
      <c r="AD915" s="47"/>
      <c r="AE915" s="47"/>
      <c r="AF915" s="47"/>
      <c r="AG915" s="47"/>
      <c r="AH915" s="47"/>
      <c r="AI915" s="47"/>
      <c r="AJ915" s="47"/>
      <c r="AK915" s="47"/>
      <c r="AL915" s="47"/>
      <c r="AM915" s="47"/>
      <c r="AN915" s="47"/>
      <c r="AO915" s="47"/>
      <c r="AP915" s="47"/>
      <c r="AQ915" s="47"/>
      <c r="AR915" s="47"/>
      <c r="AS915" s="47"/>
      <c r="AT915" s="47"/>
      <c r="AU915" s="47"/>
      <c r="AV915" s="47"/>
      <c r="AW915" s="47"/>
      <c r="AX915" s="47"/>
      <c r="AY915" s="47"/>
      <c r="AZ915" s="532"/>
    </row>
    <row r="916" spans="1:52" ht="15.75" customHeight="1">
      <c r="A916" s="500"/>
      <c r="B916" s="477"/>
      <c r="C916" s="481"/>
      <c r="D916" s="47"/>
      <c r="E916" s="47"/>
      <c r="F916" s="478"/>
      <c r="G916" s="479"/>
      <c r="H916" s="9"/>
      <c r="I916" s="9"/>
      <c r="J916" s="505"/>
      <c r="K916" s="47"/>
      <c r="L916" s="47"/>
      <c r="M916" s="47"/>
      <c r="N916" s="9"/>
      <c r="O916" s="9"/>
      <c r="P916" s="9"/>
      <c r="Q916" s="47"/>
      <c r="R916" s="47"/>
      <c r="S916" s="47"/>
      <c r="T916" s="47"/>
      <c r="U916" s="47"/>
      <c r="V916" s="47"/>
      <c r="W916" s="47"/>
      <c r="X916" s="47"/>
      <c r="Y916" s="47"/>
      <c r="Z916" s="47"/>
      <c r="AA916" s="47"/>
      <c r="AB916" s="47"/>
      <c r="AC916" s="47"/>
      <c r="AD916" s="47"/>
      <c r="AE916" s="47"/>
      <c r="AF916" s="47"/>
      <c r="AG916" s="47"/>
      <c r="AH916" s="47"/>
      <c r="AI916" s="47"/>
      <c r="AJ916" s="47"/>
      <c r="AK916" s="47"/>
      <c r="AL916" s="47"/>
      <c r="AM916" s="47"/>
      <c r="AN916" s="47"/>
      <c r="AO916" s="47"/>
      <c r="AP916" s="47"/>
      <c r="AQ916" s="47"/>
      <c r="AR916" s="47"/>
      <c r="AS916" s="47"/>
      <c r="AT916" s="47"/>
      <c r="AU916" s="47"/>
      <c r="AV916" s="47"/>
      <c r="AW916" s="47"/>
      <c r="AX916" s="47"/>
      <c r="AY916" s="47"/>
      <c r="AZ916" s="532"/>
    </row>
    <row r="917" spans="1:52" ht="15.75" customHeight="1">
      <c r="A917" s="500"/>
      <c r="B917" s="477"/>
      <c r="C917" s="481"/>
      <c r="D917" s="47"/>
      <c r="E917" s="47"/>
      <c r="F917" s="478"/>
      <c r="G917" s="479"/>
      <c r="H917" s="9"/>
      <c r="I917" s="10"/>
      <c r="J917" s="505"/>
      <c r="K917" s="47"/>
      <c r="L917" s="47"/>
      <c r="M917" s="47"/>
      <c r="N917" s="9"/>
      <c r="O917" s="9"/>
      <c r="P917" s="9"/>
      <c r="Q917" s="47"/>
      <c r="R917" s="47"/>
      <c r="S917" s="47"/>
      <c r="T917" s="47"/>
      <c r="U917" s="47"/>
      <c r="V917" s="47"/>
      <c r="W917" s="47"/>
      <c r="X917" s="47"/>
      <c r="Y917" s="47"/>
      <c r="Z917" s="47"/>
      <c r="AA917" s="47"/>
      <c r="AB917" s="47"/>
      <c r="AC917" s="47"/>
      <c r="AD917" s="47"/>
      <c r="AE917" s="47"/>
      <c r="AF917" s="47"/>
      <c r="AG917" s="47"/>
      <c r="AH917" s="47"/>
      <c r="AI917" s="47"/>
      <c r="AJ917" s="47"/>
      <c r="AK917" s="47"/>
      <c r="AL917" s="47"/>
      <c r="AM917" s="47"/>
      <c r="AN917" s="47"/>
      <c r="AO917" s="47"/>
      <c r="AP917" s="47"/>
      <c r="AQ917" s="47"/>
      <c r="AR917" s="47"/>
      <c r="AS917" s="47"/>
      <c r="AT917" s="47"/>
      <c r="AU917" s="47"/>
      <c r="AV917" s="47"/>
      <c r="AW917" s="47"/>
      <c r="AX917" s="47"/>
      <c r="AY917" s="47"/>
      <c r="AZ917" s="532"/>
    </row>
    <row r="918" spans="1:52" ht="15.75" customHeight="1">
      <c r="A918" s="500"/>
      <c r="B918" s="477"/>
      <c r="C918" s="481"/>
      <c r="D918" s="47"/>
      <c r="E918" s="47"/>
      <c r="F918" s="478"/>
      <c r="G918" s="479"/>
      <c r="H918" s="9"/>
      <c r="I918" s="9"/>
      <c r="J918" s="505"/>
      <c r="K918" s="47"/>
      <c r="L918" s="47"/>
      <c r="M918" s="47"/>
      <c r="N918" s="9"/>
      <c r="O918" s="9"/>
      <c r="P918" s="9"/>
      <c r="Q918" s="47"/>
      <c r="R918" s="47"/>
      <c r="S918" s="47"/>
      <c r="T918" s="47"/>
      <c r="U918" s="47"/>
      <c r="V918" s="47"/>
      <c r="W918" s="47"/>
      <c r="X918" s="47"/>
      <c r="Y918" s="47"/>
      <c r="Z918" s="47"/>
      <c r="AA918" s="47"/>
      <c r="AB918" s="47"/>
      <c r="AC918" s="47"/>
      <c r="AD918" s="47"/>
      <c r="AE918" s="47"/>
      <c r="AF918" s="47"/>
      <c r="AG918" s="47"/>
      <c r="AH918" s="47"/>
      <c r="AI918" s="47"/>
      <c r="AJ918" s="47"/>
      <c r="AK918" s="47"/>
      <c r="AL918" s="47"/>
      <c r="AM918" s="47"/>
      <c r="AN918" s="47"/>
      <c r="AO918" s="47"/>
      <c r="AP918" s="47"/>
      <c r="AQ918" s="47"/>
      <c r="AR918" s="47"/>
      <c r="AS918" s="47"/>
      <c r="AT918" s="47"/>
      <c r="AU918" s="47"/>
      <c r="AV918" s="47"/>
      <c r="AW918" s="47"/>
      <c r="AX918" s="47"/>
      <c r="AY918" s="47"/>
      <c r="AZ918" s="532"/>
    </row>
    <row r="919" spans="1:52" ht="15.75" customHeight="1">
      <c r="A919" s="500"/>
      <c r="B919" s="477"/>
      <c r="C919" s="481"/>
      <c r="D919" s="47"/>
      <c r="E919" s="47"/>
      <c r="F919" s="478"/>
      <c r="G919" s="479"/>
      <c r="H919" s="9"/>
      <c r="I919" s="9"/>
      <c r="J919" s="505"/>
      <c r="K919" s="47"/>
      <c r="L919" s="47"/>
      <c r="M919" s="47"/>
      <c r="N919" s="9"/>
      <c r="O919" s="9"/>
      <c r="P919" s="9"/>
      <c r="Q919" s="47"/>
      <c r="R919" s="47"/>
      <c r="S919" s="47"/>
      <c r="T919" s="47"/>
      <c r="U919" s="47"/>
      <c r="V919" s="47"/>
      <c r="W919" s="47"/>
      <c r="X919" s="47"/>
      <c r="Y919" s="47"/>
      <c r="Z919" s="47"/>
      <c r="AA919" s="47"/>
      <c r="AB919" s="47"/>
      <c r="AC919" s="47"/>
      <c r="AD919" s="47"/>
      <c r="AE919" s="47"/>
      <c r="AF919" s="47"/>
      <c r="AG919" s="47"/>
      <c r="AH919" s="47"/>
      <c r="AI919" s="47"/>
      <c r="AJ919" s="47"/>
      <c r="AK919" s="47"/>
      <c r="AL919" s="47"/>
      <c r="AM919" s="47"/>
      <c r="AN919" s="47"/>
      <c r="AO919" s="47"/>
      <c r="AP919" s="47"/>
      <c r="AQ919" s="47"/>
      <c r="AR919" s="47"/>
      <c r="AS919" s="47"/>
      <c r="AT919" s="47"/>
      <c r="AU919" s="47"/>
      <c r="AV919" s="47"/>
      <c r="AW919" s="47"/>
      <c r="AX919" s="47"/>
      <c r="AY919" s="47"/>
      <c r="AZ919" s="532"/>
    </row>
    <row r="920" spans="1:52" ht="15.75" customHeight="1">
      <c r="A920" s="500"/>
      <c r="B920" s="477"/>
      <c r="C920" s="481"/>
      <c r="D920" s="47"/>
      <c r="E920" s="47"/>
      <c r="F920" s="478"/>
      <c r="G920" s="479"/>
      <c r="H920" s="9"/>
      <c r="I920" s="10"/>
      <c r="J920" s="505"/>
      <c r="K920" s="47"/>
      <c r="L920" s="47"/>
      <c r="M920" s="47"/>
      <c r="N920" s="9"/>
      <c r="O920" s="9"/>
      <c r="P920" s="9"/>
      <c r="Q920" s="47"/>
      <c r="R920" s="47"/>
      <c r="S920" s="47"/>
      <c r="T920" s="47"/>
      <c r="U920" s="47"/>
      <c r="V920" s="47"/>
      <c r="W920" s="47"/>
      <c r="X920" s="47"/>
      <c r="Y920" s="47"/>
      <c r="Z920" s="47"/>
      <c r="AA920" s="47"/>
      <c r="AB920" s="47"/>
      <c r="AC920" s="47"/>
      <c r="AD920" s="47"/>
      <c r="AE920" s="47"/>
      <c r="AF920" s="47"/>
      <c r="AG920" s="47"/>
      <c r="AH920" s="47"/>
      <c r="AI920" s="47"/>
      <c r="AJ920" s="47"/>
      <c r="AK920" s="47"/>
      <c r="AL920" s="47"/>
      <c r="AM920" s="47"/>
      <c r="AN920" s="47"/>
      <c r="AO920" s="47"/>
      <c r="AP920" s="47"/>
      <c r="AQ920" s="47"/>
      <c r="AR920" s="47"/>
      <c r="AS920" s="47"/>
      <c r="AT920" s="47"/>
      <c r="AU920" s="47"/>
      <c r="AV920" s="47"/>
      <c r="AW920" s="47"/>
      <c r="AX920" s="47"/>
      <c r="AY920" s="47"/>
      <c r="AZ920" s="532"/>
    </row>
    <row r="921" spans="1:52" ht="15.75" customHeight="1">
      <c r="A921" s="500"/>
      <c r="B921" s="477"/>
      <c r="C921" s="481"/>
      <c r="D921" s="47"/>
      <c r="E921" s="47"/>
      <c r="F921" s="478"/>
      <c r="G921" s="479"/>
      <c r="H921" s="9"/>
      <c r="I921" s="9"/>
      <c r="J921" s="505"/>
      <c r="K921" s="47"/>
      <c r="L921" s="47"/>
      <c r="M921" s="47"/>
      <c r="N921" s="9"/>
      <c r="O921" s="9"/>
      <c r="P921" s="9"/>
      <c r="Q921" s="47"/>
      <c r="R921" s="47"/>
      <c r="S921" s="47"/>
      <c r="T921" s="47"/>
      <c r="U921" s="47"/>
      <c r="V921" s="47"/>
      <c r="W921" s="47"/>
      <c r="X921" s="47"/>
      <c r="Y921" s="47"/>
      <c r="Z921" s="47"/>
      <c r="AA921" s="47"/>
      <c r="AB921" s="47"/>
      <c r="AC921" s="47"/>
      <c r="AD921" s="47"/>
      <c r="AE921" s="47"/>
      <c r="AF921" s="47"/>
      <c r="AG921" s="47"/>
      <c r="AH921" s="47"/>
      <c r="AI921" s="47"/>
      <c r="AJ921" s="47"/>
      <c r="AK921" s="47"/>
      <c r="AL921" s="47"/>
      <c r="AM921" s="47"/>
      <c r="AN921" s="47"/>
      <c r="AO921" s="47"/>
      <c r="AP921" s="47"/>
      <c r="AQ921" s="47"/>
      <c r="AR921" s="47"/>
      <c r="AS921" s="47"/>
      <c r="AT921" s="47"/>
      <c r="AU921" s="47"/>
      <c r="AV921" s="47"/>
      <c r="AW921" s="47"/>
      <c r="AX921" s="47"/>
      <c r="AY921" s="47"/>
      <c r="AZ921" s="532"/>
    </row>
    <row r="922" spans="1:52" ht="15.75" customHeight="1">
      <c r="A922" s="500"/>
      <c r="B922" s="477"/>
      <c r="C922" s="481"/>
      <c r="D922" s="47"/>
      <c r="E922" s="47"/>
      <c r="F922" s="478"/>
      <c r="G922" s="479"/>
      <c r="H922" s="9"/>
      <c r="I922" s="10"/>
      <c r="J922" s="505"/>
      <c r="K922" s="47"/>
      <c r="L922" s="47"/>
      <c r="M922" s="47"/>
      <c r="N922" s="9"/>
      <c r="O922" s="9"/>
      <c r="P922" s="9"/>
      <c r="Q922" s="47"/>
      <c r="R922" s="47"/>
      <c r="S922" s="47"/>
      <c r="T922" s="47"/>
      <c r="U922" s="47"/>
      <c r="V922" s="47"/>
      <c r="W922" s="47"/>
      <c r="X922" s="47"/>
      <c r="Y922" s="47"/>
      <c r="Z922" s="47"/>
      <c r="AA922" s="47"/>
      <c r="AB922" s="47"/>
      <c r="AC922" s="47"/>
      <c r="AD922" s="47"/>
      <c r="AE922" s="47"/>
      <c r="AF922" s="47"/>
      <c r="AG922" s="47"/>
      <c r="AH922" s="47"/>
      <c r="AI922" s="47"/>
      <c r="AJ922" s="47"/>
      <c r="AK922" s="47"/>
      <c r="AL922" s="47"/>
      <c r="AM922" s="47"/>
      <c r="AN922" s="47"/>
      <c r="AO922" s="47"/>
      <c r="AP922" s="47"/>
      <c r="AQ922" s="47"/>
      <c r="AR922" s="47"/>
      <c r="AS922" s="47"/>
      <c r="AT922" s="47"/>
      <c r="AU922" s="47"/>
      <c r="AV922" s="47"/>
      <c r="AW922" s="47"/>
      <c r="AX922" s="47"/>
      <c r="AY922" s="47"/>
      <c r="AZ922" s="532"/>
    </row>
    <row r="923" spans="1:52" ht="15.75" customHeight="1">
      <c r="A923" s="500"/>
      <c r="B923" s="477"/>
      <c r="C923" s="481"/>
      <c r="D923" s="47"/>
      <c r="E923" s="47"/>
      <c r="F923" s="478"/>
      <c r="G923" s="479"/>
      <c r="H923" s="9"/>
      <c r="I923" s="9"/>
      <c r="J923" s="505"/>
      <c r="K923" s="47"/>
      <c r="L923" s="47"/>
      <c r="M923" s="47"/>
      <c r="N923" s="9"/>
      <c r="O923" s="9"/>
      <c r="P923" s="9"/>
      <c r="Q923" s="47"/>
      <c r="R923" s="47"/>
      <c r="S923" s="47"/>
      <c r="T923" s="47"/>
      <c r="U923" s="47"/>
      <c r="V923" s="47"/>
      <c r="W923" s="47"/>
      <c r="X923" s="47"/>
      <c r="Y923" s="47"/>
      <c r="Z923" s="47"/>
      <c r="AA923" s="47"/>
      <c r="AB923" s="47"/>
      <c r="AC923" s="47"/>
      <c r="AD923" s="47"/>
      <c r="AE923" s="47"/>
      <c r="AF923" s="47"/>
      <c r="AG923" s="47"/>
      <c r="AH923" s="47"/>
      <c r="AI923" s="47"/>
      <c r="AJ923" s="47"/>
      <c r="AK923" s="47"/>
      <c r="AL923" s="47"/>
      <c r="AM923" s="47"/>
      <c r="AN923" s="47"/>
      <c r="AO923" s="47"/>
      <c r="AP923" s="47"/>
      <c r="AQ923" s="47"/>
      <c r="AR923" s="47"/>
      <c r="AS923" s="47"/>
      <c r="AT923" s="47"/>
      <c r="AU923" s="47"/>
      <c r="AV923" s="47"/>
      <c r="AW923" s="47"/>
      <c r="AX923" s="47"/>
      <c r="AY923" s="47"/>
      <c r="AZ923" s="532"/>
    </row>
    <row r="924" spans="1:52" ht="15.75" customHeight="1">
      <c r="A924" s="500"/>
      <c r="B924" s="477"/>
      <c r="C924" s="481"/>
      <c r="D924" s="47"/>
      <c r="E924" s="47"/>
      <c r="F924" s="478"/>
      <c r="G924" s="479"/>
      <c r="H924" s="9"/>
      <c r="I924" s="10"/>
      <c r="J924" s="505"/>
      <c r="K924" s="47"/>
      <c r="L924" s="47"/>
      <c r="M924" s="47"/>
      <c r="N924" s="9"/>
      <c r="O924" s="9"/>
      <c r="P924" s="9"/>
      <c r="Q924" s="47"/>
      <c r="R924" s="47"/>
      <c r="S924" s="47"/>
      <c r="T924" s="47"/>
      <c r="U924" s="47"/>
      <c r="V924" s="47"/>
      <c r="W924" s="47"/>
      <c r="X924" s="47"/>
      <c r="Y924" s="47"/>
      <c r="Z924" s="47"/>
      <c r="AA924" s="47"/>
      <c r="AB924" s="47"/>
      <c r="AC924" s="47"/>
      <c r="AD924" s="47"/>
      <c r="AE924" s="47"/>
      <c r="AF924" s="47"/>
      <c r="AG924" s="47"/>
      <c r="AH924" s="47"/>
      <c r="AI924" s="47"/>
      <c r="AJ924" s="47"/>
      <c r="AK924" s="47"/>
      <c r="AL924" s="47"/>
      <c r="AM924" s="47"/>
      <c r="AN924" s="47"/>
      <c r="AO924" s="47"/>
      <c r="AP924" s="47"/>
      <c r="AQ924" s="47"/>
      <c r="AR924" s="47"/>
      <c r="AS924" s="47"/>
      <c r="AT924" s="47"/>
      <c r="AU924" s="47"/>
      <c r="AV924" s="47"/>
      <c r="AW924" s="47"/>
      <c r="AX924" s="47"/>
      <c r="AY924" s="47"/>
      <c r="AZ924" s="532"/>
    </row>
    <row r="925" spans="1:52" ht="15.75" customHeight="1">
      <c r="A925" s="500"/>
      <c r="B925" s="477"/>
      <c r="C925" s="481"/>
      <c r="D925" s="47"/>
      <c r="E925" s="47"/>
      <c r="F925" s="478"/>
      <c r="G925" s="479"/>
      <c r="H925" s="9"/>
      <c r="I925" s="9"/>
      <c r="J925" s="505"/>
      <c r="K925" s="47"/>
      <c r="L925" s="47"/>
      <c r="M925" s="47"/>
      <c r="N925" s="9"/>
      <c r="O925" s="9"/>
      <c r="P925" s="9"/>
      <c r="Q925" s="47"/>
      <c r="R925" s="47"/>
      <c r="S925" s="47"/>
      <c r="T925" s="47"/>
      <c r="U925" s="47"/>
      <c r="V925" s="47"/>
      <c r="W925" s="47"/>
      <c r="X925" s="47"/>
      <c r="Y925" s="47"/>
      <c r="Z925" s="47"/>
      <c r="AA925" s="47"/>
      <c r="AB925" s="47"/>
      <c r="AC925" s="47"/>
      <c r="AD925" s="47"/>
      <c r="AE925" s="47"/>
      <c r="AF925" s="47"/>
      <c r="AG925" s="47"/>
      <c r="AH925" s="47"/>
      <c r="AI925" s="47"/>
      <c r="AJ925" s="47"/>
      <c r="AK925" s="47"/>
      <c r="AL925" s="47"/>
      <c r="AM925" s="47"/>
      <c r="AN925" s="47"/>
      <c r="AO925" s="47"/>
      <c r="AP925" s="47"/>
      <c r="AQ925" s="47"/>
      <c r="AR925" s="47"/>
      <c r="AS925" s="47"/>
      <c r="AT925" s="47"/>
      <c r="AU925" s="47"/>
      <c r="AV925" s="47"/>
      <c r="AW925" s="47"/>
      <c r="AX925" s="47"/>
      <c r="AY925" s="47"/>
      <c r="AZ925" s="532"/>
    </row>
    <row r="926" spans="1:52" ht="15.75" customHeight="1">
      <c r="A926" s="500"/>
      <c r="B926" s="477"/>
      <c r="C926" s="481"/>
      <c r="D926" s="47"/>
      <c r="E926" s="47"/>
      <c r="F926" s="478"/>
      <c r="G926" s="479"/>
      <c r="H926" s="9"/>
      <c r="I926" s="9"/>
      <c r="J926" s="505"/>
      <c r="K926" s="47"/>
      <c r="L926" s="47"/>
      <c r="M926" s="47"/>
      <c r="N926" s="9"/>
      <c r="O926" s="9"/>
      <c r="P926" s="9"/>
      <c r="Q926" s="47"/>
      <c r="R926" s="47"/>
      <c r="S926" s="47"/>
      <c r="T926" s="47"/>
      <c r="U926" s="47"/>
      <c r="V926" s="47"/>
      <c r="W926" s="47"/>
      <c r="X926" s="47"/>
      <c r="Y926" s="47"/>
      <c r="Z926" s="47"/>
      <c r="AA926" s="47"/>
      <c r="AB926" s="47"/>
      <c r="AC926" s="47"/>
      <c r="AD926" s="47"/>
      <c r="AE926" s="47"/>
      <c r="AF926" s="47"/>
      <c r="AG926" s="47"/>
      <c r="AH926" s="47"/>
      <c r="AI926" s="47"/>
      <c r="AJ926" s="47"/>
      <c r="AK926" s="47"/>
      <c r="AL926" s="47"/>
      <c r="AM926" s="47"/>
      <c r="AN926" s="47"/>
      <c r="AO926" s="47"/>
      <c r="AP926" s="47"/>
      <c r="AQ926" s="47"/>
      <c r="AR926" s="47"/>
      <c r="AS926" s="47"/>
      <c r="AT926" s="47"/>
      <c r="AU926" s="47"/>
      <c r="AV926" s="47"/>
      <c r="AW926" s="47"/>
      <c r="AX926" s="47"/>
      <c r="AY926" s="47"/>
      <c r="AZ926" s="532"/>
    </row>
    <row r="927" spans="1:52" ht="15.75" customHeight="1">
      <c r="A927" s="500"/>
      <c r="B927" s="477"/>
      <c r="C927" s="481"/>
      <c r="D927" s="47"/>
      <c r="E927" s="47"/>
      <c r="F927" s="478"/>
      <c r="G927" s="479"/>
      <c r="H927" s="9"/>
      <c r="I927" s="10"/>
      <c r="J927" s="505"/>
      <c r="K927" s="47"/>
      <c r="L927" s="47"/>
      <c r="M927" s="47"/>
      <c r="N927" s="9"/>
      <c r="O927" s="9"/>
      <c r="P927" s="9"/>
      <c r="Q927" s="47"/>
      <c r="R927" s="47"/>
      <c r="S927" s="47"/>
      <c r="T927" s="47"/>
      <c r="U927" s="47"/>
      <c r="V927" s="47"/>
      <c r="W927" s="47"/>
      <c r="X927" s="47"/>
      <c r="Y927" s="47"/>
      <c r="Z927" s="47"/>
      <c r="AA927" s="47"/>
      <c r="AB927" s="47"/>
      <c r="AC927" s="47"/>
      <c r="AD927" s="47"/>
      <c r="AE927" s="47"/>
      <c r="AF927" s="47"/>
      <c r="AG927" s="47"/>
      <c r="AH927" s="47"/>
      <c r="AI927" s="47"/>
      <c r="AJ927" s="47"/>
      <c r="AK927" s="47"/>
      <c r="AL927" s="47"/>
      <c r="AM927" s="47"/>
      <c r="AN927" s="47"/>
      <c r="AO927" s="47"/>
      <c r="AP927" s="47"/>
      <c r="AQ927" s="47"/>
      <c r="AR927" s="47"/>
      <c r="AS927" s="47"/>
      <c r="AT927" s="47"/>
      <c r="AU927" s="47"/>
      <c r="AV927" s="47"/>
      <c r="AW927" s="47"/>
      <c r="AX927" s="47"/>
      <c r="AY927" s="47"/>
      <c r="AZ927" s="532"/>
    </row>
    <row r="928" spans="1:52" ht="15.75" customHeight="1">
      <c r="A928" s="500"/>
      <c r="B928" s="477"/>
      <c r="C928" s="481"/>
      <c r="D928" s="47"/>
      <c r="E928" s="47"/>
      <c r="F928" s="478"/>
      <c r="G928" s="479"/>
      <c r="H928" s="9"/>
      <c r="I928" s="9"/>
      <c r="J928" s="505"/>
      <c r="K928" s="47"/>
      <c r="L928" s="47"/>
      <c r="M928" s="47"/>
      <c r="N928" s="9"/>
      <c r="O928" s="9"/>
      <c r="P928" s="9"/>
      <c r="Q928" s="47"/>
      <c r="R928" s="47"/>
      <c r="S928" s="47"/>
      <c r="T928" s="47"/>
      <c r="U928" s="47"/>
      <c r="V928" s="47"/>
      <c r="W928" s="47"/>
      <c r="X928" s="47"/>
      <c r="Y928" s="47"/>
      <c r="Z928" s="47"/>
      <c r="AA928" s="47"/>
      <c r="AB928" s="47"/>
      <c r="AC928" s="47"/>
      <c r="AD928" s="47"/>
      <c r="AE928" s="47"/>
      <c r="AF928" s="47"/>
      <c r="AG928" s="47"/>
      <c r="AH928" s="47"/>
      <c r="AI928" s="47"/>
      <c r="AJ928" s="47"/>
      <c r="AK928" s="47"/>
      <c r="AL928" s="47"/>
      <c r="AM928" s="47"/>
      <c r="AN928" s="47"/>
      <c r="AO928" s="47"/>
      <c r="AP928" s="47"/>
      <c r="AQ928" s="47"/>
      <c r="AR928" s="47"/>
      <c r="AS928" s="47"/>
      <c r="AT928" s="47"/>
      <c r="AU928" s="47"/>
      <c r="AV928" s="47"/>
      <c r="AW928" s="47"/>
      <c r="AX928" s="47"/>
      <c r="AY928" s="47"/>
      <c r="AZ928" s="532"/>
    </row>
    <row r="929" spans="1:52" ht="15.75" customHeight="1">
      <c r="A929" s="500"/>
      <c r="B929" s="477"/>
      <c r="C929" s="481"/>
      <c r="D929" s="47"/>
      <c r="E929" s="47"/>
      <c r="F929" s="478"/>
      <c r="G929" s="479"/>
      <c r="H929" s="9"/>
      <c r="I929" s="10"/>
      <c r="J929" s="505"/>
      <c r="K929" s="47"/>
      <c r="L929" s="47"/>
      <c r="M929" s="47"/>
      <c r="N929" s="9"/>
      <c r="O929" s="9"/>
      <c r="P929" s="9"/>
      <c r="Q929" s="47"/>
      <c r="R929" s="47"/>
      <c r="S929" s="47"/>
      <c r="T929" s="47"/>
      <c r="U929" s="47"/>
      <c r="V929" s="47"/>
      <c r="W929" s="47"/>
      <c r="X929" s="47"/>
      <c r="Y929" s="47"/>
      <c r="Z929" s="47"/>
      <c r="AA929" s="47"/>
      <c r="AB929" s="47"/>
      <c r="AC929" s="47"/>
      <c r="AD929" s="47"/>
      <c r="AE929" s="47"/>
      <c r="AF929" s="47"/>
      <c r="AG929" s="47"/>
      <c r="AH929" s="47"/>
      <c r="AI929" s="47"/>
      <c r="AJ929" s="47"/>
      <c r="AK929" s="47"/>
      <c r="AL929" s="47"/>
      <c r="AM929" s="47"/>
      <c r="AN929" s="47"/>
      <c r="AO929" s="47"/>
      <c r="AP929" s="47"/>
      <c r="AQ929" s="47"/>
      <c r="AR929" s="47"/>
      <c r="AS929" s="47"/>
      <c r="AT929" s="47"/>
      <c r="AU929" s="47"/>
      <c r="AV929" s="47"/>
      <c r="AW929" s="47"/>
      <c r="AX929" s="47"/>
      <c r="AY929" s="47"/>
      <c r="AZ929" s="532"/>
    </row>
    <row r="930" spans="1:52" ht="15.75" customHeight="1">
      <c r="A930" s="500"/>
      <c r="B930" s="477"/>
      <c r="C930" s="481"/>
      <c r="D930" s="47"/>
      <c r="E930" s="47"/>
      <c r="F930" s="478"/>
      <c r="G930" s="479"/>
      <c r="H930" s="9"/>
      <c r="I930" s="9"/>
      <c r="J930" s="505"/>
      <c r="K930" s="47"/>
      <c r="L930" s="47"/>
      <c r="M930" s="47"/>
      <c r="N930" s="9"/>
      <c r="O930" s="9"/>
      <c r="P930" s="9"/>
      <c r="Q930" s="47"/>
      <c r="R930" s="47"/>
      <c r="S930" s="47"/>
      <c r="T930" s="47"/>
      <c r="U930" s="47"/>
      <c r="V930" s="47"/>
      <c r="W930" s="47"/>
      <c r="X930" s="47"/>
      <c r="Y930" s="47"/>
      <c r="Z930" s="47"/>
      <c r="AA930" s="47"/>
      <c r="AB930" s="47"/>
      <c r="AC930" s="47"/>
      <c r="AD930" s="47"/>
      <c r="AE930" s="47"/>
      <c r="AF930" s="47"/>
      <c r="AG930" s="47"/>
      <c r="AH930" s="47"/>
      <c r="AI930" s="47"/>
      <c r="AJ930" s="47"/>
      <c r="AK930" s="47"/>
      <c r="AL930" s="47"/>
      <c r="AM930" s="47"/>
      <c r="AN930" s="47"/>
      <c r="AO930" s="47"/>
      <c r="AP930" s="47"/>
      <c r="AQ930" s="47"/>
      <c r="AR930" s="47"/>
      <c r="AS930" s="47"/>
      <c r="AT930" s="47"/>
      <c r="AU930" s="47"/>
      <c r="AV930" s="47"/>
      <c r="AW930" s="47"/>
      <c r="AX930" s="47"/>
      <c r="AY930" s="47"/>
      <c r="AZ930" s="532"/>
    </row>
    <row r="931" spans="1:52" ht="15.75" customHeight="1">
      <c r="A931" s="500"/>
      <c r="B931" s="477"/>
      <c r="C931" s="481"/>
      <c r="D931" s="47"/>
      <c r="E931" s="47"/>
      <c r="F931" s="478"/>
      <c r="G931" s="479"/>
      <c r="H931" s="9"/>
      <c r="I931" s="9"/>
      <c r="J931" s="505"/>
      <c r="K931" s="47"/>
      <c r="L931" s="47"/>
      <c r="M931" s="47"/>
      <c r="N931" s="9"/>
      <c r="O931" s="9"/>
      <c r="P931" s="9"/>
      <c r="Q931" s="47"/>
      <c r="R931" s="47"/>
      <c r="S931" s="47"/>
      <c r="T931" s="47"/>
      <c r="U931" s="47"/>
      <c r="V931" s="47"/>
      <c r="W931" s="47"/>
      <c r="X931" s="47"/>
      <c r="Y931" s="47"/>
      <c r="Z931" s="47"/>
      <c r="AA931" s="47"/>
      <c r="AB931" s="47"/>
      <c r="AC931" s="47"/>
      <c r="AD931" s="47"/>
      <c r="AE931" s="47"/>
      <c r="AF931" s="47"/>
      <c r="AG931" s="47"/>
      <c r="AH931" s="47"/>
      <c r="AI931" s="47"/>
      <c r="AJ931" s="47"/>
      <c r="AK931" s="47"/>
      <c r="AL931" s="47"/>
      <c r="AM931" s="47"/>
      <c r="AN931" s="47"/>
      <c r="AO931" s="47"/>
      <c r="AP931" s="47"/>
      <c r="AQ931" s="47"/>
      <c r="AR931" s="47"/>
      <c r="AS931" s="47"/>
      <c r="AT931" s="47"/>
      <c r="AU931" s="47"/>
      <c r="AV931" s="47"/>
      <c r="AW931" s="47"/>
      <c r="AX931" s="47"/>
      <c r="AY931" s="47"/>
      <c r="AZ931" s="532"/>
    </row>
    <row r="932" spans="1:52" ht="15.75" customHeight="1">
      <c r="A932" s="500"/>
      <c r="B932" s="477"/>
      <c r="C932" s="481"/>
      <c r="D932" s="47"/>
      <c r="E932" s="47"/>
      <c r="F932" s="478"/>
      <c r="G932" s="479"/>
      <c r="H932" s="9"/>
      <c r="I932" s="9"/>
      <c r="J932" s="505"/>
      <c r="K932" s="47"/>
      <c r="L932" s="47"/>
      <c r="M932" s="47"/>
      <c r="N932" s="9"/>
      <c r="O932" s="9"/>
      <c r="P932" s="9"/>
      <c r="Q932" s="47"/>
      <c r="R932" s="47"/>
      <c r="S932" s="47"/>
      <c r="T932" s="47"/>
      <c r="U932" s="47"/>
      <c r="V932" s="47"/>
      <c r="W932" s="47"/>
      <c r="X932" s="47"/>
      <c r="Y932" s="47"/>
      <c r="Z932" s="47"/>
      <c r="AA932" s="47"/>
      <c r="AB932" s="47"/>
      <c r="AC932" s="47"/>
      <c r="AD932" s="47"/>
      <c r="AE932" s="47"/>
      <c r="AF932" s="47"/>
      <c r="AG932" s="47"/>
      <c r="AH932" s="47"/>
      <c r="AI932" s="47"/>
      <c r="AJ932" s="47"/>
      <c r="AK932" s="47"/>
      <c r="AL932" s="47"/>
      <c r="AM932" s="47"/>
      <c r="AN932" s="47"/>
      <c r="AO932" s="47"/>
      <c r="AP932" s="47"/>
      <c r="AQ932" s="47"/>
      <c r="AR932" s="47"/>
      <c r="AS932" s="47"/>
      <c r="AT932" s="47"/>
      <c r="AU932" s="47"/>
      <c r="AV932" s="47"/>
      <c r="AW932" s="47"/>
      <c r="AX932" s="47"/>
      <c r="AY932" s="47"/>
      <c r="AZ932" s="532"/>
    </row>
    <row r="933" spans="1:52" ht="15.75" customHeight="1">
      <c r="A933" s="500"/>
      <c r="B933" s="477"/>
      <c r="C933" s="481"/>
      <c r="D933" s="47"/>
      <c r="E933" s="47"/>
      <c r="F933" s="478"/>
      <c r="G933" s="479"/>
      <c r="H933" s="9"/>
      <c r="I933" s="9"/>
      <c r="J933" s="505"/>
      <c r="K933" s="47"/>
      <c r="L933" s="47"/>
      <c r="M933" s="47"/>
      <c r="N933" s="9"/>
      <c r="O933" s="9"/>
      <c r="P933" s="9"/>
      <c r="Q933" s="47"/>
      <c r="R933" s="47"/>
      <c r="S933" s="47"/>
      <c r="T933" s="47"/>
      <c r="U933" s="47"/>
      <c r="V933" s="47"/>
      <c r="W933" s="47"/>
      <c r="X933" s="47"/>
      <c r="Y933" s="47"/>
      <c r="Z933" s="47"/>
      <c r="AA933" s="47"/>
      <c r="AB933" s="47"/>
      <c r="AC933" s="47"/>
      <c r="AD933" s="47"/>
      <c r="AE933" s="47"/>
      <c r="AF933" s="47"/>
      <c r="AG933" s="47"/>
      <c r="AH933" s="47"/>
      <c r="AI933" s="47"/>
      <c r="AJ933" s="47"/>
      <c r="AK933" s="47"/>
      <c r="AL933" s="47"/>
      <c r="AM933" s="47"/>
      <c r="AN933" s="47"/>
      <c r="AO933" s="47"/>
      <c r="AP933" s="47"/>
      <c r="AQ933" s="47"/>
      <c r="AR933" s="47"/>
      <c r="AS933" s="47"/>
      <c r="AT933" s="47"/>
      <c r="AU933" s="47"/>
      <c r="AV933" s="47"/>
      <c r="AW933" s="47"/>
      <c r="AX933" s="47"/>
      <c r="AY933" s="47"/>
      <c r="AZ933" s="532"/>
    </row>
    <row r="934" spans="1:52" ht="15.75" customHeight="1">
      <c r="A934" s="500"/>
      <c r="B934" s="477"/>
      <c r="C934" s="481"/>
      <c r="D934" s="47"/>
      <c r="E934" s="47"/>
      <c r="F934" s="478"/>
      <c r="G934" s="479"/>
      <c r="H934" s="9"/>
      <c r="I934" s="9"/>
      <c r="J934" s="505"/>
      <c r="K934" s="47"/>
      <c r="L934" s="47"/>
      <c r="M934" s="47"/>
      <c r="N934" s="9"/>
      <c r="O934" s="9"/>
      <c r="P934" s="9"/>
      <c r="Q934" s="47"/>
      <c r="R934" s="47"/>
      <c r="S934" s="47"/>
      <c r="T934" s="47"/>
      <c r="U934" s="47"/>
      <c r="V934" s="47"/>
      <c r="W934" s="47"/>
      <c r="X934" s="47"/>
      <c r="Y934" s="47"/>
      <c r="Z934" s="47"/>
      <c r="AA934" s="47"/>
      <c r="AB934" s="47"/>
      <c r="AC934" s="47"/>
      <c r="AD934" s="47"/>
      <c r="AE934" s="47"/>
      <c r="AF934" s="47"/>
      <c r="AG934" s="47"/>
      <c r="AH934" s="47"/>
      <c r="AI934" s="47"/>
      <c r="AJ934" s="47"/>
      <c r="AK934" s="47"/>
      <c r="AL934" s="47"/>
      <c r="AM934" s="47"/>
      <c r="AN934" s="47"/>
      <c r="AO934" s="47"/>
      <c r="AP934" s="47"/>
      <c r="AQ934" s="47"/>
      <c r="AR934" s="47"/>
      <c r="AS934" s="47"/>
      <c r="AT934" s="47"/>
      <c r="AU934" s="47"/>
      <c r="AV934" s="47"/>
      <c r="AW934" s="47"/>
      <c r="AX934" s="47"/>
      <c r="AY934" s="47"/>
      <c r="AZ934" s="532"/>
    </row>
    <row r="935" spans="1:52" ht="15.75" customHeight="1">
      <c r="A935" s="500"/>
      <c r="B935" s="477"/>
      <c r="C935" s="481"/>
      <c r="D935" s="47"/>
      <c r="E935" s="47"/>
      <c r="F935" s="478"/>
      <c r="G935" s="479"/>
      <c r="H935" s="9"/>
      <c r="I935" s="9"/>
      <c r="J935" s="505"/>
      <c r="K935" s="47"/>
      <c r="L935" s="47"/>
      <c r="M935" s="47"/>
      <c r="N935" s="9"/>
      <c r="O935" s="9"/>
      <c r="P935" s="9"/>
      <c r="Q935" s="47"/>
      <c r="R935" s="47"/>
      <c r="S935" s="47"/>
      <c r="T935" s="47"/>
      <c r="U935" s="47"/>
      <c r="V935" s="47"/>
      <c r="W935" s="47"/>
      <c r="X935" s="47"/>
      <c r="Y935" s="47"/>
      <c r="Z935" s="47"/>
      <c r="AA935" s="47"/>
      <c r="AB935" s="47"/>
      <c r="AC935" s="47"/>
      <c r="AD935" s="47"/>
      <c r="AE935" s="47"/>
      <c r="AF935" s="47"/>
      <c r="AG935" s="47"/>
      <c r="AH935" s="47"/>
      <c r="AI935" s="47"/>
      <c r="AJ935" s="47"/>
      <c r="AK935" s="47"/>
      <c r="AL935" s="47"/>
      <c r="AM935" s="47"/>
      <c r="AN935" s="47"/>
      <c r="AO935" s="47"/>
      <c r="AP935" s="47"/>
      <c r="AQ935" s="47"/>
      <c r="AR935" s="47"/>
      <c r="AS935" s="47"/>
      <c r="AT935" s="47"/>
      <c r="AU935" s="47"/>
      <c r="AV935" s="47"/>
      <c r="AW935" s="47"/>
      <c r="AX935" s="47"/>
      <c r="AY935" s="47"/>
      <c r="AZ935" s="532"/>
    </row>
    <row r="936" spans="1:52" ht="15.75" customHeight="1">
      <c r="A936" s="500"/>
      <c r="B936" s="477"/>
      <c r="C936" s="481"/>
      <c r="D936" s="47"/>
      <c r="E936" s="47"/>
      <c r="F936" s="478"/>
      <c r="G936" s="479"/>
      <c r="H936" s="9"/>
      <c r="I936" s="9"/>
      <c r="J936" s="505"/>
      <c r="K936" s="47"/>
      <c r="L936" s="47"/>
      <c r="M936" s="47"/>
      <c r="N936" s="9"/>
      <c r="O936" s="9"/>
      <c r="P936" s="9"/>
      <c r="Q936" s="47"/>
      <c r="R936" s="47"/>
      <c r="S936" s="47"/>
      <c r="T936" s="47"/>
      <c r="U936" s="47"/>
      <c r="V936" s="47"/>
      <c r="W936" s="47"/>
      <c r="X936" s="47"/>
      <c r="Y936" s="47"/>
      <c r="Z936" s="47"/>
      <c r="AA936" s="47"/>
      <c r="AB936" s="47"/>
      <c r="AC936" s="47"/>
      <c r="AD936" s="47"/>
      <c r="AE936" s="47"/>
      <c r="AF936" s="47"/>
      <c r="AG936" s="47"/>
      <c r="AH936" s="47"/>
      <c r="AI936" s="47"/>
      <c r="AJ936" s="47"/>
      <c r="AK936" s="47"/>
      <c r="AL936" s="47"/>
      <c r="AM936" s="47"/>
      <c r="AN936" s="47"/>
      <c r="AO936" s="47"/>
      <c r="AP936" s="47"/>
      <c r="AQ936" s="47"/>
      <c r="AR936" s="47"/>
      <c r="AS936" s="47"/>
      <c r="AT936" s="47"/>
      <c r="AU936" s="47"/>
      <c r="AV936" s="47"/>
      <c r="AW936" s="47"/>
      <c r="AX936" s="47"/>
      <c r="AY936" s="47"/>
      <c r="AZ936" s="532"/>
    </row>
    <row r="937" spans="1:52" ht="15.75" customHeight="1">
      <c r="A937" s="500"/>
      <c r="B937" s="477"/>
      <c r="C937" s="481"/>
      <c r="D937" s="47"/>
      <c r="E937" s="47"/>
      <c r="F937" s="478"/>
      <c r="G937" s="479"/>
      <c r="H937" s="9"/>
      <c r="I937" s="9"/>
      <c r="J937" s="505"/>
      <c r="K937" s="47"/>
      <c r="L937" s="47"/>
      <c r="M937" s="47"/>
      <c r="N937" s="9"/>
      <c r="O937" s="9"/>
      <c r="P937" s="9"/>
      <c r="Q937" s="47"/>
      <c r="R937" s="47"/>
      <c r="S937" s="47"/>
      <c r="T937" s="47"/>
      <c r="U937" s="47"/>
      <c r="V937" s="47"/>
      <c r="W937" s="47"/>
      <c r="X937" s="47"/>
      <c r="Y937" s="47"/>
      <c r="Z937" s="47"/>
      <c r="AA937" s="47"/>
      <c r="AB937" s="47"/>
      <c r="AC937" s="47"/>
      <c r="AD937" s="47"/>
      <c r="AE937" s="47"/>
      <c r="AF937" s="47"/>
      <c r="AG937" s="47"/>
      <c r="AH937" s="47"/>
      <c r="AI937" s="47"/>
      <c r="AJ937" s="47"/>
      <c r="AK937" s="47"/>
      <c r="AL937" s="47"/>
      <c r="AM937" s="47"/>
      <c r="AN937" s="47"/>
      <c r="AO937" s="47"/>
      <c r="AP937" s="47"/>
      <c r="AQ937" s="47"/>
      <c r="AR937" s="47"/>
      <c r="AS937" s="47"/>
      <c r="AT937" s="47"/>
      <c r="AU937" s="47"/>
      <c r="AV937" s="47"/>
      <c r="AW937" s="47"/>
      <c r="AX937" s="47"/>
      <c r="AY937" s="47"/>
      <c r="AZ937" s="532"/>
    </row>
    <row r="938" spans="1:52" ht="15.75" customHeight="1">
      <c r="A938" s="500"/>
      <c r="B938" s="477"/>
      <c r="C938" s="481"/>
      <c r="D938" s="47"/>
      <c r="E938" s="47"/>
      <c r="F938" s="478"/>
      <c r="G938" s="479"/>
      <c r="H938" s="9"/>
      <c r="I938" s="9"/>
      <c r="J938" s="505"/>
      <c r="K938" s="47"/>
      <c r="L938" s="47"/>
      <c r="M938" s="47"/>
      <c r="N938" s="9"/>
      <c r="O938" s="9"/>
      <c r="P938" s="9"/>
      <c r="Q938" s="47"/>
      <c r="R938" s="47"/>
      <c r="S938" s="47"/>
      <c r="T938" s="47"/>
      <c r="U938" s="47"/>
      <c r="V938" s="47"/>
      <c r="W938" s="47"/>
      <c r="X938" s="47"/>
      <c r="Y938" s="47"/>
      <c r="Z938" s="47"/>
      <c r="AA938" s="47"/>
      <c r="AB938" s="47"/>
      <c r="AC938" s="47"/>
      <c r="AD938" s="47"/>
      <c r="AE938" s="47"/>
      <c r="AF938" s="47"/>
      <c r="AG938" s="47"/>
      <c r="AH938" s="47"/>
      <c r="AI938" s="47"/>
      <c r="AJ938" s="47"/>
      <c r="AK938" s="47"/>
      <c r="AL938" s="47"/>
      <c r="AM938" s="47"/>
      <c r="AN938" s="47"/>
      <c r="AO938" s="47"/>
      <c r="AP938" s="47"/>
      <c r="AQ938" s="47"/>
      <c r="AR938" s="47"/>
      <c r="AS938" s="47"/>
      <c r="AT938" s="47"/>
      <c r="AU938" s="47"/>
      <c r="AV938" s="47"/>
      <c r="AW938" s="47"/>
      <c r="AX938" s="47"/>
      <c r="AY938" s="47"/>
      <c r="AZ938" s="532"/>
    </row>
    <row r="939" spans="1:52" ht="15.75" customHeight="1">
      <c r="A939" s="500"/>
      <c r="B939" s="477"/>
      <c r="C939" s="481"/>
      <c r="D939" s="47"/>
      <c r="E939" s="47"/>
      <c r="F939" s="478"/>
      <c r="G939" s="479"/>
      <c r="H939" s="9"/>
      <c r="I939" s="9"/>
      <c r="J939" s="505"/>
      <c r="K939" s="47"/>
      <c r="L939" s="47"/>
      <c r="M939" s="47"/>
      <c r="N939" s="9"/>
      <c r="O939" s="9"/>
      <c r="P939" s="9"/>
      <c r="Q939" s="47"/>
      <c r="R939" s="47"/>
      <c r="S939" s="47"/>
      <c r="T939" s="47"/>
      <c r="U939" s="47"/>
      <c r="V939" s="47"/>
      <c r="W939" s="47"/>
      <c r="X939" s="47"/>
      <c r="Y939" s="47"/>
      <c r="Z939" s="47"/>
      <c r="AA939" s="47"/>
      <c r="AB939" s="47"/>
      <c r="AC939" s="47"/>
      <c r="AD939" s="47"/>
      <c r="AE939" s="47"/>
      <c r="AF939" s="47"/>
      <c r="AG939" s="47"/>
      <c r="AH939" s="47"/>
      <c r="AI939" s="47"/>
      <c r="AJ939" s="47"/>
      <c r="AK939" s="47"/>
      <c r="AL939" s="47"/>
      <c r="AM939" s="47"/>
      <c r="AN939" s="47"/>
      <c r="AO939" s="47"/>
      <c r="AP939" s="47"/>
      <c r="AQ939" s="47"/>
      <c r="AR939" s="47"/>
      <c r="AS939" s="47"/>
      <c r="AT939" s="47"/>
      <c r="AU939" s="47"/>
      <c r="AV939" s="47"/>
      <c r="AW939" s="47"/>
      <c r="AX939" s="47"/>
      <c r="AY939" s="47"/>
      <c r="AZ939" s="532"/>
    </row>
    <row r="940" spans="1:52" ht="15.75" customHeight="1">
      <c r="A940" s="500"/>
      <c r="B940" s="477"/>
      <c r="C940" s="481"/>
      <c r="D940" s="47"/>
      <c r="E940" s="47"/>
      <c r="F940" s="478"/>
      <c r="G940" s="479"/>
      <c r="H940" s="9"/>
      <c r="I940" s="9"/>
      <c r="J940" s="505"/>
      <c r="K940" s="47"/>
      <c r="L940" s="47"/>
      <c r="M940" s="47"/>
      <c r="N940" s="9"/>
      <c r="O940" s="9"/>
      <c r="P940" s="9"/>
      <c r="Q940" s="47"/>
      <c r="R940" s="47"/>
      <c r="S940" s="47"/>
      <c r="T940" s="47"/>
      <c r="U940" s="47"/>
      <c r="V940" s="47"/>
      <c r="W940" s="47"/>
      <c r="X940" s="47"/>
      <c r="Y940" s="47"/>
      <c r="Z940" s="47"/>
      <c r="AA940" s="47"/>
      <c r="AB940" s="47"/>
      <c r="AC940" s="47"/>
      <c r="AD940" s="47"/>
      <c r="AE940" s="47"/>
      <c r="AF940" s="47"/>
      <c r="AG940" s="47"/>
      <c r="AH940" s="47"/>
      <c r="AI940" s="47"/>
      <c r="AJ940" s="47"/>
      <c r="AK940" s="47"/>
      <c r="AL940" s="47"/>
      <c r="AM940" s="47"/>
      <c r="AN940" s="47"/>
      <c r="AO940" s="47"/>
      <c r="AP940" s="47"/>
      <c r="AQ940" s="47"/>
      <c r="AR940" s="47"/>
      <c r="AS940" s="47"/>
      <c r="AT940" s="47"/>
      <c r="AU940" s="47"/>
      <c r="AV940" s="47"/>
      <c r="AW940" s="47"/>
      <c r="AX940" s="47"/>
      <c r="AY940" s="47"/>
      <c r="AZ940" s="532"/>
    </row>
    <row r="941" spans="1:52" ht="15.75" customHeight="1">
      <c r="A941" s="500"/>
      <c r="B941" s="477"/>
      <c r="C941" s="481"/>
      <c r="D941" s="47"/>
      <c r="E941" s="47"/>
      <c r="F941" s="478"/>
      <c r="G941" s="479"/>
      <c r="H941" s="9"/>
      <c r="I941" s="9"/>
      <c r="J941" s="505"/>
      <c r="K941" s="47"/>
      <c r="L941" s="47"/>
      <c r="M941" s="47"/>
      <c r="N941" s="9"/>
      <c r="O941" s="9"/>
      <c r="P941" s="9"/>
      <c r="Q941" s="47"/>
      <c r="R941" s="47"/>
      <c r="S941" s="47"/>
      <c r="T941" s="47"/>
      <c r="U941" s="47"/>
      <c r="V941" s="47"/>
      <c r="W941" s="47"/>
      <c r="X941" s="47"/>
      <c r="Y941" s="47"/>
      <c r="Z941" s="47"/>
      <c r="AA941" s="47"/>
      <c r="AB941" s="47"/>
      <c r="AC941" s="47"/>
      <c r="AD941" s="47"/>
      <c r="AE941" s="47"/>
      <c r="AF941" s="47"/>
      <c r="AG941" s="47"/>
      <c r="AH941" s="47"/>
      <c r="AI941" s="47"/>
      <c r="AJ941" s="47"/>
      <c r="AK941" s="47"/>
      <c r="AL941" s="47"/>
      <c r="AM941" s="47"/>
      <c r="AN941" s="47"/>
      <c r="AO941" s="47"/>
      <c r="AP941" s="47"/>
      <c r="AQ941" s="47"/>
      <c r="AR941" s="47"/>
      <c r="AS941" s="47"/>
      <c r="AT941" s="47"/>
      <c r="AU941" s="47"/>
      <c r="AV941" s="47"/>
      <c r="AW941" s="47"/>
      <c r="AX941" s="47"/>
      <c r="AY941" s="47"/>
      <c r="AZ941" s="532"/>
    </row>
    <row r="942" spans="1:52" ht="15.75" customHeight="1">
      <c r="A942" s="500"/>
      <c r="B942" s="477"/>
      <c r="C942" s="481"/>
      <c r="D942" s="47"/>
      <c r="E942" s="47"/>
      <c r="F942" s="478"/>
      <c r="G942" s="479"/>
      <c r="H942" s="9"/>
      <c r="I942" s="9"/>
      <c r="J942" s="505"/>
      <c r="K942" s="47"/>
      <c r="L942" s="47"/>
      <c r="M942" s="47"/>
      <c r="N942" s="9"/>
      <c r="O942" s="9"/>
      <c r="P942" s="9"/>
      <c r="Q942" s="47"/>
      <c r="R942" s="47"/>
      <c r="S942" s="47"/>
      <c r="T942" s="47"/>
      <c r="U942" s="47"/>
      <c r="V942" s="47"/>
      <c r="W942" s="47"/>
      <c r="X942" s="47"/>
      <c r="Y942" s="47"/>
      <c r="Z942" s="47"/>
      <c r="AA942" s="47"/>
      <c r="AB942" s="47"/>
      <c r="AC942" s="47"/>
      <c r="AD942" s="47"/>
      <c r="AE942" s="47"/>
      <c r="AF942" s="47"/>
      <c r="AG942" s="47"/>
      <c r="AH942" s="47"/>
      <c r="AI942" s="47"/>
      <c r="AJ942" s="47"/>
      <c r="AK942" s="47"/>
      <c r="AL942" s="47"/>
      <c r="AM942" s="47"/>
      <c r="AN942" s="47"/>
      <c r="AO942" s="47"/>
      <c r="AP942" s="47"/>
      <c r="AQ942" s="47"/>
      <c r="AR942" s="47"/>
      <c r="AS942" s="47"/>
      <c r="AT942" s="47"/>
      <c r="AU942" s="47"/>
      <c r="AV942" s="47"/>
      <c r="AW942" s="47"/>
      <c r="AX942" s="47"/>
      <c r="AY942" s="47"/>
      <c r="AZ942" s="532"/>
    </row>
    <row r="943" spans="1:52" ht="15.75" customHeight="1">
      <c r="A943" s="500"/>
      <c r="B943" s="477"/>
      <c r="C943" s="481"/>
      <c r="D943" s="47"/>
      <c r="E943" s="47"/>
      <c r="F943" s="478"/>
      <c r="G943" s="479"/>
      <c r="H943" s="9"/>
      <c r="I943" s="9"/>
      <c r="J943" s="505"/>
      <c r="K943" s="47"/>
      <c r="L943" s="47"/>
      <c r="M943" s="47"/>
      <c r="N943" s="9"/>
      <c r="O943" s="9"/>
      <c r="P943" s="9"/>
      <c r="Q943" s="47"/>
      <c r="R943" s="47"/>
      <c r="S943" s="47"/>
      <c r="T943" s="47"/>
      <c r="U943" s="47"/>
      <c r="V943" s="47"/>
      <c r="W943" s="47"/>
      <c r="X943" s="47"/>
      <c r="Y943" s="47"/>
      <c r="Z943" s="47"/>
      <c r="AA943" s="47"/>
      <c r="AB943" s="47"/>
      <c r="AC943" s="47"/>
      <c r="AD943" s="47"/>
      <c r="AE943" s="47"/>
      <c r="AF943" s="47"/>
      <c r="AG943" s="47"/>
      <c r="AH943" s="47"/>
      <c r="AI943" s="47"/>
      <c r="AJ943" s="47"/>
      <c r="AK943" s="47"/>
      <c r="AL943" s="47"/>
      <c r="AM943" s="47"/>
      <c r="AN943" s="47"/>
      <c r="AO943" s="47"/>
      <c r="AP943" s="47"/>
      <c r="AQ943" s="47"/>
      <c r="AR943" s="47"/>
      <c r="AS943" s="47"/>
      <c r="AT943" s="47"/>
      <c r="AU943" s="47"/>
      <c r="AV943" s="47"/>
      <c r="AW943" s="47"/>
      <c r="AX943" s="47"/>
      <c r="AY943" s="47"/>
      <c r="AZ943" s="532"/>
    </row>
    <row r="944" spans="1:52" ht="15.75" customHeight="1">
      <c r="A944" s="500"/>
      <c r="B944" s="477"/>
      <c r="C944" s="481"/>
      <c r="D944" s="47"/>
      <c r="E944" s="47"/>
      <c r="F944" s="478"/>
      <c r="G944" s="479"/>
      <c r="H944" s="9"/>
      <c r="I944" s="9"/>
      <c r="J944" s="505"/>
      <c r="K944" s="47"/>
      <c r="L944" s="47"/>
      <c r="M944" s="47"/>
      <c r="N944" s="9"/>
      <c r="O944" s="9"/>
      <c r="P944" s="9"/>
      <c r="Q944" s="47"/>
      <c r="R944" s="47"/>
      <c r="S944" s="47"/>
      <c r="T944" s="47"/>
      <c r="U944" s="47"/>
      <c r="V944" s="47"/>
      <c r="W944" s="47"/>
      <c r="X944" s="47"/>
      <c r="Y944" s="47"/>
      <c r="Z944" s="47"/>
      <c r="AA944" s="47"/>
      <c r="AB944" s="47"/>
      <c r="AC944" s="47"/>
      <c r="AD944" s="47"/>
      <c r="AE944" s="47"/>
      <c r="AF944" s="47"/>
      <c r="AG944" s="47"/>
      <c r="AH944" s="47"/>
      <c r="AI944" s="47"/>
      <c r="AJ944" s="47"/>
      <c r="AK944" s="47"/>
      <c r="AL944" s="47"/>
      <c r="AM944" s="47"/>
      <c r="AN944" s="47"/>
      <c r="AO944" s="47"/>
      <c r="AP944" s="47"/>
      <c r="AQ944" s="47"/>
      <c r="AR944" s="47"/>
      <c r="AS944" s="47"/>
      <c r="AT944" s="47"/>
      <c r="AU944" s="47"/>
      <c r="AV944" s="47"/>
      <c r="AW944" s="47"/>
      <c r="AX944" s="47"/>
      <c r="AY944" s="47"/>
      <c r="AZ944" s="532"/>
    </row>
    <row r="945" spans="1:52" ht="15.75" customHeight="1">
      <c r="A945" s="500"/>
      <c r="B945" s="477"/>
      <c r="C945" s="481"/>
      <c r="D945" s="47"/>
      <c r="E945" s="47"/>
      <c r="F945" s="478"/>
      <c r="G945" s="479"/>
      <c r="H945" s="9"/>
      <c r="I945" s="9"/>
      <c r="J945" s="505"/>
      <c r="K945" s="47"/>
      <c r="L945" s="47"/>
      <c r="M945" s="47"/>
      <c r="N945" s="9"/>
      <c r="O945" s="9"/>
      <c r="P945" s="9"/>
      <c r="Q945" s="47"/>
      <c r="R945" s="47"/>
      <c r="S945" s="47"/>
      <c r="T945" s="47"/>
      <c r="U945" s="47"/>
      <c r="V945" s="47"/>
      <c r="W945" s="47"/>
      <c r="X945" s="47"/>
      <c r="Y945" s="47"/>
      <c r="Z945" s="47"/>
      <c r="AA945" s="47"/>
      <c r="AB945" s="47"/>
      <c r="AC945" s="47"/>
      <c r="AD945" s="47"/>
      <c r="AE945" s="47"/>
      <c r="AF945" s="47"/>
      <c r="AG945" s="47"/>
      <c r="AH945" s="47"/>
      <c r="AI945" s="47"/>
      <c r="AJ945" s="47"/>
      <c r="AK945" s="47"/>
      <c r="AL945" s="47"/>
      <c r="AM945" s="47"/>
      <c r="AN945" s="47"/>
      <c r="AO945" s="47"/>
      <c r="AP945" s="47"/>
      <c r="AQ945" s="47"/>
      <c r="AR945" s="47"/>
      <c r="AS945" s="47"/>
      <c r="AT945" s="47"/>
      <c r="AU945" s="47"/>
      <c r="AV945" s="47"/>
      <c r="AW945" s="47"/>
      <c r="AX945" s="47"/>
      <c r="AY945" s="47"/>
      <c r="AZ945" s="532"/>
    </row>
    <row r="946" spans="1:52" ht="15.75" customHeight="1">
      <c r="A946" s="500"/>
      <c r="B946" s="477"/>
      <c r="C946" s="481"/>
      <c r="D946" s="47"/>
      <c r="E946" s="47"/>
      <c r="F946" s="478"/>
      <c r="G946" s="479"/>
      <c r="H946" s="9"/>
      <c r="I946" s="9"/>
      <c r="J946" s="505"/>
      <c r="K946" s="47"/>
      <c r="L946" s="47"/>
      <c r="M946" s="47"/>
      <c r="N946" s="9"/>
      <c r="O946" s="9"/>
      <c r="P946" s="9"/>
      <c r="Q946" s="47"/>
      <c r="R946" s="47"/>
      <c r="S946" s="47"/>
      <c r="T946" s="47"/>
      <c r="U946" s="47"/>
      <c r="V946" s="47"/>
      <c r="W946" s="47"/>
      <c r="X946" s="47"/>
      <c r="Y946" s="47"/>
      <c r="Z946" s="47"/>
      <c r="AA946" s="47"/>
      <c r="AB946" s="47"/>
      <c r="AC946" s="47"/>
      <c r="AD946" s="47"/>
      <c r="AE946" s="47"/>
      <c r="AF946" s="47"/>
      <c r="AG946" s="47"/>
      <c r="AH946" s="47"/>
      <c r="AI946" s="47"/>
      <c r="AJ946" s="47"/>
      <c r="AK946" s="47"/>
      <c r="AL946" s="47"/>
      <c r="AM946" s="47"/>
      <c r="AN946" s="47"/>
      <c r="AO946" s="47"/>
      <c r="AP946" s="47"/>
      <c r="AQ946" s="47"/>
      <c r="AR946" s="47"/>
      <c r="AS946" s="47"/>
      <c r="AT946" s="47"/>
      <c r="AU946" s="47"/>
      <c r="AV946" s="47"/>
      <c r="AW946" s="47"/>
      <c r="AX946" s="47"/>
      <c r="AY946" s="47"/>
      <c r="AZ946" s="532"/>
    </row>
    <row r="947" spans="1:52" ht="15.75" customHeight="1">
      <c r="A947" s="500"/>
      <c r="B947" s="477"/>
      <c r="C947" s="481"/>
      <c r="D947" s="47"/>
      <c r="E947" s="47"/>
      <c r="F947" s="478"/>
      <c r="G947" s="479"/>
      <c r="H947" s="9"/>
      <c r="I947" s="9"/>
      <c r="J947" s="505"/>
      <c r="K947" s="47"/>
      <c r="L947" s="47"/>
      <c r="M947" s="47"/>
      <c r="N947" s="9"/>
      <c r="O947" s="9"/>
      <c r="P947" s="9"/>
      <c r="Q947" s="47"/>
      <c r="R947" s="47"/>
      <c r="S947" s="47"/>
      <c r="T947" s="47"/>
      <c r="U947" s="47"/>
      <c r="V947" s="47"/>
      <c r="W947" s="47"/>
      <c r="X947" s="47"/>
      <c r="Y947" s="47"/>
      <c r="Z947" s="47"/>
      <c r="AA947" s="47"/>
      <c r="AB947" s="47"/>
      <c r="AC947" s="47"/>
      <c r="AD947" s="47"/>
      <c r="AE947" s="47"/>
      <c r="AF947" s="47"/>
      <c r="AG947" s="47"/>
      <c r="AH947" s="47"/>
      <c r="AI947" s="47"/>
      <c r="AJ947" s="47"/>
      <c r="AK947" s="47"/>
      <c r="AL947" s="47"/>
      <c r="AM947" s="47"/>
      <c r="AN947" s="47"/>
      <c r="AO947" s="47"/>
      <c r="AP947" s="47"/>
      <c r="AQ947" s="47"/>
      <c r="AR947" s="47"/>
      <c r="AS947" s="47"/>
      <c r="AT947" s="47"/>
      <c r="AU947" s="47"/>
      <c r="AV947" s="47"/>
      <c r="AW947" s="47"/>
      <c r="AX947" s="47"/>
      <c r="AY947" s="47"/>
      <c r="AZ947" s="532"/>
    </row>
    <row r="948" spans="1:52" ht="15.75" customHeight="1">
      <c r="A948" s="500"/>
      <c r="B948" s="477"/>
      <c r="C948" s="481"/>
      <c r="D948" s="47"/>
      <c r="E948" s="47"/>
      <c r="F948" s="478"/>
      <c r="G948" s="479"/>
      <c r="H948" s="9"/>
      <c r="I948" s="9"/>
      <c r="J948" s="505"/>
      <c r="K948" s="47"/>
      <c r="L948" s="47"/>
      <c r="M948" s="47"/>
      <c r="N948" s="9"/>
      <c r="O948" s="9"/>
      <c r="P948" s="9"/>
      <c r="Q948" s="47"/>
      <c r="R948" s="47"/>
      <c r="S948" s="47"/>
      <c r="T948" s="47"/>
      <c r="U948" s="47"/>
      <c r="V948" s="47"/>
      <c r="W948" s="47"/>
      <c r="X948" s="47"/>
      <c r="Y948" s="47"/>
      <c r="Z948" s="47"/>
      <c r="AA948" s="47"/>
      <c r="AB948" s="47"/>
      <c r="AC948" s="47"/>
      <c r="AD948" s="47"/>
      <c r="AE948" s="47"/>
      <c r="AF948" s="47"/>
      <c r="AG948" s="47"/>
      <c r="AH948" s="47"/>
      <c r="AI948" s="47"/>
      <c r="AJ948" s="47"/>
      <c r="AK948" s="47"/>
      <c r="AL948" s="47"/>
      <c r="AM948" s="47"/>
      <c r="AN948" s="47"/>
      <c r="AO948" s="47"/>
      <c r="AP948" s="47"/>
      <c r="AQ948" s="47"/>
      <c r="AR948" s="47"/>
      <c r="AS948" s="47"/>
      <c r="AT948" s="47"/>
      <c r="AU948" s="47"/>
      <c r="AV948" s="47"/>
      <c r="AW948" s="47"/>
      <c r="AX948" s="47"/>
      <c r="AY948" s="47"/>
      <c r="AZ948" s="532"/>
    </row>
    <row r="949" spans="1:52" ht="15.75" customHeight="1">
      <c r="A949" s="500"/>
      <c r="B949" s="477"/>
      <c r="C949" s="481"/>
      <c r="D949" s="47"/>
      <c r="E949" s="47"/>
      <c r="F949" s="478"/>
      <c r="G949" s="479"/>
      <c r="H949" s="9"/>
      <c r="I949" s="10"/>
      <c r="J949" s="505"/>
      <c r="K949" s="47"/>
      <c r="L949" s="47"/>
      <c r="M949" s="47"/>
      <c r="N949" s="9"/>
      <c r="O949" s="9"/>
      <c r="P949" s="9"/>
      <c r="Q949" s="47"/>
      <c r="R949" s="47"/>
      <c r="S949" s="47"/>
      <c r="T949" s="47"/>
      <c r="U949" s="47"/>
      <c r="V949" s="47"/>
      <c r="W949" s="47"/>
      <c r="X949" s="47"/>
      <c r="Y949" s="47"/>
      <c r="Z949" s="47"/>
      <c r="AA949" s="47"/>
      <c r="AB949" s="47"/>
      <c r="AC949" s="47"/>
      <c r="AD949" s="47"/>
      <c r="AE949" s="47"/>
      <c r="AF949" s="47"/>
      <c r="AG949" s="47"/>
      <c r="AH949" s="47"/>
      <c r="AI949" s="47"/>
      <c r="AJ949" s="47"/>
      <c r="AK949" s="47"/>
      <c r="AL949" s="47"/>
      <c r="AM949" s="47"/>
      <c r="AN949" s="47"/>
      <c r="AO949" s="47"/>
      <c r="AP949" s="47"/>
      <c r="AQ949" s="47"/>
      <c r="AR949" s="47"/>
      <c r="AS949" s="47"/>
      <c r="AT949" s="47"/>
      <c r="AU949" s="47"/>
      <c r="AV949" s="47"/>
      <c r="AW949" s="47"/>
      <c r="AX949" s="47"/>
      <c r="AY949" s="47"/>
      <c r="AZ949" s="532"/>
    </row>
    <row r="950" spans="1:52" ht="15.75" customHeight="1">
      <c r="A950" s="500"/>
      <c r="B950" s="477"/>
      <c r="C950" s="481"/>
      <c r="D950" s="47"/>
      <c r="E950" s="47"/>
      <c r="F950" s="478"/>
      <c r="G950" s="479"/>
      <c r="H950" s="9"/>
      <c r="I950" s="9"/>
      <c r="J950" s="505"/>
      <c r="K950" s="47"/>
      <c r="L950" s="47"/>
      <c r="M950" s="47"/>
      <c r="N950" s="9"/>
      <c r="O950" s="9"/>
      <c r="P950" s="9"/>
      <c r="Q950" s="47"/>
      <c r="R950" s="47"/>
      <c r="S950" s="47"/>
      <c r="T950" s="47"/>
      <c r="U950" s="47"/>
      <c r="V950" s="47"/>
      <c r="W950" s="47"/>
      <c r="X950" s="47"/>
      <c r="Y950" s="47"/>
      <c r="Z950" s="47"/>
      <c r="AA950" s="47"/>
      <c r="AB950" s="47"/>
      <c r="AC950" s="47"/>
      <c r="AD950" s="47"/>
      <c r="AE950" s="47"/>
      <c r="AF950" s="47"/>
      <c r="AG950" s="47"/>
      <c r="AH950" s="47"/>
      <c r="AI950" s="47"/>
      <c r="AJ950" s="47"/>
      <c r="AK950" s="47"/>
      <c r="AL950" s="47"/>
      <c r="AM950" s="47"/>
      <c r="AN950" s="47"/>
      <c r="AO950" s="47"/>
      <c r="AP950" s="47"/>
      <c r="AQ950" s="47"/>
      <c r="AR950" s="47"/>
      <c r="AS950" s="47"/>
      <c r="AT950" s="47"/>
      <c r="AU950" s="47"/>
      <c r="AV950" s="47"/>
      <c r="AW950" s="47"/>
      <c r="AX950" s="47"/>
      <c r="AY950" s="47"/>
      <c r="AZ950" s="532"/>
    </row>
    <row r="951" spans="1:52" ht="15.75" customHeight="1">
      <c r="A951" s="500"/>
      <c r="B951" s="477"/>
      <c r="C951" s="481"/>
      <c r="D951" s="47"/>
      <c r="E951" s="47"/>
      <c r="F951" s="478"/>
      <c r="G951" s="479"/>
      <c r="H951" s="9"/>
      <c r="I951" s="10"/>
      <c r="J951" s="505"/>
      <c r="K951" s="47"/>
      <c r="L951" s="47"/>
      <c r="M951" s="47"/>
      <c r="N951" s="9"/>
      <c r="O951" s="9"/>
      <c r="P951" s="9"/>
      <c r="Q951" s="47"/>
      <c r="R951" s="47"/>
      <c r="S951" s="47"/>
      <c r="T951" s="47"/>
      <c r="U951" s="47"/>
      <c r="V951" s="47"/>
      <c r="W951" s="47"/>
      <c r="X951" s="47"/>
      <c r="Y951" s="47"/>
      <c r="Z951" s="47"/>
      <c r="AA951" s="47"/>
      <c r="AB951" s="47"/>
      <c r="AC951" s="47"/>
      <c r="AD951" s="47"/>
      <c r="AE951" s="47"/>
      <c r="AF951" s="47"/>
      <c r="AG951" s="47"/>
      <c r="AH951" s="47"/>
      <c r="AI951" s="47"/>
      <c r="AJ951" s="47"/>
      <c r="AK951" s="47"/>
      <c r="AL951" s="47"/>
      <c r="AM951" s="47"/>
      <c r="AN951" s="47"/>
      <c r="AO951" s="47"/>
      <c r="AP951" s="47"/>
      <c r="AQ951" s="47"/>
      <c r="AR951" s="47"/>
      <c r="AS951" s="47"/>
      <c r="AT951" s="47"/>
      <c r="AU951" s="47"/>
      <c r="AV951" s="47"/>
      <c r="AW951" s="47"/>
      <c r="AX951" s="47"/>
      <c r="AY951" s="47"/>
      <c r="AZ951" s="532"/>
    </row>
    <row r="952" spans="1:52" ht="15.75" customHeight="1">
      <c r="A952" s="500"/>
      <c r="B952" s="477"/>
      <c r="C952" s="481"/>
      <c r="D952" s="47"/>
      <c r="E952" s="47"/>
      <c r="F952" s="478"/>
      <c r="G952" s="479"/>
      <c r="H952" s="9"/>
      <c r="I952" s="9"/>
      <c r="J952" s="505"/>
      <c r="K952" s="47"/>
      <c r="L952" s="47"/>
      <c r="M952" s="47"/>
      <c r="N952" s="9"/>
      <c r="O952" s="9"/>
      <c r="P952" s="9"/>
      <c r="Q952" s="47"/>
      <c r="R952" s="47"/>
      <c r="S952" s="47"/>
      <c r="T952" s="47"/>
      <c r="U952" s="47"/>
      <c r="V952" s="47"/>
      <c r="W952" s="47"/>
      <c r="X952" s="47"/>
      <c r="Y952" s="47"/>
      <c r="Z952" s="47"/>
      <c r="AA952" s="47"/>
      <c r="AB952" s="47"/>
      <c r="AC952" s="47"/>
      <c r="AD952" s="47"/>
      <c r="AE952" s="47"/>
      <c r="AF952" s="47"/>
      <c r="AG952" s="47"/>
      <c r="AH952" s="47"/>
      <c r="AI952" s="47"/>
      <c r="AJ952" s="47"/>
      <c r="AK952" s="47"/>
      <c r="AL952" s="47"/>
      <c r="AM952" s="47"/>
      <c r="AN952" s="47"/>
      <c r="AO952" s="47"/>
      <c r="AP952" s="47"/>
      <c r="AQ952" s="47"/>
      <c r="AR952" s="47"/>
      <c r="AS952" s="47"/>
      <c r="AT952" s="47"/>
      <c r="AU952" s="47"/>
      <c r="AV952" s="47"/>
      <c r="AW952" s="47"/>
      <c r="AX952" s="47"/>
      <c r="AY952" s="47"/>
      <c r="AZ952" s="532"/>
    </row>
    <row r="953" spans="1:52" ht="15.75" customHeight="1">
      <c r="A953" s="500"/>
      <c r="B953" s="477"/>
      <c r="C953" s="481"/>
      <c r="D953" s="47"/>
      <c r="E953" s="47"/>
      <c r="F953" s="478"/>
      <c r="G953" s="479"/>
      <c r="H953" s="9"/>
      <c r="I953" s="9"/>
      <c r="J953" s="505"/>
      <c r="K953" s="47"/>
      <c r="L953" s="47"/>
      <c r="M953" s="47"/>
      <c r="N953" s="9"/>
      <c r="O953" s="9"/>
      <c r="P953" s="9"/>
      <c r="Q953" s="47"/>
      <c r="R953" s="47"/>
      <c r="S953" s="47"/>
      <c r="T953" s="47"/>
      <c r="U953" s="47"/>
      <c r="V953" s="47"/>
      <c r="W953" s="47"/>
      <c r="X953" s="47"/>
      <c r="Y953" s="47"/>
      <c r="Z953" s="47"/>
      <c r="AA953" s="47"/>
      <c r="AB953" s="47"/>
      <c r="AC953" s="47"/>
      <c r="AD953" s="47"/>
      <c r="AE953" s="47"/>
      <c r="AF953" s="47"/>
      <c r="AG953" s="47"/>
      <c r="AH953" s="47"/>
      <c r="AI953" s="47"/>
      <c r="AJ953" s="47"/>
      <c r="AK953" s="47"/>
      <c r="AL953" s="47"/>
      <c r="AM953" s="47"/>
      <c r="AN953" s="47"/>
      <c r="AO953" s="47"/>
      <c r="AP953" s="47"/>
      <c r="AQ953" s="47"/>
      <c r="AR953" s="47"/>
      <c r="AS953" s="47"/>
      <c r="AT953" s="47"/>
      <c r="AU953" s="47"/>
      <c r="AV953" s="47"/>
      <c r="AW953" s="47"/>
      <c r="AX953" s="47"/>
      <c r="AY953" s="47"/>
      <c r="AZ953" s="532"/>
    </row>
    <row r="954" spans="1:52" ht="15.75" customHeight="1">
      <c r="A954" s="500"/>
      <c r="B954" s="477"/>
      <c r="C954" s="481"/>
      <c r="D954" s="47"/>
      <c r="E954" s="47"/>
      <c r="F954" s="478"/>
      <c r="G954" s="479"/>
      <c r="H954" s="9"/>
      <c r="I954" s="10"/>
      <c r="J954" s="505"/>
      <c r="K954" s="47"/>
      <c r="L954" s="47"/>
      <c r="M954" s="47"/>
      <c r="N954" s="9"/>
      <c r="O954" s="9"/>
      <c r="P954" s="9"/>
      <c r="Q954" s="47"/>
      <c r="R954" s="47"/>
      <c r="S954" s="47"/>
      <c r="T954" s="47"/>
      <c r="U954" s="47"/>
      <c r="V954" s="47"/>
      <c r="W954" s="47"/>
      <c r="X954" s="47"/>
      <c r="Y954" s="47"/>
      <c r="Z954" s="47"/>
      <c r="AA954" s="47"/>
      <c r="AB954" s="47"/>
      <c r="AC954" s="47"/>
      <c r="AD954" s="47"/>
      <c r="AE954" s="47"/>
      <c r="AF954" s="47"/>
      <c r="AG954" s="47"/>
      <c r="AH954" s="47"/>
      <c r="AI954" s="47"/>
      <c r="AJ954" s="47"/>
      <c r="AK954" s="47"/>
      <c r="AL954" s="47"/>
      <c r="AM954" s="47"/>
      <c r="AN954" s="47"/>
      <c r="AO954" s="47"/>
      <c r="AP954" s="47"/>
      <c r="AQ954" s="47"/>
      <c r="AR954" s="47"/>
      <c r="AS954" s="47"/>
      <c r="AT954" s="47"/>
      <c r="AU954" s="47"/>
      <c r="AV954" s="47"/>
      <c r="AW954" s="47"/>
      <c r="AX954" s="47"/>
      <c r="AY954" s="47"/>
      <c r="AZ954" s="532"/>
    </row>
    <row r="955" spans="1:52" ht="15.75" customHeight="1">
      <c r="A955" s="500"/>
      <c r="B955" s="477"/>
      <c r="C955" s="481"/>
      <c r="D955" s="47"/>
      <c r="E955" s="47"/>
      <c r="F955" s="478"/>
      <c r="G955" s="479"/>
      <c r="H955" s="9"/>
      <c r="I955" s="9"/>
      <c r="J955" s="505"/>
      <c r="K955" s="47"/>
      <c r="L955" s="47"/>
      <c r="M955" s="47"/>
      <c r="N955" s="9"/>
      <c r="O955" s="9"/>
      <c r="P955" s="9"/>
      <c r="Q955" s="47"/>
      <c r="R955" s="47"/>
      <c r="S955" s="47"/>
      <c r="T955" s="47"/>
      <c r="U955" s="47"/>
      <c r="V955" s="47"/>
      <c r="W955" s="47"/>
      <c r="X955" s="47"/>
      <c r="Y955" s="47"/>
      <c r="Z955" s="47"/>
      <c r="AA955" s="47"/>
      <c r="AB955" s="47"/>
      <c r="AC955" s="47"/>
      <c r="AD955" s="47"/>
      <c r="AE955" s="47"/>
      <c r="AF955" s="47"/>
      <c r="AG955" s="47"/>
      <c r="AH955" s="47"/>
      <c r="AI955" s="47"/>
      <c r="AJ955" s="47"/>
      <c r="AK955" s="47"/>
      <c r="AL955" s="47"/>
      <c r="AM955" s="47"/>
      <c r="AN955" s="47"/>
      <c r="AO955" s="47"/>
      <c r="AP955" s="47"/>
      <c r="AQ955" s="47"/>
      <c r="AR955" s="47"/>
      <c r="AS955" s="47"/>
      <c r="AT955" s="47"/>
      <c r="AU955" s="47"/>
      <c r="AV955" s="47"/>
      <c r="AW955" s="47"/>
      <c r="AX955" s="47"/>
      <c r="AY955" s="47"/>
      <c r="AZ955" s="532"/>
    </row>
    <row r="956" spans="1:52" ht="15.75" customHeight="1">
      <c r="A956" s="500"/>
      <c r="B956" s="477"/>
      <c r="C956" s="481"/>
      <c r="D956" s="47"/>
      <c r="E956" s="47"/>
      <c r="F956" s="478"/>
      <c r="G956" s="479"/>
      <c r="H956" s="9"/>
      <c r="I956" s="9"/>
      <c r="J956" s="505"/>
      <c r="K956" s="47"/>
      <c r="L956" s="47"/>
      <c r="M956" s="47"/>
      <c r="N956" s="9"/>
      <c r="O956" s="9"/>
      <c r="P956" s="9"/>
      <c r="Q956" s="47"/>
      <c r="R956" s="47"/>
      <c r="S956" s="47"/>
      <c r="T956" s="47"/>
      <c r="U956" s="47"/>
      <c r="V956" s="47"/>
      <c r="W956" s="47"/>
      <c r="X956" s="47"/>
      <c r="Y956" s="47"/>
      <c r="Z956" s="47"/>
      <c r="AA956" s="47"/>
      <c r="AB956" s="47"/>
      <c r="AC956" s="47"/>
      <c r="AD956" s="47"/>
      <c r="AE956" s="47"/>
      <c r="AF956" s="47"/>
      <c r="AG956" s="47"/>
      <c r="AH956" s="47"/>
      <c r="AI956" s="47"/>
      <c r="AJ956" s="47"/>
      <c r="AK956" s="47"/>
      <c r="AL956" s="47"/>
      <c r="AM956" s="47"/>
      <c r="AN956" s="47"/>
      <c r="AO956" s="47"/>
      <c r="AP956" s="47"/>
      <c r="AQ956" s="47"/>
      <c r="AR956" s="47"/>
      <c r="AS956" s="47"/>
      <c r="AT956" s="47"/>
      <c r="AU956" s="47"/>
      <c r="AV956" s="47"/>
      <c r="AW956" s="47"/>
      <c r="AX956" s="47"/>
      <c r="AY956" s="47"/>
      <c r="AZ956" s="532"/>
    </row>
    <row r="957" spans="1:52" ht="15.75" customHeight="1">
      <c r="A957" s="500"/>
      <c r="B957" s="477"/>
      <c r="C957" s="481"/>
      <c r="D957" s="47"/>
      <c r="E957" s="47"/>
      <c r="F957" s="478"/>
      <c r="G957" s="479"/>
      <c r="H957" s="9"/>
      <c r="I957" s="10"/>
      <c r="J957" s="505"/>
      <c r="K957" s="47"/>
      <c r="L957" s="47"/>
      <c r="M957" s="47"/>
      <c r="N957" s="9"/>
      <c r="O957" s="9"/>
      <c r="P957" s="9"/>
      <c r="Q957" s="47"/>
      <c r="R957" s="47"/>
      <c r="S957" s="47"/>
      <c r="T957" s="47"/>
      <c r="U957" s="47"/>
      <c r="V957" s="47"/>
      <c r="W957" s="47"/>
      <c r="X957" s="47"/>
      <c r="Y957" s="47"/>
      <c r="Z957" s="47"/>
      <c r="AA957" s="47"/>
      <c r="AB957" s="47"/>
      <c r="AC957" s="47"/>
      <c r="AD957" s="47"/>
      <c r="AE957" s="47"/>
      <c r="AF957" s="47"/>
      <c r="AG957" s="47"/>
      <c r="AH957" s="47"/>
      <c r="AI957" s="47"/>
      <c r="AJ957" s="47"/>
      <c r="AK957" s="47"/>
      <c r="AL957" s="47"/>
      <c r="AM957" s="47"/>
      <c r="AN957" s="47"/>
      <c r="AO957" s="47"/>
      <c r="AP957" s="47"/>
      <c r="AQ957" s="47"/>
      <c r="AR957" s="47"/>
      <c r="AS957" s="47"/>
      <c r="AT957" s="47"/>
      <c r="AU957" s="47"/>
      <c r="AV957" s="47"/>
      <c r="AW957" s="47"/>
      <c r="AX957" s="47"/>
      <c r="AY957" s="47"/>
      <c r="AZ957" s="532"/>
    </row>
    <row r="958" spans="1:52" ht="15.75" customHeight="1">
      <c r="A958" s="500"/>
      <c r="B958" s="477"/>
      <c r="C958" s="481"/>
      <c r="D958" s="47"/>
      <c r="E958" s="47"/>
      <c r="F958" s="478"/>
      <c r="G958" s="479"/>
      <c r="H958" s="9"/>
      <c r="I958" s="9"/>
      <c r="J958" s="505"/>
      <c r="K958" s="47"/>
      <c r="L958" s="47"/>
      <c r="M958" s="47"/>
      <c r="N958" s="9"/>
      <c r="O958" s="9"/>
      <c r="P958" s="9"/>
      <c r="Q958" s="47"/>
      <c r="R958" s="47"/>
      <c r="S958" s="47"/>
      <c r="T958" s="47"/>
      <c r="U958" s="47"/>
      <c r="V958" s="47"/>
      <c r="W958" s="47"/>
      <c r="X958" s="47"/>
      <c r="Y958" s="47"/>
      <c r="Z958" s="47"/>
      <c r="AA958" s="47"/>
      <c r="AB958" s="47"/>
      <c r="AC958" s="47"/>
      <c r="AD958" s="47"/>
      <c r="AE958" s="47"/>
      <c r="AF958" s="47"/>
      <c r="AG958" s="47"/>
      <c r="AH958" s="47"/>
      <c r="AI958" s="47"/>
      <c r="AJ958" s="47"/>
      <c r="AK958" s="47"/>
      <c r="AL958" s="47"/>
      <c r="AM958" s="47"/>
      <c r="AN958" s="47"/>
      <c r="AO958" s="47"/>
      <c r="AP958" s="47"/>
      <c r="AQ958" s="47"/>
      <c r="AR958" s="47"/>
      <c r="AS958" s="47"/>
      <c r="AT958" s="47"/>
      <c r="AU958" s="47"/>
      <c r="AV958" s="47"/>
      <c r="AW958" s="47"/>
      <c r="AX958" s="47"/>
      <c r="AY958" s="47"/>
      <c r="AZ958" s="532"/>
    </row>
    <row r="959" spans="1:52" ht="15.75" customHeight="1">
      <c r="A959" s="500"/>
      <c r="B959" s="477"/>
      <c r="C959" s="481"/>
      <c r="D959" s="47"/>
      <c r="E959" s="47"/>
      <c r="F959" s="478"/>
      <c r="G959" s="479"/>
      <c r="H959" s="9"/>
      <c r="I959" s="10"/>
      <c r="J959" s="505"/>
      <c r="K959" s="47"/>
      <c r="L959" s="47"/>
      <c r="M959" s="47"/>
      <c r="N959" s="9"/>
      <c r="O959" s="9"/>
      <c r="P959" s="9"/>
      <c r="Q959" s="47"/>
      <c r="R959" s="47"/>
      <c r="S959" s="47"/>
      <c r="T959" s="47"/>
      <c r="U959" s="47"/>
      <c r="V959" s="47"/>
      <c r="W959" s="47"/>
      <c r="X959" s="47"/>
      <c r="Y959" s="47"/>
      <c r="Z959" s="47"/>
      <c r="AA959" s="47"/>
      <c r="AB959" s="47"/>
      <c r="AC959" s="47"/>
      <c r="AD959" s="47"/>
      <c r="AE959" s="47"/>
      <c r="AF959" s="47"/>
      <c r="AG959" s="47"/>
      <c r="AH959" s="47"/>
      <c r="AI959" s="47"/>
      <c r="AJ959" s="47"/>
      <c r="AK959" s="47"/>
      <c r="AL959" s="47"/>
      <c r="AM959" s="47"/>
      <c r="AN959" s="47"/>
      <c r="AO959" s="47"/>
      <c r="AP959" s="47"/>
      <c r="AQ959" s="47"/>
      <c r="AR959" s="47"/>
      <c r="AS959" s="47"/>
      <c r="AT959" s="47"/>
      <c r="AU959" s="47"/>
      <c r="AV959" s="47"/>
      <c r="AW959" s="47"/>
      <c r="AX959" s="47"/>
      <c r="AY959" s="47"/>
      <c r="AZ959" s="532"/>
    </row>
    <row r="960" spans="1:52" ht="15.75" customHeight="1">
      <c r="A960" s="500"/>
      <c r="B960" s="477"/>
      <c r="C960" s="481"/>
      <c r="D960" s="47"/>
      <c r="E960" s="47"/>
      <c r="F960" s="478"/>
      <c r="G960" s="479"/>
      <c r="H960" s="47"/>
      <c r="I960" s="478"/>
      <c r="J960" s="505"/>
      <c r="K960" s="47"/>
      <c r="L960" s="47"/>
      <c r="M960" s="47"/>
      <c r="N960" s="9"/>
      <c r="O960" s="9"/>
      <c r="P960" s="9"/>
      <c r="Q960" s="47"/>
      <c r="R960" s="47"/>
      <c r="S960" s="47"/>
      <c r="T960" s="47"/>
      <c r="U960" s="47"/>
      <c r="V960" s="47"/>
      <c r="W960" s="47"/>
      <c r="X960" s="47"/>
      <c r="Y960" s="47"/>
      <c r="Z960" s="47"/>
      <c r="AA960" s="47"/>
      <c r="AB960" s="47"/>
      <c r="AC960" s="47"/>
      <c r="AD960" s="47"/>
      <c r="AE960" s="47"/>
      <c r="AF960" s="47"/>
      <c r="AG960" s="47"/>
      <c r="AH960" s="47"/>
      <c r="AI960" s="47"/>
      <c r="AJ960" s="47"/>
      <c r="AK960" s="47"/>
      <c r="AL960" s="47"/>
      <c r="AM960" s="47"/>
      <c r="AN960" s="47"/>
      <c r="AO960" s="47"/>
      <c r="AP960" s="47"/>
      <c r="AQ960" s="47"/>
      <c r="AR960" s="47"/>
      <c r="AS960" s="47"/>
      <c r="AT960" s="47"/>
      <c r="AU960" s="47"/>
      <c r="AV960" s="47"/>
      <c r="AW960" s="47"/>
      <c r="AX960" s="47"/>
      <c r="AY960" s="47"/>
      <c r="AZ960" s="532"/>
    </row>
    <row r="961" spans="1:52" ht="15.75" customHeight="1">
      <c r="A961" s="500"/>
      <c r="B961" s="477"/>
      <c r="C961" s="481"/>
      <c r="D961" s="47"/>
      <c r="E961" s="47"/>
      <c r="F961" s="478"/>
      <c r="G961" s="479"/>
      <c r="H961" s="47"/>
      <c r="I961" s="478"/>
      <c r="J961" s="505"/>
      <c r="K961" s="47"/>
      <c r="L961" s="47"/>
      <c r="M961" s="47"/>
      <c r="N961" s="9"/>
      <c r="O961" s="9"/>
      <c r="P961" s="9"/>
      <c r="Q961" s="47"/>
      <c r="R961" s="47"/>
      <c r="S961" s="47"/>
      <c r="T961" s="47"/>
      <c r="U961" s="47"/>
      <c r="V961" s="47"/>
      <c r="W961" s="47"/>
      <c r="X961" s="47"/>
      <c r="Y961" s="47"/>
      <c r="Z961" s="47"/>
      <c r="AA961" s="47"/>
      <c r="AB961" s="47"/>
      <c r="AC961" s="47"/>
      <c r="AD961" s="47"/>
      <c r="AE961" s="47"/>
      <c r="AF961" s="47"/>
      <c r="AG961" s="47"/>
      <c r="AH961" s="47"/>
      <c r="AI961" s="47"/>
      <c r="AJ961" s="47"/>
      <c r="AK961" s="47"/>
      <c r="AL961" s="47"/>
      <c r="AM961" s="47"/>
      <c r="AN961" s="47"/>
      <c r="AO961" s="47"/>
      <c r="AP961" s="47"/>
      <c r="AQ961" s="47"/>
      <c r="AR961" s="47"/>
      <c r="AS961" s="47"/>
      <c r="AT961" s="47"/>
      <c r="AU961" s="47"/>
      <c r="AV961" s="47"/>
      <c r="AW961" s="47"/>
      <c r="AX961" s="47"/>
      <c r="AY961" s="47"/>
      <c r="AZ961" s="532"/>
    </row>
    <row r="962" spans="1:52" ht="15.75" customHeight="1">
      <c r="A962" s="500"/>
      <c r="B962" s="477"/>
      <c r="C962" s="481"/>
      <c r="D962" s="47"/>
      <c r="E962" s="47"/>
      <c r="F962" s="478"/>
      <c r="G962" s="479"/>
      <c r="H962" s="9"/>
      <c r="I962" s="9"/>
      <c r="J962" s="505"/>
      <c r="K962" s="47"/>
      <c r="L962" s="47"/>
      <c r="M962" s="47"/>
      <c r="N962" s="9"/>
      <c r="O962" s="9"/>
      <c r="P962" s="9"/>
      <c r="Q962" s="47"/>
      <c r="R962" s="47"/>
      <c r="S962" s="47"/>
      <c r="T962" s="47"/>
      <c r="U962" s="47"/>
      <c r="V962" s="47"/>
      <c r="W962" s="47"/>
      <c r="X962" s="47"/>
      <c r="Y962" s="47"/>
      <c r="Z962" s="47"/>
      <c r="AA962" s="47"/>
      <c r="AB962" s="47"/>
      <c r="AC962" s="47"/>
      <c r="AD962" s="47"/>
      <c r="AE962" s="47"/>
      <c r="AF962" s="47"/>
      <c r="AG962" s="47"/>
      <c r="AH962" s="47"/>
      <c r="AI962" s="47"/>
      <c r="AJ962" s="47"/>
      <c r="AK962" s="47"/>
      <c r="AL962" s="47"/>
      <c r="AM962" s="47"/>
      <c r="AN962" s="47"/>
      <c r="AO962" s="47"/>
      <c r="AP962" s="47"/>
      <c r="AQ962" s="47"/>
      <c r="AR962" s="47"/>
      <c r="AS962" s="47"/>
      <c r="AT962" s="47"/>
      <c r="AU962" s="47"/>
      <c r="AV962" s="47"/>
      <c r="AW962" s="47"/>
      <c r="AX962" s="47"/>
      <c r="AY962" s="47"/>
      <c r="AZ962" s="532"/>
    </row>
    <row r="963" spans="1:52" ht="15.75" customHeight="1">
      <c r="A963" s="500"/>
      <c r="B963" s="477"/>
      <c r="C963" s="481"/>
      <c r="D963" s="47"/>
      <c r="E963" s="47"/>
      <c r="F963" s="478"/>
      <c r="G963" s="479"/>
      <c r="H963" s="9"/>
      <c r="I963" s="10"/>
      <c r="J963" s="505"/>
      <c r="K963" s="47"/>
      <c r="L963" s="47"/>
      <c r="M963" s="47"/>
      <c r="N963" s="9"/>
      <c r="O963" s="9"/>
      <c r="P963" s="9"/>
      <c r="Q963" s="47"/>
      <c r="R963" s="47"/>
      <c r="S963" s="47"/>
      <c r="T963" s="47"/>
      <c r="U963" s="47"/>
      <c r="V963" s="47"/>
      <c r="W963" s="47"/>
      <c r="X963" s="47"/>
      <c r="Y963" s="47"/>
      <c r="Z963" s="47"/>
      <c r="AA963" s="47"/>
      <c r="AB963" s="47"/>
      <c r="AC963" s="47"/>
      <c r="AD963" s="47"/>
      <c r="AE963" s="47"/>
      <c r="AF963" s="47"/>
      <c r="AG963" s="47"/>
      <c r="AH963" s="47"/>
      <c r="AI963" s="47"/>
      <c r="AJ963" s="47"/>
      <c r="AK963" s="47"/>
      <c r="AL963" s="47"/>
      <c r="AM963" s="47"/>
      <c r="AN963" s="47"/>
      <c r="AO963" s="47"/>
      <c r="AP963" s="47"/>
      <c r="AQ963" s="47"/>
      <c r="AR963" s="47"/>
      <c r="AS963" s="47"/>
      <c r="AT963" s="47"/>
      <c r="AU963" s="47"/>
      <c r="AV963" s="47"/>
      <c r="AW963" s="47"/>
      <c r="AX963" s="47"/>
      <c r="AY963" s="47"/>
    </row>
    <row r="964" spans="1:52" ht="15.75" customHeight="1">
      <c r="A964" s="500"/>
      <c r="B964" s="477"/>
      <c r="C964" s="481"/>
      <c r="D964" s="47"/>
      <c r="E964" s="47"/>
      <c r="F964" s="478"/>
      <c r="G964" s="479"/>
      <c r="H964" s="9"/>
      <c r="I964" s="9"/>
      <c r="J964" s="505"/>
      <c r="K964" s="47"/>
      <c r="L964" s="47"/>
      <c r="M964" s="47"/>
      <c r="N964" s="9"/>
      <c r="O964" s="9"/>
      <c r="P964" s="9"/>
      <c r="Q964" s="47"/>
      <c r="R964" s="47"/>
      <c r="S964" s="47"/>
      <c r="T964" s="47"/>
      <c r="U964" s="47"/>
      <c r="V964" s="47"/>
      <c r="W964" s="47"/>
      <c r="X964" s="47"/>
      <c r="Y964" s="47"/>
      <c r="Z964" s="47"/>
      <c r="AA964" s="47"/>
      <c r="AB964" s="47"/>
      <c r="AC964" s="47"/>
      <c r="AD964" s="47"/>
      <c r="AE964" s="47"/>
      <c r="AF964" s="47"/>
      <c r="AG964" s="47"/>
      <c r="AH964" s="47"/>
      <c r="AI964" s="47"/>
      <c r="AJ964" s="47"/>
      <c r="AK964" s="47"/>
      <c r="AL964" s="47"/>
      <c r="AM964" s="47"/>
      <c r="AN964" s="47"/>
      <c r="AO964" s="47"/>
      <c r="AP964" s="47"/>
      <c r="AQ964" s="47"/>
      <c r="AR964" s="47"/>
      <c r="AS964" s="47"/>
      <c r="AT964" s="47"/>
      <c r="AU964" s="47"/>
      <c r="AV964" s="47"/>
      <c r="AW964" s="47"/>
      <c r="AX964" s="47"/>
      <c r="AY964" s="47"/>
    </row>
    <row r="965" spans="1:52" ht="15.75" customHeight="1">
      <c r="A965" s="500"/>
      <c r="B965" s="477"/>
      <c r="C965" s="481"/>
      <c r="D965" s="47"/>
      <c r="E965" s="47"/>
      <c r="F965" s="478"/>
      <c r="G965" s="479"/>
      <c r="H965" s="9"/>
      <c r="I965" s="9"/>
      <c r="J965" s="505"/>
      <c r="K965" s="47"/>
      <c r="L965" s="47"/>
      <c r="M965" s="47"/>
      <c r="N965" s="9"/>
      <c r="O965" s="9"/>
      <c r="P965" s="9"/>
      <c r="Q965" s="47"/>
      <c r="R965" s="47"/>
      <c r="S965" s="47"/>
      <c r="T965" s="47"/>
      <c r="U965" s="47"/>
      <c r="V965" s="47"/>
      <c r="W965" s="47"/>
      <c r="X965" s="47"/>
      <c r="Y965" s="47"/>
      <c r="Z965" s="47"/>
      <c r="AA965" s="47"/>
      <c r="AB965" s="47"/>
      <c r="AC965" s="47"/>
      <c r="AD965" s="47"/>
      <c r="AE965" s="47"/>
      <c r="AF965" s="47"/>
      <c r="AG965" s="47"/>
      <c r="AH965" s="47"/>
      <c r="AI965" s="47"/>
      <c r="AJ965" s="47"/>
      <c r="AK965" s="47"/>
      <c r="AL965" s="47"/>
      <c r="AM965" s="47"/>
      <c r="AN965" s="47"/>
      <c r="AO965" s="47"/>
      <c r="AP965" s="47"/>
      <c r="AQ965" s="47"/>
      <c r="AR965" s="47"/>
      <c r="AS965" s="47"/>
      <c r="AT965" s="47"/>
      <c r="AU965" s="47"/>
      <c r="AV965" s="47"/>
      <c r="AW965" s="47"/>
      <c r="AX965" s="47"/>
      <c r="AY965" s="47"/>
    </row>
    <row r="966" spans="1:52" ht="15.75" customHeight="1">
      <c r="A966" s="500"/>
      <c r="B966" s="477"/>
      <c r="C966" s="481"/>
      <c r="D966" s="47"/>
      <c r="E966" s="47"/>
      <c r="F966" s="478"/>
      <c r="G966" s="479"/>
      <c r="H966" s="9"/>
      <c r="I966" s="9"/>
      <c r="J966" s="505"/>
      <c r="K966" s="47"/>
      <c r="L966" s="47"/>
      <c r="M966" s="47"/>
      <c r="N966" s="9"/>
      <c r="O966" s="9"/>
      <c r="P966" s="9"/>
      <c r="Q966" s="47"/>
      <c r="R966" s="47"/>
      <c r="S966" s="47"/>
      <c r="T966" s="47"/>
      <c r="U966" s="47"/>
      <c r="V966" s="47"/>
      <c r="W966" s="47"/>
      <c r="X966" s="47"/>
      <c r="Y966" s="47"/>
      <c r="Z966" s="47"/>
      <c r="AA966" s="47"/>
      <c r="AB966" s="47"/>
      <c r="AC966" s="47"/>
      <c r="AD966" s="47"/>
      <c r="AE966" s="47"/>
      <c r="AF966" s="47"/>
      <c r="AG966" s="47"/>
      <c r="AH966" s="47"/>
      <c r="AI966" s="47"/>
      <c r="AJ966" s="47"/>
      <c r="AK966" s="47"/>
      <c r="AL966" s="47"/>
      <c r="AM966" s="47"/>
      <c r="AN966" s="47"/>
      <c r="AO966" s="47"/>
      <c r="AP966" s="47"/>
      <c r="AQ966" s="47"/>
      <c r="AR966" s="47"/>
      <c r="AS966" s="47"/>
      <c r="AT966" s="47"/>
      <c r="AU966" s="47"/>
      <c r="AV966" s="47"/>
      <c r="AW966" s="47"/>
      <c r="AX966" s="47"/>
      <c r="AY966" s="47"/>
    </row>
    <row r="967" spans="1:52" ht="15.75" customHeight="1">
      <c r="A967" s="500"/>
      <c r="B967" s="477"/>
      <c r="C967" s="481"/>
      <c r="D967" s="47"/>
      <c r="E967" s="47"/>
      <c r="F967" s="478"/>
      <c r="G967" s="479"/>
      <c r="H967" s="9"/>
      <c r="I967" s="9"/>
      <c r="J967" s="505"/>
      <c r="K967" s="47"/>
      <c r="L967" s="47"/>
      <c r="M967" s="47"/>
      <c r="N967" s="9"/>
      <c r="O967" s="9"/>
      <c r="P967" s="9"/>
      <c r="Q967" s="47"/>
      <c r="R967" s="47"/>
      <c r="S967" s="47"/>
      <c r="T967" s="47"/>
      <c r="U967" s="47"/>
      <c r="V967" s="47"/>
      <c r="W967" s="47"/>
      <c r="X967" s="47"/>
      <c r="Y967" s="47"/>
      <c r="Z967" s="47"/>
      <c r="AA967" s="47"/>
      <c r="AB967" s="47"/>
      <c r="AC967" s="47"/>
      <c r="AD967" s="47"/>
      <c r="AE967" s="47"/>
      <c r="AF967" s="47"/>
      <c r="AG967" s="47"/>
      <c r="AH967" s="47"/>
      <c r="AI967" s="47"/>
      <c r="AJ967" s="47"/>
      <c r="AK967" s="47"/>
      <c r="AL967" s="47"/>
      <c r="AM967" s="47"/>
      <c r="AN967" s="47"/>
      <c r="AO967" s="47"/>
      <c r="AP967" s="47"/>
      <c r="AQ967" s="47"/>
      <c r="AR967" s="47"/>
      <c r="AS967" s="47"/>
      <c r="AT967" s="47"/>
      <c r="AU967" s="47"/>
      <c r="AV967" s="47"/>
      <c r="AW967" s="47"/>
      <c r="AX967" s="47"/>
      <c r="AY967" s="47"/>
    </row>
    <row r="968" spans="1:52" ht="15.75" customHeight="1">
      <c r="A968" s="500"/>
      <c r="B968" s="477"/>
      <c r="C968" s="481"/>
      <c r="D968" s="47"/>
      <c r="E968" s="47"/>
      <c r="F968" s="478"/>
      <c r="G968" s="479"/>
      <c r="H968" s="9"/>
      <c r="I968" s="9"/>
      <c r="J968" s="505"/>
      <c r="K968" s="47"/>
      <c r="L968" s="47"/>
      <c r="M968" s="47"/>
      <c r="N968" s="9"/>
      <c r="O968" s="9"/>
      <c r="P968" s="9"/>
      <c r="Q968" s="47"/>
      <c r="R968" s="47"/>
      <c r="S968" s="47"/>
      <c r="T968" s="47"/>
      <c r="U968" s="47"/>
      <c r="V968" s="47"/>
      <c r="W968" s="47"/>
      <c r="X968" s="47"/>
      <c r="Y968" s="47"/>
      <c r="Z968" s="47"/>
      <c r="AA968" s="47"/>
      <c r="AB968" s="47"/>
      <c r="AC968" s="47"/>
      <c r="AD968" s="47"/>
      <c r="AE968" s="47"/>
      <c r="AF968" s="47"/>
      <c r="AG968" s="47"/>
      <c r="AH968" s="47"/>
      <c r="AI968" s="47"/>
      <c r="AJ968" s="47"/>
      <c r="AK968" s="47"/>
      <c r="AL968" s="47"/>
      <c r="AM968" s="47"/>
      <c r="AN968" s="47"/>
      <c r="AO968" s="47"/>
      <c r="AP968" s="47"/>
      <c r="AQ968" s="47"/>
      <c r="AR968" s="47"/>
      <c r="AS968" s="47"/>
      <c r="AT968" s="47"/>
      <c r="AU968" s="47"/>
      <c r="AV968" s="47"/>
      <c r="AW968" s="47"/>
      <c r="AX968" s="47"/>
      <c r="AY968" s="47"/>
    </row>
    <row r="969" spans="1:52" ht="15.75" customHeight="1">
      <c r="A969" s="500"/>
      <c r="B969" s="477"/>
      <c r="C969" s="481"/>
      <c r="D969" s="47"/>
      <c r="E969" s="47"/>
      <c r="F969" s="478"/>
      <c r="G969" s="479"/>
      <c r="H969" s="9"/>
      <c r="I969" s="9"/>
      <c r="J969" s="505"/>
      <c r="K969" s="47"/>
      <c r="L969" s="47"/>
      <c r="M969" s="47"/>
      <c r="N969" s="9"/>
      <c r="O969" s="9"/>
      <c r="P969" s="9"/>
      <c r="Q969" s="47"/>
      <c r="R969" s="47"/>
      <c r="S969" s="47"/>
      <c r="T969" s="47"/>
      <c r="U969" s="47"/>
      <c r="V969" s="47"/>
      <c r="W969" s="47"/>
      <c r="X969" s="47"/>
      <c r="Y969" s="47"/>
      <c r="Z969" s="47"/>
      <c r="AA969" s="47"/>
      <c r="AB969" s="47"/>
      <c r="AC969" s="47"/>
      <c r="AD969" s="47"/>
      <c r="AE969" s="47"/>
      <c r="AF969" s="47"/>
      <c r="AG969" s="47"/>
      <c r="AH969" s="47"/>
      <c r="AI969" s="47"/>
      <c r="AJ969" s="47"/>
      <c r="AK969" s="47"/>
      <c r="AL969" s="47"/>
      <c r="AM969" s="47"/>
      <c r="AN969" s="47"/>
      <c r="AO969" s="47"/>
      <c r="AP969" s="47"/>
      <c r="AQ969" s="47"/>
      <c r="AR969" s="47"/>
      <c r="AS969" s="47"/>
      <c r="AT969" s="47"/>
      <c r="AU969" s="47"/>
      <c r="AV969" s="47"/>
      <c r="AW969" s="47"/>
      <c r="AX969" s="47"/>
      <c r="AY969" s="47"/>
    </row>
    <row r="970" spans="1:52" ht="15.75" customHeight="1">
      <c r="A970" s="500"/>
      <c r="B970" s="477"/>
      <c r="C970" s="481"/>
      <c r="D970" s="47"/>
      <c r="E970" s="47"/>
      <c r="F970" s="478"/>
      <c r="G970" s="479"/>
      <c r="H970" s="9"/>
      <c r="I970" s="9"/>
      <c r="J970" s="505"/>
      <c r="K970" s="47"/>
      <c r="L970" s="47"/>
      <c r="M970" s="47"/>
      <c r="N970" s="9"/>
      <c r="O970" s="9"/>
      <c r="P970" s="9"/>
      <c r="Q970" s="47"/>
      <c r="R970" s="47"/>
      <c r="S970" s="47"/>
      <c r="T970" s="47"/>
      <c r="U970" s="47"/>
      <c r="V970" s="47"/>
      <c r="W970" s="47"/>
      <c r="X970" s="47"/>
      <c r="Y970" s="47"/>
      <c r="Z970" s="47"/>
      <c r="AA970" s="47"/>
      <c r="AB970" s="47"/>
      <c r="AC970" s="47"/>
      <c r="AD970" s="47"/>
      <c r="AE970" s="47"/>
      <c r="AF970" s="47"/>
      <c r="AG970" s="47"/>
      <c r="AH970" s="47"/>
      <c r="AI970" s="47"/>
      <c r="AJ970" s="47"/>
      <c r="AK970" s="47"/>
      <c r="AL970" s="47"/>
      <c r="AM970" s="47"/>
      <c r="AN970" s="47"/>
      <c r="AO970" s="47"/>
      <c r="AP970" s="47"/>
      <c r="AQ970" s="47"/>
      <c r="AR970" s="47"/>
      <c r="AS970" s="47"/>
      <c r="AT970" s="47"/>
      <c r="AU970" s="47"/>
      <c r="AV970" s="47"/>
      <c r="AW970" s="47"/>
      <c r="AX970" s="47"/>
      <c r="AY970" s="47"/>
    </row>
    <row r="971" spans="1:52" ht="15.75" customHeight="1">
      <c r="A971" s="500"/>
      <c r="B971" s="477"/>
      <c r="C971" s="481"/>
      <c r="D971" s="47"/>
      <c r="E971" s="47"/>
      <c r="F971" s="478"/>
      <c r="G971" s="479"/>
      <c r="H971" s="9"/>
      <c r="I971" s="9"/>
      <c r="J971" s="505"/>
      <c r="K971" s="47"/>
      <c r="L971" s="47"/>
      <c r="M971" s="47"/>
      <c r="N971" s="9"/>
      <c r="O971" s="9"/>
      <c r="P971" s="9"/>
      <c r="Q971" s="47"/>
      <c r="R971" s="47"/>
      <c r="S971" s="47"/>
      <c r="T971" s="47"/>
      <c r="U971" s="47"/>
      <c r="V971" s="47"/>
      <c r="W971" s="47"/>
      <c r="X971" s="47"/>
      <c r="Y971" s="47"/>
      <c r="Z971" s="47"/>
      <c r="AA971" s="47"/>
      <c r="AB971" s="47"/>
      <c r="AC971" s="47"/>
      <c r="AD971" s="47"/>
      <c r="AE971" s="47"/>
      <c r="AF971" s="47"/>
      <c r="AG971" s="47"/>
      <c r="AH971" s="47"/>
      <c r="AI971" s="47"/>
      <c r="AJ971" s="47"/>
      <c r="AK971" s="47"/>
      <c r="AL971" s="47"/>
      <c r="AM971" s="47"/>
      <c r="AN971" s="47"/>
      <c r="AO971" s="47"/>
      <c r="AP971" s="47"/>
      <c r="AQ971" s="47"/>
      <c r="AR971" s="47"/>
      <c r="AS971" s="47"/>
      <c r="AT971" s="47"/>
      <c r="AU971" s="47"/>
      <c r="AV971" s="47"/>
      <c r="AW971" s="47"/>
      <c r="AX971" s="47"/>
      <c r="AY971" s="47"/>
    </row>
    <row r="972" spans="1:52" ht="15.75" customHeight="1">
      <c r="A972" s="500"/>
      <c r="B972" s="477"/>
      <c r="C972" s="481"/>
      <c r="D972" s="47"/>
      <c r="E972" s="47"/>
      <c r="F972" s="478"/>
      <c r="G972" s="479"/>
      <c r="H972" s="9"/>
      <c r="I972" s="9"/>
      <c r="J972" s="505"/>
      <c r="K972" s="47"/>
      <c r="L972" s="47"/>
      <c r="M972" s="47"/>
      <c r="N972" s="9"/>
      <c r="O972" s="9"/>
      <c r="P972" s="9"/>
      <c r="Q972" s="47"/>
      <c r="R972" s="47"/>
      <c r="S972" s="47"/>
      <c r="T972" s="47"/>
      <c r="U972" s="47"/>
      <c r="V972" s="47"/>
      <c r="W972" s="47"/>
      <c r="X972" s="47"/>
      <c r="Y972" s="47"/>
      <c r="Z972" s="47"/>
      <c r="AA972" s="47"/>
      <c r="AB972" s="47"/>
      <c r="AC972" s="47"/>
      <c r="AD972" s="47"/>
      <c r="AE972" s="47"/>
      <c r="AF972" s="47"/>
      <c r="AG972" s="47"/>
      <c r="AH972" s="47"/>
      <c r="AI972" s="47"/>
      <c r="AJ972" s="47"/>
      <c r="AK972" s="47"/>
      <c r="AL972" s="47"/>
      <c r="AM972" s="47"/>
      <c r="AN972" s="47"/>
      <c r="AO972" s="47"/>
      <c r="AP972" s="47"/>
      <c r="AQ972" s="47"/>
      <c r="AR972" s="47"/>
      <c r="AS972" s="47"/>
      <c r="AT972" s="47"/>
      <c r="AU972" s="47"/>
      <c r="AV972" s="47"/>
      <c r="AW972" s="47"/>
      <c r="AX972" s="47"/>
      <c r="AY972" s="47"/>
    </row>
    <row r="973" spans="1:52" ht="15.75" customHeight="1">
      <c r="A973" s="500"/>
      <c r="B973" s="477"/>
      <c r="C973" s="481"/>
      <c r="D973" s="47"/>
      <c r="E973" s="47"/>
      <c r="F973" s="478"/>
      <c r="G973" s="479"/>
      <c r="H973" s="9"/>
      <c r="I973" s="9"/>
      <c r="J973" s="505"/>
      <c r="K973" s="47"/>
      <c r="L973" s="47"/>
      <c r="M973" s="47"/>
      <c r="N973" s="9"/>
      <c r="O973" s="9"/>
      <c r="P973" s="9"/>
      <c r="Q973" s="47"/>
      <c r="R973" s="47"/>
      <c r="S973" s="47"/>
      <c r="T973" s="47"/>
      <c r="U973" s="47"/>
      <c r="V973" s="47"/>
      <c r="W973" s="47"/>
      <c r="X973" s="47"/>
      <c r="Y973" s="47"/>
      <c r="Z973" s="47"/>
      <c r="AA973" s="47"/>
      <c r="AB973" s="47"/>
      <c r="AC973" s="47"/>
      <c r="AD973" s="47"/>
      <c r="AE973" s="47"/>
      <c r="AF973" s="47"/>
      <c r="AG973" s="47"/>
      <c r="AH973" s="47"/>
      <c r="AI973" s="47"/>
      <c r="AJ973" s="47"/>
      <c r="AK973" s="47"/>
      <c r="AL973" s="47"/>
      <c r="AM973" s="47"/>
      <c r="AN973" s="47"/>
      <c r="AO973" s="47"/>
      <c r="AP973" s="47"/>
      <c r="AQ973" s="47"/>
      <c r="AR973" s="47"/>
      <c r="AS973" s="47"/>
      <c r="AT973" s="47"/>
      <c r="AU973" s="47"/>
      <c r="AV973" s="47"/>
      <c r="AW973" s="47"/>
      <c r="AX973" s="47"/>
      <c r="AY973" s="47"/>
    </row>
    <row r="974" spans="1:52" ht="15.75" customHeight="1">
      <c r="A974" s="500"/>
      <c r="B974" s="477"/>
      <c r="C974" s="481"/>
      <c r="D974" s="47"/>
      <c r="E974" s="47"/>
      <c r="F974" s="478"/>
      <c r="G974" s="479"/>
      <c r="H974" s="9"/>
      <c r="I974" s="9"/>
      <c r="J974" s="505"/>
      <c r="K974" s="47"/>
      <c r="L974" s="47"/>
      <c r="M974" s="47"/>
      <c r="N974" s="9"/>
      <c r="O974" s="9"/>
      <c r="P974" s="9"/>
      <c r="Q974" s="47"/>
      <c r="R974" s="47"/>
      <c r="S974" s="47"/>
      <c r="T974" s="47"/>
      <c r="U974" s="47"/>
      <c r="V974" s="47"/>
      <c r="W974" s="47"/>
      <c r="X974" s="47"/>
      <c r="Y974" s="47"/>
      <c r="Z974" s="47"/>
      <c r="AA974" s="47"/>
      <c r="AB974" s="47"/>
      <c r="AC974" s="47"/>
      <c r="AD974" s="47"/>
      <c r="AE974" s="47"/>
      <c r="AF974" s="47"/>
      <c r="AG974" s="47"/>
      <c r="AH974" s="47"/>
      <c r="AI974" s="47"/>
      <c r="AJ974" s="47"/>
      <c r="AK974" s="47"/>
      <c r="AL974" s="47"/>
      <c r="AM974" s="47"/>
      <c r="AN974" s="47"/>
      <c r="AO974" s="47"/>
      <c r="AP974" s="47"/>
      <c r="AQ974" s="47"/>
      <c r="AR974" s="47"/>
      <c r="AS974" s="47"/>
      <c r="AT974" s="47"/>
      <c r="AU974" s="47"/>
      <c r="AV974" s="47"/>
      <c r="AW974" s="47"/>
      <c r="AX974" s="47"/>
      <c r="AY974" s="47"/>
    </row>
    <row r="975" spans="1:52" ht="15.75" customHeight="1">
      <c r="A975" s="500"/>
      <c r="B975" s="477"/>
      <c r="C975" s="481"/>
      <c r="D975" s="47"/>
      <c r="E975" s="47"/>
      <c r="F975" s="478"/>
      <c r="G975" s="479"/>
      <c r="H975" s="9"/>
      <c r="I975" s="9"/>
      <c r="J975" s="505"/>
      <c r="K975" s="47"/>
      <c r="L975" s="47"/>
      <c r="M975" s="47"/>
      <c r="N975" s="9"/>
      <c r="O975" s="9"/>
      <c r="P975" s="9"/>
      <c r="Q975" s="47"/>
      <c r="R975" s="47"/>
      <c r="S975" s="47"/>
      <c r="T975" s="47"/>
      <c r="U975" s="47"/>
      <c r="V975" s="47"/>
      <c r="W975" s="47"/>
      <c r="X975" s="47"/>
      <c r="Y975" s="47"/>
      <c r="Z975" s="47"/>
      <c r="AA975" s="47"/>
      <c r="AB975" s="47"/>
      <c r="AC975" s="47"/>
      <c r="AD975" s="47"/>
      <c r="AE975" s="47"/>
      <c r="AF975" s="47"/>
      <c r="AG975" s="47"/>
      <c r="AH975" s="47"/>
      <c r="AI975" s="47"/>
      <c r="AJ975" s="47"/>
      <c r="AK975" s="47"/>
      <c r="AL975" s="47"/>
      <c r="AM975" s="47"/>
      <c r="AN975" s="47"/>
      <c r="AO975" s="47"/>
      <c r="AP975" s="47"/>
      <c r="AQ975" s="47"/>
      <c r="AR975" s="47"/>
      <c r="AS975" s="47"/>
      <c r="AT975" s="47"/>
      <c r="AU975" s="47"/>
      <c r="AV975" s="47"/>
      <c r="AW975" s="47"/>
      <c r="AX975" s="47"/>
      <c r="AY975" s="47"/>
    </row>
    <row r="976" spans="1:52" ht="15.75" customHeight="1">
      <c r="A976" s="500"/>
      <c r="B976" s="477"/>
      <c r="C976" s="481"/>
      <c r="D976" s="47"/>
      <c r="E976" s="47"/>
      <c r="F976" s="478"/>
      <c r="G976" s="479"/>
      <c r="H976" s="9"/>
      <c r="I976" s="9"/>
      <c r="J976" s="505"/>
      <c r="K976" s="47"/>
      <c r="L976" s="47"/>
      <c r="M976" s="47"/>
      <c r="N976" s="9"/>
      <c r="O976" s="9"/>
      <c r="P976" s="9"/>
      <c r="Q976" s="47"/>
      <c r="R976" s="47"/>
      <c r="S976" s="47"/>
      <c r="T976" s="47"/>
      <c r="U976" s="47"/>
      <c r="V976" s="47"/>
      <c r="W976" s="47"/>
      <c r="X976" s="47"/>
      <c r="Y976" s="47"/>
      <c r="Z976" s="47"/>
      <c r="AA976" s="47"/>
      <c r="AB976" s="47"/>
      <c r="AC976" s="47"/>
      <c r="AD976" s="47"/>
      <c r="AE976" s="47"/>
      <c r="AF976" s="47"/>
      <c r="AG976" s="47"/>
      <c r="AH976" s="47"/>
      <c r="AI976" s="47"/>
      <c r="AJ976" s="47"/>
      <c r="AK976" s="47"/>
      <c r="AL976" s="47"/>
      <c r="AM976" s="47"/>
      <c r="AN976" s="47"/>
      <c r="AO976" s="47"/>
      <c r="AP976" s="47"/>
      <c r="AQ976" s="47"/>
      <c r="AR976" s="47"/>
      <c r="AS976" s="47"/>
      <c r="AT976" s="47"/>
      <c r="AU976" s="47"/>
      <c r="AV976" s="47"/>
      <c r="AW976" s="47"/>
      <c r="AX976" s="47"/>
      <c r="AY976" s="47"/>
    </row>
    <row r="977" spans="1:51" ht="15.75" customHeight="1">
      <c r="A977" s="500"/>
      <c r="B977" s="477"/>
      <c r="C977" s="481"/>
      <c r="D977" s="47"/>
      <c r="E977" s="47"/>
      <c r="F977" s="478"/>
      <c r="G977" s="479"/>
      <c r="H977" s="9"/>
      <c r="I977" s="9"/>
      <c r="J977" s="505"/>
      <c r="K977" s="47"/>
      <c r="L977" s="47"/>
      <c r="M977" s="47"/>
      <c r="N977" s="9"/>
      <c r="O977" s="9"/>
      <c r="P977" s="9"/>
      <c r="Q977" s="47"/>
      <c r="R977" s="47"/>
      <c r="S977" s="47"/>
      <c r="T977" s="47"/>
      <c r="U977" s="47"/>
      <c r="V977" s="47"/>
      <c r="W977" s="47"/>
      <c r="X977" s="47"/>
      <c r="Y977" s="47"/>
      <c r="Z977" s="47"/>
      <c r="AA977" s="47"/>
      <c r="AB977" s="47"/>
      <c r="AC977" s="47"/>
      <c r="AD977" s="47"/>
      <c r="AE977" s="47"/>
      <c r="AF977" s="47"/>
      <c r="AG977" s="47"/>
      <c r="AH977" s="47"/>
      <c r="AI977" s="47"/>
      <c r="AJ977" s="47"/>
      <c r="AK977" s="47"/>
      <c r="AL977" s="47"/>
      <c r="AM977" s="47"/>
      <c r="AN977" s="47"/>
      <c r="AO977" s="47"/>
      <c r="AP977" s="47"/>
      <c r="AQ977" s="47"/>
      <c r="AR977" s="47"/>
      <c r="AS977" s="47"/>
      <c r="AT977" s="47"/>
      <c r="AU977" s="47"/>
      <c r="AV977" s="47"/>
      <c r="AW977" s="47"/>
      <c r="AX977" s="47"/>
      <c r="AY977" s="47"/>
    </row>
    <row r="978" spans="1:51" ht="15.75" customHeight="1">
      <c r="A978" s="500"/>
      <c r="B978" s="477"/>
      <c r="C978" s="481"/>
      <c r="D978" s="47"/>
      <c r="E978" s="47"/>
      <c r="F978" s="478"/>
      <c r="G978" s="479"/>
      <c r="H978" s="9"/>
      <c r="I978" s="9"/>
      <c r="J978" s="505"/>
      <c r="K978" s="47"/>
      <c r="L978" s="47"/>
      <c r="M978" s="47"/>
      <c r="N978" s="9"/>
      <c r="O978" s="9"/>
      <c r="P978" s="9"/>
      <c r="Q978" s="47"/>
      <c r="R978" s="47"/>
      <c r="S978" s="47"/>
      <c r="T978" s="47"/>
      <c r="U978" s="47"/>
      <c r="V978" s="47"/>
      <c r="W978" s="47"/>
      <c r="X978" s="47"/>
      <c r="Y978" s="47"/>
      <c r="Z978" s="47"/>
      <c r="AA978" s="47"/>
      <c r="AB978" s="47"/>
      <c r="AC978" s="47"/>
      <c r="AD978" s="47"/>
      <c r="AE978" s="47"/>
      <c r="AF978" s="47"/>
      <c r="AG978" s="47"/>
      <c r="AH978" s="47"/>
      <c r="AI978" s="47"/>
      <c r="AJ978" s="47"/>
      <c r="AK978" s="47"/>
      <c r="AL978" s="47"/>
      <c r="AM978" s="47"/>
      <c r="AN978" s="47"/>
      <c r="AO978" s="47"/>
      <c r="AP978" s="47"/>
      <c r="AQ978" s="47"/>
      <c r="AR978" s="47"/>
      <c r="AS978" s="47"/>
      <c r="AT978" s="47"/>
      <c r="AU978" s="47"/>
      <c r="AV978" s="47"/>
      <c r="AW978" s="47"/>
      <c r="AX978" s="47"/>
      <c r="AY978" s="47"/>
    </row>
    <row r="979" spans="1:51" ht="15.75" customHeight="1">
      <c r="A979" s="500"/>
      <c r="B979" s="477"/>
      <c r="C979" s="481"/>
      <c r="D979" s="47"/>
      <c r="E979" s="47"/>
      <c r="F979" s="478"/>
      <c r="G979" s="479"/>
      <c r="H979" s="9"/>
      <c r="I979" s="9"/>
      <c r="J979" s="505"/>
      <c r="K979" s="47"/>
      <c r="L979" s="47"/>
      <c r="M979" s="47"/>
      <c r="N979" s="9"/>
      <c r="O979" s="9"/>
      <c r="P979" s="9"/>
      <c r="Q979" s="47"/>
      <c r="R979" s="47"/>
      <c r="S979" s="47"/>
      <c r="T979" s="47"/>
      <c r="U979" s="47"/>
      <c r="V979" s="47"/>
      <c r="W979" s="47"/>
      <c r="X979" s="47"/>
      <c r="Y979" s="47"/>
      <c r="Z979" s="47"/>
      <c r="AA979" s="47"/>
      <c r="AB979" s="47"/>
      <c r="AC979" s="47"/>
      <c r="AD979" s="47"/>
      <c r="AE979" s="47"/>
      <c r="AF979" s="47"/>
      <c r="AG979" s="47"/>
      <c r="AH979" s="47"/>
      <c r="AI979" s="47"/>
      <c r="AJ979" s="47"/>
      <c r="AK979" s="47"/>
      <c r="AL979" s="47"/>
      <c r="AM979" s="47"/>
      <c r="AN979" s="47"/>
      <c r="AO979" s="47"/>
      <c r="AP979" s="47"/>
      <c r="AQ979" s="47"/>
      <c r="AR979" s="47"/>
      <c r="AS979" s="47"/>
      <c r="AT979" s="47"/>
      <c r="AU979" s="47"/>
      <c r="AV979" s="47"/>
      <c r="AW979" s="47"/>
      <c r="AX979" s="47"/>
      <c r="AY979" s="47"/>
    </row>
    <row r="980" spans="1:51" ht="15.75" customHeight="1">
      <c r="A980" s="500"/>
      <c r="B980" s="477"/>
      <c r="C980" s="481"/>
      <c r="D980" s="47"/>
      <c r="E980" s="47"/>
      <c r="F980" s="478"/>
      <c r="G980" s="479"/>
      <c r="H980" s="9"/>
      <c r="I980" s="10"/>
      <c r="J980" s="505"/>
      <c r="K980" s="47"/>
      <c r="L980" s="47"/>
      <c r="M980" s="47"/>
      <c r="N980" s="9"/>
      <c r="O980" s="9"/>
      <c r="P980" s="9"/>
      <c r="Q980" s="47"/>
      <c r="R980" s="47"/>
      <c r="S980" s="47"/>
      <c r="T980" s="47"/>
      <c r="U980" s="47"/>
      <c r="V980" s="47"/>
      <c r="W980" s="47"/>
      <c r="X980" s="47"/>
      <c r="Y980" s="47"/>
      <c r="Z980" s="47"/>
      <c r="AA980" s="47"/>
      <c r="AB980" s="47"/>
      <c r="AC980" s="47"/>
      <c r="AD980" s="47"/>
      <c r="AE980" s="47"/>
      <c r="AF980" s="47"/>
      <c r="AG980" s="47"/>
      <c r="AH980" s="47"/>
      <c r="AI980" s="47"/>
      <c r="AJ980" s="47"/>
      <c r="AK980" s="47"/>
      <c r="AL980" s="47"/>
      <c r="AM980" s="47"/>
      <c r="AN980" s="47"/>
      <c r="AO980" s="47"/>
      <c r="AP980" s="47"/>
      <c r="AQ980" s="47"/>
      <c r="AR980" s="47"/>
      <c r="AS980" s="47"/>
      <c r="AT980" s="47"/>
      <c r="AU980" s="47"/>
      <c r="AV980" s="47"/>
      <c r="AW980" s="47"/>
      <c r="AX980" s="47"/>
      <c r="AY980" s="47"/>
    </row>
    <row r="981" spans="1:51" ht="15.75" customHeight="1">
      <c r="A981" s="500"/>
      <c r="B981" s="477"/>
      <c r="C981" s="481"/>
      <c r="D981" s="47"/>
      <c r="E981" s="47"/>
      <c r="F981" s="478"/>
      <c r="G981" s="479"/>
      <c r="H981" s="9"/>
      <c r="I981" s="9"/>
      <c r="J981" s="505"/>
      <c r="K981" s="47"/>
      <c r="L981" s="47"/>
      <c r="M981" s="47"/>
      <c r="N981" s="9"/>
      <c r="O981" s="9"/>
      <c r="P981" s="9"/>
      <c r="Q981" s="47"/>
      <c r="R981" s="47"/>
      <c r="S981" s="47"/>
      <c r="T981" s="47"/>
      <c r="U981" s="47"/>
      <c r="V981" s="47"/>
      <c r="W981" s="47"/>
      <c r="X981" s="47"/>
      <c r="Y981" s="47"/>
      <c r="Z981" s="47"/>
      <c r="AA981" s="47"/>
      <c r="AB981" s="47"/>
      <c r="AC981" s="47"/>
      <c r="AD981" s="47"/>
      <c r="AE981" s="47"/>
      <c r="AF981" s="47"/>
      <c r="AG981" s="47"/>
      <c r="AH981" s="47"/>
      <c r="AI981" s="47"/>
      <c r="AJ981" s="47"/>
      <c r="AK981" s="47"/>
      <c r="AL981" s="47"/>
      <c r="AM981" s="47"/>
      <c r="AN981" s="47"/>
      <c r="AO981" s="47"/>
      <c r="AP981" s="47"/>
      <c r="AQ981" s="47"/>
      <c r="AR981" s="47"/>
      <c r="AS981" s="47"/>
      <c r="AT981" s="47"/>
      <c r="AU981" s="47"/>
      <c r="AV981" s="47"/>
      <c r="AW981" s="47"/>
      <c r="AX981" s="47"/>
      <c r="AY981" s="47"/>
    </row>
    <row r="982" spans="1:51" ht="15.75" customHeight="1">
      <c r="A982" s="500"/>
      <c r="B982" s="477"/>
      <c r="C982" s="481"/>
      <c r="D982" s="47"/>
      <c r="E982" s="47"/>
      <c r="F982" s="478"/>
      <c r="G982" s="479"/>
      <c r="H982" s="9"/>
      <c r="I982" s="9"/>
      <c r="J982" s="505"/>
      <c r="K982" s="47"/>
      <c r="L982" s="47"/>
      <c r="M982" s="47"/>
      <c r="N982" s="9"/>
      <c r="O982" s="9"/>
      <c r="P982" s="9"/>
      <c r="Q982" s="47"/>
      <c r="R982" s="47"/>
      <c r="S982" s="47"/>
      <c r="T982" s="47"/>
      <c r="U982" s="47"/>
      <c r="V982" s="47"/>
      <c r="W982" s="47"/>
      <c r="X982" s="47"/>
      <c r="Y982" s="47"/>
      <c r="Z982" s="47"/>
      <c r="AA982" s="47"/>
      <c r="AB982" s="47"/>
      <c r="AC982" s="47"/>
      <c r="AD982" s="47"/>
      <c r="AE982" s="47"/>
      <c r="AF982" s="47"/>
      <c r="AG982" s="47"/>
      <c r="AH982" s="47"/>
      <c r="AI982" s="47"/>
      <c r="AJ982" s="47"/>
      <c r="AK982" s="47"/>
      <c r="AL982" s="47"/>
      <c r="AM982" s="47"/>
      <c r="AN982" s="47"/>
      <c r="AO982" s="47"/>
      <c r="AP982" s="47"/>
      <c r="AQ982" s="47"/>
      <c r="AR982" s="47"/>
      <c r="AS982" s="47"/>
      <c r="AT982" s="47"/>
      <c r="AU982" s="47"/>
      <c r="AV982" s="47"/>
      <c r="AW982" s="47"/>
      <c r="AX982" s="47"/>
      <c r="AY982" s="47"/>
    </row>
    <row r="983" spans="1:51" ht="15.75" customHeight="1">
      <c r="A983" s="500"/>
      <c r="B983" s="477"/>
      <c r="C983" s="481"/>
      <c r="D983" s="47"/>
      <c r="E983" s="47"/>
      <c r="F983" s="478"/>
      <c r="G983" s="479"/>
      <c r="H983" s="9"/>
      <c r="I983" s="10"/>
      <c r="J983" s="505"/>
      <c r="K983" s="47"/>
      <c r="L983" s="47"/>
      <c r="M983" s="47"/>
      <c r="N983" s="9"/>
      <c r="O983" s="9"/>
      <c r="P983" s="8"/>
      <c r="Q983" s="47"/>
      <c r="R983" s="47"/>
      <c r="S983" s="47"/>
      <c r="T983" s="47"/>
      <c r="U983" s="47"/>
      <c r="V983" s="47"/>
      <c r="W983" s="47"/>
      <c r="X983" s="47"/>
      <c r="Y983" s="47"/>
      <c r="Z983" s="47"/>
      <c r="AA983" s="47"/>
      <c r="AB983" s="47"/>
      <c r="AC983" s="47"/>
      <c r="AD983" s="47"/>
      <c r="AE983" s="47"/>
      <c r="AF983" s="47"/>
      <c r="AG983" s="47"/>
      <c r="AH983" s="47"/>
      <c r="AI983" s="47"/>
      <c r="AJ983" s="47"/>
      <c r="AK983" s="47"/>
      <c r="AL983" s="47"/>
      <c r="AM983" s="47"/>
      <c r="AN983" s="47"/>
      <c r="AO983" s="47"/>
      <c r="AP983" s="47"/>
      <c r="AQ983" s="47"/>
      <c r="AR983" s="47"/>
      <c r="AS983" s="47"/>
      <c r="AT983" s="47"/>
      <c r="AU983" s="47"/>
      <c r="AV983" s="47"/>
      <c r="AW983" s="47"/>
      <c r="AX983" s="47"/>
      <c r="AY983" s="47"/>
    </row>
    <row r="984" spans="1:51" ht="15.75" customHeight="1">
      <c r="A984" s="500"/>
      <c r="B984" s="477"/>
      <c r="C984" s="481"/>
      <c r="D984" s="47"/>
      <c r="E984" s="47"/>
      <c r="F984" s="478"/>
      <c r="G984" s="479"/>
      <c r="H984" s="9"/>
      <c r="I984" s="9"/>
      <c r="J984" s="505"/>
      <c r="K984" s="47"/>
      <c r="L984" s="47"/>
      <c r="M984" s="47"/>
      <c r="N984" s="9"/>
      <c r="O984" s="9"/>
      <c r="P984" s="8"/>
      <c r="Q984" s="47"/>
      <c r="R984" s="47"/>
      <c r="S984" s="47"/>
      <c r="T984" s="47"/>
      <c r="U984" s="47"/>
      <c r="V984" s="47"/>
      <c r="W984" s="47"/>
      <c r="X984" s="47"/>
      <c r="Y984" s="47"/>
      <c r="Z984" s="47"/>
      <c r="AA984" s="47"/>
      <c r="AB984" s="47"/>
      <c r="AC984" s="47"/>
      <c r="AD984" s="47"/>
      <c r="AE984" s="47"/>
      <c r="AF984" s="47"/>
      <c r="AG984" s="47"/>
      <c r="AH984" s="47"/>
      <c r="AI984" s="47"/>
      <c r="AJ984" s="47"/>
      <c r="AK984" s="47"/>
      <c r="AL984" s="47"/>
      <c r="AM984" s="47"/>
      <c r="AN984" s="47"/>
      <c r="AO984" s="47"/>
      <c r="AP984" s="47"/>
      <c r="AQ984" s="47"/>
      <c r="AR984" s="47"/>
      <c r="AS984" s="47"/>
      <c r="AT984" s="47"/>
      <c r="AU984" s="47"/>
      <c r="AV984" s="47"/>
      <c r="AW984" s="47"/>
      <c r="AX984" s="47"/>
      <c r="AY984" s="47"/>
    </row>
    <row r="985" spans="1:51" ht="15.75" customHeight="1">
      <c r="A985" s="500"/>
      <c r="B985" s="477"/>
      <c r="C985" s="481"/>
      <c r="D985" s="47"/>
      <c r="E985" s="47"/>
      <c r="F985" s="478"/>
      <c r="G985" s="479"/>
      <c r="H985" s="9"/>
      <c r="I985" s="10"/>
      <c r="J985" s="505"/>
      <c r="K985" s="47"/>
      <c r="L985" s="47"/>
      <c r="M985" s="47"/>
      <c r="N985" s="9"/>
      <c r="O985" s="9"/>
      <c r="P985" s="8"/>
      <c r="Q985" s="47"/>
      <c r="R985" s="47"/>
      <c r="S985" s="47"/>
      <c r="T985" s="47"/>
      <c r="U985" s="47"/>
      <c r="V985" s="47"/>
      <c r="W985" s="47"/>
      <c r="X985" s="47"/>
      <c r="Y985" s="47"/>
      <c r="Z985" s="47"/>
      <c r="AA985" s="47"/>
      <c r="AB985" s="47"/>
      <c r="AC985" s="47"/>
      <c r="AD985" s="47"/>
      <c r="AE985" s="47"/>
      <c r="AF985" s="47"/>
      <c r="AG985" s="47"/>
      <c r="AH985" s="47"/>
      <c r="AI985" s="47"/>
      <c r="AJ985" s="47"/>
      <c r="AK985" s="47"/>
      <c r="AL985" s="47"/>
      <c r="AM985" s="47"/>
      <c r="AN985" s="47"/>
      <c r="AO985" s="47"/>
      <c r="AP985" s="47"/>
      <c r="AQ985" s="47"/>
      <c r="AR985" s="47"/>
      <c r="AS985" s="47"/>
      <c r="AT985" s="47"/>
      <c r="AU985" s="47"/>
      <c r="AV985" s="47"/>
      <c r="AW985" s="47"/>
      <c r="AX985" s="47"/>
      <c r="AY985" s="47"/>
    </row>
    <row r="986" spans="1:51" ht="15.75" customHeight="1">
      <c r="A986" s="500"/>
      <c r="B986" s="477"/>
      <c r="C986" s="481"/>
      <c r="D986" s="47"/>
      <c r="E986" s="47"/>
      <c r="F986" s="478"/>
      <c r="G986" s="479"/>
      <c r="H986" s="9"/>
      <c r="I986" s="9"/>
      <c r="J986" s="505"/>
      <c r="K986" s="47"/>
      <c r="L986" s="47"/>
      <c r="M986" s="47"/>
      <c r="N986" s="9"/>
      <c r="O986" s="9"/>
      <c r="P986" s="9"/>
      <c r="Q986" s="47"/>
      <c r="R986" s="47"/>
      <c r="S986" s="47"/>
      <c r="T986" s="47"/>
      <c r="U986" s="47"/>
      <c r="V986" s="47"/>
      <c r="W986" s="47"/>
      <c r="X986" s="47"/>
      <c r="Y986" s="47"/>
      <c r="Z986" s="47"/>
      <c r="AA986" s="47"/>
      <c r="AB986" s="47"/>
      <c r="AC986" s="47"/>
      <c r="AD986" s="47"/>
      <c r="AE986" s="47"/>
      <c r="AF986" s="47"/>
      <c r="AG986" s="47"/>
      <c r="AH986" s="47"/>
      <c r="AI986" s="47"/>
      <c r="AJ986" s="47"/>
      <c r="AK986" s="47"/>
      <c r="AL986" s="47"/>
      <c r="AM986" s="47"/>
      <c r="AN986" s="47"/>
      <c r="AO986" s="47"/>
      <c r="AP986" s="47"/>
      <c r="AQ986" s="47"/>
      <c r="AR986" s="47"/>
      <c r="AS986" s="47"/>
      <c r="AT986" s="47"/>
      <c r="AU986" s="47"/>
      <c r="AV986" s="47"/>
      <c r="AW986" s="47"/>
      <c r="AX986" s="47"/>
      <c r="AY986" s="47"/>
    </row>
    <row r="987" spans="1:51" ht="15.75" customHeight="1">
      <c r="A987" s="500"/>
      <c r="B987" s="477"/>
      <c r="C987" s="481"/>
      <c r="D987" s="47"/>
      <c r="E987" s="47"/>
      <c r="F987" s="478"/>
      <c r="G987" s="479"/>
      <c r="H987" s="9"/>
      <c r="I987" s="10"/>
      <c r="J987" s="505"/>
      <c r="K987" s="47"/>
      <c r="L987" s="47"/>
      <c r="M987" s="47"/>
      <c r="N987" s="9"/>
      <c r="O987" s="9"/>
      <c r="P987" s="9"/>
      <c r="Q987" s="47"/>
      <c r="R987" s="47"/>
      <c r="S987" s="47"/>
      <c r="T987" s="47"/>
      <c r="U987" s="47"/>
      <c r="V987" s="47"/>
      <c r="W987" s="47"/>
      <c r="X987" s="47"/>
      <c r="Y987" s="47"/>
      <c r="Z987" s="47"/>
      <c r="AA987" s="47"/>
      <c r="AB987" s="47"/>
      <c r="AC987" s="47"/>
      <c r="AD987" s="47"/>
      <c r="AE987" s="47"/>
      <c r="AF987" s="47"/>
      <c r="AG987" s="47"/>
      <c r="AH987" s="47"/>
      <c r="AI987" s="47"/>
      <c r="AJ987" s="47"/>
      <c r="AK987" s="47"/>
      <c r="AL987" s="47"/>
      <c r="AM987" s="47"/>
      <c r="AN987" s="47"/>
      <c r="AO987" s="47"/>
      <c r="AP987" s="47"/>
      <c r="AQ987" s="47"/>
      <c r="AR987" s="47"/>
      <c r="AS987" s="47"/>
      <c r="AT987" s="47"/>
      <c r="AU987" s="47"/>
      <c r="AV987" s="47"/>
      <c r="AW987" s="47"/>
      <c r="AX987" s="47"/>
      <c r="AY987" s="47"/>
    </row>
    <row r="988" spans="1:51" ht="15.75" customHeight="1">
      <c r="A988" s="500"/>
      <c r="B988" s="477"/>
      <c r="C988" s="481"/>
      <c r="D988" s="47"/>
      <c r="E988" s="47"/>
      <c r="F988" s="478"/>
      <c r="G988" s="479"/>
      <c r="H988" s="9"/>
      <c r="I988" s="9"/>
      <c r="J988" s="505"/>
      <c r="K988" s="47"/>
      <c r="L988" s="47"/>
      <c r="M988" s="47"/>
      <c r="N988" s="9"/>
      <c r="O988" s="9"/>
      <c r="P988" s="9"/>
      <c r="Q988" s="47"/>
      <c r="R988" s="47"/>
      <c r="S988" s="47"/>
      <c r="T988" s="47"/>
      <c r="U988" s="47"/>
      <c r="V988" s="47"/>
      <c r="W988" s="47"/>
      <c r="X988" s="47"/>
      <c r="Y988" s="47"/>
      <c r="Z988" s="47"/>
      <c r="AA988" s="47"/>
      <c r="AB988" s="47"/>
      <c r="AC988" s="47"/>
      <c r="AD988" s="47"/>
      <c r="AE988" s="47"/>
      <c r="AF988" s="47"/>
      <c r="AG988" s="47"/>
      <c r="AH988" s="47"/>
      <c r="AI988" s="47"/>
      <c r="AJ988" s="47"/>
      <c r="AK988" s="47"/>
      <c r="AL988" s="47"/>
      <c r="AM988" s="47"/>
      <c r="AN988" s="47"/>
      <c r="AO988" s="47"/>
      <c r="AP988" s="47"/>
      <c r="AQ988" s="47"/>
      <c r="AR988" s="47"/>
      <c r="AS988" s="47"/>
      <c r="AT988" s="47"/>
      <c r="AU988" s="47"/>
      <c r="AV988" s="47"/>
      <c r="AW988" s="47"/>
      <c r="AX988" s="47"/>
      <c r="AY988" s="47"/>
    </row>
    <row r="989" spans="1:51" ht="15.75" customHeight="1">
      <c r="A989" s="500"/>
      <c r="B989" s="477"/>
      <c r="C989" s="481"/>
      <c r="D989" s="47"/>
      <c r="E989" s="47"/>
      <c r="F989" s="478"/>
      <c r="G989" s="479"/>
      <c r="H989" s="9"/>
      <c r="I989" s="10"/>
      <c r="J989" s="505"/>
      <c r="K989" s="47"/>
      <c r="L989" s="47"/>
      <c r="M989" s="47"/>
      <c r="N989" s="9"/>
      <c r="O989" s="9"/>
      <c r="P989" s="9"/>
      <c r="Q989" s="47"/>
      <c r="R989" s="47"/>
      <c r="S989" s="47"/>
      <c r="T989" s="47"/>
      <c r="U989" s="47"/>
      <c r="V989" s="47"/>
      <c r="W989" s="47"/>
      <c r="X989" s="47"/>
      <c r="Y989" s="47"/>
      <c r="Z989" s="47"/>
      <c r="AA989" s="47"/>
      <c r="AB989" s="47"/>
      <c r="AC989" s="47"/>
      <c r="AD989" s="47"/>
      <c r="AE989" s="47"/>
      <c r="AF989" s="47"/>
      <c r="AG989" s="47"/>
      <c r="AH989" s="47"/>
      <c r="AI989" s="47"/>
      <c r="AJ989" s="47"/>
      <c r="AK989" s="47"/>
      <c r="AL989" s="47"/>
      <c r="AM989" s="47"/>
      <c r="AN989" s="47"/>
      <c r="AO989" s="47"/>
      <c r="AP989" s="47"/>
      <c r="AQ989" s="47"/>
      <c r="AR989" s="47"/>
      <c r="AS989" s="47"/>
      <c r="AT989" s="47"/>
      <c r="AU989" s="47"/>
      <c r="AV989" s="47"/>
      <c r="AW989" s="47"/>
      <c r="AX989" s="47"/>
      <c r="AY989" s="47"/>
    </row>
    <row r="990" spans="1:51" ht="15.75" customHeight="1">
      <c r="A990" s="500"/>
      <c r="B990" s="477"/>
      <c r="C990" s="481"/>
      <c r="D990" s="47"/>
      <c r="E990" s="47"/>
      <c r="F990" s="478"/>
      <c r="G990" s="479"/>
      <c r="H990" s="47"/>
      <c r="I990" s="478"/>
      <c r="J990" s="505"/>
      <c r="K990" s="47"/>
      <c r="L990" s="47"/>
      <c r="M990" s="47"/>
      <c r="N990" s="9"/>
      <c r="O990" s="9"/>
      <c r="P990" s="9"/>
      <c r="Q990" s="47"/>
      <c r="R990" s="47"/>
      <c r="S990" s="47"/>
      <c r="T990" s="47"/>
      <c r="U990" s="47"/>
      <c r="V990" s="47"/>
      <c r="W990" s="47"/>
      <c r="X990" s="47"/>
      <c r="Y990" s="47"/>
      <c r="Z990" s="47"/>
      <c r="AA990" s="47"/>
      <c r="AB990" s="47"/>
      <c r="AC990" s="47"/>
      <c r="AD990" s="47"/>
      <c r="AE990" s="47"/>
      <c r="AF990" s="47"/>
      <c r="AG990" s="47"/>
      <c r="AH990" s="47"/>
      <c r="AI990" s="47"/>
      <c r="AJ990" s="47"/>
      <c r="AK990" s="47"/>
      <c r="AL990" s="47"/>
      <c r="AM990" s="47"/>
      <c r="AN990" s="47"/>
      <c r="AO990" s="47"/>
      <c r="AP990" s="47"/>
      <c r="AQ990" s="47"/>
      <c r="AR990" s="47"/>
      <c r="AS990" s="47"/>
      <c r="AT990" s="47"/>
      <c r="AU990" s="47"/>
      <c r="AV990" s="47"/>
      <c r="AW990" s="47"/>
      <c r="AX990" s="47"/>
      <c r="AY990" s="47"/>
    </row>
    <row r="991" spans="1:51" ht="15.75" customHeight="1">
      <c r="A991" s="500"/>
      <c r="B991" s="477"/>
      <c r="C991" s="481"/>
      <c r="D991" s="47"/>
      <c r="E991" s="47"/>
      <c r="F991" s="478"/>
      <c r="G991" s="479"/>
      <c r="H991" s="47"/>
      <c r="I991" s="478"/>
      <c r="J991" s="505"/>
      <c r="K991" s="47"/>
      <c r="L991" s="47"/>
      <c r="M991" s="47"/>
      <c r="N991" s="9"/>
      <c r="O991" s="9"/>
      <c r="P991" s="9"/>
      <c r="Q991" s="47"/>
      <c r="R991" s="47"/>
      <c r="S991" s="47"/>
      <c r="T991" s="47"/>
      <c r="U991" s="47"/>
      <c r="V991" s="47"/>
      <c r="W991" s="47"/>
      <c r="X991" s="47"/>
      <c r="Y991" s="47"/>
      <c r="Z991" s="47"/>
      <c r="AA991" s="47"/>
      <c r="AB991" s="47"/>
      <c r="AC991" s="47"/>
      <c r="AD991" s="47"/>
      <c r="AE991" s="47"/>
      <c r="AF991" s="47"/>
      <c r="AG991" s="47"/>
      <c r="AH991" s="47"/>
      <c r="AI991" s="47"/>
      <c r="AJ991" s="47"/>
      <c r="AK991" s="47"/>
      <c r="AL991" s="47"/>
      <c r="AM991" s="47"/>
      <c r="AN991" s="47"/>
      <c r="AO991" s="47"/>
      <c r="AP991" s="47"/>
      <c r="AQ991" s="47"/>
      <c r="AR991" s="47"/>
      <c r="AS991" s="47"/>
      <c r="AT991" s="47"/>
      <c r="AU991" s="47"/>
      <c r="AV991" s="47"/>
      <c r="AW991" s="47"/>
      <c r="AX991" s="47"/>
      <c r="AY991" s="47"/>
    </row>
    <row r="992" spans="1:51" ht="15.75" customHeight="1">
      <c r="A992" s="500"/>
      <c r="B992" s="477"/>
      <c r="C992" s="481"/>
      <c r="D992" s="47"/>
      <c r="E992" s="47"/>
      <c r="F992" s="478"/>
      <c r="G992" s="479"/>
      <c r="H992" s="9"/>
      <c r="I992" s="9"/>
      <c r="J992" s="505"/>
      <c r="K992" s="47"/>
      <c r="L992" s="47"/>
      <c r="M992" s="47"/>
      <c r="N992" s="9"/>
      <c r="O992" s="9"/>
      <c r="P992" s="9"/>
      <c r="Q992" s="47"/>
      <c r="R992" s="47"/>
      <c r="S992" s="47"/>
      <c r="T992" s="47"/>
      <c r="U992" s="47"/>
      <c r="V992" s="47"/>
      <c r="W992" s="47"/>
      <c r="X992" s="47"/>
      <c r="Y992" s="47"/>
      <c r="Z992" s="47"/>
      <c r="AA992" s="47"/>
      <c r="AB992" s="47"/>
      <c r="AC992" s="47"/>
      <c r="AD992" s="47"/>
      <c r="AE992" s="47"/>
      <c r="AF992" s="47"/>
      <c r="AG992" s="47"/>
      <c r="AH992" s="47"/>
      <c r="AI992" s="47"/>
      <c r="AJ992" s="47"/>
      <c r="AK992" s="47"/>
      <c r="AL992" s="47"/>
      <c r="AM992" s="47"/>
      <c r="AN992" s="47"/>
      <c r="AO992" s="47"/>
      <c r="AP992" s="47"/>
      <c r="AQ992" s="47"/>
      <c r="AR992" s="47"/>
      <c r="AS992" s="47"/>
      <c r="AT992" s="47"/>
      <c r="AU992" s="47"/>
      <c r="AV992" s="47"/>
      <c r="AW992" s="47"/>
      <c r="AX992" s="47"/>
      <c r="AY992" s="47"/>
    </row>
    <row r="993" spans="1:51" ht="15.75" customHeight="1">
      <c r="A993" s="500"/>
      <c r="B993" s="477"/>
      <c r="C993" s="481"/>
      <c r="D993" s="47"/>
      <c r="E993" s="47"/>
      <c r="F993" s="478"/>
      <c r="G993" s="479"/>
      <c r="H993" s="9"/>
      <c r="I993" s="10"/>
      <c r="J993" s="505"/>
      <c r="K993" s="47"/>
      <c r="L993" s="47"/>
      <c r="M993" s="47"/>
      <c r="N993" s="9"/>
      <c r="O993" s="9"/>
      <c r="P993" s="9"/>
      <c r="Q993" s="47"/>
      <c r="R993" s="47"/>
      <c r="S993" s="47"/>
      <c r="T993" s="47"/>
      <c r="U993" s="47"/>
      <c r="V993" s="47"/>
      <c r="W993" s="47"/>
      <c r="X993" s="47"/>
      <c r="Y993" s="47"/>
      <c r="Z993" s="47"/>
      <c r="AA993" s="47"/>
      <c r="AB993" s="47"/>
      <c r="AC993" s="47"/>
      <c r="AD993" s="47"/>
      <c r="AE993" s="47"/>
      <c r="AF993" s="47"/>
      <c r="AG993" s="47"/>
      <c r="AH993" s="47"/>
      <c r="AI993" s="47"/>
      <c r="AJ993" s="47"/>
      <c r="AK993" s="47"/>
      <c r="AL993" s="47"/>
      <c r="AM993" s="47"/>
      <c r="AN993" s="47"/>
      <c r="AO993" s="47"/>
      <c r="AP993" s="47"/>
      <c r="AQ993" s="47"/>
      <c r="AR993" s="47"/>
      <c r="AS993" s="47"/>
      <c r="AT993" s="47"/>
      <c r="AU993" s="47"/>
      <c r="AV993" s="47"/>
      <c r="AW993" s="47"/>
      <c r="AX993" s="47"/>
      <c r="AY993" s="47"/>
    </row>
    <row r="994" spans="1:51" ht="15.75" customHeight="1">
      <c r="A994" s="500"/>
      <c r="B994" s="477"/>
      <c r="C994" s="481"/>
      <c r="D994" s="47"/>
      <c r="E994" s="47"/>
      <c r="F994" s="478"/>
      <c r="G994" s="479"/>
      <c r="H994" s="9"/>
      <c r="I994" s="9"/>
      <c r="J994" s="505"/>
      <c r="K994" s="47"/>
      <c r="L994" s="47"/>
      <c r="M994" s="47"/>
      <c r="N994" s="9"/>
      <c r="O994" s="9"/>
      <c r="P994" s="9"/>
      <c r="Q994" s="47"/>
      <c r="R994" s="47"/>
      <c r="S994" s="47"/>
      <c r="T994" s="47"/>
      <c r="U994" s="47"/>
      <c r="V994" s="47"/>
      <c r="W994" s="47"/>
      <c r="X994" s="47"/>
      <c r="Y994" s="47"/>
      <c r="Z994" s="47"/>
      <c r="AA994" s="47"/>
      <c r="AB994" s="47"/>
      <c r="AC994" s="47"/>
      <c r="AD994" s="47"/>
      <c r="AE994" s="47"/>
      <c r="AF994" s="47"/>
      <c r="AG994" s="47"/>
      <c r="AH994" s="47"/>
      <c r="AI994" s="47"/>
      <c r="AJ994" s="47"/>
      <c r="AK994" s="47"/>
      <c r="AL994" s="47"/>
      <c r="AM994" s="47"/>
      <c r="AN994" s="47"/>
      <c r="AO994" s="47"/>
      <c r="AP994" s="47"/>
      <c r="AQ994" s="47"/>
      <c r="AR994" s="47"/>
      <c r="AS994" s="47"/>
      <c r="AT994" s="47"/>
      <c r="AU994" s="47"/>
      <c r="AV994" s="47"/>
      <c r="AW994" s="47"/>
      <c r="AX994" s="47"/>
      <c r="AY994" s="47"/>
    </row>
    <row r="995" spans="1:51" ht="15.75" customHeight="1">
      <c r="A995" s="500"/>
      <c r="B995" s="477"/>
      <c r="C995" s="481"/>
      <c r="D995" s="47"/>
      <c r="E995" s="47"/>
      <c r="F995" s="478"/>
      <c r="G995" s="479"/>
      <c r="H995" s="9"/>
      <c r="I995" s="9"/>
      <c r="J995" s="505"/>
      <c r="K995" s="47"/>
      <c r="L995" s="47"/>
      <c r="M995" s="47"/>
      <c r="N995" s="9"/>
      <c r="O995" s="9"/>
      <c r="P995" s="9"/>
      <c r="Q995" s="47"/>
      <c r="R995" s="47"/>
      <c r="S995" s="47"/>
      <c r="T995" s="47"/>
      <c r="U995" s="47"/>
      <c r="V995" s="47"/>
      <c r="W995" s="47"/>
      <c r="X995" s="47"/>
      <c r="Y995" s="47"/>
      <c r="Z995" s="47"/>
      <c r="AA995" s="47"/>
      <c r="AB995" s="47"/>
      <c r="AC995" s="47"/>
      <c r="AD995" s="47"/>
      <c r="AE995" s="47"/>
      <c r="AF995" s="47"/>
      <c r="AG995" s="47"/>
      <c r="AH995" s="47"/>
      <c r="AI995" s="47"/>
      <c r="AJ995" s="47"/>
      <c r="AK995" s="47"/>
      <c r="AL995" s="47"/>
      <c r="AM995" s="47"/>
      <c r="AN995" s="47"/>
      <c r="AO995" s="47"/>
      <c r="AP995" s="47"/>
      <c r="AQ995" s="47"/>
      <c r="AR995" s="47"/>
      <c r="AS995" s="47"/>
      <c r="AT995" s="47"/>
      <c r="AU995" s="47"/>
      <c r="AV995" s="47"/>
      <c r="AW995" s="47"/>
      <c r="AX995" s="47"/>
      <c r="AY995" s="47"/>
    </row>
    <row r="996" spans="1:51" ht="15.75" customHeight="1">
      <c r="A996" s="500"/>
      <c r="B996" s="477"/>
      <c r="C996" s="481"/>
      <c r="D996" s="47"/>
      <c r="E996" s="47"/>
      <c r="F996" s="478"/>
      <c r="G996" s="479"/>
      <c r="H996" s="9"/>
      <c r="I996" s="9"/>
      <c r="J996" s="505"/>
      <c r="K996" s="47"/>
      <c r="L996" s="47"/>
      <c r="M996" s="47"/>
      <c r="N996" s="9"/>
      <c r="O996" s="9"/>
      <c r="P996" s="9"/>
      <c r="Q996" s="47"/>
      <c r="R996" s="47"/>
      <c r="S996" s="47"/>
      <c r="T996" s="47"/>
      <c r="U996" s="47"/>
      <c r="V996" s="47"/>
      <c r="W996" s="47"/>
      <c r="X996" s="47"/>
      <c r="Y996" s="47"/>
      <c r="Z996" s="47"/>
      <c r="AA996" s="47"/>
      <c r="AB996" s="47"/>
      <c r="AC996" s="47"/>
      <c r="AD996" s="47"/>
      <c r="AE996" s="47"/>
      <c r="AF996" s="47"/>
      <c r="AG996" s="47"/>
      <c r="AH996" s="47"/>
      <c r="AI996" s="47"/>
      <c r="AJ996" s="47"/>
      <c r="AK996" s="47"/>
      <c r="AL996" s="47"/>
      <c r="AM996" s="47"/>
      <c r="AN996" s="47"/>
      <c r="AO996" s="47"/>
      <c r="AP996" s="47"/>
      <c r="AQ996" s="47"/>
      <c r="AR996" s="47"/>
      <c r="AS996" s="47"/>
      <c r="AT996" s="47"/>
      <c r="AU996" s="47"/>
      <c r="AV996" s="47"/>
      <c r="AW996" s="47"/>
      <c r="AX996" s="47"/>
      <c r="AY996" s="47"/>
    </row>
    <row r="997" spans="1:51" ht="15.75" customHeight="1">
      <c r="A997" s="500"/>
      <c r="B997" s="477"/>
      <c r="C997" s="481"/>
      <c r="D997" s="47"/>
      <c r="E997" s="47"/>
      <c r="F997" s="478"/>
      <c r="G997" s="479"/>
      <c r="H997" s="9"/>
      <c r="I997" s="9"/>
      <c r="J997" s="505"/>
      <c r="K997" s="47"/>
      <c r="L997" s="47"/>
      <c r="M997" s="47"/>
      <c r="N997" s="9"/>
      <c r="O997" s="9"/>
      <c r="P997" s="9"/>
      <c r="Q997" s="47"/>
      <c r="R997" s="47"/>
      <c r="S997" s="47"/>
      <c r="T997" s="47"/>
      <c r="U997" s="47"/>
      <c r="V997" s="47"/>
      <c r="W997" s="47"/>
      <c r="X997" s="47"/>
      <c r="Y997" s="47"/>
      <c r="Z997" s="47"/>
      <c r="AA997" s="47"/>
      <c r="AB997" s="47"/>
      <c r="AC997" s="47"/>
      <c r="AD997" s="47"/>
      <c r="AE997" s="47"/>
      <c r="AF997" s="47"/>
      <c r="AG997" s="47"/>
      <c r="AH997" s="47"/>
      <c r="AI997" s="47"/>
      <c r="AJ997" s="47"/>
      <c r="AK997" s="47"/>
      <c r="AL997" s="47"/>
      <c r="AM997" s="47"/>
      <c r="AN997" s="47"/>
      <c r="AO997" s="47"/>
      <c r="AP997" s="47"/>
      <c r="AQ997" s="47"/>
      <c r="AR997" s="47"/>
      <c r="AS997" s="47"/>
      <c r="AT997" s="47"/>
      <c r="AU997" s="47"/>
      <c r="AV997" s="47"/>
      <c r="AW997" s="47"/>
      <c r="AX997" s="47"/>
      <c r="AY997" s="47"/>
    </row>
    <row r="998" spans="1:51" ht="15.75" customHeight="1">
      <c r="A998" s="500"/>
      <c r="B998" s="477"/>
      <c r="C998" s="481"/>
      <c r="D998" s="47"/>
      <c r="E998" s="47"/>
      <c r="F998" s="478"/>
      <c r="G998" s="479"/>
      <c r="H998" s="9"/>
      <c r="I998" s="9"/>
      <c r="J998" s="505"/>
      <c r="K998" s="47"/>
      <c r="L998" s="47"/>
      <c r="M998" s="47"/>
      <c r="N998" s="9"/>
      <c r="O998" s="9"/>
      <c r="P998" s="9"/>
      <c r="Q998" s="47"/>
      <c r="R998" s="47"/>
      <c r="S998" s="47"/>
      <c r="T998" s="47"/>
      <c r="U998" s="47"/>
      <c r="V998" s="47"/>
      <c r="W998" s="47"/>
      <c r="X998" s="47"/>
      <c r="Y998" s="47"/>
      <c r="Z998" s="47"/>
      <c r="AA998" s="47"/>
      <c r="AB998" s="47"/>
      <c r="AC998" s="47"/>
      <c r="AD998" s="47"/>
      <c r="AE998" s="47"/>
      <c r="AF998" s="47"/>
      <c r="AG998" s="47"/>
      <c r="AH998" s="47"/>
      <c r="AI998" s="47"/>
      <c r="AJ998" s="47"/>
      <c r="AK998" s="47"/>
      <c r="AL998" s="47"/>
      <c r="AM998" s="47"/>
      <c r="AN998" s="47"/>
      <c r="AO998" s="47"/>
      <c r="AP998" s="47"/>
      <c r="AQ998" s="47"/>
      <c r="AR998" s="47"/>
      <c r="AS998" s="47"/>
      <c r="AT998" s="47"/>
      <c r="AU998" s="47"/>
      <c r="AV998" s="47"/>
      <c r="AW998" s="47"/>
      <c r="AX998" s="47"/>
      <c r="AY998" s="47"/>
    </row>
    <row r="999" spans="1:51" ht="15.75" customHeight="1">
      <c r="A999" s="500"/>
      <c r="B999" s="477"/>
      <c r="C999" s="481"/>
      <c r="D999" s="47"/>
      <c r="E999" s="47"/>
      <c r="F999" s="478"/>
      <c r="G999" s="479"/>
      <c r="H999" s="9"/>
      <c r="I999" s="9"/>
      <c r="J999" s="505"/>
      <c r="K999" s="47"/>
      <c r="L999" s="47"/>
      <c r="M999" s="47"/>
      <c r="N999" s="9"/>
      <c r="O999" s="9"/>
      <c r="P999" s="9"/>
      <c r="Q999" s="47"/>
      <c r="R999" s="47"/>
      <c r="S999" s="47"/>
      <c r="T999" s="47"/>
      <c r="U999" s="47"/>
      <c r="V999" s="47"/>
      <c r="W999" s="47"/>
      <c r="X999" s="47"/>
      <c r="Y999" s="47"/>
      <c r="Z999" s="47"/>
      <c r="AA999" s="47"/>
      <c r="AB999" s="47"/>
      <c r="AC999" s="47"/>
      <c r="AD999" s="47"/>
      <c r="AE999" s="47"/>
      <c r="AF999" s="47"/>
      <c r="AG999" s="47"/>
      <c r="AH999" s="47"/>
      <c r="AI999" s="47"/>
      <c r="AJ999" s="47"/>
      <c r="AK999" s="47"/>
      <c r="AL999" s="47"/>
      <c r="AM999" s="47"/>
      <c r="AN999" s="47"/>
      <c r="AO999" s="47"/>
      <c r="AP999" s="47"/>
      <c r="AQ999" s="47"/>
      <c r="AR999" s="47"/>
      <c r="AS999" s="47"/>
      <c r="AT999" s="47"/>
      <c r="AU999" s="47"/>
      <c r="AV999" s="47"/>
      <c r="AW999" s="47"/>
      <c r="AX999" s="47"/>
      <c r="AY999" s="47"/>
    </row>
    <row r="1000" spans="1:51" ht="15.75" customHeight="1">
      <c r="A1000" s="500"/>
      <c r="B1000" s="477"/>
      <c r="C1000" s="481"/>
      <c r="D1000" s="47"/>
      <c r="E1000" s="47"/>
      <c r="F1000" s="478"/>
      <c r="G1000" s="479"/>
      <c r="H1000" s="9"/>
      <c r="I1000" s="9"/>
      <c r="J1000" s="505"/>
      <c r="K1000" s="47"/>
      <c r="L1000" s="47"/>
      <c r="M1000" s="47"/>
      <c r="N1000" s="9"/>
      <c r="O1000" s="9"/>
      <c r="P1000" s="9"/>
      <c r="Q1000" s="47"/>
      <c r="R1000" s="47"/>
      <c r="S1000" s="47"/>
      <c r="T1000" s="47"/>
      <c r="U1000" s="47"/>
      <c r="V1000" s="47"/>
      <c r="W1000" s="47"/>
      <c r="X1000" s="47"/>
      <c r="Y1000" s="47"/>
      <c r="Z1000" s="47"/>
      <c r="AA1000" s="47"/>
      <c r="AB1000" s="47"/>
      <c r="AC1000" s="47"/>
      <c r="AD1000" s="47"/>
      <c r="AE1000" s="47"/>
      <c r="AF1000" s="47"/>
      <c r="AG1000" s="47"/>
      <c r="AH1000" s="47"/>
      <c r="AI1000" s="47"/>
      <c r="AJ1000" s="47"/>
      <c r="AK1000" s="47"/>
      <c r="AL1000" s="47"/>
      <c r="AM1000" s="47"/>
      <c r="AN1000" s="47"/>
      <c r="AO1000" s="47"/>
      <c r="AP1000" s="47"/>
      <c r="AQ1000" s="47"/>
      <c r="AR1000" s="47"/>
      <c r="AS1000" s="47"/>
      <c r="AT1000" s="47"/>
      <c r="AU1000" s="47"/>
      <c r="AV1000" s="47"/>
      <c r="AW1000" s="47"/>
      <c r="AX1000" s="47"/>
      <c r="AY1000" s="47"/>
    </row>
    <row r="1001" spans="1:51" ht="15.75" customHeight="1">
      <c r="A1001" s="500"/>
      <c r="B1001" s="477"/>
      <c r="C1001" s="481"/>
      <c r="D1001" s="47"/>
      <c r="E1001" s="47"/>
      <c r="F1001" s="478"/>
      <c r="G1001" s="479"/>
      <c r="H1001" s="9"/>
      <c r="I1001" s="9"/>
      <c r="J1001" s="505"/>
      <c r="K1001" s="47"/>
      <c r="L1001" s="47"/>
      <c r="M1001" s="47"/>
      <c r="N1001" s="9"/>
      <c r="O1001" s="9"/>
      <c r="P1001" s="9"/>
      <c r="Q1001" s="47"/>
      <c r="R1001" s="47"/>
      <c r="S1001" s="47"/>
      <c r="T1001" s="47"/>
      <c r="U1001" s="47"/>
      <c r="V1001" s="47"/>
      <c r="W1001" s="47"/>
      <c r="X1001" s="47"/>
      <c r="Y1001" s="47"/>
      <c r="Z1001" s="47"/>
      <c r="AA1001" s="47"/>
      <c r="AB1001" s="47"/>
      <c r="AC1001" s="47"/>
      <c r="AD1001" s="47"/>
      <c r="AE1001" s="47"/>
      <c r="AF1001" s="47"/>
      <c r="AG1001" s="47"/>
      <c r="AH1001" s="47"/>
      <c r="AI1001" s="47"/>
      <c r="AJ1001" s="47"/>
      <c r="AK1001" s="47"/>
      <c r="AL1001" s="47"/>
      <c r="AM1001" s="47"/>
      <c r="AN1001" s="47"/>
      <c r="AO1001" s="47"/>
      <c r="AP1001" s="47"/>
      <c r="AQ1001" s="47"/>
      <c r="AR1001" s="47"/>
      <c r="AS1001" s="47"/>
      <c r="AT1001" s="47"/>
      <c r="AU1001" s="47"/>
      <c r="AV1001" s="47"/>
      <c r="AW1001" s="47"/>
      <c r="AX1001" s="47"/>
      <c r="AY1001" s="47"/>
    </row>
    <row r="1002" spans="1:51" ht="15.75" customHeight="1">
      <c r="A1002" s="500"/>
      <c r="B1002" s="477"/>
      <c r="C1002" s="481"/>
      <c r="D1002" s="47"/>
      <c r="E1002" s="47"/>
      <c r="F1002" s="478"/>
      <c r="G1002" s="479"/>
      <c r="H1002" s="9"/>
      <c r="I1002" s="9"/>
      <c r="J1002" s="505"/>
      <c r="K1002" s="47"/>
      <c r="L1002" s="47"/>
      <c r="M1002" s="47"/>
      <c r="N1002" s="9"/>
      <c r="O1002" s="9"/>
      <c r="P1002" s="9"/>
      <c r="Q1002" s="47"/>
      <c r="R1002" s="47"/>
      <c r="S1002" s="47"/>
      <c r="T1002" s="47"/>
      <c r="U1002" s="47"/>
      <c r="V1002" s="47"/>
      <c r="W1002" s="47"/>
      <c r="X1002" s="47"/>
      <c r="Y1002" s="47"/>
      <c r="Z1002" s="47"/>
      <c r="AA1002" s="47"/>
      <c r="AB1002" s="47"/>
      <c r="AC1002" s="47"/>
      <c r="AD1002" s="47"/>
      <c r="AE1002" s="47"/>
      <c r="AF1002" s="47"/>
      <c r="AG1002" s="47"/>
      <c r="AH1002" s="47"/>
      <c r="AI1002" s="47"/>
      <c r="AJ1002" s="47"/>
      <c r="AK1002" s="47"/>
      <c r="AL1002" s="47"/>
      <c r="AM1002" s="47"/>
      <c r="AN1002" s="47"/>
      <c r="AO1002" s="47"/>
      <c r="AP1002" s="47"/>
      <c r="AQ1002" s="47"/>
      <c r="AR1002" s="47"/>
      <c r="AS1002" s="47"/>
      <c r="AT1002" s="47"/>
      <c r="AU1002" s="47"/>
      <c r="AV1002" s="47"/>
      <c r="AW1002" s="47"/>
      <c r="AX1002" s="47"/>
      <c r="AY1002" s="47"/>
    </row>
    <row r="1003" spans="1:51" ht="15.75" customHeight="1">
      <c r="A1003" s="500"/>
      <c r="B1003" s="477"/>
      <c r="C1003" s="481"/>
      <c r="D1003" s="47"/>
      <c r="E1003" s="47"/>
      <c r="F1003" s="478"/>
      <c r="G1003" s="479"/>
      <c r="H1003" s="9"/>
      <c r="I1003" s="9"/>
      <c r="J1003" s="505"/>
      <c r="K1003" s="47"/>
      <c r="L1003" s="47"/>
      <c r="M1003" s="47"/>
      <c r="N1003" s="9"/>
      <c r="O1003" s="9"/>
      <c r="P1003" s="9"/>
      <c r="Q1003" s="47"/>
      <c r="R1003" s="47"/>
      <c r="S1003" s="47"/>
      <c r="T1003" s="47"/>
      <c r="U1003" s="47"/>
      <c r="V1003" s="47"/>
      <c r="W1003" s="47"/>
      <c r="X1003" s="47"/>
      <c r="Y1003" s="47"/>
      <c r="Z1003" s="47"/>
      <c r="AA1003" s="47"/>
      <c r="AB1003" s="47"/>
      <c r="AC1003" s="47"/>
      <c r="AD1003" s="47"/>
      <c r="AE1003" s="47"/>
      <c r="AF1003" s="47"/>
      <c r="AG1003" s="47"/>
      <c r="AH1003" s="47"/>
      <c r="AI1003" s="47"/>
      <c r="AJ1003" s="47"/>
      <c r="AK1003" s="47"/>
      <c r="AL1003" s="47"/>
      <c r="AM1003" s="47"/>
      <c r="AN1003" s="47"/>
      <c r="AO1003" s="47"/>
      <c r="AP1003" s="47"/>
      <c r="AQ1003" s="47"/>
      <c r="AR1003" s="47"/>
      <c r="AS1003" s="47"/>
      <c r="AT1003" s="47"/>
      <c r="AU1003" s="47"/>
      <c r="AV1003" s="47"/>
      <c r="AW1003" s="47"/>
      <c r="AX1003" s="47"/>
      <c r="AY1003" s="47"/>
    </row>
    <row r="1004" spans="1:51" ht="15.75" customHeight="1">
      <c r="A1004" s="500"/>
      <c r="B1004" s="477"/>
      <c r="C1004" s="481"/>
      <c r="D1004" s="47"/>
      <c r="E1004" s="47"/>
      <c r="F1004" s="478"/>
      <c r="G1004" s="479"/>
      <c r="H1004" s="9"/>
      <c r="I1004" s="9"/>
      <c r="J1004" s="505"/>
      <c r="K1004" s="47"/>
      <c r="L1004" s="47"/>
      <c r="M1004" s="47"/>
      <c r="N1004" s="9"/>
      <c r="O1004" s="9"/>
      <c r="P1004" s="9"/>
      <c r="Q1004" s="47"/>
      <c r="R1004" s="47"/>
      <c r="S1004" s="47"/>
      <c r="T1004" s="47"/>
      <c r="U1004" s="47"/>
      <c r="V1004" s="47"/>
      <c r="W1004" s="47"/>
      <c r="X1004" s="47"/>
      <c r="Y1004" s="47"/>
      <c r="Z1004" s="47"/>
      <c r="AA1004" s="47"/>
      <c r="AB1004" s="47"/>
      <c r="AC1004" s="47"/>
      <c r="AD1004" s="47"/>
      <c r="AE1004" s="47"/>
      <c r="AF1004" s="47"/>
      <c r="AG1004" s="47"/>
      <c r="AH1004" s="47"/>
      <c r="AI1004" s="47"/>
      <c r="AJ1004" s="47"/>
      <c r="AK1004" s="47"/>
      <c r="AL1004" s="47"/>
      <c r="AM1004" s="47"/>
      <c r="AN1004" s="47"/>
      <c r="AO1004" s="47"/>
      <c r="AP1004" s="47"/>
      <c r="AQ1004" s="47"/>
      <c r="AR1004" s="47"/>
      <c r="AS1004" s="47"/>
      <c r="AT1004" s="47"/>
      <c r="AU1004" s="47"/>
      <c r="AV1004" s="47"/>
      <c r="AW1004" s="47"/>
      <c r="AX1004" s="47"/>
      <c r="AY1004" s="47"/>
    </row>
    <row r="1005" spans="1:51" ht="15.75" customHeight="1">
      <c r="A1005" s="500"/>
      <c r="B1005" s="477"/>
      <c r="C1005" s="481"/>
      <c r="D1005" s="47"/>
      <c r="E1005" s="47"/>
      <c r="F1005" s="478"/>
      <c r="G1005" s="479"/>
      <c r="H1005" s="9"/>
      <c r="I1005" s="9"/>
      <c r="J1005" s="505"/>
      <c r="K1005" s="47"/>
      <c r="L1005" s="47"/>
      <c r="M1005" s="47"/>
      <c r="N1005" s="9"/>
      <c r="O1005" s="9"/>
      <c r="P1005" s="9"/>
      <c r="Q1005" s="47"/>
      <c r="R1005" s="47"/>
      <c r="S1005" s="47"/>
      <c r="T1005" s="47"/>
      <c r="U1005" s="47"/>
      <c r="V1005" s="47"/>
      <c r="W1005" s="47"/>
      <c r="X1005" s="47"/>
      <c r="Y1005" s="47"/>
      <c r="Z1005" s="47"/>
      <c r="AA1005" s="47"/>
      <c r="AB1005" s="47"/>
      <c r="AC1005" s="47"/>
      <c r="AD1005" s="47"/>
      <c r="AE1005" s="47"/>
      <c r="AF1005" s="47"/>
      <c r="AG1005" s="47"/>
      <c r="AH1005" s="47"/>
      <c r="AI1005" s="47"/>
      <c r="AJ1005" s="47"/>
      <c r="AK1005" s="47"/>
      <c r="AL1005" s="47"/>
      <c r="AM1005" s="47"/>
      <c r="AN1005" s="47"/>
      <c r="AO1005" s="47"/>
      <c r="AP1005" s="47"/>
      <c r="AQ1005" s="47"/>
      <c r="AR1005" s="47"/>
      <c r="AS1005" s="47"/>
      <c r="AT1005" s="47"/>
      <c r="AU1005" s="47"/>
      <c r="AV1005" s="47"/>
      <c r="AW1005" s="47"/>
      <c r="AX1005" s="47"/>
      <c r="AY1005" s="47"/>
    </row>
    <row r="1006" spans="1:51" ht="15.75" customHeight="1">
      <c r="A1006" s="500"/>
      <c r="B1006" s="477"/>
      <c r="C1006" s="481"/>
      <c r="D1006" s="47"/>
      <c r="E1006" s="47"/>
      <c r="F1006" s="478"/>
      <c r="G1006" s="479"/>
      <c r="H1006" s="9"/>
      <c r="I1006" s="9"/>
      <c r="J1006" s="505"/>
      <c r="K1006" s="47"/>
      <c r="L1006" s="47"/>
      <c r="M1006" s="47"/>
      <c r="N1006" s="9"/>
      <c r="O1006" s="9"/>
      <c r="P1006" s="9"/>
      <c r="Q1006" s="47"/>
      <c r="R1006" s="47"/>
      <c r="S1006" s="47"/>
      <c r="T1006" s="47"/>
      <c r="U1006" s="47"/>
      <c r="V1006" s="47"/>
      <c r="W1006" s="47"/>
      <c r="X1006" s="47"/>
      <c r="Y1006" s="47"/>
      <c r="Z1006" s="47"/>
      <c r="AA1006" s="47"/>
      <c r="AB1006" s="47"/>
      <c r="AC1006" s="47"/>
      <c r="AD1006" s="47"/>
      <c r="AE1006" s="47"/>
      <c r="AF1006" s="47"/>
      <c r="AG1006" s="47"/>
      <c r="AH1006" s="47"/>
      <c r="AI1006" s="47"/>
      <c r="AJ1006" s="47"/>
      <c r="AK1006" s="47"/>
      <c r="AL1006" s="47"/>
      <c r="AM1006" s="47"/>
      <c r="AN1006" s="47"/>
      <c r="AO1006" s="47"/>
      <c r="AP1006" s="47"/>
      <c r="AQ1006" s="47"/>
      <c r="AR1006" s="47"/>
      <c r="AS1006" s="47"/>
      <c r="AT1006" s="47"/>
      <c r="AU1006" s="47"/>
      <c r="AV1006" s="47"/>
      <c r="AW1006" s="47"/>
      <c r="AX1006" s="47"/>
      <c r="AY1006" s="47"/>
    </row>
    <row r="1007" spans="1:51" ht="15.75" customHeight="1">
      <c r="A1007" s="500"/>
      <c r="B1007" s="477"/>
      <c r="C1007" s="481"/>
      <c r="D1007" s="47"/>
      <c r="E1007" s="47"/>
      <c r="F1007" s="478"/>
      <c r="G1007" s="479"/>
      <c r="H1007" s="9"/>
      <c r="I1007" s="10"/>
      <c r="J1007" s="505"/>
      <c r="K1007" s="47"/>
      <c r="L1007" s="47"/>
      <c r="M1007" s="47"/>
      <c r="N1007" s="9"/>
      <c r="O1007" s="9"/>
      <c r="P1007" s="9"/>
      <c r="Q1007" s="47"/>
      <c r="R1007" s="47"/>
      <c r="S1007" s="47"/>
      <c r="T1007" s="47"/>
      <c r="U1007" s="47"/>
      <c r="V1007" s="47"/>
      <c r="W1007" s="47"/>
      <c r="X1007" s="47"/>
      <c r="Y1007" s="47"/>
      <c r="Z1007" s="47"/>
      <c r="AA1007" s="47"/>
      <c r="AB1007" s="47"/>
      <c r="AC1007" s="47"/>
      <c r="AD1007" s="47"/>
      <c r="AE1007" s="47"/>
      <c r="AF1007" s="47"/>
      <c r="AG1007" s="47"/>
      <c r="AH1007" s="47"/>
      <c r="AI1007" s="47"/>
      <c r="AJ1007" s="47"/>
      <c r="AK1007" s="47"/>
      <c r="AL1007" s="47"/>
      <c r="AM1007" s="47"/>
      <c r="AN1007" s="47"/>
      <c r="AO1007" s="47"/>
      <c r="AP1007" s="47"/>
      <c r="AQ1007" s="47"/>
      <c r="AR1007" s="47"/>
      <c r="AS1007" s="47"/>
      <c r="AT1007" s="47"/>
      <c r="AU1007" s="47"/>
      <c r="AV1007" s="47"/>
      <c r="AW1007" s="47"/>
      <c r="AX1007" s="47"/>
      <c r="AY1007" s="47"/>
    </row>
    <row r="1008" spans="1:51" ht="15.75" customHeight="1">
      <c r="A1008" s="500"/>
      <c r="B1008" s="477"/>
      <c r="C1008" s="481"/>
      <c r="D1008" s="47"/>
      <c r="E1008" s="47"/>
      <c r="F1008" s="478"/>
      <c r="G1008" s="479"/>
      <c r="H1008" s="9"/>
      <c r="I1008" s="9"/>
      <c r="J1008" s="505"/>
      <c r="K1008" s="47"/>
      <c r="L1008" s="47"/>
      <c r="M1008" s="47"/>
      <c r="N1008" s="9"/>
      <c r="O1008" s="9"/>
      <c r="P1008" s="9"/>
      <c r="Q1008" s="47"/>
      <c r="R1008" s="47"/>
      <c r="S1008" s="47"/>
      <c r="T1008" s="47"/>
      <c r="U1008" s="47"/>
      <c r="V1008" s="47"/>
      <c r="W1008" s="47"/>
      <c r="X1008" s="47"/>
      <c r="Y1008" s="47"/>
      <c r="Z1008" s="47"/>
      <c r="AA1008" s="47"/>
      <c r="AB1008" s="47"/>
      <c r="AC1008" s="47"/>
      <c r="AD1008" s="47"/>
      <c r="AE1008" s="47"/>
      <c r="AF1008" s="47"/>
      <c r="AG1008" s="47"/>
      <c r="AH1008" s="47"/>
      <c r="AI1008" s="47"/>
      <c r="AJ1008" s="47"/>
      <c r="AK1008" s="47"/>
      <c r="AL1008" s="47"/>
      <c r="AM1008" s="47"/>
      <c r="AN1008" s="47"/>
      <c r="AO1008" s="47"/>
      <c r="AP1008" s="47"/>
      <c r="AQ1008" s="47"/>
      <c r="AR1008" s="47"/>
      <c r="AS1008" s="47"/>
      <c r="AT1008" s="47"/>
      <c r="AU1008" s="47"/>
      <c r="AV1008" s="47"/>
      <c r="AW1008" s="47"/>
      <c r="AX1008" s="47"/>
      <c r="AY1008" s="47"/>
    </row>
    <row r="1009" spans="1:51" ht="15.75" customHeight="1">
      <c r="A1009" s="500"/>
      <c r="B1009" s="477"/>
      <c r="C1009" s="481"/>
      <c r="D1009" s="47"/>
      <c r="E1009" s="47"/>
      <c r="F1009" s="478"/>
      <c r="G1009" s="479"/>
      <c r="H1009" s="9"/>
      <c r="I1009" s="10"/>
      <c r="J1009" s="505"/>
      <c r="K1009" s="47"/>
      <c r="L1009" s="47"/>
      <c r="M1009" s="47"/>
      <c r="N1009" s="9"/>
      <c r="O1009" s="9"/>
      <c r="P1009" s="9"/>
      <c r="Q1009" s="47"/>
      <c r="R1009" s="47"/>
      <c r="S1009" s="47"/>
      <c r="T1009" s="47"/>
      <c r="U1009" s="47"/>
      <c r="V1009" s="47"/>
      <c r="W1009" s="47"/>
      <c r="X1009" s="47"/>
      <c r="Y1009" s="47"/>
      <c r="Z1009" s="47"/>
      <c r="AA1009" s="47"/>
      <c r="AB1009" s="47"/>
      <c r="AC1009" s="47"/>
      <c r="AD1009" s="47"/>
      <c r="AE1009" s="47"/>
      <c r="AF1009" s="47"/>
      <c r="AG1009" s="47"/>
      <c r="AH1009" s="47"/>
      <c r="AI1009" s="47"/>
      <c r="AJ1009" s="47"/>
      <c r="AK1009" s="47"/>
      <c r="AL1009" s="47"/>
      <c r="AM1009" s="47"/>
      <c r="AN1009" s="47"/>
      <c r="AO1009" s="47"/>
      <c r="AP1009" s="47"/>
      <c r="AQ1009" s="47"/>
      <c r="AR1009" s="47"/>
      <c r="AS1009" s="47"/>
      <c r="AT1009" s="47"/>
      <c r="AU1009" s="47"/>
      <c r="AV1009" s="47"/>
      <c r="AW1009" s="47"/>
      <c r="AX1009" s="47"/>
      <c r="AY1009" s="47"/>
    </row>
    <row r="1010" spans="1:51" ht="15.75" customHeight="1">
      <c r="A1010" s="500"/>
      <c r="B1010" s="477"/>
      <c r="C1010" s="481"/>
      <c r="D1010" s="47"/>
      <c r="E1010" s="47"/>
      <c r="F1010" s="478"/>
      <c r="G1010" s="479"/>
      <c r="H1010" s="9"/>
      <c r="I1010" s="9"/>
      <c r="J1010" s="505"/>
      <c r="K1010" s="47"/>
      <c r="L1010" s="47"/>
      <c r="M1010" s="47"/>
      <c r="N1010" s="9"/>
      <c r="O1010" s="9"/>
      <c r="P1010" s="9"/>
      <c r="Q1010" s="47"/>
      <c r="R1010" s="47"/>
      <c r="S1010" s="47"/>
      <c r="T1010" s="47"/>
      <c r="U1010" s="47"/>
      <c r="V1010" s="47"/>
      <c r="W1010" s="47"/>
      <c r="X1010" s="47"/>
      <c r="Y1010" s="47"/>
      <c r="Z1010" s="47"/>
      <c r="AA1010" s="47"/>
      <c r="AB1010" s="47"/>
      <c r="AC1010" s="47"/>
      <c r="AD1010" s="47"/>
      <c r="AE1010" s="47"/>
      <c r="AF1010" s="47"/>
      <c r="AG1010" s="47"/>
      <c r="AH1010" s="47"/>
      <c r="AI1010" s="47"/>
      <c r="AJ1010" s="47"/>
      <c r="AK1010" s="47"/>
      <c r="AL1010" s="47"/>
      <c r="AM1010" s="47"/>
      <c r="AN1010" s="47"/>
      <c r="AO1010" s="47"/>
      <c r="AP1010" s="47"/>
      <c r="AQ1010" s="47"/>
      <c r="AR1010" s="47"/>
      <c r="AS1010" s="47"/>
      <c r="AT1010" s="47"/>
      <c r="AU1010" s="47"/>
      <c r="AV1010" s="47"/>
      <c r="AW1010" s="47"/>
      <c r="AX1010" s="47"/>
      <c r="AY1010" s="47"/>
    </row>
    <row r="1011" spans="1:51" ht="15.75" customHeight="1">
      <c r="A1011" s="500"/>
      <c r="B1011" s="477"/>
      <c r="C1011" s="481"/>
      <c r="D1011" s="47"/>
      <c r="E1011" s="47"/>
      <c r="F1011" s="478"/>
      <c r="G1011" s="479"/>
      <c r="H1011" s="9"/>
      <c r="I1011" s="9"/>
      <c r="J1011" s="505"/>
      <c r="K1011" s="47"/>
      <c r="L1011" s="47"/>
      <c r="M1011" s="47"/>
      <c r="N1011" s="9"/>
      <c r="O1011" s="9"/>
      <c r="P1011" s="9"/>
      <c r="Q1011" s="47"/>
      <c r="R1011" s="47"/>
      <c r="S1011" s="47"/>
      <c r="T1011" s="47"/>
      <c r="U1011" s="47"/>
      <c r="V1011" s="47"/>
      <c r="W1011" s="47"/>
      <c r="X1011" s="47"/>
      <c r="Y1011" s="47"/>
      <c r="Z1011" s="47"/>
      <c r="AA1011" s="47"/>
      <c r="AB1011" s="47"/>
      <c r="AC1011" s="47"/>
      <c r="AD1011" s="47"/>
      <c r="AE1011" s="47"/>
      <c r="AF1011" s="47"/>
      <c r="AG1011" s="47"/>
      <c r="AH1011" s="47"/>
      <c r="AI1011" s="47"/>
      <c r="AJ1011" s="47"/>
      <c r="AK1011" s="47"/>
      <c r="AL1011" s="47"/>
      <c r="AM1011" s="47"/>
      <c r="AN1011" s="47"/>
      <c r="AO1011" s="47"/>
      <c r="AP1011" s="47"/>
      <c r="AQ1011" s="47"/>
      <c r="AR1011" s="47"/>
      <c r="AS1011" s="47"/>
      <c r="AT1011" s="47"/>
      <c r="AU1011" s="47"/>
      <c r="AV1011" s="47"/>
      <c r="AW1011" s="47"/>
      <c r="AX1011" s="47"/>
      <c r="AY1011" s="47"/>
    </row>
    <row r="1012" spans="1:51" ht="15.75" customHeight="1">
      <c r="A1012" s="500"/>
      <c r="B1012" s="477"/>
      <c r="C1012" s="481"/>
      <c r="D1012" s="47"/>
      <c r="E1012" s="47"/>
      <c r="F1012" s="478"/>
      <c r="G1012" s="479"/>
      <c r="H1012" s="9"/>
      <c r="I1012" s="9"/>
      <c r="J1012" s="505"/>
      <c r="K1012" s="47"/>
      <c r="L1012" s="47"/>
      <c r="M1012" s="47"/>
      <c r="N1012" s="9"/>
      <c r="O1012" s="9"/>
      <c r="P1012" s="9"/>
      <c r="Q1012" s="47"/>
      <c r="R1012" s="47"/>
      <c r="S1012" s="47"/>
      <c r="T1012" s="47"/>
      <c r="U1012" s="47"/>
      <c r="V1012" s="47"/>
      <c r="W1012" s="47"/>
      <c r="X1012" s="47"/>
      <c r="Y1012" s="47"/>
      <c r="Z1012" s="47"/>
      <c r="AA1012" s="47"/>
      <c r="AB1012" s="47"/>
      <c r="AC1012" s="47"/>
      <c r="AD1012" s="47"/>
      <c r="AE1012" s="47"/>
      <c r="AF1012" s="47"/>
      <c r="AG1012" s="47"/>
      <c r="AH1012" s="47"/>
      <c r="AI1012" s="47"/>
      <c r="AJ1012" s="47"/>
      <c r="AK1012" s="47"/>
      <c r="AL1012" s="47"/>
      <c r="AM1012" s="47"/>
      <c r="AN1012" s="47"/>
      <c r="AO1012" s="47"/>
      <c r="AP1012" s="47"/>
      <c r="AQ1012" s="47"/>
      <c r="AR1012" s="47"/>
      <c r="AS1012" s="47"/>
      <c r="AT1012" s="47"/>
      <c r="AU1012" s="47"/>
      <c r="AV1012" s="47"/>
      <c r="AW1012" s="47"/>
      <c r="AX1012" s="47"/>
      <c r="AY1012" s="47"/>
    </row>
    <row r="1013" spans="1:51" ht="15.75" customHeight="1">
      <c r="A1013" s="500"/>
      <c r="B1013" s="477"/>
      <c r="C1013" s="481"/>
      <c r="D1013" s="47"/>
      <c r="E1013" s="47"/>
      <c r="F1013" s="478"/>
      <c r="G1013" s="479"/>
      <c r="H1013" s="9"/>
      <c r="I1013" s="10"/>
      <c r="J1013" s="505"/>
      <c r="K1013" s="47"/>
      <c r="L1013" s="47"/>
      <c r="M1013" s="47"/>
      <c r="N1013" s="9"/>
      <c r="O1013" s="9"/>
      <c r="P1013" s="9"/>
      <c r="Q1013" s="47"/>
      <c r="R1013" s="47"/>
      <c r="S1013" s="47"/>
      <c r="T1013" s="47"/>
      <c r="U1013" s="47"/>
      <c r="V1013" s="47"/>
      <c r="W1013" s="47"/>
      <c r="X1013" s="47"/>
      <c r="Y1013" s="47"/>
      <c r="Z1013" s="47"/>
      <c r="AA1013" s="47"/>
      <c r="AB1013" s="47"/>
      <c r="AC1013" s="47"/>
      <c r="AD1013" s="47"/>
      <c r="AE1013" s="47"/>
      <c r="AF1013" s="47"/>
      <c r="AG1013" s="47"/>
      <c r="AH1013" s="47"/>
      <c r="AI1013" s="47"/>
      <c r="AJ1013" s="47"/>
      <c r="AK1013" s="47"/>
      <c r="AL1013" s="47"/>
      <c r="AM1013" s="47"/>
      <c r="AN1013" s="47"/>
      <c r="AO1013" s="47"/>
      <c r="AP1013" s="47"/>
      <c r="AQ1013" s="47"/>
      <c r="AR1013" s="47"/>
      <c r="AS1013" s="47"/>
      <c r="AT1013" s="47"/>
      <c r="AU1013" s="47"/>
      <c r="AV1013" s="47"/>
      <c r="AW1013" s="47"/>
      <c r="AX1013" s="47"/>
      <c r="AY1013" s="47"/>
    </row>
    <row r="1014" spans="1:51" ht="15.75" customHeight="1">
      <c r="A1014" s="500"/>
      <c r="B1014" s="477"/>
      <c r="C1014" s="481"/>
      <c r="D1014" s="47"/>
      <c r="E1014" s="47"/>
      <c r="F1014" s="478"/>
      <c r="G1014" s="479"/>
      <c r="H1014" s="9"/>
      <c r="I1014" s="9"/>
      <c r="J1014" s="505"/>
      <c r="K1014" s="47"/>
      <c r="L1014" s="47"/>
      <c r="M1014" s="47"/>
      <c r="N1014" s="9"/>
      <c r="O1014" s="9"/>
      <c r="P1014" s="9"/>
      <c r="Q1014" s="47"/>
      <c r="R1014" s="47"/>
      <c r="S1014" s="47"/>
      <c r="T1014" s="47"/>
      <c r="U1014" s="47"/>
      <c r="V1014" s="47"/>
      <c r="W1014" s="47"/>
      <c r="X1014" s="47"/>
      <c r="Y1014" s="47"/>
      <c r="Z1014" s="47"/>
      <c r="AA1014" s="47"/>
      <c r="AB1014" s="47"/>
      <c r="AC1014" s="47"/>
      <c r="AD1014" s="47"/>
      <c r="AE1014" s="47"/>
      <c r="AF1014" s="47"/>
      <c r="AG1014" s="47"/>
      <c r="AH1014" s="47"/>
      <c r="AI1014" s="47"/>
      <c r="AJ1014" s="47"/>
      <c r="AK1014" s="47"/>
      <c r="AL1014" s="47"/>
      <c r="AM1014" s="47"/>
      <c r="AN1014" s="47"/>
      <c r="AO1014" s="47"/>
      <c r="AP1014" s="47"/>
      <c r="AQ1014" s="47"/>
      <c r="AR1014" s="47"/>
      <c r="AS1014" s="47"/>
      <c r="AT1014" s="47"/>
      <c r="AU1014" s="47"/>
      <c r="AV1014" s="47"/>
      <c r="AW1014" s="47"/>
      <c r="AX1014" s="47"/>
      <c r="AY1014" s="47"/>
    </row>
    <row r="1015" spans="1:51" ht="15.75" customHeight="1">
      <c r="A1015" s="500"/>
      <c r="B1015" s="477"/>
      <c r="C1015" s="481"/>
      <c r="D1015" s="47"/>
      <c r="E1015" s="47"/>
      <c r="F1015" s="478"/>
      <c r="G1015" s="479"/>
      <c r="H1015" s="9"/>
      <c r="I1015" s="10"/>
      <c r="J1015" s="505"/>
      <c r="K1015" s="47"/>
      <c r="L1015" s="47"/>
      <c r="M1015" s="47"/>
      <c r="N1015" s="9"/>
      <c r="O1015" s="9"/>
      <c r="P1015" s="9"/>
      <c r="Q1015" s="47"/>
      <c r="R1015" s="47"/>
      <c r="S1015" s="47"/>
      <c r="T1015" s="47"/>
      <c r="U1015" s="47"/>
      <c r="V1015" s="47"/>
      <c r="W1015" s="47"/>
      <c r="X1015" s="47"/>
      <c r="Y1015" s="47"/>
      <c r="Z1015" s="47"/>
      <c r="AA1015" s="47"/>
      <c r="AB1015" s="47"/>
      <c r="AC1015" s="47"/>
      <c r="AD1015" s="47"/>
      <c r="AE1015" s="47"/>
      <c r="AF1015" s="47"/>
      <c r="AG1015" s="47"/>
      <c r="AH1015" s="47"/>
      <c r="AI1015" s="47"/>
      <c r="AJ1015" s="47"/>
      <c r="AK1015" s="47"/>
      <c r="AL1015" s="47"/>
      <c r="AM1015" s="47"/>
      <c r="AN1015" s="47"/>
      <c r="AO1015" s="47"/>
      <c r="AP1015" s="47"/>
      <c r="AQ1015" s="47"/>
      <c r="AR1015" s="47"/>
      <c r="AS1015" s="47"/>
      <c r="AT1015" s="47"/>
      <c r="AU1015" s="47"/>
      <c r="AV1015" s="47"/>
      <c r="AW1015" s="47"/>
      <c r="AX1015" s="47"/>
      <c r="AY1015" s="47"/>
    </row>
    <row r="1016" spans="1:51" ht="15.75" customHeight="1">
      <c r="A1016" s="500"/>
      <c r="B1016" s="477"/>
      <c r="C1016" s="481"/>
      <c r="D1016" s="47"/>
      <c r="E1016" s="47"/>
      <c r="F1016" s="478"/>
      <c r="G1016" s="479"/>
      <c r="H1016" s="9"/>
      <c r="I1016" s="9"/>
      <c r="J1016" s="505"/>
      <c r="K1016" s="47"/>
      <c r="L1016" s="47"/>
      <c r="M1016" s="47"/>
      <c r="N1016" s="9"/>
      <c r="O1016" s="9"/>
      <c r="P1016" s="9"/>
      <c r="Q1016" s="47"/>
      <c r="R1016" s="47"/>
      <c r="S1016" s="47"/>
      <c r="T1016" s="47"/>
      <c r="U1016" s="47"/>
      <c r="V1016" s="47"/>
      <c r="W1016" s="47"/>
      <c r="X1016" s="47"/>
      <c r="Y1016" s="47"/>
      <c r="Z1016" s="47"/>
      <c r="AA1016" s="47"/>
      <c r="AB1016" s="47"/>
      <c r="AC1016" s="47"/>
      <c r="AD1016" s="47"/>
      <c r="AE1016" s="47"/>
      <c r="AF1016" s="47"/>
      <c r="AG1016" s="47"/>
      <c r="AH1016" s="47"/>
      <c r="AI1016" s="47"/>
      <c r="AJ1016" s="47"/>
      <c r="AK1016" s="47"/>
      <c r="AL1016" s="47"/>
      <c r="AM1016" s="47"/>
      <c r="AN1016" s="47"/>
      <c r="AO1016" s="47"/>
      <c r="AP1016" s="47"/>
      <c r="AQ1016" s="47"/>
      <c r="AR1016" s="47"/>
      <c r="AS1016" s="47"/>
      <c r="AT1016" s="47"/>
      <c r="AU1016" s="47"/>
      <c r="AV1016" s="47"/>
      <c r="AW1016" s="47"/>
      <c r="AX1016" s="47"/>
      <c r="AY1016" s="47"/>
    </row>
    <row r="1017" spans="1:51" ht="15.75" customHeight="1">
      <c r="A1017" s="500"/>
      <c r="B1017" s="477"/>
      <c r="C1017" s="481"/>
      <c r="D1017" s="47"/>
      <c r="E1017" s="47"/>
      <c r="F1017" s="478"/>
      <c r="G1017" s="479"/>
      <c r="H1017" s="9"/>
      <c r="I1017" s="9"/>
      <c r="J1017" s="505"/>
      <c r="K1017" s="47"/>
      <c r="L1017" s="47"/>
      <c r="M1017" s="47"/>
      <c r="N1017" s="9"/>
      <c r="O1017" s="9"/>
      <c r="P1017" s="9"/>
      <c r="Q1017" s="47"/>
      <c r="R1017" s="47"/>
      <c r="S1017" s="47"/>
      <c r="T1017" s="47"/>
      <c r="U1017" s="47"/>
      <c r="V1017" s="47"/>
      <c r="W1017" s="47"/>
      <c r="X1017" s="47"/>
      <c r="Y1017" s="47"/>
      <c r="Z1017" s="47"/>
      <c r="AA1017" s="47"/>
      <c r="AB1017" s="47"/>
      <c r="AC1017" s="47"/>
      <c r="AD1017" s="47"/>
      <c r="AE1017" s="47"/>
      <c r="AF1017" s="47"/>
      <c r="AG1017" s="47"/>
      <c r="AH1017" s="47"/>
      <c r="AI1017" s="47"/>
      <c r="AJ1017" s="47"/>
      <c r="AK1017" s="47"/>
      <c r="AL1017" s="47"/>
      <c r="AM1017" s="47"/>
      <c r="AN1017" s="47"/>
      <c r="AO1017" s="47"/>
      <c r="AP1017" s="47"/>
      <c r="AQ1017" s="47"/>
      <c r="AR1017" s="47"/>
      <c r="AS1017" s="47"/>
      <c r="AT1017" s="47"/>
      <c r="AU1017" s="47"/>
      <c r="AV1017" s="47"/>
      <c r="AW1017" s="47"/>
      <c r="AX1017" s="47"/>
      <c r="AY1017" s="47"/>
    </row>
    <row r="1018" spans="1:51" ht="15.75" customHeight="1">
      <c r="A1018" s="500"/>
      <c r="B1018" s="481"/>
      <c r="C1018" s="481"/>
      <c r="D1018" s="47"/>
      <c r="E1018" s="47"/>
      <c r="F1018" s="478"/>
      <c r="G1018" s="479"/>
      <c r="H1018" s="9"/>
      <c r="I1018" s="10"/>
      <c r="J1018" s="504"/>
      <c r="K1018" s="47"/>
      <c r="L1018" s="47"/>
      <c r="M1018" s="47"/>
      <c r="N1018" s="9"/>
      <c r="O1018" s="9"/>
      <c r="P1018" s="9"/>
      <c r="Q1018" s="47"/>
      <c r="R1018" s="47"/>
      <c r="S1018" s="47"/>
      <c r="T1018" s="47"/>
      <c r="U1018" s="47"/>
      <c r="V1018" s="47"/>
      <c r="W1018" s="47"/>
      <c r="X1018" s="47"/>
      <c r="Y1018" s="47"/>
      <c r="Z1018" s="47"/>
      <c r="AA1018" s="47"/>
      <c r="AB1018" s="47"/>
      <c r="AC1018" s="47"/>
      <c r="AD1018" s="47"/>
      <c r="AE1018" s="47"/>
      <c r="AF1018" s="47"/>
      <c r="AG1018" s="47"/>
      <c r="AH1018" s="47"/>
      <c r="AI1018" s="47"/>
      <c r="AJ1018" s="47"/>
      <c r="AK1018" s="47"/>
      <c r="AL1018" s="47"/>
      <c r="AM1018" s="47"/>
      <c r="AN1018" s="47"/>
      <c r="AO1018" s="47"/>
      <c r="AP1018" s="47"/>
      <c r="AQ1018" s="47"/>
      <c r="AR1018" s="47"/>
      <c r="AS1018" s="47"/>
      <c r="AT1018" s="47"/>
      <c r="AU1018" s="47"/>
      <c r="AV1018" s="47"/>
      <c r="AW1018" s="47"/>
      <c r="AX1018" s="47"/>
      <c r="AY1018" s="47"/>
    </row>
    <row r="1019" spans="1:51" ht="15.75" customHeight="1">
      <c r="A1019" s="500"/>
      <c r="B1019" s="477"/>
      <c r="C1019" s="481"/>
      <c r="D1019" s="47"/>
      <c r="E1019" s="47"/>
      <c r="F1019" s="478"/>
      <c r="G1019" s="479"/>
      <c r="H1019" s="9"/>
      <c r="I1019" s="10"/>
      <c r="J1019" s="504"/>
      <c r="K1019" s="47"/>
      <c r="L1019" s="47"/>
      <c r="M1019" s="47"/>
      <c r="N1019" s="9"/>
      <c r="O1019" s="9"/>
      <c r="P1019" s="9"/>
      <c r="Q1019" s="47"/>
      <c r="R1019" s="47"/>
      <c r="S1019" s="47"/>
      <c r="T1019" s="47"/>
      <c r="U1019" s="47"/>
      <c r="V1019" s="47"/>
      <c r="W1019" s="47"/>
      <c r="X1019" s="47"/>
      <c r="Y1019" s="47"/>
      <c r="Z1019" s="47"/>
      <c r="AA1019" s="47"/>
      <c r="AB1019" s="47"/>
      <c r="AC1019" s="47"/>
      <c r="AD1019" s="47"/>
      <c r="AE1019" s="47"/>
      <c r="AF1019" s="47"/>
      <c r="AG1019" s="47"/>
      <c r="AH1019" s="47"/>
      <c r="AI1019" s="47"/>
      <c r="AJ1019" s="47"/>
      <c r="AK1019" s="47"/>
      <c r="AL1019" s="47"/>
      <c r="AM1019" s="47"/>
      <c r="AN1019" s="47"/>
      <c r="AO1019" s="47"/>
      <c r="AP1019" s="47"/>
      <c r="AQ1019" s="47"/>
      <c r="AR1019" s="47"/>
      <c r="AS1019" s="47"/>
      <c r="AT1019" s="47"/>
      <c r="AU1019" s="47"/>
      <c r="AV1019" s="47"/>
      <c r="AW1019" s="47"/>
      <c r="AX1019" s="47"/>
      <c r="AY1019" s="47"/>
    </row>
    <row r="1020" spans="1:51" ht="15.75" customHeight="1">
      <c r="A1020" s="500"/>
      <c r="B1020" s="477"/>
      <c r="C1020" s="481"/>
      <c r="D1020" s="47"/>
      <c r="E1020" s="47"/>
      <c r="F1020" s="478"/>
      <c r="G1020" s="479"/>
      <c r="H1020" s="9"/>
      <c r="I1020" s="9"/>
      <c r="J1020" s="505"/>
      <c r="K1020" s="47"/>
      <c r="L1020" s="47"/>
      <c r="M1020" s="47"/>
      <c r="N1020" s="9"/>
      <c r="O1020" s="9"/>
      <c r="P1020" s="9"/>
      <c r="Q1020" s="47"/>
      <c r="R1020" s="47"/>
      <c r="S1020" s="47"/>
      <c r="T1020" s="47"/>
      <c r="U1020" s="47"/>
      <c r="V1020" s="47"/>
      <c r="W1020" s="47"/>
      <c r="X1020" s="47"/>
      <c r="Y1020" s="47"/>
      <c r="Z1020" s="47"/>
      <c r="AA1020" s="47"/>
      <c r="AB1020" s="47"/>
      <c r="AC1020" s="47"/>
      <c r="AD1020" s="47"/>
      <c r="AE1020" s="47"/>
      <c r="AF1020" s="47"/>
      <c r="AG1020" s="47"/>
      <c r="AH1020" s="47"/>
      <c r="AI1020" s="47"/>
      <c r="AJ1020" s="47"/>
      <c r="AK1020" s="47"/>
      <c r="AL1020" s="47"/>
      <c r="AM1020" s="47"/>
      <c r="AN1020" s="47"/>
      <c r="AO1020" s="47"/>
      <c r="AP1020" s="47"/>
      <c r="AQ1020" s="47"/>
      <c r="AR1020" s="47"/>
      <c r="AS1020" s="47"/>
      <c r="AT1020" s="47"/>
      <c r="AU1020" s="47"/>
      <c r="AV1020" s="47"/>
      <c r="AW1020" s="47"/>
      <c r="AX1020" s="47"/>
      <c r="AY1020" s="47"/>
    </row>
    <row r="1021" spans="1:51" ht="15.75" customHeight="1">
      <c r="A1021" s="500"/>
      <c r="B1021" s="477"/>
      <c r="C1021" s="481"/>
      <c r="D1021" s="47"/>
      <c r="E1021" s="47"/>
      <c r="F1021" s="478"/>
      <c r="G1021" s="479"/>
      <c r="H1021" s="9"/>
      <c r="I1021" s="9"/>
      <c r="J1021" s="505"/>
      <c r="K1021" s="47"/>
      <c r="L1021" s="47"/>
      <c r="M1021" s="47"/>
      <c r="N1021" s="9"/>
      <c r="O1021" s="9"/>
      <c r="P1021" s="9"/>
      <c r="Q1021" s="47"/>
      <c r="R1021" s="47"/>
      <c r="S1021" s="47"/>
      <c r="T1021" s="47"/>
      <c r="U1021" s="47"/>
      <c r="V1021" s="47"/>
      <c r="W1021" s="47"/>
      <c r="X1021" s="47"/>
      <c r="Y1021" s="47"/>
      <c r="Z1021" s="47"/>
      <c r="AA1021" s="47"/>
      <c r="AB1021" s="47"/>
      <c r="AC1021" s="47"/>
      <c r="AD1021" s="47"/>
      <c r="AE1021" s="47"/>
      <c r="AF1021" s="47"/>
      <c r="AG1021" s="47"/>
      <c r="AH1021" s="47"/>
      <c r="AI1021" s="47"/>
      <c r="AJ1021" s="47"/>
      <c r="AK1021" s="47"/>
      <c r="AL1021" s="47"/>
      <c r="AM1021" s="47"/>
      <c r="AN1021" s="47"/>
      <c r="AO1021" s="47"/>
      <c r="AP1021" s="47"/>
      <c r="AQ1021" s="47"/>
      <c r="AR1021" s="47"/>
      <c r="AS1021" s="47"/>
      <c r="AT1021" s="47"/>
      <c r="AU1021" s="47"/>
      <c r="AV1021" s="47"/>
      <c r="AW1021" s="47"/>
      <c r="AX1021" s="47"/>
      <c r="AY1021" s="47"/>
    </row>
    <row r="1022" spans="1:51" ht="15.75" customHeight="1">
      <c r="A1022" s="500"/>
      <c r="B1022" s="477"/>
      <c r="C1022" s="481"/>
      <c r="D1022" s="47"/>
      <c r="E1022" s="47"/>
      <c r="F1022" s="478"/>
      <c r="G1022" s="479"/>
      <c r="H1022" s="9"/>
      <c r="I1022" s="9"/>
      <c r="J1022" s="505"/>
      <c r="K1022" s="47"/>
      <c r="L1022" s="47"/>
      <c r="M1022" s="47"/>
      <c r="N1022" s="9"/>
      <c r="O1022" s="9"/>
      <c r="P1022" s="9"/>
      <c r="Q1022" s="47"/>
      <c r="R1022" s="47"/>
      <c r="S1022" s="47"/>
      <c r="T1022" s="47"/>
      <c r="U1022" s="47"/>
      <c r="V1022" s="47"/>
      <c r="W1022" s="47"/>
      <c r="X1022" s="47"/>
      <c r="Y1022" s="47"/>
      <c r="Z1022" s="47"/>
      <c r="AA1022" s="47"/>
      <c r="AB1022" s="47"/>
      <c r="AC1022" s="47"/>
      <c r="AD1022" s="47"/>
      <c r="AE1022" s="47"/>
      <c r="AF1022" s="47"/>
      <c r="AG1022" s="47"/>
      <c r="AH1022" s="47"/>
      <c r="AI1022" s="47"/>
      <c r="AJ1022" s="47"/>
      <c r="AK1022" s="47"/>
      <c r="AL1022" s="47"/>
      <c r="AM1022" s="47"/>
      <c r="AN1022" s="47"/>
      <c r="AO1022" s="47"/>
      <c r="AP1022" s="47"/>
      <c r="AQ1022" s="47"/>
      <c r="AR1022" s="47"/>
      <c r="AS1022" s="47"/>
      <c r="AT1022" s="47"/>
      <c r="AU1022" s="47"/>
      <c r="AV1022" s="47"/>
      <c r="AW1022" s="47"/>
      <c r="AX1022" s="47"/>
      <c r="AY1022" s="47"/>
    </row>
    <row r="1023" spans="1:51" ht="15.75" customHeight="1">
      <c r="A1023" s="500"/>
      <c r="B1023" s="477"/>
      <c r="C1023" s="481"/>
      <c r="D1023" s="47"/>
      <c r="E1023" s="47"/>
      <c r="F1023" s="478"/>
      <c r="G1023" s="479"/>
      <c r="H1023" s="9"/>
      <c r="I1023" s="9"/>
      <c r="J1023" s="505"/>
      <c r="K1023" s="47"/>
      <c r="L1023" s="47"/>
      <c r="M1023" s="47"/>
      <c r="N1023" s="9"/>
      <c r="O1023" s="9"/>
      <c r="P1023" s="9"/>
      <c r="Q1023" s="47"/>
      <c r="R1023" s="47"/>
      <c r="S1023" s="47"/>
      <c r="T1023" s="47"/>
      <c r="U1023" s="47"/>
      <c r="V1023" s="47"/>
      <c r="W1023" s="47"/>
      <c r="X1023" s="47"/>
      <c r="Y1023" s="47"/>
      <c r="Z1023" s="47"/>
      <c r="AA1023" s="47"/>
      <c r="AB1023" s="47"/>
      <c r="AC1023" s="47"/>
      <c r="AD1023" s="47"/>
      <c r="AE1023" s="47"/>
      <c r="AF1023" s="47"/>
      <c r="AG1023" s="47"/>
      <c r="AH1023" s="47"/>
      <c r="AI1023" s="47"/>
      <c r="AJ1023" s="47"/>
      <c r="AK1023" s="47"/>
      <c r="AL1023" s="47"/>
      <c r="AM1023" s="47"/>
      <c r="AN1023" s="47"/>
      <c r="AO1023" s="47"/>
      <c r="AP1023" s="47"/>
      <c r="AQ1023" s="47"/>
      <c r="AR1023" s="47"/>
      <c r="AS1023" s="47"/>
      <c r="AT1023" s="47"/>
      <c r="AU1023" s="47"/>
      <c r="AV1023" s="47"/>
      <c r="AW1023" s="47"/>
      <c r="AX1023" s="47"/>
      <c r="AY1023" s="47"/>
    </row>
    <row r="1024" spans="1:51" ht="15.75" customHeight="1">
      <c r="A1024" s="500"/>
      <c r="B1024" s="477"/>
      <c r="C1024" s="481"/>
      <c r="D1024" s="47"/>
      <c r="E1024" s="47"/>
      <c r="F1024" s="478"/>
      <c r="G1024" s="479"/>
      <c r="H1024" s="9"/>
      <c r="I1024" s="9"/>
      <c r="J1024" s="505"/>
      <c r="K1024" s="47"/>
      <c r="L1024" s="47"/>
      <c r="M1024" s="47"/>
      <c r="N1024" s="9"/>
      <c r="O1024" s="9"/>
      <c r="P1024" s="9"/>
      <c r="Q1024" s="47"/>
      <c r="R1024" s="47"/>
      <c r="S1024" s="47"/>
      <c r="T1024" s="47"/>
      <c r="U1024" s="47"/>
      <c r="V1024" s="47"/>
      <c r="W1024" s="47"/>
      <c r="X1024" s="47"/>
      <c r="Y1024" s="47"/>
      <c r="Z1024" s="47"/>
      <c r="AA1024" s="47"/>
      <c r="AB1024" s="47"/>
      <c r="AC1024" s="47"/>
      <c r="AD1024" s="47"/>
      <c r="AE1024" s="47"/>
      <c r="AF1024" s="47"/>
      <c r="AG1024" s="47"/>
      <c r="AH1024" s="47"/>
      <c r="AI1024" s="47"/>
      <c r="AJ1024" s="47"/>
      <c r="AK1024" s="47"/>
      <c r="AL1024" s="47"/>
      <c r="AM1024" s="47"/>
      <c r="AN1024" s="47"/>
      <c r="AO1024" s="47"/>
      <c r="AP1024" s="47"/>
      <c r="AQ1024" s="47"/>
      <c r="AR1024" s="47"/>
      <c r="AS1024" s="47"/>
      <c r="AT1024" s="47"/>
      <c r="AU1024" s="47"/>
      <c r="AV1024" s="47"/>
      <c r="AW1024" s="47"/>
      <c r="AX1024" s="47"/>
      <c r="AY1024" s="47"/>
    </row>
    <row r="1025" spans="1:51" ht="15.75" customHeight="1">
      <c r="A1025" s="500"/>
      <c r="B1025" s="477"/>
      <c r="C1025" s="481"/>
      <c r="D1025" s="47"/>
      <c r="E1025" s="47"/>
      <c r="F1025" s="478"/>
      <c r="G1025" s="479"/>
      <c r="H1025" s="9"/>
      <c r="I1025" s="9"/>
      <c r="J1025" s="505"/>
      <c r="K1025" s="47"/>
      <c r="L1025" s="47"/>
      <c r="M1025" s="47"/>
      <c r="N1025" s="9"/>
      <c r="O1025" s="9"/>
      <c r="P1025" s="9"/>
      <c r="Q1025" s="47"/>
      <c r="R1025" s="47"/>
      <c r="S1025" s="47"/>
      <c r="T1025" s="47"/>
      <c r="U1025" s="47"/>
      <c r="V1025" s="47"/>
      <c r="W1025" s="47"/>
      <c r="X1025" s="47"/>
      <c r="Y1025" s="47"/>
      <c r="Z1025" s="47"/>
      <c r="AA1025" s="47"/>
      <c r="AB1025" s="47"/>
      <c r="AC1025" s="47"/>
      <c r="AD1025" s="47"/>
      <c r="AE1025" s="47"/>
      <c r="AF1025" s="47"/>
      <c r="AG1025" s="47"/>
      <c r="AH1025" s="47"/>
      <c r="AI1025" s="47"/>
      <c r="AJ1025" s="47"/>
      <c r="AK1025" s="47"/>
      <c r="AL1025" s="47"/>
      <c r="AM1025" s="47"/>
      <c r="AN1025" s="47"/>
      <c r="AO1025" s="47"/>
      <c r="AP1025" s="47"/>
      <c r="AQ1025" s="47"/>
      <c r="AR1025" s="47"/>
      <c r="AS1025" s="47"/>
      <c r="AT1025" s="47"/>
      <c r="AU1025" s="47"/>
      <c r="AV1025" s="47"/>
      <c r="AW1025" s="47"/>
      <c r="AX1025" s="47"/>
      <c r="AY1025" s="47"/>
    </row>
    <row r="1026" spans="1:51" ht="15.75" customHeight="1">
      <c r="A1026" s="500"/>
      <c r="B1026" s="477"/>
      <c r="C1026" s="481"/>
      <c r="D1026" s="47"/>
      <c r="E1026" s="47"/>
      <c r="F1026" s="478"/>
      <c r="G1026" s="479"/>
      <c r="H1026" s="9"/>
      <c r="I1026" s="10"/>
      <c r="J1026" s="505"/>
      <c r="K1026" s="47"/>
      <c r="L1026" s="47"/>
      <c r="M1026" s="47"/>
      <c r="N1026" s="9"/>
      <c r="O1026" s="9"/>
      <c r="P1026" s="9"/>
      <c r="Q1026" s="47"/>
      <c r="R1026" s="47"/>
      <c r="S1026" s="47"/>
      <c r="T1026" s="47"/>
      <c r="U1026" s="47"/>
      <c r="V1026" s="47"/>
      <c r="W1026" s="47"/>
      <c r="X1026" s="47"/>
      <c r="Y1026" s="47"/>
      <c r="Z1026" s="47"/>
      <c r="AA1026" s="47"/>
      <c r="AB1026" s="47"/>
      <c r="AC1026" s="47"/>
      <c r="AD1026" s="47"/>
      <c r="AE1026" s="47"/>
      <c r="AF1026" s="47"/>
      <c r="AG1026" s="47"/>
      <c r="AH1026" s="47"/>
      <c r="AI1026" s="47"/>
      <c r="AJ1026" s="47"/>
      <c r="AK1026" s="47"/>
      <c r="AL1026" s="47"/>
      <c r="AM1026" s="47"/>
      <c r="AN1026" s="47"/>
      <c r="AO1026" s="47"/>
      <c r="AP1026" s="47"/>
      <c r="AQ1026" s="47"/>
      <c r="AR1026" s="47"/>
      <c r="AS1026" s="47"/>
      <c r="AT1026" s="47"/>
      <c r="AU1026" s="47"/>
      <c r="AV1026" s="47"/>
      <c r="AW1026" s="47"/>
      <c r="AX1026" s="47"/>
      <c r="AY1026" s="47"/>
    </row>
    <row r="1027" spans="1:51" ht="15.75" customHeight="1">
      <c r="A1027" s="500"/>
      <c r="B1027" s="477"/>
      <c r="C1027" s="481"/>
      <c r="D1027" s="47"/>
      <c r="E1027" s="47"/>
      <c r="F1027" s="478"/>
      <c r="G1027" s="479"/>
      <c r="H1027" s="9"/>
      <c r="I1027" s="9"/>
      <c r="J1027" s="505"/>
      <c r="K1027" s="47"/>
      <c r="L1027" s="47"/>
      <c r="M1027" s="47"/>
      <c r="N1027" s="9"/>
      <c r="O1027" s="9"/>
      <c r="P1027" s="9"/>
      <c r="Q1027" s="47"/>
      <c r="R1027" s="47"/>
      <c r="S1027" s="47"/>
      <c r="T1027" s="47"/>
      <c r="U1027" s="47"/>
      <c r="V1027" s="47"/>
      <c r="W1027" s="47"/>
      <c r="X1027" s="47"/>
      <c r="Y1027" s="47"/>
      <c r="Z1027" s="47"/>
      <c r="AA1027" s="47"/>
      <c r="AB1027" s="47"/>
      <c r="AC1027" s="47"/>
      <c r="AD1027" s="47"/>
      <c r="AE1027" s="47"/>
      <c r="AF1027" s="47"/>
      <c r="AG1027" s="47"/>
      <c r="AH1027" s="47"/>
      <c r="AI1027" s="47"/>
      <c r="AJ1027" s="47"/>
      <c r="AK1027" s="47"/>
      <c r="AL1027" s="47"/>
      <c r="AM1027" s="47"/>
      <c r="AN1027" s="47"/>
      <c r="AO1027" s="47"/>
      <c r="AP1027" s="47"/>
      <c r="AQ1027" s="47"/>
      <c r="AR1027" s="47"/>
      <c r="AS1027" s="47"/>
      <c r="AT1027" s="47"/>
      <c r="AU1027" s="47"/>
      <c r="AV1027" s="47"/>
      <c r="AW1027" s="47"/>
      <c r="AX1027" s="47"/>
      <c r="AY1027" s="47"/>
    </row>
    <row r="1028" spans="1:51" ht="15.75" customHeight="1">
      <c r="A1028" s="500"/>
      <c r="B1028" s="477"/>
      <c r="C1028" s="481"/>
      <c r="D1028" s="47"/>
      <c r="E1028" s="47"/>
      <c r="F1028" s="478"/>
      <c r="G1028" s="479"/>
      <c r="H1028" s="9"/>
      <c r="I1028" s="10"/>
      <c r="J1028" s="505"/>
      <c r="K1028" s="47"/>
      <c r="L1028" s="47"/>
      <c r="M1028" s="47"/>
      <c r="N1028" s="9"/>
      <c r="O1028" s="9"/>
      <c r="P1028" s="9"/>
      <c r="Q1028" s="47"/>
      <c r="R1028" s="47"/>
      <c r="S1028" s="47"/>
      <c r="T1028" s="47"/>
      <c r="U1028" s="47"/>
      <c r="V1028" s="47"/>
      <c r="W1028" s="47"/>
      <c r="X1028" s="47"/>
      <c r="Y1028" s="47"/>
      <c r="Z1028" s="47"/>
      <c r="AA1028" s="47"/>
      <c r="AB1028" s="47"/>
      <c r="AC1028" s="47"/>
      <c r="AD1028" s="47"/>
      <c r="AE1028" s="47"/>
      <c r="AF1028" s="47"/>
      <c r="AG1028" s="47"/>
      <c r="AH1028" s="47"/>
      <c r="AI1028" s="47"/>
      <c r="AJ1028" s="47"/>
      <c r="AK1028" s="47"/>
      <c r="AL1028" s="47"/>
      <c r="AM1028" s="47"/>
      <c r="AN1028" s="47"/>
      <c r="AO1028" s="47"/>
      <c r="AP1028" s="47"/>
      <c r="AQ1028" s="47"/>
      <c r="AR1028" s="47"/>
      <c r="AS1028" s="47"/>
      <c r="AT1028" s="47"/>
      <c r="AU1028" s="47"/>
      <c r="AV1028" s="47"/>
      <c r="AW1028" s="47"/>
      <c r="AX1028" s="47"/>
      <c r="AY1028" s="47"/>
    </row>
    <row r="1029" spans="1:51" ht="15.75" customHeight="1">
      <c r="A1029" s="500"/>
      <c r="B1029" s="477"/>
      <c r="C1029" s="481"/>
      <c r="D1029" s="47"/>
      <c r="E1029" s="47"/>
      <c r="F1029" s="478"/>
      <c r="G1029" s="479"/>
      <c r="H1029" s="9"/>
      <c r="I1029" s="9"/>
      <c r="J1029" s="505"/>
      <c r="K1029" s="47"/>
      <c r="L1029" s="47"/>
      <c r="M1029" s="47"/>
      <c r="N1029" s="9"/>
      <c r="O1029" s="9"/>
      <c r="P1029" s="9"/>
      <c r="Q1029" s="47"/>
      <c r="R1029" s="47"/>
      <c r="S1029" s="47"/>
      <c r="T1029" s="47"/>
      <c r="U1029" s="47"/>
      <c r="V1029" s="47"/>
      <c r="W1029" s="47"/>
      <c r="X1029" s="47"/>
      <c r="Y1029" s="47"/>
      <c r="Z1029" s="47"/>
      <c r="AA1029" s="47"/>
      <c r="AB1029" s="47"/>
      <c r="AC1029" s="47"/>
      <c r="AD1029" s="47"/>
      <c r="AE1029" s="47"/>
      <c r="AF1029" s="47"/>
      <c r="AG1029" s="47"/>
      <c r="AH1029" s="47"/>
      <c r="AI1029" s="47"/>
      <c r="AJ1029" s="47"/>
      <c r="AK1029" s="47"/>
      <c r="AL1029" s="47"/>
      <c r="AM1029" s="47"/>
      <c r="AN1029" s="47"/>
      <c r="AO1029" s="47"/>
      <c r="AP1029" s="47"/>
      <c r="AQ1029" s="47"/>
      <c r="AR1029" s="47"/>
      <c r="AS1029" s="47"/>
      <c r="AT1029" s="47"/>
      <c r="AU1029" s="47"/>
      <c r="AV1029" s="47"/>
      <c r="AW1029" s="47"/>
      <c r="AX1029" s="47"/>
      <c r="AY1029" s="47"/>
    </row>
    <row r="1030" spans="1:51" ht="15.75" customHeight="1">
      <c r="A1030" s="500"/>
      <c r="B1030" s="481"/>
      <c r="C1030" s="481"/>
      <c r="D1030" s="47"/>
      <c r="E1030" s="47"/>
      <c r="F1030" s="478"/>
      <c r="G1030" s="479"/>
      <c r="H1030" s="9"/>
      <c r="I1030" s="9"/>
      <c r="J1030" s="505"/>
      <c r="K1030" s="47"/>
      <c r="L1030" s="47"/>
      <c r="M1030" s="47"/>
      <c r="N1030" s="9"/>
      <c r="O1030" s="9"/>
      <c r="P1030" s="9"/>
      <c r="Q1030" s="47"/>
      <c r="R1030" s="47"/>
      <c r="S1030" s="47"/>
      <c r="T1030" s="47"/>
      <c r="U1030" s="47"/>
      <c r="V1030" s="47"/>
      <c r="W1030" s="47"/>
      <c r="X1030" s="47"/>
      <c r="Y1030" s="47"/>
      <c r="Z1030" s="47"/>
      <c r="AA1030" s="47"/>
      <c r="AB1030" s="47"/>
      <c r="AC1030" s="47"/>
      <c r="AD1030" s="47"/>
      <c r="AE1030" s="47"/>
      <c r="AF1030" s="47"/>
      <c r="AG1030" s="47"/>
      <c r="AH1030" s="47"/>
      <c r="AI1030" s="47"/>
      <c r="AJ1030" s="47"/>
      <c r="AK1030" s="47"/>
      <c r="AL1030" s="47"/>
      <c r="AM1030" s="47"/>
      <c r="AN1030" s="47"/>
      <c r="AO1030" s="47"/>
      <c r="AP1030" s="47"/>
      <c r="AQ1030" s="47"/>
      <c r="AR1030" s="47"/>
      <c r="AS1030" s="47"/>
      <c r="AT1030" s="47"/>
      <c r="AU1030" s="47"/>
      <c r="AV1030" s="47"/>
      <c r="AW1030" s="47"/>
      <c r="AX1030" s="47"/>
      <c r="AY1030" s="47"/>
    </row>
    <row r="1031" spans="1:51" ht="15.75" customHeight="1">
      <c r="A1031" s="500"/>
      <c r="B1031" s="481"/>
      <c r="C1031" s="481"/>
      <c r="D1031" s="47"/>
      <c r="E1031" s="47"/>
      <c r="F1031" s="478"/>
      <c r="G1031" s="479"/>
      <c r="H1031" s="9"/>
      <c r="I1031" s="9"/>
      <c r="J1031" s="505"/>
      <c r="K1031" s="47"/>
      <c r="L1031" s="47"/>
      <c r="M1031" s="47"/>
      <c r="N1031" s="9"/>
      <c r="O1031" s="9"/>
      <c r="P1031" s="9"/>
      <c r="Q1031" s="47"/>
      <c r="R1031" s="47"/>
      <c r="S1031" s="47"/>
      <c r="T1031" s="47"/>
      <c r="U1031" s="47"/>
      <c r="V1031" s="47"/>
      <c r="W1031" s="47"/>
      <c r="X1031" s="47"/>
      <c r="Y1031" s="47"/>
      <c r="Z1031" s="47"/>
      <c r="AA1031" s="47"/>
      <c r="AB1031" s="47"/>
      <c r="AC1031" s="47"/>
      <c r="AD1031" s="47"/>
      <c r="AE1031" s="47"/>
      <c r="AF1031" s="47"/>
      <c r="AG1031" s="47"/>
      <c r="AH1031" s="47"/>
      <c r="AI1031" s="47"/>
      <c r="AJ1031" s="47"/>
      <c r="AK1031" s="47"/>
      <c r="AL1031" s="47"/>
      <c r="AM1031" s="47"/>
      <c r="AN1031" s="47"/>
      <c r="AO1031" s="47"/>
      <c r="AP1031" s="47"/>
      <c r="AQ1031" s="47"/>
      <c r="AR1031" s="47"/>
      <c r="AS1031" s="47"/>
      <c r="AT1031" s="47"/>
      <c r="AU1031" s="47"/>
      <c r="AV1031" s="47"/>
      <c r="AW1031" s="47"/>
      <c r="AX1031" s="47"/>
      <c r="AY1031" s="47"/>
    </row>
    <row r="1032" spans="1:51" ht="15.75" customHeight="1">
      <c r="A1032" s="500"/>
      <c r="B1032" s="481"/>
      <c r="C1032" s="481"/>
      <c r="D1032" s="47"/>
      <c r="E1032" s="47"/>
      <c r="F1032" s="478"/>
      <c r="G1032" s="479"/>
      <c r="H1032" s="9"/>
      <c r="I1032" s="9"/>
      <c r="J1032" s="505"/>
      <c r="K1032" s="47"/>
      <c r="L1032" s="47"/>
      <c r="M1032" s="47"/>
      <c r="N1032" s="9"/>
      <c r="O1032" s="9"/>
      <c r="P1032" s="9"/>
      <c r="Q1032" s="47"/>
      <c r="R1032" s="47"/>
      <c r="S1032" s="47"/>
      <c r="T1032" s="47"/>
      <c r="U1032" s="47"/>
      <c r="V1032" s="47"/>
      <c r="W1032" s="47"/>
      <c r="X1032" s="47"/>
      <c r="Y1032" s="47"/>
      <c r="Z1032" s="47"/>
      <c r="AA1032" s="47"/>
      <c r="AB1032" s="47"/>
      <c r="AC1032" s="47"/>
      <c r="AD1032" s="47"/>
      <c r="AE1032" s="47"/>
      <c r="AF1032" s="47"/>
      <c r="AG1032" s="47"/>
      <c r="AH1032" s="47"/>
      <c r="AI1032" s="47"/>
      <c r="AJ1032" s="47"/>
      <c r="AK1032" s="47"/>
      <c r="AL1032" s="47"/>
      <c r="AM1032" s="47"/>
      <c r="AN1032" s="47"/>
      <c r="AO1032" s="47"/>
      <c r="AP1032" s="47"/>
      <c r="AQ1032" s="47"/>
      <c r="AR1032" s="47"/>
      <c r="AS1032" s="47"/>
      <c r="AT1032" s="47"/>
      <c r="AU1032" s="47"/>
      <c r="AV1032" s="47"/>
      <c r="AW1032" s="47"/>
      <c r="AX1032" s="47"/>
      <c r="AY1032" s="47"/>
    </row>
    <row r="1033" spans="1:51" ht="15.75" customHeight="1">
      <c r="A1033" s="500"/>
      <c r="B1033" s="481"/>
      <c r="C1033" s="481"/>
      <c r="D1033" s="47"/>
      <c r="E1033" s="47"/>
      <c r="F1033" s="478"/>
      <c r="G1033" s="479"/>
      <c r="H1033" s="9"/>
      <c r="I1033" s="9"/>
      <c r="J1033" s="505"/>
      <c r="K1033" s="47"/>
      <c r="L1033" s="47"/>
      <c r="M1033" s="47"/>
      <c r="N1033" s="9"/>
      <c r="O1033" s="9"/>
      <c r="P1033" s="9"/>
      <c r="Q1033" s="47"/>
      <c r="R1033" s="47"/>
      <c r="S1033" s="47"/>
      <c r="T1033" s="47"/>
      <c r="U1033" s="47"/>
      <c r="V1033" s="47"/>
      <c r="W1033" s="47"/>
      <c r="X1033" s="47"/>
      <c r="Y1033" s="47"/>
      <c r="Z1033" s="47"/>
      <c r="AA1033" s="47"/>
      <c r="AB1033" s="47"/>
      <c r="AC1033" s="47"/>
      <c r="AD1033" s="47"/>
      <c r="AE1033" s="47"/>
      <c r="AF1033" s="47"/>
      <c r="AG1033" s="47"/>
      <c r="AH1033" s="47"/>
      <c r="AI1033" s="47"/>
      <c r="AJ1033" s="47"/>
      <c r="AK1033" s="47"/>
      <c r="AL1033" s="47"/>
      <c r="AM1033" s="47"/>
      <c r="AN1033" s="47"/>
      <c r="AO1033" s="47"/>
      <c r="AP1033" s="47"/>
      <c r="AQ1033" s="47"/>
      <c r="AR1033" s="47"/>
      <c r="AS1033" s="47"/>
      <c r="AT1033" s="47"/>
      <c r="AU1033" s="47"/>
      <c r="AV1033" s="47"/>
      <c r="AW1033" s="47"/>
      <c r="AX1033" s="47"/>
      <c r="AY1033" s="47"/>
    </row>
    <row r="1034" spans="1:51" ht="15.75" customHeight="1">
      <c r="A1034" s="500"/>
      <c r="B1034" s="481"/>
      <c r="C1034" s="481"/>
      <c r="D1034" s="47"/>
      <c r="E1034" s="47"/>
      <c r="F1034" s="478"/>
      <c r="G1034" s="479"/>
      <c r="H1034" s="9"/>
      <c r="I1034" s="9"/>
      <c r="J1034" s="505"/>
      <c r="K1034" s="47"/>
      <c r="L1034" s="47"/>
      <c r="M1034" s="47"/>
      <c r="N1034" s="9"/>
      <c r="O1034" s="9"/>
      <c r="P1034" s="9"/>
      <c r="Q1034" s="47"/>
      <c r="R1034" s="47"/>
      <c r="S1034" s="47"/>
      <c r="T1034" s="47"/>
      <c r="U1034" s="47"/>
      <c r="V1034" s="47"/>
      <c r="W1034" s="47"/>
      <c r="X1034" s="47"/>
      <c r="Y1034" s="47"/>
      <c r="Z1034" s="47"/>
      <c r="AA1034" s="47"/>
      <c r="AB1034" s="47"/>
      <c r="AC1034" s="47"/>
      <c r="AD1034" s="47"/>
      <c r="AE1034" s="47"/>
      <c r="AF1034" s="47"/>
      <c r="AG1034" s="47"/>
      <c r="AH1034" s="47"/>
      <c r="AI1034" s="47"/>
      <c r="AJ1034" s="47"/>
      <c r="AK1034" s="47"/>
      <c r="AL1034" s="47"/>
      <c r="AM1034" s="47"/>
      <c r="AN1034" s="47"/>
      <c r="AO1034" s="47"/>
      <c r="AP1034" s="47"/>
      <c r="AQ1034" s="47"/>
      <c r="AR1034" s="47"/>
      <c r="AS1034" s="47"/>
      <c r="AT1034" s="47"/>
      <c r="AU1034" s="47"/>
      <c r="AV1034" s="47"/>
      <c r="AW1034" s="47"/>
      <c r="AX1034" s="47"/>
      <c r="AY1034" s="47"/>
    </row>
    <row r="1035" spans="1:51" ht="15.75" customHeight="1">
      <c r="A1035" s="500"/>
      <c r="B1035" s="481"/>
      <c r="C1035" s="481"/>
      <c r="D1035" s="47"/>
      <c r="E1035" s="47"/>
      <c r="F1035" s="478"/>
      <c r="G1035" s="479"/>
      <c r="H1035" s="9"/>
      <c r="I1035" s="9"/>
      <c r="J1035" s="505"/>
      <c r="K1035" s="47"/>
      <c r="L1035" s="47"/>
      <c r="M1035" s="47"/>
      <c r="N1035" s="9"/>
      <c r="O1035" s="9"/>
      <c r="P1035" s="9"/>
      <c r="Q1035" s="47"/>
      <c r="R1035" s="47"/>
      <c r="S1035" s="47"/>
      <c r="T1035" s="47"/>
      <c r="U1035" s="47"/>
      <c r="V1035" s="47"/>
      <c r="W1035" s="47"/>
      <c r="X1035" s="47"/>
      <c r="Y1035" s="47"/>
      <c r="Z1035" s="47"/>
      <c r="AA1035" s="47"/>
      <c r="AB1035" s="47"/>
      <c r="AC1035" s="47"/>
      <c r="AD1035" s="47"/>
      <c r="AE1035" s="47"/>
      <c r="AF1035" s="47"/>
      <c r="AG1035" s="47"/>
      <c r="AH1035" s="47"/>
      <c r="AI1035" s="47"/>
      <c r="AJ1035" s="47"/>
      <c r="AK1035" s="47"/>
      <c r="AL1035" s="47"/>
      <c r="AM1035" s="47"/>
      <c r="AN1035" s="47"/>
      <c r="AO1035" s="47"/>
      <c r="AP1035" s="47"/>
      <c r="AQ1035" s="47"/>
      <c r="AR1035" s="47"/>
      <c r="AS1035" s="47"/>
      <c r="AT1035" s="47"/>
      <c r="AU1035" s="47"/>
      <c r="AV1035" s="47"/>
      <c r="AW1035" s="47"/>
      <c r="AX1035" s="47"/>
      <c r="AY1035" s="47"/>
    </row>
    <row r="1036" spans="1:51" ht="15.75" customHeight="1">
      <c r="A1036" s="500"/>
      <c r="B1036" s="481"/>
      <c r="C1036" s="481"/>
      <c r="D1036" s="47"/>
      <c r="E1036" s="47"/>
      <c r="F1036" s="478"/>
      <c r="G1036" s="479"/>
      <c r="H1036" s="9"/>
      <c r="I1036" s="9"/>
      <c r="J1036" s="505"/>
      <c r="K1036" s="47"/>
      <c r="L1036" s="47"/>
      <c r="M1036" s="47"/>
      <c r="N1036" s="9"/>
      <c r="O1036" s="9"/>
      <c r="P1036" s="9"/>
      <c r="Q1036" s="47"/>
      <c r="R1036" s="47"/>
      <c r="S1036" s="47"/>
      <c r="T1036" s="47"/>
      <c r="U1036" s="47"/>
      <c r="V1036" s="47"/>
      <c r="W1036" s="47"/>
      <c r="X1036" s="47"/>
      <c r="Y1036" s="47"/>
      <c r="Z1036" s="47"/>
      <c r="AA1036" s="47"/>
      <c r="AB1036" s="47"/>
      <c r="AC1036" s="47"/>
      <c r="AD1036" s="47"/>
      <c r="AE1036" s="47"/>
      <c r="AF1036" s="47"/>
      <c r="AG1036" s="47"/>
      <c r="AH1036" s="47"/>
      <c r="AI1036" s="47"/>
      <c r="AJ1036" s="47"/>
      <c r="AK1036" s="47"/>
      <c r="AL1036" s="47"/>
      <c r="AM1036" s="47"/>
      <c r="AN1036" s="47"/>
      <c r="AO1036" s="47"/>
      <c r="AP1036" s="47"/>
      <c r="AQ1036" s="47"/>
      <c r="AR1036" s="47"/>
      <c r="AS1036" s="47"/>
      <c r="AT1036" s="47"/>
      <c r="AU1036" s="47"/>
      <c r="AV1036" s="47"/>
      <c r="AW1036" s="47"/>
      <c r="AX1036" s="47"/>
      <c r="AY1036" s="47"/>
    </row>
    <row r="1037" spans="1:51" ht="15.75" customHeight="1">
      <c r="A1037" s="500"/>
      <c r="B1037" s="481"/>
      <c r="C1037" s="481"/>
      <c r="D1037" s="47"/>
      <c r="E1037" s="47"/>
      <c r="F1037" s="478"/>
      <c r="G1037" s="479"/>
      <c r="H1037" s="9"/>
      <c r="I1037" s="9"/>
      <c r="J1037" s="505"/>
      <c r="K1037" s="47"/>
      <c r="L1037" s="47"/>
      <c r="M1037" s="47"/>
      <c r="N1037" s="9"/>
      <c r="O1037" s="9"/>
      <c r="P1037" s="9"/>
      <c r="Q1037" s="47"/>
      <c r="R1037" s="47"/>
      <c r="S1037" s="47"/>
      <c r="T1037" s="47"/>
      <c r="U1037" s="47"/>
      <c r="V1037" s="47"/>
      <c r="W1037" s="47"/>
      <c r="X1037" s="47"/>
      <c r="Y1037" s="47"/>
      <c r="Z1037" s="47"/>
      <c r="AA1037" s="47"/>
      <c r="AB1037" s="47"/>
      <c r="AC1037" s="47"/>
      <c r="AD1037" s="47"/>
      <c r="AE1037" s="47"/>
      <c r="AF1037" s="47"/>
      <c r="AG1037" s="47"/>
      <c r="AH1037" s="47"/>
      <c r="AI1037" s="47"/>
      <c r="AJ1037" s="47"/>
      <c r="AK1037" s="47"/>
      <c r="AL1037" s="47"/>
      <c r="AM1037" s="47"/>
      <c r="AN1037" s="47"/>
      <c r="AO1037" s="47"/>
      <c r="AP1037" s="47"/>
      <c r="AQ1037" s="47"/>
      <c r="AR1037" s="47"/>
      <c r="AS1037" s="47"/>
      <c r="AT1037" s="47"/>
      <c r="AU1037" s="47"/>
      <c r="AV1037" s="47"/>
      <c r="AW1037" s="47"/>
      <c r="AX1037" s="47"/>
      <c r="AY1037" s="47"/>
    </row>
    <row r="1038" spans="1:51" ht="15.75" customHeight="1">
      <c r="A1038" s="500"/>
      <c r="B1038" s="481"/>
      <c r="C1038" s="481"/>
      <c r="D1038" s="47"/>
      <c r="E1038" s="47"/>
      <c r="F1038" s="478"/>
      <c r="G1038" s="479"/>
      <c r="H1038" s="9"/>
      <c r="I1038" s="9"/>
      <c r="J1038" s="505"/>
      <c r="K1038" s="47"/>
      <c r="L1038" s="47"/>
      <c r="M1038" s="47"/>
      <c r="N1038" s="9"/>
      <c r="O1038" s="9"/>
      <c r="P1038" s="9"/>
      <c r="Q1038" s="47"/>
      <c r="R1038" s="47"/>
      <c r="S1038" s="47"/>
      <c r="T1038" s="47"/>
      <c r="U1038" s="47"/>
      <c r="V1038" s="47"/>
      <c r="W1038" s="47"/>
      <c r="X1038" s="47"/>
      <c r="Y1038" s="47"/>
      <c r="Z1038" s="47"/>
      <c r="AA1038" s="47"/>
      <c r="AB1038" s="47"/>
      <c r="AC1038" s="47"/>
      <c r="AD1038" s="47"/>
      <c r="AE1038" s="47"/>
      <c r="AF1038" s="47"/>
      <c r="AG1038" s="47"/>
      <c r="AH1038" s="47"/>
      <c r="AI1038" s="47"/>
      <c r="AJ1038" s="47"/>
      <c r="AK1038" s="47"/>
      <c r="AL1038" s="47"/>
      <c r="AM1038" s="47"/>
      <c r="AN1038" s="47"/>
      <c r="AO1038" s="47"/>
      <c r="AP1038" s="47"/>
      <c r="AQ1038" s="47"/>
      <c r="AR1038" s="47"/>
      <c r="AS1038" s="47"/>
      <c r="AT1038" s="47"/>
      <c r="AU1038" s="47"/>
      <c r="AV1038" s="47"/>
      <c r="AW1038" s="47"/>
      <c r="AX1038" s="47"/>
      <c r="AY1038" s="47"/>
    </row>
    <row r="1039" spans="1:51" ht="15.75" customHeight="1">
      <c r="A1039" s="500"/>
      <c r="B1039" s="481"/>
      <c r="C1039" s="481"/>
      <c r="D1039" s="47"/>
      <c r="E1039" s="47"/>
      <c r="F1039" s="478"/>
      <c r="G1039" s="479"/>
      <c r="H1039" s="9"/>
      <c r="I1039" s="10"/>
      <c r="J1039" s="505"/>
      <c r="K1039" s="47"/>
      <c r="L1039" s="47"/>
      <c r="M1039" s="47"/>
      <c r="N1039" s="9"/>
      <c r="O1039" s="9"/>
      <c r="P1039" s="9"/>
      <c r="Q1039" s="47"/>
      <c r="R1039" s="47"/>
      <c r="S1039" s="47"/>
      <c r="T1039" s="47"/>
      <c r="U1039" s="47"/>
      <c r="V1039" s="47"/>
      <c r="W1039" s="47"/>
      <c r="X1039" s="47"/>
      <c r="Y1039" s="47"/>
      <c r="Z1039" s="47"/>
      <c r="AA1039" s="47"/>
      <c r="AB1039" s="47"/>
      <c r="AC1039" s="47"/>
      <c r="AD1039" s="47"/>
      <c r="AE1039" s="47"/>
      <c r="AF1039" s="47"/>
      <c r="AG1039" s="47"/>
      <c r="AH1039" s="47"/>
      <c r="AI1039" s="47"/>
      <c r="AJ1039" s="47"/>
      <c r="AK1039" s="47"/>
      <c r="AL1039" s="47"/>
      <c r="AM1039" s="47"/>
      <c r="AN1039" s="47"/>
      <c r="AO1039" s="47"/>
      <c r="AP1039" s="47"/>
      <c r="AQ1039" s="47"/>
      <c r="AR1039" s="47"/>
      <c r="AS1039" s="47"/>
      <c r="AT1039" s="47"/>
      <c r="AU1039" s="47"/>
      <c r="AV1039" s="47"/>
      <c r="AW1039" s="47"/>
      <c r="AX1039" s="47"/>
      <c r="AY1039" s="47"/>
    </row>
    <row r="1040" spans="1:51" ht="15.75" customHeight="1">
      <c r="A1040" s="500"/>
      <c r="B1040" s="481"/>
      <c r="C1040" s="481"/>
      <c r="D1040" s="47"/>
      <c r="E1040" s="47"/>
      <c r="F1040" s="478"/>
      <c r="G1040" s="479"/>
      <c r="H1040" s="9"/>
      <c r="I1040" s="9"/>
      <c r="J1040" s="505"/>
      <c r="K1040" s="47"/>
      <c r="L1040" s="47"/>
      <c r="M1040" s="47"/>
      <c r="N1040" s="9"/>
      <c r="O1040" s="9"/>
      <c r="P1040" s="9"/>
      <c r="Q1040" s="47"/>
      <c r="R1040" s="47"/>
      <c r="S1040" s="47"/>
      <c r="T1040" s="47"/>
      <c r="U1040" s="47"/>
      <c r="V1040" s="47"/>
      <c r="W1040" s="47"/>
      <c r="X1040" s="47"/>
      <c r="Y1040" s="47"/>
      <c r="Z1040" s="47"/>
      <c r="AA1040" s="47"/>
      <c r="AB1040" s="47"/>
      <c r="AC1040" s="47"/>
      <c r="AD1040" s="47"/>
      <c r="AE1040" s="47"/>
      <c r="AF1040" s="47"/>
      <c r="AG1040" s="47"/>
      <c r="AH1040" s="47"/>
      <c r="AI1040" s="47"/>
      <c r="AJ1040" s="47"/>
      <c r="AK1040" s="47"/>
      <c r="AL1040" s="47"/>
      <c r="AM1040" s="47"/>
      <c r="AN1040" s="47"/>
      <c r="AO1040" s="47"/>
      <c r="AP1040" s="47"/>
      <c r="AQ1040" s="47"/>
      <c r="AR1040" s="47"/>
      <c r="AS1040" s="47"/>
      <c r="AT1040" s="47"/>
      <c r="AU1040" s="47"/>
      <c r="AV1040" s="47"/>
      <c r="AW1040" s="47"/>
      <c r="AX1040" s="47"/>
      <c r="AY1040" s="47"/>
    </row>
    <row r="1041" spans="1:51" ht="15.75" customHeight="1">
      <c r="A1041" s="500"/>
      <c r="B1041" s="481"/>
      <c r="C1041" s="481"/>
      <c r="D1041" s="47"/>
      <c r="E1041" s="47"/>
      <c r="F1041" s="478"/>
      <c r="G1041" s="479"/>
      <c r="H1041" s="9"/>
      <c r="I1041" s="10"/>
      <c r="J1041" s="505"/>
      <c r="K1041" s="47"/>
      <c r="L1041" s="47"/>
      <c r="M1041" s="47"/>
      <c r="N1041" s="9"/>
      <c r="O1041" s="9"/>
      <c r="P1041" s="8"/>
      <c r="Q1041" s="47"/>
      <c r="R1041" s="47"/>
      <c r="S1041" s="47"/>
      <c r="T1041" s="47"/>
      <c r="U1041" s="47"/>
      <c r="V1041" s="47"/>
      <c r="W1041" s="47"/>
      <c r="X1041" s="47"/>
      <c r="Y1041" s="47"/>
      <c r="Z1041" s="47"/>
      <c r="AA1041" s="47"/>
      <c r="AB1041" s="47"/>
      <c r="AC1041" s="47"/>
      <c r="AD1041" s="47"/>
      <c r="AE1041" s="47"/>
      <c r="AF1041" s="47"/>
      <c r="AG1041" s="47"/>
      <c r="AH1041" s="47"/>
      <c r="AI1041" s="47"/>
      <c r="AJ1041" s="47"/>
      <c r="AK1041" s="47"/>
      <c r="AL1041" s="47"/>
      <c r="AM1041" s="47"/>
      <c r="AN1041" s="47"/>
      <c r="AO1041" s="47"/>
      <c r="AP1041" s="47"/>
      <c r="AQ1041" s="47"/>
      <c r="AR1041" s="47"/>
      <c r="AS1041" s="47"/>
      <c r="AT1041" s="47"/>
      <c r="AU1041" s="47"/>
      <c r="AV1041" s="47"/>
      <c r="AW1041" s="47"/>
      <c r="AX1041" s="47"/>
      <c r="AY1041" s="47"/>
    </row>
    <row r="1042" spans="1:51" ht="15.75" customHeight="1">
      <c r="A1042" s="500"/>
      <c r="B1042" s="481"/>
      <c r="C1042" s="481"/>
      <c r="D1042" s="47"/>
      <c r="E1042" s="47"/>
      <c r="F1042" s="478"/>
      <c r="G1042" s="479"/>
      <c r="H1042" s="9"/>
      <c r="I1042" s="9"/>
      <c r="J1042" s="505"/>
      <c r="K1042" s="47"/>
      <c r="L1042" s="47"/>
      <c r="M1042" s="47"/>
      <c r="N1042" s="9"/>
      <c r="O1042" s="9"/>
      <c r="P1042" s="8"/>
      <c r="Q1042" s="47"/>
      <c r="R1042" s="47"/>
      <c r="S1042" s="47"/>
      <c r="T1042" s="47"/>
      <c r="U1042" s="47"/>
      <c r="V1042" s="47"/>
      <c r="W1042" s="47"/>
      <c r="X1042" s="47"/>
      <c r="Y1042" s="47"/>
      <c r="Z1042" s="47"/>
      <c r="AA1042" s="47"/>
      <c r="AB1042" s="47"/>
      <c r="AC1042" s="47"/>
      <c r="AD1042" s="47"/>
      <c r="AE1042" s="47"/>
      <c r="AF1042" s="47"/>
      <c r="AG1042" s="47"/>
      <c r="AH1042" s="47"/>
      <c r="AI1042" s="47"/>
      <c r="AJ1042" s="47"/>
      <c r="AK1042" s="47"/>
      <c r="AL1042" s="47"/>
      <c r="AM1042" s="47"/>
      <c r="AN1042" s="47"/>
      <c r="AO1042" s="47"/>
      <c r="AP1042" s="47"/>
      <c r="AQ1042" s="47"/>
      <c r="AR1042" s="47"/>
      <c r="AS1042" s="47"/>
      <c r="AT1042" s="47"/>
      <c r="AU1042" s="47"/>
      <c r="AV1042" s="47"/>
      <c r="AW1042" s="47"/>
      <c r="AX1042" s="47"/>
      <c r="AY1042" s="47"/>
    </row>
    <row r="1043" spans="1:51" ht="15.75" customHeight="1">
      <c r="A1043" s="500"/>
      <c r="B1043" s="481"/>
      <c r="C1043" s="481"/>
      <c r="D1043" s="47"/>
      <c r="E1043" s="47"/>
      <c r="F1043" s="478"/>
      <c r="G1043" s="479"/>
      <c r="H1043" s="9"/>
      <c r="I1043" s="10"/>
      <c r="J1043" s="505"/>
      <c r="K1043" s="47"/>
      <c r="L1043" s="47"/>
      <c r="M1043" s="47"/>
      <c r="N1043" s="9"/>
      <c r="O1043" s="9"/>
      <c r="P1043" s="9"/>
      <c r="Q1043" s="47"/>
      <c r="R1043" s="47"/>
      <c r="S1043" s="47"/>
      <c r="T1043" s="47"/>
      <c r="U1043" s="47"/>
      <c r="V1043" s="47"/>
      <c r="W1043" s="47"/>
      <c r="X1043" s="47"/>
      <c r="Y1043" s="47"/>
      <c r="Z1043" s="47"/>
      <c r="AA1043" s="47"/>
      <c r="AB1043" s="47"/>
      <c r="AC1043" s="47"/>
      <c r="AD1043" s="47"/>
      <c r="AE1043" s="47"/>
      <c r="AF1043" s="47"/>
      <c r="AG1043" s="47"/>
      <c r="AH1043" s="47"/>
      <c r="AI1043" s="47"/>
      <c r="AJ1043" s="47"/>
      <c r="AK1043" s="47"/>
      <c r="AL1043" s="47"/>
      <c r="AM1043" s="47"/>
      <c r="AN1043" s="47"/>
      <c r="AO1043" s="47"/>
      <c r="AP1043" s="47"/>
      <c r="AQ1043" s="47"/>
      <c r="AR1043" s="47"/>
      <c r="AS1043" s="47"/>
      <c r="AT1043" s="47"/>
      <c r="AU1043" s="47"/>
      <c r="AV1043" s="47"/>
      <c r="AW1043" s="47"/>
      <c r="AX1043" s="47"/>
      <c r="AY1043" s="47"/>
    </row>
    <row r="1044" spans="1:51" ht="15.75" customHeight="1">
      <c r="A1044" s="500"/>
      <c r="B1044" s="481"/>
      <c r="C1044" s="481"/>
      <c r="D1044" s="47"/>
      <c r="E1044" s="47"/>
      <c r="F1044" s="478"/>
      <c r="G1044" s="479"/>
      <c r="H1044" s="9"/>
      <c r="I1044" s="9"/>
      <c r="J1044" s="505"/>
      <c r="K1044" s="47"/>
      <c r="L1044" s="47"/>
      <c r="M1044" s="47"/>
      <c r="N1044" s="9"/>
      <c r="O1044" s="9"/>
      <c r="P1044" s="9"/>
      <c r="Q1044" s="47"/>
      <c r="R1044" s="47"/>
      <c r="S1044" s="47"/>
      <c r="T1044" s="47"/>
      <c r="U1044" s="47"/>
      <c r="V1044" s="47"/>
      <c r="W1044" s="47"/>
      <c r="X1044" s="47"/>
      <c r="Y1044" s="47"/>
      <c r="Z1044" s="47"/>
      <c r="AA1044" s="47"/>
      <c r="AB1044" s="47"/>
      <c r="AC1044" s="47"/>
      <c r="AD1044" s="47"/>
      <c r="AE1044" s="47"/>
      <c r="AF1044" s="47"/>
      <c r="AG1044" s="47"/>
      <c r="AH1044" s="47"/>
      <c r="AI1044" s="47"/>
      <c r="AJ1044" s="47"/>
      <c r="AK1044" s="47"/>
      <c r="AL1044" s="47"/>
      <c r="AM1044" s="47"/>
      <c r="AN1044" s="47"/>
      <c r="AO1044" s="47"/>
      <c r="AP1044" s="47"/>
      <c r="AQ1044" s="47"/>
      <c r="AR1044" s="47"/>
      <c r="AS1044" s="47"/>
      <c r="AT1044" s="47"/>
      <c r="AU1044" s="47"/>
      <c r="AV1044" s="47"/>
      <c r="AW1044" s="47"/>
      <c r="AX1044" s="47"/>
      <c r="AY1044" s="47"/>
    </row>
    <row r="1045" spans="1:51" ht="15.75" customHeight="1">
      <c r="A1045" s="500"/>
      <c r="B1045" s="481"/>
      <c r="C1045" s="481"/>
      <c r="D1045" s="47"/>
      <c r="E1045" s="47"/>
      <c r="F1045" s="478"/>
      <c r="G1045" s="479"/>
      <c r="H1045" s="9"/>
      <c r="I1045" s="10"/>
      <c r="J1045" s="505"/>
      <c r="K1045" s="47"/>
      <c r="L1045" s="47"/>
      <c r="M1045" s="47"/>
      <c r="N1045" s="9"/>
      <c r="O1045" s="9"/>
      <c r="P1045" s="9"/>
      <c r="Q1045" s="47"/>
      <c r="R1045" s="47"/>
      <c r="S1045" s="47"/>
      <c r="T1045" s="47"/>
      <c r="U1045" s="47"/>
      <c r="V1045" s="47"/>
      <c r="W1045" s="47"/>
      <c r="X1045" s="47"/>
      <c r="Y1045" s="47"/>
      <c r="Z1045" s="47"/>
      <c r="AA1045" s="47"/>
      <c r="AB1045" s="47"/>
      <c r="AC1045" s="47"/>
      <c r="AD1045" s="47"/>
      <c r="AE1045" s="47"/>
      <c r="AF1045" s="47"/>
      <c r="AG1045" s="47"/>
      <c r="AH1045" s="47"/>
      <c r="AI1045" s="47"/>
      <c r="AJ1045" s="47"/>
      <c r="AK1045" s="47"/>
      <c r="AL1045" s="47"/>
      <c r="AM1045" s="47"/>
      <c r="AN1045" s="47"/>
      <c r="AO1045" s="47"/>
      <c r="AP1045" s="47"/>
      <c r="AQ1045" s="47"/>
      <c r="AR1045" s="47"/>
      <c r="AS1045" s="47"/>
      <c r="AT1045" s="47"/>
      <c r="AU1045" s="47"/>
      <c r="AV1045" s="47"/>
      <c r="AW1045" s="47"/>
      <c r="AX1045" s="47"/>
      <c r="AY1045" s="47"/>
    </row>
    <row r="1046" spans="1:51" ht="15.75" customHeight="1">
      <c r="A1046" s="500"/>
      <c r="B1046" s="481"/>
      <c r="C1046" s="481"/>
      <c r="D1046" s="47"/>
      <c r="E1046" s="47"/>
      <c r="F1046" s="478"/>
      <c r="G1046" s="479"/>
      <c r="H1046" s="9"/>
      <c r="I1046" s="9"/>
      <c r="J1046" s="505"/>
      <c r="K1046" s="47"/>
      <c r="L1046" s="47"/>
      <c r="M1046" s="47"/>
      <c r="N1046" s="9"/>
      <c r="O1046" s="9"/>
      <c r="P1046" s="9"/>
      <c r="Q1046" s="47"/>
      <c r="R1046" s="47"/>
      <c r="S1046" s="47"/>
      <c r="T1046" s="47"/>
      <c r="U1046" s="47"/>
      <c r="V1046" s="47"/>
      <c r="W1046" s="47"/>
      <c r="X1046" s="47"/>
      <c r="Y1046" s="47"/>
      <c r="Z1046" s="47"/>
      <c r="AA1046" s="47"/>
      <c r="AB1046" s="47"/>
      <c r="AC1046" s="47"/>
      <c r="AD1046" s="47"/>
      <c r="AE1046" s="47"/>
      <c r="AF1046" s="47"/>
      <c r="AG1046" s="47"/>
      <c r="AH1046" s="47"/>
      <c r="AI1046" s="47"/>
      <c r="AJ1046" s="47"/>
      <c r="AK1046" s="47"/>
      <c r="AL1046" s="47"/>
      <c r="AM1046" s="47"/>
      <c r="AN1046" s="47"/>
      <c r="AO1046" s="47"/>
      <c r="AP1046" s="47"/>
      <c r="AQ1046" s="47"/>
      <c r="AR1046" s="47"/>
      <c r="AS1046" s="47"/>
      <c r="AT1046" s="47"/>
      <c r="AU1046" s="47"/>
      <c r="AV1046" s="47"/>
      <c r="AW1046" s="47"/>
      <c r="AX1046" s="47"/>
      <c r="AY1046" s="47"/>
    </row>
    <row r="1047" spans="1:51" ht="15.75" customHeight="1">
      <c r="A1047" s="500"/>
      <c r="B1047" s="481"/>
      <c r="C1047" s="481"/>
      <c r="D1047" s="47"/>
      <c r="E1047" s="47"/>
      <c r="F1047" s="478"/>
      <c r="G1047" s="479"/>
      <c r="H1047" s="9"/>
      <c r="I1047" s="10"/>
      <c r="J1047" s="505"/>
      <c r="K1047" s="47"/>
      <c r="L1047" s="47"/>
      <c r="M1047" s="47"/>
      <c r="N1047" s="9"/>
      <c r="O1047" s="9"/>
      <c r="P1047" s="9"/>
      <c r="Q1047" s="47"/>
      <c r="R1047" s="47"/>
      <c r="S1047" s="47"/>
      <c r="T1047" s="47"/>
      <c r="U1047" s="47"/>
      <c r="V1047" s="47"/>
      <c r="W1047" s="47"/>
      <c r="X1047" s="47"/>
      <c r="Y1047" s="47"/>
      <c r="Z1047" s="47"/>
      <c r="AA1047" s="47"/>
      <c r="AB1047" s="47"/>
      <c r="AC1047" s="47"/>
      <c r="AD1047" s="47"/>
      <c r="AE1047" s="47"/>
      <c r="AF1047" s="47"/>
      <c r="AG1047" s="47"/>
      <c r="AH1047" s="47"/>
      <c r="AI1047" s="47"/>
      <c r="AJ1047" s="47"/>
      <c r="AK1047" s="47"/>
      <c r="AL1047" s="47"/>
      <c r="AM1047" s="47"/>
      <c r="AN1047" s="47"/>
      <c r="AO1047" s="47"/>
      <c r="AP1047" s="47"/>
      <c r="AQ1047" s="47"/>
      <c r="AR1047" s="47"/>
      <c r="AS1047" s="47"/>
      <c r="AT1047" s="47"/>
      <c r="AU1047" s="47"/>
      <c r="AV1047" s="47"/>
      <c r="AW1047" s="47"/>
      <c r="AX1047" s="47"/>
      <c r="AY1047" s="47"/>
    </row>
    <row r="1048" spans="1:51" ht="15.75" customHeight="1">
      <c r="A1048" s="500"/>
      <c r="B1048" s="481"/>
      <c r="C1048" s="481"/>
      <c r="D1048" s="47"/>
      <c r="E1048" s="47"/>
      <c r="F1048" s="478"/>
      <c r="G1048" s="479"/>
      <c r="H1048" s="9"/>
      <c r="I1048" s="9"/>
      <c r="J1048" s="505"/>
      <c r="K1048" s="47"/>
      <c r="L1048" s="47"/>
      <c r="M1048" s="47"/>
      <c r="N1048" s="9"/>
      <c r="O1048" s="9"/>
      <c r="P1048" s="9"/>
      <c r="Q1048" s="47"/>
      <c r="R1048" s="47"/>
      <c r="S1048" s="47"/>
      <c r="T1048" s="47"/>
      <c r="U1048" s="47"/>
      <c r="V1048" s="47"/>
      <c r="W1048" s="47"/>
      <c r="X1048" s="47"/>
      <c r="Y1048" s="47"/>
      <c r="Z1048" s="47"/>
      <c r="AA1048" s="47"/>
      <c r="AB1048" s="47"/>
      <c r="AC1048" s="47"/>
      <c r="AD1048" s="47"/>
      <c r="AE1048" s="47"/>
      <c r="AF1048" s="47"/>
      <c r="AG1048" s="47"/>
      <c r="AH1048" s="47"/>
      <c r="AI1048" s="47"/>
      <c r="AJ1048" s="47"/>
      <c r="AK1048" s="47"/>
      <c r="AL1048" s="47"/>
      <c r="AM1048" s="47"/>
      <c r="AN1048" s="47"/>
      <c r="AO1048" s="47"/>
      <c r="AP1048" s="47"/>
      <c r="AQ1048" s="47"/>
      <c r="AR1048" s="47"/>
      <c r="AS1048" s="47"/>
      <c r="AT1048" s="47"/>
      <c r="AU1048" s="47"/>
      <c r="AV1048" s="47"/>
      <c r="AW1048" s="47"/>
      <c r="AX1048" s="47"/>
      <c r="AY1048" s="47"/>
    </row>
    <row r="1049" spans="1:51" ht="15.75" customHeight="1">
      <c r="A1049" s="500"/>
      <c r="B1049" s="481"/>
      <c r="C1049" s="481"/>
      <c r="D1049" s="47"/>
      <c r="E1049" s="47"/>
      <c r="F1049" s="478"/>
      <c r="G1049" s="479"/>
      <c r="H1049" s="9"/>
      <c r="I1049" s="10"/>
      <c r="J1049" s="505"/>
      <c r="K1049" s="47"/>
      <c r="L1049" s="47"/>
      <c r="M1049" s="47"/>
      <c r="N1049" s="9"/>
      <c r="O1049" s="9"/>
      <c r="P1049" s="9"/>
      <c r="Q1049" s="47"/>
      <c r="R1049" s="47"/>
      <c r="S1049" s="47"/>
      <c r="T1049" s="47"/>
      <c r="U1049" s="47"/>
      <c r="V1049" s="47"/>
      <c r="W1049" s="47"/>
      <c r="X1049" s="47"/>
      <c r="Y1049" s="47"/>
      <c r="Z1049" s="47"/>
      <c r="AA1049" s="47"/>
      <c r="AB1049" s="47"/>
      <c r="AC1049" s="47"/>
      <c r="AD1049" s="47"/>
      <c r="AE1049" s="47"/>
      <c r="AF1049" s="47"/>
      <c r="AG1049" s="47"/>
      <c r="AH1049" s="47"/>
      <c r="AI1049" s="47"/>
      <c r="AJ1049" s="47"/>
      <c r="AK1049" s="47"/>
      <c r="AL1049" s="47"/>
      <c r="AM1049" s="47"/>
      <c r="AN1049" s="47"/>
      <c r="AO1049" s="47"/>
      <c r="AP1049" s="47"/>
      <c r="AQ1049" s="47"/>
      <c r="AR1049" s="47"/>
      <c r="AS1049" s="47"/>
      <c r="AT1049" s="47"/>
      <c r="AU1049" s="47"/>
      <c r="AV1049" s="47"/>
      <c r="AW1049" s="47"/>
      <c r="AX1049" s="47"/>
      <c r="AY1049" s="47"/>
    </row>
    <row r="1050" spans="1:51" ht="15.75" customHeight="1">
      <c r="A1050" s="500"/>
      <c r="B1050" s="481"/>
      <c r="C1050" s="481"/>
      <c r="D1050" s="47"/>
      <c r="E1050" s="47"/>
      <c r="F1050" s="478"/>
      <c r="G1050" s="479"/>
      <c r="H1050" s="9"/>
      <c r="I1050" s="9"/>
      <c r="J1050" s="505"/>
      <c r="K1050" s="47"/>
      <c r="L1050" s="47"/>
      <c r="M1050" s="47"/>
      <c r="N1050" s="9"/>
      <c r="O1050" s="9"/>
      <c r="P1050" s="9"/>
      <c r="Q1050" s="47"/>
      <c r="R1050" s="47"/>
      <c r="S1050" s="47"/>
      <c r="T1050" s="47"/>
      <c r="U1050" s="47"/>
      <c r="V1050" s="47"/>
      <c r="W1050" s="47"/>
      <c r="X1050" s="47"/>
      <c r="Y1050" s="47"/>
      <c r="Z1050" s="47"/>
      <c r="AA1050" s="47"/>
      <c r="AB1050" s="47"/>
      <c r="AC1050" s="47"/>
      <c r="AD1050" s="47"/>
      <c r="AE1050" s="47"/>
      <c r="AF1050" s="47"/>
      <c r="AG1050" s="47"/>
      <c r="AH1050" s="47"/>
      <c r="AI1050" s="47"/>
      <c r="AJ1050" s="47"/>
      <c r="AK1050" s="47"/>
      <c r="AL1050" s="47"/>
      <c r="AM1050" s="47"/>
      <c r="AN1050" s="47"/>
      <c r="AO1050" s="47"/>
      <c r="AP1050" s="47"/>
      <c r="AQ1050" s="47"/>
      <c r="AR1050" s="47"/>
      <c r="AS1050" s="47"/>
      <c r="AT1050" s="47"/>
      <c r="AU1050" s="47"/>
      <c r="AV1050" s="47"/>
      <c r="AW1050" s="47"/>
      <c r="AX1050" s="47"/>
      <c r="AY1050" s="47"/>
    </row>
    <row r="1051" spans="1:51" ht="15.75" customHeight="1">
      <c r="A1051" s="500"/>
      <c r="B1051" s="481"/>
      <c r="C1051" s="481"/>
      <c r="D1051" s="47"/>
      <c r="E1051" s="47"/>
      <c r="F1051" s="478"/>
      <c r="G1051" s="479"/>
      <c r="H1051" s="9"/>
      <c r="I1051" s="9"/>
      <c r="J1051" s="505"/>
      <c r="K1051" s="47"/>
      <c r="L1051" s="47"/>
      <c r="M1051" s="47"/>
      <c r="N1051" s="9"/>
      <c r="O1051" s="9"/>
      <c r="P1051" s="9"/>
      <c r="Q1051" s="47"/>
      <c r="R1051" s="47"/>
      <c r="S1051" s="47"/>
      <c r="T1051" s="47"/>
      <c r="U1051" s="47"/>
      <c r="V1051" s="47"/>
      <c r="W1051" s="47"/>
      <c r="X1051" s="47"/>
      <c r="Y1051" s="47"/>
      <c r="Z1051" s="47"/>
      <c r="AA1051" s="47"/>
      <c r="AB1051" s="47"/>
      <c r="AC1051" s="47"/>
      <c r="AD1051" s="47"/>
      <c r="AE1051" s="47"/>
      <c r="AF1051" s="47"/>
      <c r="AG1051" s="47"/>
      <c r="AH1051" s="47"/>
      <c r="AI1051" s="47"/>
      <c r="AJ1051" s="47"/>
      <c r="AK1051" s="47"/>
      <c r="AL1051" s="47"/>
      <c r="AM1051" s="47"/>
      <c r="AN1051" s="47"/>
      <c r="AO1051" s="47"/>
      <c r="AP1051" s="47"/>
      <c r="AQ1051" s="47"/>
      <c r="AR1051" s="47"/>
      <c r="AS1051" s="47"/>
      <c r="AT1051" s="47"/>
      <c r="AU1051" s="47"/>
      <c r="AV1051" s="47"/>
      <c r="AW1051" s="47"/>
      <c r="AX1051" s="47"/>
      <c r="AY1051" s="47"/>
    </row>
    <row r="1052" spans="1:51" ht="15.75" customHeight="1">
      <c r="A1052" s="500"/>
      <c r="B1052" s="481"/>
      <c r="C1052" s="481"/>
      <c r="D1052" s="47"/>
      <c r="E1052" s="47"/>
      <c r="F1052" s="478"/>
      <c r="G1052" s="479"/>
      <c r="H1052" s="9"/>
      <c r="I1052" s="9"/>
      <c r="J1052" s="505"/>
      <c r="K1052" s="47"/>
      <c r="L1052" s="47"/>
      <c r="M1052" s="47"/>
      <c r="N1052" s="9"/>
      <c r="O1052" s="9"/>
      <c r="P1052" s="9"/>
      <c r="Q1052" s="47"/>
      <c r="R1052" s="47"/>
      <c r="S1052" s="47"/>
      <c r="T1052" s="47"/>
      <c r="U1052" s="47"/>
      <c r="V1052" s="47"/>
      <c r="W1052" s="47"/>
      <c r="X1052" s="47"/>
      <c r="Y1052" s="47"/>
      <c r="Z1052" s="47"/>
      <c r="AA1052" s="47"/>
      <c r="AB1052" s="47"/>
      <c r="AC1052" s="47"/>
      <c r="AD1052" s="47"/>
      <c r="AE1052" s="47"/>
      <c r="AF1052" s="47"/>
      <c r="AG1052" s="47"/>
      <c r="AH1052" s="47"/>
      <c r="AI1052" s="47"/>
      <c r="AJ1052" s="47"/>
      <c r="AK1052" s="47"/>
      <c r="AL1052" s="47"/>
      <c r="AM1052" s="47"/>
      <c r="AN1052" s="47"/>
      <c r="AO1052" s="47"/>
      <c r="AP1052" s="47"/>
      <c r="AQ1052" s="47"/>
      <c r="AR1052" s="47"/>
      <c r="AS1052" s="47"/>
      <c r="AT1052" s="47"/>
      <c r="AU1052" s="47"/>
      <c r="AV1052" s="47"/>
      <c r="AW1052" s="47"/>
      <c r="AX1052" s="47"/>
      <c r="AY1052" s="47"/>
    </row>
    <row r="1053" spans="1:51" ht="15.75" customHeight="1">
      <c r="A1053" s="500"/>
      <c r="B1053" s="481"/>
      <c r="C1053" s="481"/>
      <c r="D1053" s="47"/>
      <c r="E1053" s="47"/>
      <c r="F1053" s="478"/>
      <c r="G1053" s="479"/>
      <c r="H1053" s="9"/>
      <c r="I1053" s="9"/>
      <c r="J1053" s="505"/>
      <c r="K1053" s="47"/>
      <c r="L1053" s="47"/>
      <c r="M1053" s="47"/>
      <c r="N1053" s="9"/>
      <c r="O1053" s="9"/>
      <c r="P1053" s="9"/>
      <c r="Q1053" s="47"/>
      <c r="R1053" s="47"/>
      <c r="S1053" s="47"/>
      <c r="T1053" s="47"/>
      <c r="U1053" s="47"/>
      <c r="V1053" s="47"/>
      <c r="W1053" s="47"/>
      <c r="X1053" s="47"/>
      <c r="Y1053" s="47"/>
      <c r="Z1053" s="47"/>
      <c r="AA1053" s="47"/>
      <c r="AB1053" s="47"/>
      <c r="AC1053" s="47"/>
      <c r="AD1053" s="47"/>
      <c r="AE1053" s="47"/>
      <c r="AF1053" s="47"/>
      <c r="AG1053" s="47"/>
      <c r="AH1053" s="47"/>
      <c r="AI1053" s="47"/>
      <c r="AJ1053" s="47"/>
      <c r="AK1053" s="47"/>
      <c r="AL1053" s="47"/>
      <c r="AM1053" s="47"/>
      <c r="AN1053" s="47"/>
      <c r="AO1053" s="47"/>
      <c r="AP1053" s="47"/>
      <c r="AQ1053" s="47"/>
      <c r="AR1053" s="47"/>
      <c r="AS1053" s="47"/>
      <c r="AT1053" s="47"/>
      <c r="AU1053" s="47"/>
      <c r="AV1053" s="47"/>
      <c r="AW1053" s="47"/>
      <c r="AX1053" s="47"/>
      <c r="AY1053" s="47"/>
    </row>
    <row r="1054" spans="1:51" ht="15.75" customHeight="1">
      <c r="A1054" s="500"/>
      <c r="B1054" s="481"/>
      <c r="C1054" s="481"/>
      <c r="D1054" s="47"/>
      <c r="E1054" s="47"/>
      <c r="F1054" s="478"/>
      <c r="G1054" s="479"/>
      <c r="H1054" s="9"/>
      <c r="I1054" s="9"/>
      <c r="J1054" s="505"/>
      <c r="K1054" s="47"/>
      <c r="L1054" s="47"/>
      <c r="M1054" s="47"/>
      <c r="N1054" s="9"/>
      <c r="O1054" s="9"/>
      <c r="P1054" s="9"/>
      <c r="Q1054" s="47"/>
      <c r="R1054" s="47"/>
      <c r="S1054" s="47"/>
      <c r="T1054" s="47"/>
      <c r="U1054" s="47"/>
      <c r="V1054" s="47"/>
      <c r="W1054" s="47"/>
      <c r="X1054" s="47"/>
      <c r="Y1054" s="47"/>
      <c r="Z1054" s="47"/>
      <c r="AA1054" s="47"/>
      <c r="AB1054" s="47"/>
      <c r="AC1054" s="47"/>
      <c r="AD1054" s="47"/>
      <c r="AE1054" s="47"/>
      <c r="AF1054" s="47"/>
      <c r="AG1054" s="47"/>
      <c r="AH1054" s="47"/>
      <c r="AI1054" s="47"/>
      <c r="AJ1054" s="47"/>
      <c r="AK1054" s="47"/>
      <c r="AL1054" s="47"/>
      <c r="AM1054" s="47"/>
      <c r="AN1054" s="47"/>
      <c r="AO1054" s="47"/>
      <c r="AP1054" s="47"/>
      <c r="AQ1054" s="47"/>
      <c r="AR1054" s="47"/>
      <c r="AS1054" s="47"/>
      <c r="AT1054" s="47"/>
      <c r="AU1054" s="47"/>
      <c r="AV1054" s="47"/>
      <c r="AW1054" s="47"/>
      <c r="AX1054" s="47"/>
      <c r="AY1054" s="47"/>
    </row>
    <row r="1055" spans="1:51" ht="15.75" customHeight="1">
      <c r="A1055" s="500"/>
      <c r="B1055" s="481"/>
      <c r="C1055" s="481"/>
      <c r="D1055" s="47"/>
      <c r="E1055" s="47"/>
      <c r="F1055" s="478"/>
      <c r="G1055" s="479"/>
      <c r="H1055" s="9"/>
      <c r="I1055" s="9"/>
      <c r="J1055" s="505"/>
      <c r="K1055" s="47"/>
      <c r="L1055" s="47"/>
      <c r="M1055" s="47"/>
      <c r="N1055" s="9"/>
      <c r="O1055" s="9"/>
      <c r="P1055" s="9"/>
      <c r="Q1055" s="47"/>
      <c r="R1055" s="47"/>
      <c r="S1055" s="47"/>
      <c r="T1055" s="47"/>
      <c r="U1055" s="47"/>
      <c r="V1055" s="47"/>
      <c r="W1055" s="47"/>
      <c r="X1055" s="47"/>
      <c r="Y1055" s="47"/>
      <c r="Z1055" s="47"/>
      <c r="AA1055" s="47"/>
      <c r="AB1055" s="47"/>
      <c r="AC1055" s="47"/>
      <c r="AD1055" s="47"/>
      <c r="AE1055" s="47"/>
      <c r="AF1055" s="47"/>
      <c r="AG1055" s="47"/>
      <c r="AH1055" s="47"/>
      <c r="AI1055" s="47"/>
      <c r="AJ1055" s="47"/>
      <c r="AK1055" s="47"/>
      <c r="AL1055" s="47"/>
      <c r="AM1055" s="47"/>
      <c r="AN1055" s="47"/>
      <c r="AO1055" s="47"/>
      <c r="AP1055" s="47"/>
      <c r="AQ1055" s="47"/>
      <c r="AR1055" s="47"/>
      <c r="AS1055" s="47"/>
      <c r="AT1055" s="47"/>
      <c r="AU1055" s="47"/>
      <c r="AV1055" s="47"/>
      <c r="AW1055" s="47"/>
      <c r="AX1055" s="47"/>
      <c r="AY1055" s="47"/>
    </row>
    <row r="1056" spans="1:51" ht="15.75" customHeight="1">
      <c r="A1056" s="500"/>
      <c r="B1056" s="481"/>
      <c r="C1056" s="481"/>
      <c r="D1056" s="47"/>
      <c r="E1056" s="47"/>
      <c r="F1056" s="478"/>
      <c r="G1056" s="479"/>
      <c r="H1056" s="9"/>
      <c r="I1056" s="9"/>
      <c r="J1056" s="505"/>
      <c r="K1056" s="47"/>
      <c r="L1056" s="47"/>
      <c r="M1056" s="47"/>
      <c r="N1056" s="9"/>
      <c r="O1056" s="9"/>
      <c r="P1056" s="9"/>
      <c r="Q1056" s="47"/>
      <c r="R1056" s="47"/>
      <c r="S1056" s="47"/>
      <c r="T1056" s="47"/>
      <c r="U1056" s="47"/>
      <c r="V1056" s="47"/>
      <c r="W1056" s="47"/>
      <c r="X1056" s="47"/>
      <c r="Y1056" s="47"/>
      <c r="Z1056" s="47"/>
      <c r="AA1056" s="47"/>
      <c r="AB1056" s="47"/>
      <c r="AC1056" s="47"/>
      <c r="AD1056" s="47"/>
      <c r="AE1056" s="47"/>
      <c r="AF1056" s="47"/>
      <c r="AG1056" s="47"/>
      <c r="AH1056" s="47"/>
      <c r="AI1056" s="47"/>
      <c r="AJ1056" s="47"/>
      <c r="AK1056" s="47"/>
      <c r="AL1056" s="47"/>
      <c r="AM1056" s="47"/>
      <c r="AN1056" s="47"/>
      <c r="AO1056" s="47"/>
      <c r="AP1056" s="47"/>
      <c r="AQ1056" s="47"/>
      <c r="AR1056" s="47"/>
      <c r="AS1056" s="47"/>
      <c r="AT1056" s="47"/>
      <c r="AU1056" s="47"/>
      <c r="AV1056" s="47"/>
      <c r="AW1056" s="47"/>
      <c r="AX1056" s="47"/>
      <c r="AY1056" s="47"/>
    </row>
    <row r="1057" spans="1:51" ht="15.75" customHeight="1">
      <c r="A1057" s="500"/>
      <c r="B1057" s="481"/>
      <c r="C1057" s="481"/>
      <c r="D1057" s="47"/>
      <c r="E1057" s="47"/>
      <c r="F1057" s="478"/>
      <c r="G1057" s="479"/>
      <c r="H1057" s="9"/>
      <c r="I1057" s="9"/>
      <c r="J1057" s="505"/>
      <c r="K1057" s="47"/>
      <c r="L1057" s="47"/>
      <c r="M1057" s="47"/>
      <c r="N1057" s="9"/>
      <c r="O1057" s="9"/>
      <c r="P1057" s="9"/>
      <c r="Q1057" s="47"/>
      <c r="R1057" s="47"/>
      <c r="S1057" s="47"/>
      <c r="T1057" s="47"/>
      <c r="U1057" s="47"/>
      <c r="V1057" s="47"/>
      <c r="W1057" s="47"/>
      <c r="X1057" s="47"/>
      <c r="Y1057" s="47"/>
      <c r="Z1057" s="47"/>
      <c r="AA1057" s="47"/>
      <c r="AB1057" s="47"/>
      <c r="AC1057" s="47"/>
      <c r="AD1057" s="47"/>
      <c r="AE1057" s="47"/>
      <c r="AF1057" s="47"/>
      <c r="AG1057" s="47"/>
      <c r="AH1057" s="47"/>
      <c r="AI1057" s="47"/>
      <c r="AJ1057" s="47"/>
      <c r="AK1057" s="47"/>
      <c r="AL1057" s="47"/>
      <c r="AM1057" s="47"/>
      <c r="AN1057" s="47"/>
      <c r="AO1057" s="47"/>
      <c r="AP1057" s="47"/>
      <c r="AQ1057" s="47"/>
      <c r="AR1057" s="47"/>
      <c r="AS1057" s="47"/>
      <c r="AT1057" s="47"/>
      <c r="AU1057" s="47"/>
      <c r="AV1057" s="47"/>
      <c r="AW1057" s="47"/>
      <c r="AX1057" s="47"/>
      <c r="AY1057" s="47"/>
    </row>
    <row r="1058" spans="1:51" ht="15.75" customHeight="1">
      <c r="A1058" s="500"/>
      <c r="B1058" s="481"/>
      <c r="C1058" s="481"/>
      <c r="D1058" s="47"/>
      <c r="E1058" s="47"/>
      <c r="F1058" s="478"/>
      <c r="G1058" s="479"/>
      <c r="H1058" s="9"/>
      <c r="I1058" s="9"/>
      <c r="J1058" s="505"/>
      <c r="K1058" s="47"/>
      <c r="L1058" s="47"/>
      <c r="M1058" s="47"/>
      <c r="N1058" s="9"/>
      <c r="O1058" s="9"/>
      <c r="P1058" s="9"/>
      <c r="Q1058" s="47"/>
      <c r="R1058" s="47"/>
      <c r="S1058" s="47"/>
      <c r="T1058" s="47"/>
      <c r="U1058" s="47"/>
      <c r="V1058" s="47"/>
      <c r="W1058" s="47"/>
      <c r="X1058" s="47"/>
      <c r="Y1058" s="47"/>
      <c r="Z1058" s="47"/>
      <c r="AA1058" s="47"/>
      <c r="AB1058" s="47"/>
      <c r="AC1058" s="47"/>
      <c r="AD1058" s="47"/>
      <c r="AE1058" s="47"/>
      <c r="AF1058" s="47"/>
      <c r="AG1058" s="47"/>
      <c r="AH1058" s="47"/>
      <c r="AI1058" s="47"/>
      <c r="AJ1058" s="47"/>
      <c r="AK1058" s="47"/>
      <c r="AL1058" s="47"/>
      <c r="AM1058" s="47"/>
      <c r="AN1058" s="47"/>
      <c r="AO1058" s="47"/>
      <c r="AP1058" s="47"/>
      <c r="AQ1058" s="47"/>
      <c r="AR1058" s="47"/>
      <c r="AS1058" s="47"/>
      <c r="AT1058" s="47"/>
      <c r="AU1058" s="47"/>
      <c r="AV1058" s="47"/>
      <c r="AW1058" s="47"/>
      <c r="AX1058" s="47"/>
      <c r="AY1058" s="47"/>
    </row>
    <row r="1059" spans="1:51" ht="15.75" customHeight="1">
      <c r="A1059" s="500"/>
      <c r="B1059" s="481"/>
      <c r="C1059" s="481"/>
      <c r="D1059" s="47"/>
      <c r="E1059" s="47"/>
      <c r="F1059" s="478"/>
      <c r="G1059" s="479"/>
      <c r="H1059" s="9"/>
      <c r="I1059" s="9"/>
      <c r="J1059" s="505"/>
      <c r="K1059" s="47"/>
      <c r="L1059" s="47"/>
      <c r="M1059" s="47"/>
      <c r="N1059" s="9"/>
      <c r="O1059" s="9"/>
      <c r="P1059" s="9"/>
      <c r="Q1059" s="47"/>
      <c r="R1059" s="47"/>
      <c r="S1059" s="47"/>
      <c r="T1059" s="47"/>
      <c r="U1059" s="47"/>
      <c r="V1059" s="47"/>
      <c r="W1059" s="47"/>
      <c r="X1059" s="47"/>
      <c r="Y1059" s="47"/>
      <c r="Z1059" s="47"/>
      <c r="AA1059" s="47"/>
      <c r="AB1059" s="47"/>
      <c r="AC1059" s="47"/>
      <c r="AD1059" s="47"/>
      <c r="AE1059" s="47"/>
      <c r="AF1059" s="47"/>
      <c r="AG1059" s="47"/>
      <c r="AH1059" s="47"/>
      <c r="AI1059" s="47"/>
      <c r="AJ1059" s="47"/>
      <c r="AK1059" s="47"/>
      <c r="AL1059" s="47"/>
      <c r="AM1059" s="47"/>
      <c r="AN1059" s="47"/>
      <c r="AO1059" s="47"/>
      <c r="AP1059" s="47"/>
      <c r="AQ1059" s="47"/>
      <c r="AR1059" s="47"/>
      <c r="AS1059" s="47"/>
      <c r="AT1059" s="47"/>
      <c r="AU1059" s="47"/>
      <c r="AV1059" s="47"/>
      <c r="AW1059" s="47"/>
      <c r="AX1059" s="47"/>
      <c r="AY1059" s="47"/>
    </row>
    <row r="1060" spans="1:51" ht="15.75" customHeight="1">
      <c r="A1060" s="500"/>
      <c r="B1060" s="481"/>
      <c r="C1060" s="481"/>
      <c r="D1060" s="47"/>
      <c r="E1060" s="47"/>
      <c r="F1060" s="478"/>
      <c r="G1060" s="479"/>
      <c r="H1060" s="9"/>
      <c r="I1060" s="9"/>
      <c r="J1060" s="505"/>
      <c r="K1060" s="47"/>
      <c r="L1060" s="47"/>
      <c r="M1060" s="47"/>
      <c r="N1060" s="9"/>
      <c r="O1060" s="9"/>
      <c r="P1060" s="9"/>
      <c r="Q1060" s="47"/>
      <c r="R1060" s="47"/>
      <c r="S1060" s="47"/>
      <c r="T1060" s="47"/>
      <c r="U1060" s="47"/>
      <c r="V1060" s="47"/>
      <c r="W1060" s="47"/>
      <c r="X1060" s="47"/>
      <c r="Y1060" s="47"/>
      <c r="Z1060" s="47"/>
      <c r="AA1060" s="47"/>
      <c r="AB1060" s="47"/>
      <c r="AC1060" s="47"/>
      <c r="AD1060" s="47"/>
      <c r="AE1060" s="47"/>
      <c r="AF1060" s="47"/>
      <c r="AG1060" s="47"/>
      <c r="AH1060" s="47"/>
      <c r="AI1060" s="47"/>
      <c r="AJ1060" s="47"/>
      <c r="AK1060" s="47"/>
      <c r="AL1060" s="47"/>
      <c r="AM1060" s="47"/>
      <c r="AN1060" s="47"/>
      <c r="AO1060" s="47"/>
      <c r="AP1060" s="47"/>
      <c r="AQ1060" s="47"/>
      <c r="AR1060" s="47"/>
      <c r="AS1060" s="47"/>
      <c r="AT1060" s="47"/>
      <c r="AU1060" s="47"/>
      <c r="AV1060" s="47"/>
      <c r="AW1060" s="47"/>
      <c r="AX1060" s="47"/>
      <c r="AY1060" s="47"/>
    </row>
    <row r="1061" spans="1:51" ht="15.75" customHeight="1">
      <c r="A1061" s="678"/>
      <c r="B1061" s="481"/>
      <c r="C1061" s="481"/>
      <c r="D1061" s="47"/>
      <c r="E1061" s="47"/>
      <c r="F1061" s="478"/>
      <c r="G1061" s="479"/>
      <c r="H1061" s="9"/>
      <c r="I1061" s="9"/>
      <c r="J1061" s="505"/>
      <c r="K1061" s="47"/>
      <c r="L1061" s="47"/>
      <c r="M1061" s="47"/>
      <c r="N1061" s="9"/>
      <c r="O1061" s="9"/>
      <c r="P1061" s="9"/>
      <c r="Q1061" s="47"/>
      <c r="R1061" s="47"/>
      <c r="S1061" s="47"/>
      <c r="T1061" s="47"/>
      <c r="U1061" s="47"/>
      <c r="V1061" s="47"/>
      <c r="W1061" s="47"/>
      <c r="X1061" s="47"/>
      <c r="Y1061" s="47"/>
      <c r="Z1061" s="47"/>
      <c r="AA1061" s="47"/>
      <c r="AB1061" s="47"/>
      <c r="AC1061" s="47"/>
      <c r="AD1061" s="47"/>
      <c r="AE1061" s="47"/>
      <c r="AF1061" s="47"/>
      <c r="AG1061" s="47"/>
      <c r="AH1061" s="47"/>
      <c r="AI1061" s="47"/>
      <c r="AJ1061" s="47"/>
      <c r="AK1061" s="47"/>
      <c r="AL1061" s="47"/>
      <c r="AM1061" s="47"/>
      <c r="AN1061" s="47"/>
      <c r="AO1061" s="47"/>
      <c r="AP1061" s="47"/>
      <c r="AQ1061" s="47"/>
      <c r="AR1061" s="47"/>
      <c r="AS1061" s="47"/>
      <c r="AT1061" s="47"/>
      <c r="AU1061" s="47"/>
      <c r="AV1061" s="47"/>
      <c r="AW1061" s="47"/>
      <c r="AX1061" s="47"/>
      <c r="AY1061" s="47"/>
    </row>
    <row r="1062" spans="1:51" ht="15.75" customHeight="1">
      <c r="A1062" s="500"/>
      <c r="B1062" s="477"/>
      <c r="C1062" s="481"/>
      <c r="D1062" s="47"/>
      <c r="E1062" s="47"/>
      <c r="F1062" s="478"/>
      <c r="G1062" s="479"/>
      <c r="H1062" s="9"/>
      <c r="I1062" s="10"/>
      <c r="J1062" s="505"/>
      <c r="K1062" s="47"/>
      <c r="L1062" s="47"/>
      <c r="M1062" s="47"/>
      <c r="N1062" s="9"/>
      <c r="O1062" s="9"/>
      <c r="P1062" s="9"/>
      <c r="Q1062" s="47"/>
      <c r="R1062" s="47"/>
      <c r="S1062" s="47"/>
      <c r="T1062" s="47"/>
      <c r="U1062" s="47"/>
      <c r="V1062" s="47"/>
      <c r="W1062" s="47"/>
      <c r="X1062" s="47"/>
      <c r="Y1062" s="47"/>
      <c r="Z1062" s="47"/>
      <c r="AA1062" s="47"/>
      <c r="AB1062" s="47"/>
      <c r="AC1062" s="47"/>
      <c r="AD1062" s="47"/>
      <c r="AE1062" s="47"/>
      <c r="AF1062" s="47"/>
      <c r="AG1062" s="47"/>
      <c r="AH1062" s="47"/>
      <c r="AI1062" s="47"/>
      <c r="AJ1062" s="47"/>
      <c r="AK1062" s="47"/>
      <c r="AL1062" s="47"/>
      <c r="AM1062" s="47"/>
      <c r="AN1062" s="47"/>
      <c r="AO1062" s="47"/>
      <c r="AP1062" s="47"/>
      <c r="AQ1062" s="47"/>
      <c r="AR1062" s="47"/>
      <c r="AS1062" s="47"/>
      <c r="AT1062" s="47"/>
      <c r="AU1062" s="47"/>
      <c r="AV1062" s="47"/>
      <c r="AW1062" s="47"/>
      <c r="AX1062" s="47"/>
      <c r="AY1062" s="47"/>
    </row>
    <row r="1063" spans="1:51" ht="15.75" customHeight="1">
      <c r="A1063" s="500"/>
      <c r="B1063" s="477"/>
      <c r="C1063" s="481"/>
      <c r="D1063" s="47"/>
      <c r="E1063" s="47"/>
      <c r="F1063" s="478"/>
      <c r="G1063" s="479"/>
      <c r="H1063" s="9"/>
      <c r="I1063" s="10"/>
      <c r="J1063" s="505"/>
      <c r="K1063" s="47"/>
      <c r="L1063" s="47"/>
      <c r="M1063" s="47"/>
      <c r="N1063" s="9"/>
      <c r="O1063" s="9"/>
      <c r="P1063" s="9"/>
      <c r="Q1063" s="47"/>
      <c r="R1063" s="47"/>
      <c r="S1063" s="47"/>
      <c r="T1063" s="47"/>
      <c r="U1063" s="47"/>
      <c r="V1063" s="47"/>
      <c r="W1063" s="47"/>
      <c r="X1063" s="47"/>
      <c r="Y1063" s="47"/>
      <c r="Z1063" s="47"/>
      <c r="AA1063" s="47"/>
      <c r="AB1063" s="47"/>
      <c r="AC1063" s="47"/>
      <c r="AD1063" s="47"/>
      <c r="AE1063" s="47"/>
      <c r="AF1063" s="47"/>
      <c r="AG1063" s="47"/>
      <c r="AH1063" s="47"/>
      <c r="AI1063" s="47"/>
      <c r="AJ1063" s="47"/>
      <c r="AK1063" s="47"/>
      <c r="AL1063" s="47"/>
      <c r="AM1063" s="47"/>
      <c r="AN1063" s="47"/>
      <c r="AO1063" s="47"/>
      <c r="AP1063" s="47"/>
      <c r="AQ1063" s="47"/>
      <c r="AR1063" s="47"/>
      <c r="AS1063" s="47"/>
      <c r="AT1063" s="47"/>
      <c r="AU1063" s="47"/>
      <c r="AV1063" s="47"/>
      <c r="AW1063" s="47"/>
      <c r="AX1063" s="47"/>
      <c r="AY1063" s="47"/>
    </row>
    <row r="1064" spans="1:51" ht="15.75" customHeight="1">
      <c r="A1064" s="500"/>
      <c r="B1064" s="481"/>
      <c r="C1064" s="481"/>
      <c r="D1064" s="47"/>
      <c r="E1064" s="47"/>
      <c r="F1064" s="478"/>
      <c r="G1064" s="479"/>
      <c r="H1064" s="9"/>
      <c r="I1064" s="9"/>
      <c r="J1064" s="505"/>
      <c r="K1064" s="47"/>
      <c r="L1064" s="47"/>
      <c r="M1064" s="47"/>
      <c r="N1064" s="9"/>
      <c r="O1064" s="9"/>
      <c r="P1064" s="9"/>
      <c r="Q1064" s="47"/>
      <c r="R1064" s="47"/>
      <c r="S1064" s="47"/>
      <c r="T1064" s="47"/>
      <c r="U1064" s="47"/>
      <c r="V1064" s="47"/>
      <c r="W1064" s="47"/>
      <c r="X1064" s="47"/>
      <c r="Y1064" s="47"/>
      <c r="Z1064" s="47"/>
      <c r="AA1064" s="47"/>
      <c r="AB1064" s="47"/>
      <c r="AC1064" s="47"/>
      <c r="AD1064" s="47"/>
      <c r="AE1064" s="47"/>
      <c r="AF1064" s="47"/>
      <c r="AG1064" s="47"/>
      <c r="AH1064" s="47"/>
      <c r="AI1064" s="47"/>
      <c r="AJ1064" s="47"/>
      <c r="AK1064" s="47"/>
      <c r="AL1064" s="47"/>
      <c r="AM1064" s="47"/>
      <c r="AN1064" s="47"/>
      <c r="AO1064" s="47"/>
      <c r="AP1064" s="47"/>
      <c r="AQ1064" s="47"/>
      <c r="AR1064" s="47"/>
      <c r="AS1064" s="47"/>
      <c r="AT1064" s="47"/>
      <c r="AU1064" s="47"/>
      <c r="AV1064" s="47"/>
      <c r="AW1064" s="47"/>
      <c r="AX1064" s="47"/>
      <c r="AY1064" s="47"/>
    </row>
    <row r="1065" spans="1:51" ht="15.75" customHeight="1">
      <c r="A1065" s="500"/>
      <c r="B1065" s="481"/>
      <c r="C1065" s="481"/>
      <c r="D1065" s="47"/>
      <c r="E1065" s="47"/>
      <c r="F1065" s="478"/>
      <c r="G1065" s="479"/>
      <c r="H1065" s="9"/>
      <c r="I1065" s="9"/>
      <c r="J1065" s="505"/>
      <c r="K1065" s="47"/>
      <c r="L1065" s="47"/>
      <c r="M1065" s="47"/>
      <c r="N1065" s="9"/>
      <c r="O1065" s="9"/>
      <c r="P1065" s="9"/>
      <c r="Q1065" s="47"/>
      <c r="R1065" s="47"/>
      <c r="S1065" s="47"/>
      <c r="T1065" s="47"/>
      <c r="U1065" s="47"/>
      <c r="V1065" s="47"/>
      <c r="W1065" s="47"/>
      <c r="X1065" s="47"/>
      <c r="Y1065" s="47"/>
      <c r="Z1065" s="47"/>
      <c r="AA1065" s="47"/>
      <c r="AB1065" s="47"/>
      <c r="AC1065" s="47"/>
      <c r="AD1065" s="47"/>
      <c r="AE1065" s="47"/>
      <c r="AF1065" s="47"/>
      <c r="AG1065" s="47"/>
      <c r="AH1065" s="47"/>
      <c r="AI1065" s="47"/>
      <c r="AJ1065" s="47"/>
      <c r="AK1065" s="47"/>
      <c r="AL1065" s="47"/>
      <c r="AM1065" s="47"/>
      <c r="AN1065" s="47"/>
      <c r="AO1065" s="47"/>
      <c r="AP1065" s="47"/>
      <c r="AQ1065" s="47"/>
      <c r="AR1065" s="47"/>
      <c r="AS1065" s="47"/>
      <c r="AT1065" s="47"/>
      <c r="AU1065" s="47"/>
      <c r="AV1065" s="47"/>
      <c r="AW1065" s="47"/>
      <c r="AX1065" s="47"/>
      <c r="AY1065" s="47"/>
    </row>
    <row r="1066" spans="1:51" ht="15.75" customHeight="1">
      <c r="A1066" s="500"/>
      <c r="B1066" s="481"/>
      <c r="C1066" s="481"/>
      <c r="D1066" s="47"/>
      <c r="E1066" s="47"/>
      <c r="F1066" s="478"/>
      <c r="G1066" s="479"/>
      <c r="H1066" s="9"/>
      <c r="I1066" s="9"/>
      <c r="J1066" s="505"/>
      <c r="K1066" s="47"/>
      <c r="L1066" s="47"/>
      <c r="M1066" s="47"/>
      <c r="N1066" s="9"/>
      <c r="O1066" s="9"/>
      <c r="P1066" s="9"/>
      <c r="Q1066" s="47"/>
      <c r="R1066" s="47"/>
      <c r="S1066" s="47"/>
      <c r="T1066" s="47"/>
      <c r="U1066" s="47"/>
      <c r="V1066" s="47"/>
      <c r="W1066" s="47"/>
      <c r="X1066" s="47"/>
      <c r="Y1066" s="47"/>
      <c r="Z1066" s="47"/>
      <c r="AA1066" s="47"/>
      <c r="AB1066" s="47"/>
      <c r="AC1066" s="47"/>
      <c r="AD1066" s="47"/>
      <c r="AE1066" s="47"/>
      <c r="AF1066" s="47"/>
      <c r="AG1066" s="47"/>
      <c r="AH1066" s="47"/>
      <c r="AI1066" s="47"/>
      <c r="AJ1066" s="47"/>
      <c r="AK1066" s="47"/>
      <c r="AL1066" s="47"/>
      <c r="AM1066" s="47"/>
      <c r="AN1066" s="47"/>
      <c r="AO1066" s="47"/>
      <c r="AP1066" s="47"/>
      <c r="AQ1066" s="47"/>
      <c r="AR1066" s="47"/>
      <c r="AS1066" s="47"/>
      <c r="AT1066" s="47"/>
      <c r="AU1066" s="47"/>
      <c r="AV1066" s="47"/>
      <c r="AW1066" s="47"/>
      <c r="AX1066" s="47"/>
      <c r="AY1066" s="47"/>
    </row>
    <row r="1067" spans="1:51" ht="15.75" customHeight="1">
      <c r="A1067" s="500"/>
      <c r="B1067" s="481"/>
      <c r="C1067" s="481"/>
      <c r="D1067" s="47"/>
      <c r="E1067" s="47"/>
      <c r="F1067" s="478"/>
      <c r="G1067" s="479"/>
      <c r="H1067" s="9"/>
      <c r="I1067" s="9"/>
      <c r="J1067" s="505"/>
      <c r="K1067" s="47"/>
      <c r="L1067" s="47"/>
      <c r="M1067" s="47"/>
      <c r="N1067" s="9"/>
      <c r="O1067" s="9"/>
      <c r="P1067" s="9"/>
      <c r="Q1067" s="47"/>
      <c r="R1067" s="47"/>
      <c r="S1067" s="47"/>
      <c r="T1067" s="47"/>
      <c r="U1067" s="47"/>
      <c r="V1067" s="47"/>
      <c r="W1067" s="47"/>
      <c r="X1067" s="47"/>
      <c r="Y1067" s="47"/>
      <c r="Z1067" s="47"/>
      <c r="AA1067" s="47"/>
      <c r="AB1067" s="47"/>
      <c r="AC1067" s="47"/>
      <c r="AD1067" s="47"/>
      <c r="AE1067" s="47"/>
      <c r="AF1067" s="47"/>
      <c r="AG1067" s="47"/>
      <c r="AH1067" s="47"/>
      <c r="AI1067" s="47"/>
      <c r="AJ1067" s="47"/>
      <c r="AK1067" s="47"/>
      <c r="AL1067" s="47"/>
      <c r="AM1067" s="47"/>
      <c r="AN1067" s="47"/>
      <c r="AO1067" s="47"/>
      <c r="AP1067" s="47"/>
      <c r="AQ1067" s="47"/>
      <c r="AR1067" s="47"/>
      <c r="AS1067" s="47"/>
      <c r="AT1067" s="47"/>
      <c r="AU1067" s="47"/>
      <c r="AV1067" s="47"/>
      <c r="AW1067" s="47"/>
      <c r="AX1067" s="47"/>
      <c r="AY1067" s="47"/>
    </row>
    <row r="1068" spans="1:51" ht="15.75" customHeight="1">
      <c r="A1068" s="500"/>
      <c r="B1068" s="481"/>
      <c r="C1068" s="481"/>
      <c r="D1068" s="47"/>
      <c r="E1068" s="47"/>
      <c r="F1068" s="478"/>
      <c r="G1068" s="479"/>
      <c r="H1068" s="9"/>
      <c r="I1068" s="10"/>
      <c r="J1068" s="505"/>
      <c r="K1068" s="47"/>
      <c r="L1068" s="47"/>
      <c r="M1068" s="47"/>
      <c r="N1068" s="9"/>
      <c r="O1068" s="9"/>
      <c r="P1068" s="9"/>
      <c r="Q1068" s="47"/>
      <c r="R1068" s="47"/>
      <c r="S1068" s="47"/>
      <c r="T1068" s="47"/>
      <c r="U1068" s="47"/>
      <c r="V1068" s="47"/>
      <c r="W1068" s="47"/>
      <c r="X1068" s="47"/>
      <c r="Y1068" s="47"/>
      <c r="Z1068" s="47"/>
      <c r="AA1068" s="47"/>
      <c r="AB1068" s="47"/>
      <c r="AC1068" s="47"/>
      <c r="AD1068" s="47"/>
      <c r="AE1068" s="47"/>
      <c r="AF1068" s="47"/>
      <c r="AG1068" s="47"/>
      <c r="AH1068" s="47"/>
      <c r="AI1068" s="47"/>
      <c r="AJ1068" s="47"/>
      <c r="AK1068" s="47"/>
      <c r="AL1068" s="47"/>
      <c r="AM1068" s="47"/>
      <c r="AN1068" s="47"/>
      <c r="AO1068" s="47"/>
      <c r="AP1068" s="47"/>
      <c r="AQ1068" s="47"/>
      <c r="AR1068" s="47"/>
      <c r="AS1068" s="47"/>
      <c r="AT1068" s="47"/>
      <c r="AU1068" s="47"/>
      <c r="AV1068" s="47"/>
      <c r="AW1068" s="47"/>
      <c r="AX1068" s="47"/>
      <c r="AY1068" s="47"/>
    </row>
    <row r="1069" spans="1:51" ht="15.75" customHeight="1">
      <c r="A1069" s="500"/>
      <c r="B1069" s="481"/>
      <c r="C1069" s="481"/>
      <c r="D1069" s="47"/>
      <c r="E1069" s="47"/>
      <c r="F1069" s="478"/>
      <c r="G1069" s="479"/>
      <c r="H1069" s="9"/>
      <c r="I1069" s="9"/>
      <c r="J1069" s="505"/>
      <c r="K1069" s="47"/>
      <c r="L1069" s="47"/>
      <c r="M1069" s="47"/>
      <c r="N1069" s="9"/>
      <c r="O1069" s="9"/>
      <c r="P1069" s="9"/>
      <c r="Q1069" s="47"/>
      <c r="R1069" s="47"/>
      <c r="S1069" s="47"/>
      <c r="T1069" s="47"/>
      <c r="U1069" s="47"/>
      <c r="V1069" s="47"/>
      <c r="W1069" s="47"/>
      <c r="X1069" s="47"/>
      <c r="Y1069" s="47"/>
      <c r="Z1069" s="47"/>
      <c r="AA1069" s="47"/>
      <c r="AB1069" s="47"/>
      <c r="AC1069" s="47"/>
      <c r="AD1069" s="47"/>
      <c r="AE1069" s="47"/>
      <c r="AF1069" s="47"/>
      <c r="AG1069" s="47"/>
      <c r="AH1069" s="47"/>
      <c r="AI1069" s="47"/>
      <c r="AJ1069" s="47"/>
      <c r="AK1069" s="47"/>
      <c r="AL1069" s="47"/>
      <c r="AM1069" s="47"/>
      <c r="AN1069" s="47"/>
      <c r="AO1069" s="47"/>
      <c r="AP1069" s="47"/>
      <c r="AQ1069" s="47"/>
      <c r="AR1069" s="47"/>
      <c r="AS1069" s="47"/>
      <c r="AT1069" s="47"/>
      <c r="AU1069" s="47"/>
      <c r="AV1069" s="47"/>
      <c r="AW1069" s="47"/>
      <c r="AX1069" s="47"/>
      <c r="AY1069" s="47"/>
    </row>
    <row r="1070" spans="1:51" ht="15.75" customHeight="1">
      <c r="A1070" s="500"/>
      <c r="B1070" s="481"/>
      <c r="C1070" s="481"/>
      <c r="D1070" s="47"/>
      <c r="E1070" s="47"/>
      <c r="F1070" s="478"/>
      <c r="G1070" s="479"/>
      <c r="H1070" s="9"/>
      <c r="I1070" s="9"/>
      <c r="J1070" s="505"/>
      <c r="K1070" s="47"/>
      <c r="L1070" s="47"/>
      <c r="M1070" s="47"/>
      <c r="N1070" s="9"/>
      <c r="O1070" s="9"/>
      <c r="P1070" s="9"/>
      <c r="Q1070" s="47"/>
      <c r="R1070" s="47"/>
      <c r="S1070" s="47"/>
      <c r="T1070" s="47"/>
      <c r="U1070" s="47"/>
      <c r="V1070" s="47"/>
      <c r="W1070" s="47"/>
      <c r="X1070" s="47"/>
      <c r="Y1070" s="47"/>
      <c r="Z1070" s="47"/>
      <c r="AA1070" s="47"/>
      <c r="AB1070" s="47"/>
      <c r="AC1070" s="47"/>
      <c r="AD1070" s="47"/>
      <c r="AE1070" s="47"/>
      <c r="AF1070" s="47"/>
      <c r="AG1070" s="47"/>
      <c r="AH1070" s="47"/>
      <c r="AI1070" s="47"/>
      <c r="AJ1070" s="47"/>
      <c r="AK1070" s="47"/>
      <c r="AL1070" s="47"/>
      <c r="AM1070" s="47"/>
      <c r="AN1070" s="47"/>
      <c r="AO1070" s="47"/>
      <c r="AP1070" s="47"/>
      <c r="AQ1070" s="47"/>
      <c r="AR1070" s="47"/>
      <c r="AS1070" s="47"/>
      <c r="AT1070" s="47"/>
      <c r="AU1070" s="47"/>
      <c r="AV1070" s="47"/>
      <c r="AW1070" s="47"/>
      <c r="AX1070" s="47"/>
      <c r="AY1070" s="47"/>
    </row>
    <row r="1071" spans="1:51" ht="15.75" customHeight="1">
      <c r="A1071" s="500"/>
      <c r="B1071" s="481"/>
      <c r="C1071" s="481"/>
      <c r="D1071" s="47"/>
      <c r="E1071" s="47"/>
      <c r="F1071" s="478"/>
      <c r="G1071" s="479"/>
      <c r="H1071" s="9"/>
      <c r="I1071" s="9"/>
      <c r="J1071" s="505"/>
      <c r="K1071" s="47"/>
      <c r="L1071" s="47"/>
      <c r="M1071" s="47"/>
      <c r="N1071" s="9"/>
      <c r="O1071" s="9"/>
      <c r="P1071" s="9"/>
      <c r="Q1071" s="47"/>
      <c r="R1071" s="47"/>
      <c r="S1071" s="47"/>
      <c r="T1071" s="47"/>
      <c r="U1071" s="47"/>
      <c r="V1071" s="47"/>
      <c r="W1071" s="47"/>
      <c r="X1071" s="47"/>
      <c r="Y1071" s="47"/>
      <c r="Z1071" s="47"/>
      <c r="AA1071" s="47"/>
      <c r="AB1071" s="47"/>
      <c r="AC1071" s="47"/>
      <c r="AD1071" s="47"/>
      <c r="AE1071" s="47"/>
      <c r="AF1071" s="47"/>
      <c r="AG1071" s="47"/>
      <c r="AH1071" s="47"/>
      <c r="AI1071" s="47"/>
      <c r="AJ1071" s="47"/>
      <c r="AK1071" s="47"/>
      <c r="AL1071" s="47"/>
      <c r="AM1071" s="47"/>
      <c r="AN1071" s="47"/>
      <c r="AO1071" s="47"/>
      <c r="AP1071" s="47"/>
      <c r="AQ1071" s="47"/>
      <c r="AR1071" s="47"/>
      <c r="AS1071" s="47"/>
      <c r="AT1071" s="47"/>
      <c r="AU1071" s="47"/>
      <c r="AV1071" s="47"/>
      <c r="AW1071" s="47"/>
      <c r="AX1071" s="47"/>
      <c r="AY1071" s="47"/>
    </row>
    <row r="1072" spans="1:51" ht="15.75" customHeight="1">
      <c r="A1072" s="500"/>
      <c r="B1072" s="481"/>
      <c r="C1072" s="481"/>
      <c r="D1072" s="47"/>
      <c r="E1072" s="47"/>
      <c r="F1072" s="478"/>
      <c r="G1072" s="479"/>
      <c r="H1072" s="9"/>
      <c r="I1072" s="9"/>
      <c r="J1072" s="505"/>
      <c r="K1072" s="47"/>
      <c r="L1072" s="47"/>
      <c r="M1072" s="47"/>
      <c r="N1072" s="9"/>
      <c r="O1072" s="9"/>
      <c r="P1072" s="9"/>
      <c r="Q1072" s="47"/>
      <c r="R1072" s="47"/>
      <c r="S1072" s="47"/>
      <c r="T1072" s="47"/>
      <c r="U1072" s="47"/>
      <c r="V1072" s="47"/>
      <c r="W1072" s="47"/>
      <c r="X1072" s="47"/>
      <c r="Y1072" s="47"/>
      <c r="Z1072" s="47"/>
      <c r="AA1072" s="47"/>
      <c r="AB1072" s="47"/>
      <c r="AC1072" s="47"/>
      <c r="AD1072" s="47"/>
      <c r="AE1072" s="47"/>
      <c r="AF1072" s="47"/>
      <c r="AG1072" s="47"/>
      <c r="AH1072" s="47"/>
      <c r="AI1072" s="47"/>
      <c r="AJ1072" s="47"/>
      <c r="AK1072" s="47"/>
      <c r="AL1072" s="47"/>
      <c r="AM1072" s="47"/>
      <c r="AN1072" s="47"/>
      <c r="AO1072" s="47"/>
      <c r="AP1072" s="47"/>
      <c r="AQ1072" s="47"/>
      <c r="AR1072" s="47"/>
      <c r="AS1072" s="47"/>
      <c r="AT1072" s="47"/>
      <c r="AU1072" s="47"/>
      <c r="AV1072" s="47"/>
      <c r="AW1072" s="47"/>
      <c r="AX1072" s="47"/>
      <c r="AY1072" s="47"/>
    </row>
    <row r="1073" spans="1:51" ht="15.75" customHeight="1">
      <c r="A1073" s="500"/>
      <c r="B1073" s="481"/>
      <c r="C1073" s="481"/>
      <c r="D1073" s="47"/>
      <c r="E1073" s="47"/>
      <c r="F1073" s="478"/>
      <c r="G1073" s="479"/>
      <c r="H1073" s="9"/>
      <c r="I1073" s="10"/>
      <c r="J1073" s="505"/>
      <c r="K1073" s="47"/>
      <c r="L1073" s="47"/>
      <c r="M1073" s="47"/>
      <c r="N1073" s="9"/>
      <c r="O1073" s="9"/>
      <c r="P1073" s="9"/>
      <c r="Q1073" s="47"/>
      <c r="R1073" s="47"/>
      <c r="S1073" s="47"/>
      <c r="T1073" s="47"/>
      <c r="U1073" s="47"/>
      <c r="V1073" s="47"/>
      <c r="W1073" s="47"/>
      <c r="X1073" s="47"/>
      <c r="Y1073" s="47"/>
      <c r="Z1073" s="47"/>
      <c r="AA1073" s="47"/>
      <c r="AB1073" s="47"/>
      <c r="AC1073" s="47"/>
      <c r="AD1073" s="47"/>
      <c r="AE1073" s="47"/>
      <c r="AF1073" s="47"/>
      <c r="AG1073" s="47"/>
      <c r="AH1073" s="47"/>
      <c r="AI1073" s="47"/>
      <c r="AJ1073" s="47"/>
      <c r="AK1073" s="47"/>
      <c r="AL1073" s="47"/>
      <c r="AM1073" s="47"/>
      <c r="AN1073" s="47"/>
      <c r="AO1073" s="47"/>
      <c r="AP1073" s="47"/>
      <c r="AQ1073" s="47"/>
      <c r="AR1073" s="47"/>
      <c r="AS1073" s="47"/>
      <c r="AT1073" s="47"/>
      <c r="AU1073" s="47"/>
      <c r="AV1073" s="47"/>
      <c r="AW1073" s="47"/>
      <c r="AX1073" s="47"/>
      <c r="AY1073" s="47"/>
    </row>
    <row r="1074" spans="1:51" ht="15.75" customHeight="1">
      <c r="A1074" s="500"/>
      <c r="B1074" s="481"/>
      <c r="C1074" s="481"/>
      <c r="D1074" s="47"/>
      <c r="E1074" s="47"/>
      <c r="F1074" s="478"/>
      <c r="G1074" s="479"/>
      <c r="H1074" s="9"/>
      <c r="I1074" s="9"/>
      <c r="J1074" s="505"/>
      <c r="K1074" s="47"/>
      <c r="L1074" s="47"/>
      <c r="M1074" s="47"/>
      <c r="N1074" s="9"/>
      <c r="O1074" s="9"/>
      <c r="P1074" s="9"/>
      <c r="Q1074" s="47"/>
      <c r="R1074" s="47"/>
      <c r="S1074" s="47"/>
      <c r="T1074" s="47"/>
      <c r="U1074" s="47"/>
      <c r="V1074" s="47"/>
      <c r="W1074" s="47"/>
      <c r="X1074" s="47"/>
      <c r="Y1074" s="47"/>
      <c r="Z1074" s="47"/>
      <c r="AA1074" s="47"/>
      <c r="AB1074" s="47"/>
      <c r="AC1074" s="47"/>
      <c r="AD1074" s="47"/>
      <c r="AE1074" s="47"/>
      <c r="AF1074" s="47"/>
      <c r="AG1074" s="47"/>
      <c r="AH1074" s="47"/>
      <c r="AI1074" s="47"/>
      <c r="AJ1074" s="47"/>
      <c r="AK1074" s="47"/>
      <c r="AL1074" s="47"/>
      <c r="AM1074" s="47"/>
      <c r="AN1074" s="47"/>
      <c r="AO1074" s="47"/>
      <c r="AP1074" s="47"/>
      <c r="AQ1074" s="47"/>
      <c r="AR1074" s="47"/>
      <c r="AS1074" s="47"/>
      <c r="AT1074" s="47"/>
      <c r="AU1074" s="47"/>
      <c r="AV1074" s="47"/>
      <c r="AW1074" s="47"/>
      <c r="AX1074" s="47"/>
      <c r="AY1074" s="47"/>
    </row>
    <row r="1075" spans="1:51" ht="15.75" customHeight="1">
      <c r="A1075" s="500"/>
      <c r="B1075" s="481"/>
      <c r="C1075" s="481"/>
      <c r="D1075" s="47"/>
      <c r="E1075" s="47"/>
      <c r="F1075" s="478"/>
      <c r="G1075" s="479"/>
      <c r="H1075" s="9"/>
      <c r="I1075" s="10"/>
      <c r="J1075" s="505"/>
      <c r="K1075" s="47"/>
      <c r="L1075" s="47"/>
      <c r="M1075" s="47"/>
      <c r="N1075" s="9"/>
      <c r="O1075" s="9"/>
      <c r="P1075" s="9"/>
      <c r="Q1075" s="47"/>
      <c r="R1075" s="47"/>
      <c r="S1075" s="47"/>
      <c r="T1075" s="47"/>
      <c r="U1075" s="47"/>
      <c r="V1075" s="47"/>
      <c r="W1075" s="47"/>
      <c r="X1075" s="47"/>
      <c r="Y1075" s="47"/>
      <c r="Z1075" s="47"/>
      <c r="AA1075" s="47"/>
      <c r="AB1075" s="47"/>
      <c r="AC1075" s="47"/>
      <c r="AD1075" s="47"/>
      <c r="AE1075" s="47"/>
      <c r="AF1075" s="47"/>
      <c r="AG1075" s="47"/>
      <c r="AH1075" s="47"/>
      <c r="AI1075" s="47"/>
      <c r="AJ1075" s="47"/>
      <c r="AK1075" s="47"/>
      <c r="AL1075" s="47"/>
      <c r="AM1075" s="47"/>
      <c r="AN1075" s="47"/>
      <c r="AO1075" s="47"/>
      <c r="AP1075" s="47"/>
      <c r="AQ1075" s="47"/>
      <c r="AR1075" s="47"/>
      <c r="AS1075" s="47"/>
      <c r="AT1075" s="47"/>
      <c r="AU1075" s="47"/>
      <c r="AV1075" s="47"/>
      <c r="AW1075" s="47"/>
      <c r="AX1075" s="47"/>
      <c r="AY1075" s="47"/>
    </row>
    <row r="1076" spans="1:51" ht="15.75" customHeight="1">
      <c r="A1076" s="500"/>
      <c r="B1076" s="481"/>
      <c r="C1076" s="481"/>
      <c r="D1076" s="47"/>
      <c r="E1076" s="47"/>
      <c r="F1076" s="478"/>
      <c r="G1076" s="479"/>
      <c r="H1076" s="9"/>
      <c r="I1076" s="9"/>
      <c r="J1076" s="505"/>
      <c r="K1076" s="47"/>
      <c r="L1076" s="47"/>
      <c r="M1076" s="47"/>
      <c r="N1076" s="9"/>
      <c r="O1076" s="9"/>
      <c r="P1076" s="9"/>
      <c r="Q1076" s="47"/>
      <c r="R1076" s="47"/>
      <c r="S1076" s="47"/>
      <c r="T1076" s="47"/>
      <c r="U1076" s="47"/>
      <c r="V1076" s="47"/>
      <c r="W1076" s="47"/>
      <c r="X1076" s="47"/>
      <c r="Y1076" s="47"/>
      <c r="Z1076" s="47"/>
      <c r="AA1076" s="47"/>
      <c r="AB1076" s="47"/>
      <c r="AC1076" s="47"/>
      <c r="AD1076" s="47"/>
      <c r="AE1076" s="47"/>
      <c r="AF1076" s="47"/>
      <c r="AG1076" s="47"/>
      <c r="AH1076" s="47"/>
      <c r="AI1076" s="47"/>
      <c r="AJ1076" s="47"/>
      <c r="AK1076" s="47"/>
      <c r="AL1076" s="47"/>
      <c r="AM1076" s="47"/>
      <c r="AN1076" s="47"/>
      <c r="AO1076" s="47"/>
      <c r="AP1076" s="47"/>
      <c r="AQ1076" s="47"/>
      <c r="AR1076" s="47"/>
      <c r="AS1076" s="47"/>
      <c r="AT1076" s="47"/>
      <c r="AU1076" s="47"/>
      <c r="AV1076" s="47"/>
      <c r="AW1076" s="47"/>
      <c r="AX1076" s="47"/>
      <c r="AY1076" s="47"/>
    </row>
    <row r="1077" spans="1:51" ht="15.75" customHeight="1">
      <c r="A1077" s="500"/>
      <c r="B1077" s="481"/>
      <c r="C1077" s="481"/>
      <c r="D1077" s="47"/>
      <c r="E1077" s="47"/>
      <c r="F1077" s="478"/>
      <c r="G1077" s="479"/>
      <c r="H1077" s="9"/>
      <c r="I1077" s="10"/>
      <c r="J1077" s="505"/>
      <c r="K1077" s="47"/>
      <c r="L1077" s="47"/>
      <c r="M1077" s="47"/>
      <c r="N1077" s="9"/>
      <c r="O1077" s="9"/>
      <c r="P1077" s="9"/>
      <c r="Q1077" s="47"/>
      <c r="R1077" s="47"/>
      <c r="S1077" s="47"/>
      <c r="T1077" s="47"/>
      <c r="U1077" s="47"/>
      <c r="V1077" s="47"/>
      <c r="W1077" s="47"/>
      <c r="X1077" s="47"/>
      <c r="Y1077" s="47"/>
      <c r="Z1077" s="47"/>
      <c r="AA1077" s="47"/>
      <c r="AB1077" s="47"/>
      <c r="AC1077" s="47"/>
      <c r="AD1077" s="47"/>
      <c r="AE1077" s="47"/>
      <c r="AF1077" s="47"/>
      <c r="AG1077" s="47"/>
      <c r="AH1077" s="47"/>
      <c r="AI1077" s="47"/>
      <c r="AJ1077" s="47"/>
      <c r="AK1077" s="47"/>
      <c r="AL1077" s="47"/>
      <c r="AM1077" s="47"/>
      <c r="AN1077" s="47"/>
      <c r="AO1077" s="47"/>
      <c r="AP1077" s="47"/>
      <c r="AQ1077" s="47"/>
      <c r="AR1077" s="47"/>
      <c r="AS1077" s="47"/>
      <c r="AT1077" s="47"/>
      <c r="AU1077" s="47"/>
      <c r="AV1077" s="47"/>
      <c r="AW1077" s="47"/>
      <c r="AX1077" s="47"/>
      <c r="AY1077" s="47"/>
    </row>
    <row r="1078" spans="1:51" ht="15.75" customHeight="1">
      <c r="A1078" s="500"/>
      <c r="B1078" s="481"/>
      <c r="C1078" s="481"/>
      <c r="D1078" s="47"/>
      <c r="E1078" s="47"/>
      <c r="F1078" s="478"/>
      <c r="G1078" s="479"/>
      <c r="H1078" s="9"/>
      <c r="I1078" s="9"/>
      <c r="J1078" s="505"/>
      <c r="K1078" s="47"/>
      <c r="L1078" s="47"/>
      <c r="M1078" s="47"/>
      <c r="N1078" s="9"/>
      <c r="O1078" s="9"/>
      <c r="P1078" s="9"/>
      <c r="Q1078" s="47"/>
      <c r="R1078" s="47"/>
      <c r="S1078" s="47"/>
      <c r="T1078" s="47"/>
      <c r="U1078" s="47"/>
      <c r="V1078" s="47"/>
      <c r="W1078" s="47"/>
      <c r="X1078" s="47"/>
      <c r="Y1078" s="47"/>
      <c r="Z1078" s="47"/>
      <c r="AA1078" s="47"/>
      <c r="AB1078" s="47"/>
      <c r="AC1078" s="47"/>
      <c r="AD1078" s="47"/>
      <c r="AE1078" s="47"/>
      <c r="AF1078" s="47"/>
      <c r="AG1078" s="47"/>
      <c r="AH1078" s="47"/>
      <c r="AI1078" s="47"/>
      <c r="AJ1078" s="47"/>
      <c r="AK1078" s="47"/>
      <c r="AL1078" s="47"/>
      <c r="AM1078" s="47"/>
      <c r="AN1078" s="47"/>
      <c r="AO1078" s="47"/>
      <c r="AP1078" s="47"/>
      <c r="AQ1078" s="47"/>
      <c r="AR1078" s="47"/>
      <c r="AS1078" s="47"/>
      <c r="AT1078" s="47"/>
      <c r="AU1078" s="47"/>
      <c r="AV1078" s="47"/>
      <c r="AW1078" s="47"/>
      <c r="AX1078" s="47"/>
      <c r="AY1078" s="47"/>
    </row>
    <row r="1079" spans="1:51" ht="15.75" customHeight="1">
      <c r="A1079" s="500"/>
      <c r="B1079" s="481"/>
      <c r="C1079" s="481"/>
      <c r="D1079" s="47"/>
      <c r="E1079" s="47"/>
      <c r="F1079" s="478"/>
      <c r="G1079" s="479"/>
      <c r="H1079" s="9"/>
      <c r="I1079" s="10"/>
      <c r="J1079" s="505"/>
      <c r="K1079" s="47"/>
      <c r="L1079" s="47"/>
      <c r="M1079" s="47"/>
      <c r="N1079" s="9"/>
      <c r="O1079" s="9"/>
      <c r="P1079" s="9"/>
      <c r="Q1079" s="47"/>
      <c r="R1079" s="47"/>
      <c r="S1079" s="47"/>
      <c r="T1079" s="47"/>
      <c r="U1079" s="47"/>
      <c r="V1079" s="47"/>
      <c r="W1079" s="47"/>
      <c r="X1079" s="47"/>
      <c r="Y1079" s="47"/>
      <c r="Z1079" s="47"/>
      <c r="AA1079" s="47"/>
      <c r="AB1079" s="47"/>
      <c r="AC1079" s="47"/>
      <c r="AD1079" s="47"/>
      <c r="AE1079" s="47"/>
      <c r="AF1079" s="47"/>
      <c r="AG1079" s="47"/>
      <c r="AH1079" s="47"/>
      <c r="AI1079" s="47"/>
      <c r="AJ1079" s="47"/>
      <c r="AK1079" s="47"/>
      <c r="AL1079" s="47"/>
      <c r="AM1079" s="47"/>
      <c r="AN1079" s="47"/>
      <c r="AO1079" s="47"/>
      <c r="AP1079" s="47"/>
      <c r="AQ1079" s="47"/>
      <c r="AR1079" s="47"/>
      <c r="AS1079" s="47"/>
      <c r="AT1079" s="47"/>
      <c r="AU1079" s="47"/>
      <c r="AV1079" s="47"/>
      <c r="AW1079" s="47"/>
      <c r="AX1079" s="47"/>
      <c r="AY1079" s="47"/>
    </row>
    <row r="1080" spans="1:51" ht="15.75" customHeight="1">
      <c r="A1080" s="500"/>
      <c r="B1080" s="481"/>
      <c r="C1080" s="481"/>
      <c r="D1080" s="47"/>
      <c r="E1080" s="47"/>
      <c r="F1080" s="478"/>
      <c r="G1080" s="479"/>
      <c r="H1080" s="9"/>
      <c r="I1080" s="9"/>
      <c r="J1080" s="505"/>
      <c r="K1080" s="47"/>
      <c r="L1080" s="47"/>
      <c r="M1080" s="47"/>
      <c r="N1080" s="9"/>
      <c r="O1080" s="9"/>
      <c r="P1080" s="9"/>
      <c r="Q1080" s="47"/>
      <c r="R1080" s="47"/>
      <c r="S1080" s="47"/>
      <c r="T1080" s="47"/>
      <c r="U1080" s="47"/>
      <c r="V1080" s="47"/>
      <c r="W1080" s="47"/>
      <c r="X1080" s="47"/>
      <c r="Y1080" s="47"/>
      <c r="Z1080" s="47"/>
      <c r="AA1080" s="47"/>
      <c r="AB1080" s="47"/>
      <c r="AC1080" s="47"/>
      <c r="AD1080" s="47"/>
      <c r="AE1080" s="47"/>
      <c r="AF1080" s="47"/>
      <c r="AG1080" s="47"/>
      <c r="AH1080" s="47"/>
      <c r="AI1080" s="47"/>
      <c r="AJ1080" s="47"/>
      <c r="AK1080" s="47"/>
      <c r="AL1080" s="47"/>
      <c r="AM1080" s="47"/>
      <c r="AN1080" s="47"/>
      <c r="AO1080" s="47"/>
      <c r="AP1080" s="47"/>
      <c r="AQ1080" s="47"/>
      <c r="AR1080" s="47"/>
      <c r="AS1080" s="47"/>
      <c r="AT1080" s="47"/>
      <c r="AU1080" s="47"/>
      <c r="AV1080" s="47"/>
      <c r="AW1080" s="47"/>
      <c r="AX1080" s="47"/>
      <c r="AY1080" s="47"/>
    </row>
    <row r="1081" spans="1:51" ht="15.75" customHeight="1">
      <c r="A1081" s="500"/>
      <c r="B1081" s="481"/>
      <c r="C1081" s="481"/>
      <c r="D1081" s="47"/>
      <c r="E1081" s="47"/>
      <c r="F1081" s="478"/>
      <c r="G1081" s="479"/>
      <c r="H1081" s="9"/>
      <c r="I1081" s="10"/>
      <c r="J1081" s="505"/>
      <c r="K1081" s="47"/>
      <c r="L1081" s="47"/>
      <c r="M1081" s="47"/>
      <c r="N1081" s="9"/>
      <c r="O1081" s="9"/>
      <c r="P1081" s="9"/>
      <c r="Q1081" s="47"/>
      <c r="R1081" s="47"/>
      <c r="S1081" s="47"/>
      <c r="T1081" s="47"/>
      <c r="U1081" s="47"/>
      <c r="V1081" s="47"/>
      <c r="W1081" s="47"/>
      <c r="X1081" s="47"/>
      <c r="Y1081" s="47"/>
      <c r="Z1081" s="47"/>
      <c r="AA1081" s="47"/>
      <c r="AB1081" s="47"/>
      <c r="AC1081" s="47"/>
      <c r="AD1081" s="47"/>
      <c r="AE1081" s="47"/>
      <c r="AF1081" s="47"/>
      <c r="AG1081" s="47"/>
      <c r="AH1081" s="47"/>
      <c r="AI1081" s="47"/>
      <c r="AJ1081" s="47"/>
      <c r="AK1081" s="47"/>
      <c r="AL1081" s="47"/>
      <c r="AM1081" s="47"/>
      <c r="AN1081" s="47"/>
      <c r="AO1081" s="47"/>
      <c r="AP1081" s="47"/>
      <c r="AQ1081" s="47"/>
      <c r="AR1081" s="47"/>
      <c r="AS1081" s="47"/>
      <c r="AT1081" s="47"/>
      <c r="AU1081" s="47"/>
      <c r="AV1081" s="47"/>
      <c r="AW1081" s="47"/>
      <c r="AX1081" s="47"/>
      <c r="AY1081" s="47"/>
    </row>
    <row r="1082" spans="1:51" ht="15.75" customHeight="1">
      <c r="A1082" s="500"/>
      <c r="B1082" s="481"/>
      <c r="C1082" s="481"/>
      <c r="D1082" s="47"/>
      <c r="E1082" s="47"/>
      <c r="F1082" s="478"/>
      <c r="G1082" s="479"/>
      <c r="H1082" s="9"/>
      <c r="I1082" s="9"/>
      <c r="J1082" s="505"/>
      <c r="K1082" s="47"/>
      <c r="L1082" s="47"/>
      <c r="M1082" s="47"/>
      <c r="N1082" s="9"/>
      <c r="O1082" s="9"/>
      <c r="P1082" s="9"/>
      <c r="Q1082" s="47"/>
      <c r="R1082" s="47"/>
      <c r="S1082" s="47"/>
      <c r="T1082" s="47"/>
      <c r="U1082" s="47"/>
      <c r="V1082" s="47"/>
      <c r="W1082" s="47"/>
      <c r="X1082" s="47"/>
      <c r="Y1082" s="47"/>
      <c r="Z1082" s="47"/>
      <c r="AA1082" s="47"/>
      <c r="AB1082" s="47"/>
      <c r="AC1082" s="47"/>
      <c r="AD1082" s="47"/>
      <c r="AE1082" s="47"/>
      <c r="AF1082" s="47"/>
      <c r="AG1082" s="47"/>
      <c r="AH1082" s="47"/>
      <c r="AI1082" s="47"/>
      <c r="AJ1082" s="47"/>
      <c r="AK1082" s="47"/>
      <c r="AL1082" s="47"/>
      <c r="AM1082" s="47"/>
      <c r="AN1082" s="47"/>
      <c r="AO1082" s="47"/>
      <c r="AP1082" s="47"/>
      <c r="AQ1082" s="47"/>
      <c r="AR1082" s="47"/>
      <c r="AS1082" s="47"/>
      <c r="AT1082" s="47"/>
      <c r="AU1082" s="47"/>
      <c r="AV1082" s="47"/>
      <c r="AW1082" s="47"/>
      <c r="AX1082" s="47"/>
      <c r="AY1082" s="47"/>
    </row>
    <row r="1083" spans="1:51" ht="15.75" customHeight="1">
      <c r="A1083" s="500"/>
      <c r="B1083" s="481"/>
      <c r="C1083" s="481"/>
      <c r="D1083" s="47"/>
      <c r="E1083" s="47"/>
      <c r="F1083" s="478"/>
      <c r="G1083" s="479"/>
      <c r="H1083" s="9"/>
      <c r="I1083" s="9"/>
      <c r="J1083" s="505"/>
      <c r="K1083" s="47"/>
      <c r="L1083" s="47"/>
      <c r="M1083" s="47"/>
      <c r="N1083" s="9"/>
      <c r="O1083" s="9"/>
      <c r="P1083" s="9"/>
      <c r="Q1083" s="47"/>
      <c r="R1083" s="47"/>
      <c r="S1083" s="47"/>
      <c r="T1083" s="47"/>
      <c r="U1083" s="47"/>
      <c r="V1083" s="47"/>
      <c r="W1083" s="47"/>
      <c r="X1083" s="47"/>
      <c r="Y1083" s="47"/>
      <c r="Z1083" s="47"/>
      <c r="AA1083" s="47"/>
      <c r="AB1083" s="47"/>
      <c r="AC1083" s="47"/>
      <c r="AD1083" s="47"/>
      <c r="AE1083" s="47"/>
      <c r="AF1083" s="47"/>
      <c r="AG1083" s="47"/>
      <c r="AH1083" s="47"/>
      <c r="AI1083" s="47"/>
      <c r="AJ1083" s="47"/>
      <c r="AK1083" s="47"/>
      <c r="AL1083" s="47"/>
      <c r="AM1083" s="47"/>
      <c r="AN1083" s="47"/>
      <c r="AO1083" s="47"/>
      <c r="AP1083" s="47"/>
      <c r="AQ1083" s="47"/>
      <c r="AR1083" s="47"/>
      <c r="AS1083" s="47"/>
      <c r="AT1083" s="47"/>
      <c r="AU1083" s="47"/>
      <c r="AV1083" s="47"/>
      <c r="AW1083" s="47"/>
      <c r="AX1083" s="47"/>
      <c r="AY1083" s="47"/>
    </row>
    <row r="1084" spans="1:51" ht="15.75" customHeight="1">
      <c r="A1084" s="500"/>
      <c r="B1084" s="481"/>
      <c r="C1084" s="481"/>
      <c r="D1084" s="47"/>
      <c r="E1084" s="47"/>
      <c r="F1084" s="478"/>
      <c r="G1084" s="479"/>
      <c r="H1084" s="9"/>
      <c r="I1084" s="9"/>
      <c r="J1084" s="505"/>
      <c r="K1084" s="47"/>
      <c r="L1084" s="47"/>
      <c r="M1084" s="47"/>
      <c r="N1084" s="9"/>
      <c r="O1084" s="9"/>
      <c r="P1084" s="9"/>
      <c r="Q1084" s="47"/>
      <c r="R1084" s="47"/>
      <c r="S1084" s="47"/>
      <c r="T1084" s="47"/>
      <c r="U1084" s="47"/>
      <c r="V1084" s="47"/>
      <c r="W1084" s="47"/>
      <c r="X1084" s="47"/>
      <c r="Y1084" s="47"/>
      <c r="Z1084" s="47"/>
      <c r="AA1084" s="47"/>
      <c r="AB1084" s="47"/>
      <c r="AC1084" s="47"/>
      <c r="AD1084" s="47"/>
      <c r="AE1084" s="47"/>
      <c r="AF1084" s="47"/>
      <c r="AG1084" s="47"/>
      <c r="AH1084" s="47"/>
      <c r="AI1084" s="47"/>
      <c r="AJ1084" s="47"/>
      <c r="AK1084" s="47"/>
      <c r="AL1084" s="47"/>
      <c r="AM1084" s="47"/>
      <c r="AN1084" s="47"/>
      <c r="AO1084" s="47"/>
      <c r="AP1084" s="47"/>
      <c r="AQ1084" s="47"/>
      <c r="AR1084" s="47"/>
      <c r="AS1084" s="47"/>
      <c r="AT1084" s="47"/>
      <c r="AU1084" s="47"/>
      <c r="AV1084" s="47"/>
      <c r="AW1084" s="47"/>
      <c r="AX1084" s="47"/>
      <c r="AY1084" s="47"/>
    </row>
    <row r="1085" spans="1:51" ht="15.75" customHeight="1">
      <c r="A1085" s="500"/>
      <c r="B1085" s="481"/>
      <c r="C1085" s="481"/>
      <c r="D1085" s="47"/>
      <c r="E1085" s="47"/>
      <c r="F1085" s="478"/>
      <c r="G1085" s="479"/>
      <c r="H1085" s="9"/>
      <c r="I1085" s="9"/>
      <c r="J1085" s="505"/>
      <c r="K1085" s="47"/>
      <c r="L1085" s="47"/>
      <c r="M1085" s="47"/>
      <c r="N1085" s="9"/>
      <c r="O1085" s="9"/>
      <c r="P1085" s="9"/>
      <c r="Q1085" s="47"/>
      <c r="R1085" s="47"/>
      <c r="S1085" s="47"/>
      <c r="T1085" s="47"/>
      <c r="U1085" s="47"/>
      <c r="V1085" s="47"/>
      <c r="W1085" s="47"/>
      <c r="X1085" s="47"/>
      <c r="Y1085" s="47"/>
      <c r="Z1085" s="47"/>
      <c r="AA1085" s="47"/>
      <c r="AB1085" s="47"/>
      <c r="AC1085" s="47"/>
      <c r="AD1085" s="47"/>
      <c r="AE1085" s="47"/>
      <c r="AF1085" s="47"/>
      <c r="AG1085" s="47"/>
      <c r="AH1085" s="47"/>
      <c r="AI1085" s="47"/>
      <c r="AJ1085" s="47"/>
      <c r="AK1085" s="47"/>
      <c r="AL1085" s="47"/>
      <c r="AM1085" s="47"/>
      <c r="AN1085" s="47"/>
      <c r="AO1085" s="47"/>
      <c r="AP1085" s="47"/>
      <c r="AQ1085" s="47"/>
      <c r="AR1085" s="47"/>
      <c r="AS1085" s="47"/>
      <c r="AT1085" s="47"/>
      <c r="AU1085" s="47"/>
      <c r="AV1085" s="47"/>
      <c r="AW1085" s="47"/>
      <c r="AX1085" s="47"/>
      <c r="AY1085" s="47"/>
    </row>
    <row r="1086" spans="1:51" ht="15.75" customHeight="1">
      <c r="A1086" s="500"/>
      <c r="B1086" s="481"/>
      <c r="C1086" s="481"/>
      <c r="D1086" s="47"/>
      <c r="E1086" s="47"/>
      <c r="F1086" s="478"/>
      <c r="G1086" s="479"/>
      <c r="H1086" s="9"/>
      <c r="I1086" s="9"/>
      <c r="J1086" s="505"/>
      <c r="K1086" s="47"/>
      <c r="L1086" s="47"/>
      <c r="M1086" s="47"/>
      <c r="N1086" s="9"/>
      <c r="O1086" s="9"/>
      <c r="P1086" s="9"/>
      <c r="Q1086" s="47"/>
      <c r="R1086" s="47"/>
      <c r="S1086" s="47"/>
      <c r="T1086" s="47"/>
      <c r="U1086" s="47"/>
      <c r="V1086" s="47"/>
      <c r="W1086" s="47"/>
      <c r="X1086" s="47"/>
      <c r="Y1086" s="47"/>
      <c r="Z1086" s="47"/>
      <c r="AA1086" s="47"/>
      <c r="AB1086" s="47"/>
      <c r="AC1086" s="47"/>
      <c r="AD1086" s="47"/>
      <c r="AE1086" s="47"/>
      <c r="AF1086" s="47"/>
      <c r="AG1086" s="47"/>
      <c r="AH1086" s="47"/>
      <c r="AI1086" s="47"/>
      <c r="AJ1086" s="47"/>
      <c r="AK1086" s="47"/>
      <c r="AL1086" s="47"/>
      <c r="AM1086" s="47"/>
      <c r="AN1086" s="47"/>
      <c r="AO1086" s="47"/>
      <c r="AP1086" s="47"/>
      <c r="AQ1086" s="47"/>
      <c r="AR1086" s="47"/>
      <c r="AS1086" s="47"/>
      <c r="AT1086" s="47"/>
      <c r="AU1086" s="47"/>
      <c r="AV1086" s="47"/>
      <c r="AW1086" s="47"/>
      <c r="AX1086" s="47"/>
      <c r="AY1086" s="47"/>
    </row>
    <row r="1087" spans="1:51" ht="15.75" customHeight="1">
      <c r="A1087" s="500"/>
      <c r="B1087" s="481"/>
      <c r="C1087" s="481"/>
      <c r="D1087" s="47"/>
      <c r="E1087" s="47"/>
      <c r="F1087" s="478"/>
      <c r="G1087" s="479"/>
      <c r="H1087" s="9"/>
      <c r="I1087" s="9"/>
      <c r="J1087" s="505"/>
      <c r="K1087" s="47"/>
      <c r="L1087" s="47"/>
      <c r="M1087" s="47"/>
      <c r="N1087" s="9"/>
      <c r="O1087" s="9"/>
      <c r="P1087" s="9"/>
      <c r="Q1087" s="47"/>
      <c r="R1087" s="47"/>
      <c r="S1087" s="47"/>
      <c r="T1087" s="47"/>
      <c r="U1087" s="47"/>
      <c r="V1087" s="47"/>
      <c r="W1087" s="47"/>
      <c r="X1087" s="47"/>
      <c r="Y1087" s="47"/>
      <c r="Z1087" s="47"/>
      <c r="AA1087" s="47"/>
      <c r="AB1087" s="47"/>
      <c r="AC1087" s="47"/>
      <c r="AD1087" s="47"/>
      <c r="AE1087" s="47"/>
      <c r="AF1087" s="47"/>
      <c r="AG1087" s="47"/>
      <c r="AH1087" s="47"/>
      <c r="AI1087" s="47"/>
      <c r="AJ1087" s="47"/>
      <c r="AK1087" s="47"/>
      <c r="AL1087" s="47"/>
      <c r="AM1087" s="47"/>
      <c r="AN1087" s="47"/>
      <c r="AO1087" s="47"/>
      <c r="AP1087" s="47"/>
      <c r="AQ1087" s="47"/>
      <c r="AR1087" s="47"/>
      <c r="AS1087" s="47"/>
      <c r="AT1087" s="47"/>
      <c r="AU1087" s="47"/>
      <c r="AV1087" s="47"/>
      <c r="AW1087" s="47"/>
      <c r="AX1087" s="47"/>
      <c r="AY1087" s="47"/>
    </row>
    <row r="1088" spans="1:51" ht="15.75" customHeight="1">
      <c r="A1088" s="500"/>
      <c r="B1088" s="481"/>
      <c r="C1088" s="481"/>
      <c r="D1088" s="47"/>
      <c r="E1088" s="47"/>
      <c r="F1088" s="478"/>
      <c r="G1088" s="479"/>
      <c r="H1088" s="9"/>
      <c r="I1088" s="9"/>
      <c r="J1088" s="505"/>
      <c r="K1088" s="47"/>
      <c r="L1088" s="47"/>
      <c r="M1088" s="47"/>
      <c r="N1088" s="9"/>
      <c r="O1088" s="9"/>
      <c r="P1088" s="9"/>
      <c r="Q1088" s="47"/>
      <c r="R1088" s="47"/>
      <c r="S1088" s="47"/>
      <c r="T1088" s="47"/>
      <c r="U1088" s="47"/>
      <c r="V1088" s="47"/>
      <c r="W1088" s="47"/>
      <c r="X1088" s="47"/>
      <c r="Y1088" s="47"/>
      <c r="Z1088" s="47"/>
      <c r="AA1088" s="47"/>
      <c r="AB1088" s="47"/>
      <c r="AC1088" s="47"/>
      <c r="AD1088" s="47"/>
      <c r="AE1088" s="47"/>
      <c r="AF1088" s="47"/>
      <c r="AG1088" s="47"/>
      <c r="AH1088" s="47"/>
      <c r="AI1088" s="47"/>
      <c r="AJ1088" s="47"/>
      <c r="AK1088" s="47"/>
      <c r="AL1088" s="47"/>
      <c r="AM1088" s="47"/>
      <c r="AN1088" s="47"/>
      <c r="AO1088" s="47"/>
      <c r="AP1088" s="47"/>
      <c r="AQ1088" s="47"/>
      <c r="AR1088" s="47"/>
      <c r="AS1088" s="47"/>
      <c r="AT1088" s="47"/>
      <c r="AU1088" s="47"/>
      <c r="AV1088" s="47"/>
      <c r="AW1088" s="47"/>
      <c r="AX1088" s="47"/>
      <c r="AY1088" s="47"/>
    </row>
    <row r="1089" spans="1:51" ht="15.75" customHeight="1">
      <c r="A1089" s="500"/>
      <c r="B1089" s="481"/>
      <c r="C1089" s="481"/>
      <c r="D1089" s="47"/>
      <c r="E1089" s="47"/>
      <c r="F1089" s="478"/>
      <c r="G1089" s="479"/>
      <c r="H1089" s="9"/>
      <c r="I1089" s="9"/>
      <c r="J1089" s="505"/>
      <c r="K1089" s="47"/>
      <c r="L1089" s="47"/>
      <c r="M1089" s="47"/>
      <c r="N1089" s="9"/>
      <c r="O1089" s="9"/>
      <c r="P1089" s="9"/>
      <c r="Q1089" s="47"/>
      <c r="R1089" s="47"/>
      <c r="S1089" s="47"/>
      <c r="T1089" s="47"/>
      <c r="U1089" s="47"/>
      <c r="V1089" s="47"/>
      <c r="W1089" s="47"/>
      <c r="X1089" s="47"/>
      <c r="Y1089" s="47"/>
      <c r="Z1089" s="47"/>
      <c r="AA1089" s="47"/>
      <c r="AB1089" s="47"/>
      <c r="AC1089" s="47"/>
      <c r="AD1089" s="47"/>
      <c r="AE1089" s="47"/>
      <c r="AF1089" s="47"/>
      <c r="AG1089" s="47"/>
      <c r="AH1089" s="47"/>
      <c r="AI1089" s="47"/>
      <c r="AJ1089" s="47"/>
      <c r="AK1089" s="47"/>
      <c r="AL1089" s="47"/>
      <c r="AM1089" s="47"/>
      <c r="AN1089" s="47"/>
      <c r="AO1089" s="47"/>
      <c r="AP1089" s="47"/>
      <c r="AQ1089" s="47"/>
      <c r="AR1089" s="47"/>
      <c r="AS1089" s="47"/>
      <c r="AT1089" s="47"/>
      <c r="AU1089" s="47"/>
      <c r="AV1089" s="47"/>
      <c r="AW1089" s="47"/>
      <c r="AX1089" s="47"/>
      <c r="AY1089" s="47"/>
    </row>
    <row r="1090" spans="1:51" ht="15.75" customHeight="1">
      <c r="A1090" s="500"/>
      <c r="B1090" s="481"/>
      <c r="C1090" s="481"/>
      <c r="D1090" s="47"/>
      <c r="E1090" s="47"/>
      <c r="F1090" s="478"/>
      <c r="G1090" s="479"/>
      <c r="H1090" s="9"/>
      <c r="I1090" s="9"/>
      <c r="J1090" s="505"/>
      <c r="K1090" s="47"/>
      <c r="L1090" s="47"/>
      <c r="M1090" s="47"/>
      <c r="N1090" s="9"/>
      <c r="O1090" s="9"/>
      <c r="P1090" s="9"/>
      <c r="Q1090" s="47"/>
      <c r="R1090" s="47"/>
      <c r="S1090" s="47"/>
      <c r="T1090" s="47"/>
      <c r="U1090" s="47"/>
      <c r="V1090" s="47"/>
      <c r="W1090" s="47"/>
      <c r="X1090" s="47"/>
      <c r="Y1090" s="47"/>
      <c r="Z1090" s="47"/>
      <c r="AA1090" s="47"/>
      <c r="AB1090" s="47"/>
      <c r="AC1090" s="47"/>
      <c r="AD1090" s="47"/>
      <c r="AE1090" s="47"/>
      <c r="AF1090" s="47"/>
      <c r="AG1090" s="47"/>
      <c r="AH1090" s="47"/>
      <c r="AI1090" s="47"/>
      <c r="AJ1090" s="47"/>
      <c r="AK1090" s="47"/>
      <c r="AL1090" s="47"/>
      <c r="AM1090" s="47"/>
      <c r="AN1090" s="47"/>
      <c r="AO1090" s="47"/>
      <c r="AP1090" s="47"/>
      <c r="AQ1090" s="47"/>
      <c r="AR1090" s="47"/>
      <c r="AS1090" s="47"/>
      <c r="AT1090" s="47"/>
      <c r="AU1090" s="47"/>
      <c r="AV1090" s="47"/>
      <c r="AW1090" s="47"/>
      <c r="AX1090" s="47"/>
      <c r="AY1090" s="47"/>
    </row>
    <row r="1091" spans="1:51" ht="15.75" customHeight="1">
      <c r="A1091" s="500"/>
      <c r="B1091" s="481"/>
      <c r="C1091" s="481"/>
      <c r="D1091" s="47"/>
      <c r="E1091" s="47"/>
      <c r="F1091" s="478"/>
      <c r="G1091" s="479"/>
      <c r="H1091" s="9"/>
      <c r="I1091" s="9"/>
      <c r="J1091" s="505"/>
      <c r="K1091" s="47"/>
      <c r="L1091" s="47"/>
      <c r="M1091" s="47"/>
      <c r="N1091" s="9"/>
      <c r="O1091" s="9"/>
      <c r="P1091" s="9"/>
      <c r="Q1091" s="47"/>
      <c r="R1091" s="47"/>
      <c r="S1091" s="47"/>
      <c r="T1091" s="47"/>
      <c r="U1091" s="47"/>
      <c r="V1091" s="47"/>
      <c r="W1091" s="47"/>
      <c r="X1091" s="47"/>
      <c r="Y1091" s="47"/>
      <c r="Z1091" s="47"/>
      <c r="AA1091" s="47"/>
      <c r="AB1091" s="47"/>
      <c r="AC1091" s="47"/>
      <c r="AD1091" s="47"/>
      <c r="AE1091" s="47"/>
      <c r="AF1091" s="47"/>
      <c r="AG1091" s="47"/>
      <c r="AH1091" s="47"/>
      <c r="AI1091" s="47"/>
      <c r="AJ1091" s="47"/>
      <c r="AK1091" s="47"/>
      <c r="AL1091" s="47"/>
      <c r="AM1091" s="47"/>
      <c r="AN1091" s="47"/>
      <c r="AO1091" s="47"/>
      <c r="AP1091" s="47"/>
      <c r="AQ1091" s="47"/>
      <c r="AR1091" s="47"/>
      <c r="AS1091" s="47"/>
      <c r="AT1091" s="47"/>
      <c r="AU1091" s="47"/>
      <c r="AV1091" s="47"/>
      <c r="AW1091" s="47"/>
      <c r="AX1091" s="47"/>
      <c r="AY1091" s="47"/>
    </row>
    <row r="1092" spans="1:51" ht="15.75" customHeight="1">
      <c r="A1092" s="500"/>
      <c r="B1092" s="481"/>
      <c r="C1092" s="481"/>
      <c r="D1092" s="47"/>
      <c r="E1092" s="47"/>
      <c r="F1092" s="478"/>
      <c r="G1092" s="479"/>
      <c r="H1092" s="9"/>
      <c r="I1092" s="9"/>
      <c r="J1092" s="505"/>
      <c r="K1092" s="47"/>
      <c r="L1092" s="47"/>
      <c r="M1092" s="47"/>
      <c r="N1092" s="9"/>
      <c r="O1092" s="9"/>
      <c r="P1092" s="9"/>
      <c r="Q1092" s="47"/>
      <c r="R1092" s="47"/>
      <c r="S1092" s="47"/>
      <c r="T1092" s="47"/>
      <c r="U1092" s="47"/>
      <c r="V1092" s="47"/>
      <c r="W1092" s="47"/>
      <c r="X1092" s="47"/>
      <c r="Y1092" s="47"/>
      <c r="Z1092" s="47"/>
      <c r="AA1092" s="47"/>
      <c r="AB1092" s="47"/>
      <c r="AC1092" s="47"/>
      <c r="AD1092" s="47"/>
      <c r="AE1092" s="47"/>
      <c r="AF1092" s="47"/>
      <c r="AG1092" s="47"/>
      <c r="AH1092" s="47"/>
      <c r="AI1092" s="47"/>
      <c r="AJ1092" s="47"/>
      <c r="AK1092" s="47"/>
      <c r="AL1092" s="47"/>
      <c r="AM1092" s="47"/>
      <c r="AN1092" s="47"/>
      <c r="AO1092" s="47"/>
      <c r="AP1092" s="47"/>
      <c r="AQ1092" s="47"/>
      <c r="AR1092" s="47"/>
      <c r="AS1092" s="47"/>
      <c r="AT1092" s="47"/>
      <c r="AU1092" s="47"/>
      <c r="AV1092" s="47"/>
      <c r="AW1092" s="47"/>
      <c r="AX1092" s="47"/>
      <c r="AY1092" s="47"/>
    </row>
    <row r="1093" spans="1:51" ht="15.75" customHeight="1">
      <c r="A1093" s="500"/>
      <c r="B1093" s="481"/>
      <c r="C1093" s="481"/>
      <c r="D1093" s="47"/>
      <c r="E1093" s="47"/>
      <c r="F1093" s="478"/>
      <c r="G1093" s="479"/>
      <c r="H1093" s="9"/>
      <c r="I1093" s="9"/>
      <c r="J1093" s="505"/>
      <c r="K1093" s="47"/>
      <c r="L1093" s="47"/>
      <c r="M1093" s="47"/>
      <c r="N1093" s="9"/>
      <c r="O1093" s="9"/>
      <c r="P1093" s="9"/>
      <c r="Q1093" s="47"/>
      <c r="R1093" s="47"/>
      <c r="S1093" s="47"/>
      <c r="T1093" s="47"/>
      <c r="U1093" s="47"/>
      <c r="V1093" s="47"/>
      <c r="W1093" s="47"/>
      <c r="X1093" s="47"/>
      <c r="Y1093" s="47"/>
      <c r="Z1093" s="47"/>
      <c r="AA1093" s="47"/>
      <c r="AB1093" s="47"/>
      <c r="AC1093" s="47"/>
      <c r="AD1093" s="47"/>
      <c r="AE1093" s="47"/>
      <c r="AF1093" s="47"/>
      <c r="AG1093" s="47"/>
      <c r="AH1093" s="47"/>
      <c r="AI1093" s="47"/>
      <c r="AJ1093" s="47"/>
      <c r="AK1093" s="47"/>
      <c r="AL1093" s="47"/>
      <c r="AM1093" s="47"/>
      <c r="AN1093" s="47"/>
      <c r="AO1093" s="47"/>
      <c r="AP1093" s="47"/>
      <c r="AQ1093" s="47"/>
      <c r="AR1093" s="47"/>
      <c r="AS1093" s="47"/>
      <c r="AT1093" s="47"/>
      <c r="AU1093" s="47"/>
      <c r="AV1093" s="47"/>
      <c r="AW1093" s="47"/>
      <c r="AX1093" s="47"/>
      <c r="AY1093" s="47"/>
    </row>
    <row r="1094" spans="1:51" ht="15.75" customHeight="1">
      <c r="A1094" s="500"/>
      <c r="B1094" s="481"/>
      <c r="C1094" s="481"/>
      <c r="D1094" s="47"/>
      <c r="E1094" s="47"/>
      <c r="F1094" s="478"/>
      <c r="G1094" s="479"/>
      <c r="H1094" s="9"/>
      <c r="I1094" s="10"/>
      <c r="J1094" s="505"/>
      <c r="K1094" s="47"/>
      <c r="L1094" s="47"/>
      <c r="M1094" s="47"/>
      <c r="N1094" s="9"/>
      <c r="O1094" s="9"/>
      <c r="P1094" s="9"/>
      <c r="Q1094" s="47"/>
      <c r="R1094" s="47"/>
      <c r="S1094" s="47"/>
      <c r="T1094" s="47"/>
      <c r="U1094" s="47"/>
      <c r="V1094" s="47"/>
      <c r="W1094" s="47"/>
      <c r="X1094" s="47"/>
      <c r="Y1094" s="47"/>
      <c r="Z1094" s="47"/>
      <c r="AA1094" s="47"/>
      <c r="AB1094" s="47"/>
      <c r="AC1094" s="47"/>
      <c r="AD1094" s="47"/>
      <c r="AE1094" s="47"/>
      <c r="AF1094" s="47"/>
      <c r="AG1094" s="47"/>
      <c r="AH1094" s="47"/>
      <c r="AI1094" s="47"/>
      <c r="AJ1094" s="47"/>
      <c r="AK1094" s="47"/>
      <c r="AL1094" s="47"/>
      <c r="AM1094" s="47"/>
      <c r="AN1094" s="47"/>
      <c r="AO1094" s="47"/>
      <c r="AP1094" s="47"/>
      <c r="AQ1094" s="47"/>
      <c r="AR1094" s="47"/>
      <c r="AS1094" s="47"/>
      <c r="AT1094" s="47"/>
      <c r="AU1094" s="47"/>
      <c r="AV1094" s="47"/>
      <c r="AW1094" s="47"/>
      <c r="AX1094" s="47"/>
      <c r="AY1094" s="47"/>
    </row>
    <row r="1095" spans="1:51" ht="15.75" customHeight="1">
      <c r="A1095" s="500"/>
      <c r="B1095" s="481"/>
      <c r="C1095" s="481"/>
      <c r="D1095" s="47"/>
      <c r="E1095" s="47"/>
      <c r="F1095" s="478"/>
      <c r="G1095" s="479"/>
      <c r="H1095" s="9"/>
      <c r="I1095" s="10"/>
      <c r="J1095" s="505"/>
      <c r="K1095" s="47"/>
      <c r="L1095" s="47"/>
      <c r="M1095" s="47"/>
      <c r="N1095" s="9"/>
      <c r="O1095" s="9"/>
      <c r="P1095" s="9"/>
      <c r="Q1095" s="47"/>
      <c r="R1095" s="47"/>
      <c r="S1095" s="47"/>
      <c r="T1095" s="47"/>
      <c r="U1095" s="47"/>
      <c r="V1095" s="47"/>
      <c r="W1095" s="47"/>
      <c r="X1095" s="47"/>
      <c r="Y1095" s="47"/>
      <c r="Z1095" s="47"/>
      <c r="AA1095" s="47"/>
      <c r="AB1095" s="47"/>
      <c r="AC1095" s="47"/>
      <c r="AD1095" s="47"/>
      <c r="AE1095" s="47"/>
      <c r="AF1095" s="47"/>
      <c r="AG1095" s="47"/>
      <c r="AH1095" s="47"/>
      <c r="AI1095" s="47"/>
      <c r="AJ1095" s="47"/>
      <c r="AK1095" s="47"/>
      <c r="AL1095" s="47"/>
      <c r="AM1095" s="47"/>
      <c r="AN1095" s="47"/>
      <c r="AO1095" s="47"/>
      <c r="AP1095" s="47"/>
      <c r="AQ1095" s="47"/>
      <c r="AR1095" s="47"/>
      <c r="AS1095" s="47"/>
      <c r="AT1095" s="47"/>
      <c r="AU1095" s="47"/>
      <c r="AV1095" s="47"/>
      <c r="AW1095" s="47"/>
      <c r="AX1095" s="47"/>
      <c r="AY1095" s="47"/>
    </row>
    <row r="1096" spans="1:51" ht="15.75" customHeight="1">
      <c r="A1096" s="500"/>
      <c r="B1096" s="481"/>
      <c r="C1096" s="481"/>
      <c r="D1096" s="47"/>
      <c r="E1096" s="47"/>
      <c r="F1096" s="478"/>
      <c r="G1096" s="479"/>
      <c r="H1096" s="9"/>
      <c r="I1096" s="10"/>
      <c r="J1096" s="505"/>
      <c r="K1096" s="47"/>
      <c r="L1096" s="47"/>
      <c r="M1096" s="47"/>
      <c r="N1096" s="9"/>
      <c r="O1096" s="9"/>
      <c r="P1096" s="9"/>
      <c r="Q1096" s="47"/>
      <c r="R1096" s="47"/>
      <c r="S1096" s="47"/>
      <c r="T1096" s="47"/>
      <c r="U1096" s="47"/>
      <c r="V1096" s="47"/>
      <c r="W1096" s="47"/>
      <c r="X1096" s="47"/>
      <c r="Y1096" s="47"/>
      <c r="Z1096" s="47"/>
      <c r="AA1096" s="47"/>
      <c r="AB1096" s="47"/>
      <c r="AC1096" s="47"/>
      <c r="AD1096" s="47"/>
      <c r="AE1096" s="47"/>
      <c r="AF1096" s="47"/>
      <c r="AG1096" s="47"/>
      <c r="AH1096" s="47"/>
      <c r="AI1096" s="47"/>
      <c r="AJ1096" s="47"/>
      <c r="AK1096" s="47"/>
      <c r="AL1096" s="47"/>
      <c r="AM1096" s="47"/>
      <c r="AN1096" s="47"/>
      <c r="AO1096" s="47"/>
      <c r="AP1096" s="47"/>
      <c r="AQ1096" s="47"/>
      <c r="AR1096" s="47"/>
      <c r="AS1096" s="47"/>
      <c r="AT1096" s="47"/>
      <c r="AU1096" s="47"/>
      <c r="AV1096" s="47"/>
      <c r="AW1096" s="47"/>
      <c r="AX1096" s="47"/>
      <c r="AY1096" s="47"/>
    </row>
    <row r="1097" spans="1:51" ht="15.75" customHeight="1">
      <c r="A1097" s="500"/>
      <c r="B1097" s="481"/>
      <c r="C1097" s="481"/>
      <c r="D1097" s="47"/>
      <c r="E1097" s="47"/>
      <c r="F1097" s="478"/>
      <c r="G1097" s="479"/>
      <c r="H1097" s="9"/>
      <c r="I1097" s="9"/>
      <c r="J1097" s="505"/>
      <c r="K1097" s="47"/>
      <c r="L1097" s="47"/>
      <c r="M1097" s="47"/>
      <c r="N1097" s="9"/>
      <c r="O1097" s="9"/>
      <c r="P1097" s="9"/>
      <c r="Q1097" s="47"/>
      <c r="R1097" s="47"/>
      <c r="S1097" s="47"/>
      <c r="T1097" s="47"/>
      <c r="U1097" s="47"/>
      <c r="V1097" s="47"/>
      <c r="W1097" s="47"/>
      <c r="X1097" s="47"/>
      <c r="Y1097" s="47"/>
      <c r="Z1097" s="47"/>
      <c r="AA1097" s="47"/>
      <c r="AB1097" s="47"/>
      <c r="AC1097" s="47"/>
      <c r="AD1097" s="47"/>
      <c r="AE1097" s="47"/>
      <c r="AF1097" s="47"/>
      <c r="AG1097" s="47"/>
      <c r="AH1097" s="47"/>
      <c r="AI1097" s="47"/>
      <c r="AJ1097" s="47"/>
      <c r="AK1097" s="47"/>
      <c r="AL1097" s="47"/>
      <c r="AM1097" s="47"/>
      <c r="AN1097" s="47"/>
      <c r="AO1097" s="47"/>
      <c r="AP1097" s="47"/>
      <c r="AQ1097" s="47"/>
      <c r="AR1097" s="47"/>
      <c r="AS1097" s="47"/>
      <c r="AT1097" s="47"/>
      <c r="AU1097" s="47"/>
      <c r="AV1097" s="47"/>
      <c r="AW1097" s="47"/>
      <c r="AX1097" s="47"/>
      <c r="AY1097" s="47"/>
    </row>
    <row r="1098" spans="1:51" ht="15.75" customHeight="1">
      <c r="A1098" s="500"/>
      <c r="B1098" s="481"/>
      <c r="C1098" s="481"/>
      <c r="D1098" s="47"/>
      <c r="E1098" s="47"/>
      <c r="F1098" s="478"/>
      <c r="G1098" s="479"/>
      <c r="H1098" s="9"/>
      <c r="I1098" s="10"/>
      <c r="J1098" s="505"/>
      <c r="K1098" s="47"/>
      <c r="L1098" s="47"/>
      <c r="M1098" s="47"/>
      <c r="N1098" s="9"/>
      <c r="O1098" s="9"/>
      <c r="P1098" s="9"/>
      <c r="Q1098" s="47"/>
      <c r="R1098" s="47"/>
      <c r="S1098" s="47"/>
      <c r="T1098" s="47"/>
      <c r="U1098" s="47"/>
      <c r="V1098" s="47"/>
      <c r="W1098" s="47"/>
      <c r="X1098" s="47"/>
      <c r="Y1098" s="47"/>
      <c r="Z1098" s="47"/>
      <c r="AA1098" s="47"/>
      <c r="AB1098" s="47"/>
      <c r="AC1098" s="47"/>
      <c r="AD1098" s="47"/>
      <c r="AE1098" s="47"/>
      <c r="AF1098" s="47"/>
      <c r="AG1098" s="47"/>
      <c r="AH1098" s="47"/>
      <c r="AI1098" s="47"/>
      <c r="AJ1098" s="47"/>
      <c r="AK1098" s="47"/>
      <c r="AL1098" s="47"/>
      <c r="AM1098" s="47"/>
      <c r="AN1098" s="47"/>
      <c r="AO1098" s="47"/>
      <c r="AP1098" s="47"/>
      <c r="AQ1098" s="47"/>
      <c r="AR1098" s="47"/>
      <c r="AS1098" s="47"/>
      <c r="AT1098" s="47"/>
      <c r="AU1098" s="47"/>
      <c r="AV1098" s="47"/>
      <c r="AW1098" s="47"/>
      <c r="AX1098" s="47"/>
      <c r="AY1098" s="47"/>
    </row>
    <row r="1099" spans="1:51" ht="15.75" customHeight="1">
      <c r="A1099" s="500"/>
      <c r="B1099" s="481"/>
      <c r="C1099" s="481"/>
      <c r="D1099" s="47"/>
      <c r="E1099" s="47"/>
      <c r="F1099" s="478"/>
      <c r="G1099" s="479"/>
      <c r="H1099" s="9"/>
      <c r="I1099" s="9"/>
      <c r="J1099" s="505"/>
      <c r="K1099" s="47"/>
      <c r="L1099" s="47"/>
      <c r="M1099" s="47"/>
      <c r="N1099" s="9"/>
      <c r="O1099" s="9"/>
      <c r="P1099" s="9"/>
      <c r="Q1099" s="47"/>
      <c r="R1099" s="47"/>
      <c r="S1099" s="47"/>
      <c r="T1099" s="47"/>
      <c r="U1099" s="47"/>
      <c r="V1099" s="47"/>
      <c r="W1099" s="47"/>
      <c r="X1099" s="47"/>
      <c r="Y1099" s="47"/>
      <c r="Z1099" s="47"/>
      <c r="AA1099" s="47"/>
      <c r="AB1099" s="47"/>
      <c r="AC1099" s="47"/>
      <c r="AD1099" s="47"/>
      <c r="AE1099" s="47"/>
      <c r="AF1099" s="47"/>
      <c r="AG1099" s="47"/>
      <c r="AH1099" s="47"/>
      <c r="AI1099" s="47"/>
      <c r="AJ1099" s="47"/>
      <c r="AK1099" s="47"/>
      <c r="AL1099" s="47"/>
      <c r="AM1099" s="47"/>
      <c r="AN1099" s="47"/>
      <c r="AO1099" s="47"/>
      <c r="AP1099" s="47"/>
      <c r="AQ1099" s="47"/>
      <c r="AR1099" s="47"/>
      <c r="AS1099" s="47"/>
      <c r="AT1099" s="47"/>
      <c r="AU1099" s="47"/>
      <c r="AV1099" s="47"/>
      <c r="AW1099" s="47"/>
      <c r="AX1099" s="47"/>
      <c r="AY1099" s="47"/>
    </row>
    <row r="1100" spans="1:51" ht="15.75" customHeight="1">
      <c r="A1100" s="500"/>
      <c r="B1100" s="481"/>
      <c r="C1100" s="481"/>
      <c r="D1100" s="47"/>
      <c r="E1100" s="47"/>
      <c r="F1100" s="478"/>
      <c r="G1100" s="479"/>
      <c r="H1100" s="9"/>
      <c r="I1100" s="10"/>
      <c r="J1100" s="505"/>
      <c r="K1100" s="47"/>
      <c r="L1100" s="47"/>
      <c r="M1100" s="47"/>
      <c r="N1100" s="9"/>
      <c r="O1100" s="9"/>
      <c r="P1100" s="9"/>
      <c r="Q1100" s="47"/>
      <c r="R1100" s="47"/>
      <c r="S1100" s="47"/>
      <c r="T1100" s="47"/>
      <c r="U1100" s="47"/>
      <c r="V1100" s="47"/>
      <c r="W1100" s="47"/>
      <c r="X1100" s="47"/>
      <c r="Y1100" s="47"/>
      <c r="Z1100" s="47"/>
      <c r="AA1100" s="47"/>
      <c r="AB1100" s="47"/>
      <c r="AC1100" s="47"/>
      <c r="AD1100" s="47"/>
      <c r="AE1100" s="47"/>
      <c r="AF1100" s="47"/>
      <c r="AG1100" s="47"/>
      <c r="AH1100" s="47"/>
      <c r="AI1100" s="47"/>
      <c r="AJ1100" s="47"/>
      <c r="AK1100" s="47"/>
      <c r="AL1100" s="47"/>
      <c r="AM1100" s="47"/>
      <c r="AN1100" s="47"/>
      <c r="AO1100" s="47"/>
      <c r="AP1100" s="47"/>
      <c r="AQ1100" s="47"/>
      <c r="AR1100" s="47"/>
      <c r="AS1100" s="47"/>
      <c r="AT1100" s="47"/>
      <c r="AU1100" s="47"/>
      <c r="AV1100" s="47"/>
      <c r="AW1100" s="47"/>
      <c r="AX1100" s="47"/>
      <c r="AY1100" s="47"/>
    </row>
    <row r="1101" spans="1:51" ht="15.75" customHeight="1">
      <c r="A1101" s="500"/>
      <c r="B1101" s="481"/>
      <c r="C1101" s="481"/>
      <c r="D1101" s="47"/>
      <c r="E1101" s="47"/>
      <c r="F1101" s="478"/>
      <c r="G1101" s="479"/>
      <c r="H1101" s="9"/>
      <c r="I1101" s="9"/>
      <c r="J1101" s="505"/>
      <c r="K1101" s="47"/>
      <c r="L1101" s="47"/>
      <c r="M1101" s="47"/>
      <c r="N1101" s="9"/>
      <c r="O1101" s="9"/>
      <c r="P1101" s="9"/>
      <c r="Q1101" s="47"/>
      <c r="R1101" s="47"/>
      <c r="S1101" s="47"/>
      <c r="T1101" s="47"/>
      <c r="U1101" s="47"/>
      <c r="V1101" s="47"/>
      <c r="W1101" s="47"/>
      <c r="X1101" s="47"/>
      <c r="Y1101" s="47"/>
      <c r="Z1101" s="47"/>
      <c r="AA1101" s="47"/>
      <c r="AB1101" s="47"/>
      <c r="AC1101" s="47"/>
      <c r="AD1101" s="47"/>
      <c r="AE1101" s="47"/>
      <c r="AF1101" s="47"/>
      <c r="AG1101" s="47"/>
      <c r="AH1101" s="47"/>
      <c r="AI1101" s="47"/>
      <c r="AJ1101" s="47"/>
      <c r="AK1101" s="47"/>
      <c r="AL1101" s="47"/>
      <c r="AM1101" s="47"/>
      <c r="AN1101" s="47"/>
      <c r="AO1101" s="47"/>
      <c r="AP1101" s="47"/>
      <c r="AQ1101" s="47"/>
      <c r="AR1101" s="47"/>
      <c r="AS1101" s="47"/>
      <c r="AT1101" s="47"/>
      <c r="AU1101" s="47"/>
      <c r="AV1101" s="47"/>
      <c r="AW1101" s="47"/>
      <c r="AX1101" s="47"/>
      <c r="AY1101" s="47"/>
    </row>
    <row r="1102" spans="1:51" ht="15.75" customHeight="1">
      <c r="A1102" s="500"/>
      <c r="B1102" s="481"/>
      <c r="C1102" s="481"/>
      <c r="D1102" s="47"/>
      <c r="E1102" s="47"/>
      <c r="F1102" s="478"/>
      <c r="G1102" s="479"/>
      <c r="H1102" s="9"/>
      <c r="I1102" s="10"/>
      <c r="J1102" s="505"/>
      <c r="K1102" s="47"/>
      <c r="L1102" s="47"/>
      <c r="M1102" s="47"/>
      <c r="N1102" s="9"/>
      <c r="O1102" s="9"/>
      <c r="P1102" s="9"/>
      <c r="Q1102" s="47"/>
      <c r="R1102" s="47"/>
      <c r="S1102" s="47"/>
      <c r="T1102" s="47"/>
      <c r="U1102" s="47"/>
      <c r="V1102" s="47"/>
      <c r="W1102" s="47"/>
      <c r="X1102" s="47"/>
      <c r="Y1102" s="47"/>
      <c r="Z1102" s="47"/>
      <c r="AA1102" s="47"/>
      <c r="AB1102" s="47"/>
      <c r="AC1102" s="47"/>
      <c r="AD1102" s="47"/>
      <c r="AE1102" s="47"/>
      <c r="AF1102" s="47"/>
      <c r="AG1102" s="47"/>
      <c r="AH1102" s="47"/>
      <c r="AI1102" s="47"/>
      <c r="AJ1102" s="47"/>
      <c r="AK1102" s="47"/>
      <c r="AL1102" s="47"/>
      <c r="AM1102" s="47"/>
      <c r="AN1102" s="47"/>
      <c r="AO1102" s="47"/>
      <c r="AP1102" s="47"/>
      <c r="AQ1102" s="47"/>
      <c r="AR1102" s="47"/>
      <c r="AS1102" s="47"/>
      <c r="AT1102" s="47"/>
      <c r="AU1102" s="47"/>
      <c r="AV1102" s="47"/>
      <c r="AW1102" s="47"/>
      <c r="AX1102" s="47"/>
      <c r="AY1102" s="47"/>
    </row>
    <row r="1103" spans="1:51" ht="15.75" customHeight="1">
      <c r="A1103" s="500"/>
      <c r="B1103" s="477"/>
      <c r="C1103" s="481"/>
      <c r="D1103" s="47"/>
      <c r="E1103" s="47"/>
      <c r="F1103" s="478"/>
      <c r="G1103" s="479"/>
      <c r="H1103" s="9"/>
      <c r="I1103" s="9"/>
      <c r="J1103" s="505"/>
      <c r="K1103" s="47"/>
      <c r="L1103" s="47"/>
      <c r="M1103" s="47"/>
      <c r="N1103" s="9"/>
      <c r="O1103" s="9"/>
      <c r="P1103" s="9"/>
      <c r="Q1103" s="47"/>
      <c r="R1103" s="47"/>
      <c r="S1103" s="47"/>
      <c r="T1103" s="47"/>
      <c r="U1103" s="47"/>
      <c r="V1103" s="47"/>
      <c r="W1103" s="47"/>
      <c r="X1103" s="47"/>
      <c r="Y1103" s="47"/>
      <c r="Z1103" s="47"/>
      <c r="AA1103" s="47"/>
      <c r="AB1103" s="47"/>
      <c r="AC1103" s="47"/>
      <c r="AD1103" s="47"/>
      <c r="AE1103" s="47"/>
      <c r="AF1103" s="47"/>
      <c r="AG1103" s="47"/>
      <c r="AH1103" s="47"/>
      <c r="AI1103" s="47"/>
      <c r="AJ1103" s="47"/>
      <c r="AK1103" s="47"/>
      <c r="AL1103" s="47"/>
      <c r="AM1103" s="47"/>
      <c r="AN1103" s="47"/>
      <c r="AO1103" s="47"/>
      <c r="AP1103" s="47"/>
      <c r="AQ1103" s="47"/>
      <c r="AR1103" s="47"/>
      <c r="AS1103" s="47"/>
      <c r="AT1103" s="47"/>
      <c r="AU1103" s="47"/>
      <c r="AV1103" s="47"/>
      <c r="AW1103" s="47"/>
      <c r="AX1103" s="47"/>
      <c r="AY1103" s="47"/>
    </row>
    <row r="1104" spans="1:51" ht="15.75" customHeight="1">
      <c r="A1104" s="500"/>
      <c r="B1104" s="477"/>
      <c r="C1104" s="481"/>
      <c r="D1104" s="47"/>
      <c r="E1104" s="47"/>
      <c r="F1104" s="478"/>
      <c r="G1104" s="479"/>
      <c r="H1104" s="9"/>
      <c r="I1104" s="10"/>
      <c r="J1104" s="505"/>
      <c r="K1104" s="47"/>
      <c r="L1104" s="47"/>
      <c r="M1104" s="47"/>
      <c r="N1104" s="9"/>
      <c r="O1104" s="9"/>
      <c r="P1104" s="9"/>
      <c r="Q1104" s="47"/>
      <c r="R1104" s="47"/>
      <c r="S1104" s="47"/>
      <c r="T1104" s="47"/>
      <c r="U1104" s="47"/>
      <c r="V1104" s="47"/>
      <c r="W1104" s="47"/>
      <c r="X1104" s="47"/>
      <c r="Y1104" s="47"/>
      <c r="Z1104" s="47"/>
      <c r="AA1104" s="47"/>
      <c r="AB1104" s="47"/>
      <c r="AC1104" s="47"/>
      <c r="AD1104" s="47"/>
      <c r="AE1104" s="47"/>
      <c r="AF1104" s="47"/>
      <c r="AG1104" s="47"/>
      <c r="AH1104" s="47"/>
      <c r="AI1104" s="47"/>
      <c r="AJ1104" s="47"/>
      <c r="AK1104" s="47"/>
      <c r="AL1104" s="47"/>
      <c r="AM1104" s="47"/>
      <c r="AN1104" s="47"/>
      <c r="AO1104" s="47"/>
      <c r="AP1104" s="47"/>
      <c r="AQ1104" s="47"/>
      <c r="AR1104" s="47"/>
      <c r="AS1104" s="47"/>
      <c r="AT1104" s="47"/>
      <c r="AU1104" s="47"/>
      <c r="AV1104" s="47"/>
      <c r="AW1104" s="47"/>
      <c r="AX1104" s="47"/>
      <c r="AY1104" s="47"/>
    </row>
    <row r="1105" spans="1:51" ht="15.75" customHeight="1">
      <c r="A1105" s="500"/>
      <c r="B1105" s="477"/>
      <c r="C1105" s="481"/>
      <c r="D1105" s="47"/>
      <c r="E1105" s="47"/>
      <c r="F1105" s="478"/>
      <c r="G1105" s="479"/>
      <c r="H1105" s="9"/>
      <c r="I1105" s="9"/>
      <c r="J1105" s="505"/>
      <c r="K1105" s="47"/>
      <c r="L1105" s="47"/>
      <c r="M1105" s="47"/>
      <c r="N1105" s="9"/>
      <c r="O1105" s="9"/>
      <c r="P1105" s="9"/>
      <c r="Q1105" s="47"/>
      <c r="R1105" s="47"/>
      <c r="S1105" s="47"/>
      <c r="T1105" s="47"/>
      <c r="U1105" s="47"/>
      <c r="V1105" s="47"/>
      <c r="W1105" s="47"/>
      <c r="X1105" s="47"/>
      <c r="Y1105" s="47"/>
      <c r="Z1105" s="47"/>
      <c r="AA1105" s="47"/>
      <c r="AB1105" s="47"/>
      <c r="AC1105" s="47"/>
      <c r="AD1105" s="47"/>
      <c r="AE1105" s="47"/>
      <c r="AF1105" s="47"/>
      <c r="AG1105" s="47"/>
      <c r="AH1105" s="47"/>
      <c r="AI1105" s="47"/>
      <c r="AJ1105" s="47"/>
      <c r="AK1105" s="47"/>
      <c r="AL1105" s="47"/>
      <c r="AM1105" s="47"/>
      <c r="AN1105" s="47"/>
      <c r="AO1105" s="47"/>
      <c r="AP1105" s="47"/>
      <c r="AQ1105" s="47"/>
      <c r="AR1105" s="47"/>
      <c r="AS1105" s="47"/>
      <c r="AT1105" s="47"/>
      <c r="AU1105" s="47"/>
      <c r="AV1105" s="47"/>
      <c r="AW1105" s="47"/>
      <c r="AX1105" s="47"/>
      <c r="AY1105" s="47"/>
    </row>
    <row r="1106" spans="1:51" ht="15.75" customHeight="1">
      <c r="A1106" s="500"/>
      <c r="B1106" s="477"/>
      <c r="C1106" s="481"/>
      <c r="D1106" s="47"/>
      <c r="E1106" s="47"/>
      <c r="F1106" s="478"/>
      <c r="G1106" s="479"/>
      <c r="H1106" s="9"/>
      <c r="I1106" s="9"/>
      <c r="J1106" s="505"/>
      <c r="K1106" s="47"/>
      <c r="L1106" s="47"/>
      <c r="M1106" s="47"/>
      <c r="N1106" s="9"/>
      <c r="O1106" s="9"/>
      <c r="P1106" s="9"/>
      <c r="Q1106" s="47"/>
      <c r="R1106" s="47"/>
      <c r="S1106" s="47"/>
      <c r="T1106" s="47"/>
      <c r="U1106" s="47"/>
      <c r="V1106" s="47"/>
      <c r="W1106" s="47"/>
      <c r="X1106" s="47"/>
      <c r="Y1106" s="47"/>
      <c r="Z1106" s="47"/>
      <c r="AA1106" s="47"/>
      <c r="AB1106" s="47"/>
      <c r="AC1106" s="47"/>
      <c r="AD1106" s="47"/>
      <c r="AE1106" s="47"/>
      <c r="AF1106" s="47"/>
      <c r="AG1106" s="47"/>
      <c r="AH1106" s="47"/>
      <c r="AI1106" s="47"/>
      <c r="AJ1106" s="47"/>
      <c r="AK1106" s="47"/>
      <c r="AL1106" s="47"/>
      <c r="AM1106" s="47"/>
      <c r="AN1106" s="47"/>
      <c r="AO1106" s="47"/>
      <c r="AP1106" s="47"/>
      <c r="AQ1106" s="47"/>
      <c r="AR1106" s="47"/>
      <c r="AS1106" s="47"/>
      <c r="AT1106" s="47"/>
      <c r="AU1106" s="47"/>
      <c r="AV1106" s="47"/>
      <c r="AW1106" s="47"/>
      <c r="AX1106" s="47"/>
      <c r="AY1106" s="47"/>
    </row>
    <row r="1107" spans="1:51" ht="15.75" customHeight="1">
      <c r="A1107" s="500"/>
      <c r="B1107" s="477"/>
      <c r="C1107" s="481"/>
      <c r="D1107" s="47"/>
      <c r="E1107" s="47"/>
      <c r="F1107" s="478"/>
      <c r="G1107" s="479"/>
      <c r="H1107" s="9"/>
      <c r="I1107" s="9"/>
      <c r="J1107" s="505"/>
      <c r="K1107" s="47"/>
      <c r="L1107" s="47"/>
      <c r="M1107" s="47"/>
      <c r="N1107" s="9"/>
      <c r="O1107" s="9"/>
      <c r="P1107" s="9"/>
      <c r="Q1107" s="47"/>
      <c r="R1107" s="47"/>
      <c r="S1107" s="47"/>
      <c r="T1107" s="47"/>
      <c r="U1107" s="47"/>
      <c r="V1107" s="47"/>
      <c r="W1107" s="47"/>
      <c r="X1107" s="47"/>
      <c r="Y1107" s="47"/>
      <c r="Z1107" s="47"/>
      <c r="AA1107" s="47"/>
      <c r="AB1107" s="47"/>
      <c r="AC1107" s="47"/>
      <c r="AD1107" s="47"/>
      <c r="AE1107" s="47"/>
      <c r="AF1107" s="47"/>
      <c r="AG1107" s="47"/>
      <c r="AH1107" s="47"/>
      <c r="AI1107" s="47"/>
      <c r="AJ1107" s="47"/>
      <c r="AK1107" s="47"/>
      <c r="AL1107" s="47"/>
      <c r="AM1107" s="47"/>
      <c r="AN1107" s="47"/>
      <c r="AO1107" s="47"/>
      <c r="AP1107" s="47"/>
      <c r="AQ1107" s="47"/>
      <c r="AR1107" s="47"/>
      <c r="AS1107" s="47"/>
      <c r="AT1107" s="47"/>
      <c r="AU1107" s="47"/>
      <c r="AV1107" s="47"/>
      <c r="AW1107" s="47"/>
      <c r="AX1107" s="47"/>
      <c r="AY1107" s="47"/>
    </row>
    <row r="1108" spans="1:51" ht="15.75" customHeight="1">
      <c r="A1108" s="500"/>
      <c r="B1108" s="477"/>
      <c r="C1108" s="481"/>
      <c r="D1108" s="47"/>
      <c r="E1108" s="47"/>
      <c r="F1108" s="478"/>
      <c r="G1108" s="479"/>
      <c r="H1108" s="9"/>
      <c r="I1108" s="10"/>
      <c r="J1108" s="505"/>
      <c r="K1108" s="47"/>
      <c r="L1108" s="47"/>
      <c r="M1108" s="47"/>
      <c r="N1108" s="9"/>
      <c r="O1108" s="9"/>
      <c r="P1108" s="9"/>
      <c r="Q1108" s="47"/>
      <c r="R1108" s="47"/>
      <c r="S1108" s="47"/>
      <c r="T1108" s="47"/>
      <c r="U1108" s="47"/>
      <c r="V1108" s="47"/>
      <c r="W1108" s="47"/>
      <c r="X1108" s="47"/>
      <c r="Y1108" s="47"/>
      <c r="Z1108" s="47"/>
      <c r="AA1108" s="47"/>
      <c r="AB1108" s="47"/>
      <c r="AC1108" s="47"/>
      <c r="AD1108" s="47"/>
      <c r="AE1108" s="47"/>
      <c r="AF1108" s="47"/>
      <c r="AG1108" s="47"/>
      <c r="AH1108" s="47"/>
      <c r="AI1108" s="47"/>
      <c r="AJ1108" s="47"/>
      <c r="AK1108" s="47"/>
      <c r="AL1108" s="47"/>
      <c r="AM1108" s="47"/>
      <c r="AN1108" s="47"/>
      <c r="AO1108" s="47"/>
      <c r="AP1108" s="47"/>
      <c r="AQ1108" s="47"/>
      <c r="AR1108" s="47"/>
      <c r="AS1108" s="47"/>
      <c r="AT1108" s="47"/>
      <c r="AU1108" s="47"/>
      <c r="AV1108" s="47"/>
      <c r="AW1108" s="47"/>
      <c r="AX1108" s="47"/>
      <c r="AY1108" s="47"/>
    </row>
    <row r="1109" spans="1:51" ht="15.75" customHeight="1">
      <c r="A1109" s="500"/>
      <c r="B1109" s="477"/>
      <c r="C1109" s="481"/>
      <c r="D1109" s="47"/>
      <c r="E1109" s="47"/>
      <c r="F1109" s="478"/>
      <c r="G1109" s="479"/>
      <c r="H1109" s="9"/>
      <c r="I1109" s="10"/>
      <c r="J1109" s="505"/>
      <c r="K1109" s="47"/>
      <c r="L1109" s="47"/>
      <c r="M1109" s="47"/>
      <c r="N1109" s="9"/>
      <c r="O1109" s="9"/>
      <c r="P1109" s="9"/>
      <c r="Q1109" s="47"/>
      <c r="R1109" s="47"/>
      <c r="S1109" s="47"/>
      <c r="T1109" s="47"/>
      <c r="U1109" s="47"/>
      <c r="V1109" s="47"/>
      <c r="W1109" s="47"/>
      <c r="X1109" s="47"/>
      <c r="Y1109" s="47"/>
      <c r="Z1109" s="47"/>
      <c r="AA1109" s="47"/>
      <c r="AB1109" s="47"/>
      <c r="AC1109" s="47"/>
      <c r="AD1109" s="47"/>
      <c r="AE1109" s="47"/>
      <c r="AF1109" s="47"/>
      <c r="AG1109" s="47"/>
      <c r="AH1109" s="47"/>
      <c r="AI1109" s="47"/>
      <c r="AJ1109" s="47"/>
      <c r="AK1109" s="47"/>
      <c r="AL1109" s="47"/>
      <c r="AM1109" s="47"/>
      <c r="AN1109" s="47"/>
      <c r="AO1109" s="47"/>
      <c r="AP1109" s="47"/>
      <c r="AQ1109" s="47"/>
      <c r="AR1109" s="47"/>
      <c r="AS1109" s="47"/>
      <c r="AT1109" s="47"/>
      <c r="AU1109" s="47"/>
      <c r="AV1109" s="47"/>
      <c r="AW1109" s="47"/>
      <c r="AX1109" s="47"/>
      <c r="AY1109" s="47"/>
    </row>
    <row r="1110" spans="1:51" ht="15.75" customHeight="1">
      <c r="A1110" s="500"/>
      <c r="B1110" s="477"/>
      <c r="C1110" s="481"/>
      <c r="D1110" s="47"/>
      <c r="E1110" s="47"/>
      <c r="F1110" s="478"/>
      <c r="G1110" s="479"/>
      <c r="H1110" s="9"/>
      <c r="I1110" s="10"/>
      <c r="J1110" s="505"/>
      <c r="K1110" s="47"/>
      <c r="L1110" s="47"/>
      <c r="M1110" s="47"/>
      <c r="N1110" s="9"/>
      <c r="O1110" s="9"/>
      <c r="P1110" s="9"/>
      <c r="Q1110" s="47"/>
      <c r="R1110" s="47"/>
      <c r="S1110" s="47"/>
      <c r="T1110" s="47"/>
      <c r="U1110" s="47"/>
      <c r="V1110" s="47"/>
      <c r="W1110" s="47"/>
      <c r="X1110" s="47"/>
      <c r="Y1110" s="47"/>
      <c r="Z1110" s="47"/>
      <c r="AA1110" s="47"/>
      <c r="AB1110" s="47"/>
      <c r="AC1110" s="47"/>
      <c r="AD1110" s="47"/>
      <c r="AE1110" s="47"/>
      <c r="AF1110" s="47"/>
      <c r="AG1110" s="47"/>
      <c r="AH1110" s="47"/>
      <c r="AI1110" s="47"/>
      <c r="AJ1110" s="47"/>
      <c r="AK1110" s="47"/>
      <c r="AL1110" s="47"/>
      <c r="AM1110" s="47"/>
      <c r="AN1110" s="47"/>
      <c r="AO1110" s="47"/>
      <c r="AP1110" s="47"/>
      <c r="AQ1110" s="47"/>
      <c r="AR1110" s="47"/>
      <c r="AS1110" s="47"/>
      <c r="AT1110" s="47"/>
      <c r="AU1110" s="47"/>
      <c r="AV1110" s="47"/>
      <c r="AW1110" s="47"/>
      <c r="AX1110" s="47"/>
      <c r="AY1110" s="47"/>
    </row>
    <row r="1111" spans="1:51" ht="15.75" customHeight="1">
      <c r="A1111" s="500"/>
      <c r="B1111" s="481"/>
      <c r="C1111" s="481"/>
      <c r="D1111" s="47"/>
      <c r="E1111" s="47"/>
      <c r="F1111" s="478"/>
      <c r="G1111" s="479"/>
      <c r="H1111" s="9"/>
      <c r="I1111" s="10"/>
      <c r="J1111" s="505"/>
      <c r="K1111" s="47"/>
      <c r="L1111" s="47"/>
      <c r="M1111" s="47"/>
      <c r="N1111" s="9"/>
      <c r="O1111" s="9"/>
      <c r="P1111" s="9"/>
      <c r="Q1111" s="47"/>
      <c r="R1111" s="47"/>
      <c r="S1111" s="47"/>
      <c r="T1111" s="47"/>
      <c r="U1111" s="47"/>
      <c r="V1111" s="47"/>
      <c r="W1111" s="47"/>
      <c r="X1111" s="47"/>
      <c r="Y1111" s="47"/>
      <c r="Z1111" s="47"/>
      <c r="AA1111" s="47"/>
      <c r="AB1111" s="47"/>
      <c r="AC1111" s="47"/>
      <c r="AD1111" s="47"/>
      <c r="AE1111" s="47"/>
      <c r="AF1111" s="47"/>
      <c r="AG1111" s="47"/>
      <c r="AH1111" s="47"/>
      <c r="AI1111" s="47"/>
      <c r="AJ1111" s="47"/>
      <c r="AK1111" s="47"/>
      <c r="AL1111" s="47"/>
      <c r="AM1111" s="47"/>
      <c r="AN1111" s="47"/>
      <c r="AO1111" s="47"/>
      <c r="AP1111" s="47"/>
      <c r="AQ1111" s="47"/>
      <c r="AR1111" s="47"/>
      <c r="AS1111" s="47"/>
      <c r="AT1111" s="47"/>
      <c r="AU1111" s="47"/>
      <c r="AV1111" s="47"/>
      <c r="AW1111" s="47"/>
      <c r="AX1111" s="47"/>
      <c r="AY1111" s="47"/>
    </row>
    <row r="1112" spans="1:51" ht="15.75" customHeight="1">
      <c r="A1112" s="500"/>
      <c r="B1112" s="481"/>
      <c r="C1112" s="481"/>
      <c r="D1112" s="47"/>
      <c r="E1112" s="47"/>
      <c r="F1112" s="478"/>
      <c r="G1112" s="479"/>
      <c r="H1112" s="9"/>
      <c r="I1112" s="9"/>
      <c r="J1112" s="505"/>
      <c r="K1112" s="47"/>
      <c r="L1112" s="47"/>
      <c r="M1112" s="47"/>
      <c r="N1112" s="9"/>
      <c r="O1112" s="9"/>
      <c r="P1112" s="9"/>
      <c r="Q1112" s="47"/>
      <c r="R1112" s="47"/>
      <c r="S1112" s="47"/>
      <c r="T1112" s="47"/>
      <c r="U1112" s="47"/>
      <c r="V1112" s="47"/>
      <c r="W1112" s="47"/>
      <c r="X1112" s="47"/>
      <c r="Y1112" s="47"/>
      <c r="Z1112" s="47"/>
      <c r="AA1112" s="47"/>
      <c r="AB1112" s="47"/>
      <c r="AC1112" s="47"/>
      <c r="AD1112" s="47"/>
      <c r="AE1112" s="47"/>
      <c r="AF1112" s="47"/>
      <c r="AG1112" s="47"/>
      <c r="AH1112" s="47"/>
      <c r="AI1112" s="47"/>
      <c r="AJ1112" s="47"/>
      <c r="AK1112" s="47"/>
      <c r="AL1112" s="47"/>
      <c r="AM1112" s="47"/>
      <c r="AN1112" s="47"/>
      <c r="AO1112" s="47"/>
      <c r="AP1112" s="47"/>
      <c r="AQ1112" s="47"/>
      <c r="AR1112" s="47"/>
      <c r="AS1112" s="47"/>
      <c r="AT1112" s="47"/>
      <c r="AU1112" s="47"/>
      <c r="AV1112" s="47"/>
      <c r="AW1112" s="47"/>
      <c r="AX1112" s="47"/>
      <c r="AY1112" s="47"/>
    </row>
    <row r="1113" spans="1:51" ht="15.75" customHeight="1">
      <c r="A1113" s="500"/>
      <c r="B1113" s="481"/>
      <c r="C1113" s="481"/>
      <c r="D1113" s="47"/>
      <c r="E1113" s="47"/>
      <c r="F1113" s="478"/>
      <c r="G1113" s="479"/>
      <c r="H1113" s="9"/>
      <c r="I1113" s="9"/>
      <c r="J1113" s="505"/>
      <c r="K1113" s="47"/>
      <c r="L1113" s="47"/>
      <c r="M1113" s="47"/>
      <c r="N1113" s="9"/>
      <c r="O1113" s="9"/>
      <c r="P1113" s="9"/>
      <c r="Q1113" s="47"/>
      <c r="R1113" s="47"/>
      <c r="S1113" s="47"/>
      <c r="T1113" s="47"/>
      <c r="U1113" s="47"/>
      <c r="V1113" s="47"/>
      <c r="W1113" s="47"/>
      <c r="X1113" s="47"/>
      <c r="Y1113" s="47"/>
      <c r="Z1113" s="47"/>
      <c r="AA1113" s="47"/>
      <c r="AB1113" s="47"/>
      <c r="AC1113" s="47"/>
      <c r="AD1113" s="47"/>
      <c r="AE1113" s="47"/>
      <c r="AF1113" s="47"/>
      <c r="AG1113" s="47"/>
      <c r="AH1113" s="47"/>
      <c r="AI1113" s="47"/>
      <c r="AJ1113" s="47"/>
      <c r="AK1113" s="47"/>
      <c r="AL1113" s="47"/>
      <c r="AM1113" s="47"/>
      <c r="AN1113" s="47"/>
      <c r="AO1113" s="47"/>
      <c r="AP1113" s="47"/>
      <c r="AQ1113" s="47"/>
      <c r="AR1113" s="47"/>
      <c r="AS1113" s="47"/>
      <c r="AT1113" s="47"/>
      <c r="AU1113" s="47"/>
      <c r="AV1113" s="47"/>
      <c r="AW1113" s="47"/>
      <c r="AX1113" s="47"/>
      <c r="AY1113" s="47"/>
    </row>
    <row r="1114" spans="1:51" ht="15.75" customHeight="1">
      <c r="A1114" s="500"/>
      <c r="B1114" s="481"/>
      <c r="C1114" s="481"/>
      <c r="D1114" s="47"/>
      <c r="E1114" s="47"/>
      <c r="F1114" s="478"/>
      <c r="G1114" s="479"/>
      <c r="H1114" s="9"/>
      <c r="I1114" s="10"/>
      <c r="J1114" s="505"/>
      <c r="K1114" s="47"/>
      <c r="L1114" s="47"/>
      <c r="M1114" s="47"/>
      <c r="N1114" s="9"/>
      <c r="O1114" s="9"/>
      <c r="P1114" s="9"/>
      <c r="Q1114" s="47"/>
      <c r="R1114" s="47"/>
      <c r="S1114" s="47"/>
      <c r="T1114" s="47"/>
      <c r="U1114" s="47"/>
      <c r="V1114" s="47"/>
      <c r="W1114" s="47"/>
      <c r="X1114" s="47"/>
      <c r="Y1114" s="47"/>
      <c r="Z1114" s="47"/>
      <c r="AA1114" s="47"/>
      <c r="AB1114" s="47"/>
      <c r="AC1114" s="47"/>
      <c r="AD1114" s="47"/>
      <c r="AE1114" s="47"/>
      <c r="AF1114" s="47"/>
      <c r="AG1114" s="47"/>
      <c r="AH1114" s="47"/>
      <c r="AI1114" s="47"/>
      <c r="AJ1114" s="47"/>
      <c r="AK1114" s="47"/>
      <c r="AL1114" s="47"/>
      <c r="AM1114" s="47"/>
      <c r="AN1114" s="47"/>
      <c r="AO1114" s="47"/>
      <c r="AP1114" s="47"/>
      <c r="AQ1114" s="47"/>
      <c r="AR1114" s="47"/>
      <c r="AS1114" s="47"/>
      <c r="AT1114" s="47"/>
      <c r="AU1114" s="47"/>
      <c r="AV1114" s="47"/>
      <c r="AW1114" s="47"/>
      <c r="AX1114" s="47"/>
      <c r="AY1114" s="47"/>
    </row>
    <row r="1115" spans="1:51" ht="15.75" customHeight="1">
      <c r="A1115" s="500"/>
      <c r="B1115" s="481"/>
      <c r="C1115" s="481"/>
      <c r="D1115" s="47"/>
      <c r="E1115" s="47"/>
      <c r="F1115" s="478"/>
      <c r="G1115" s="479"/>
      <c r="H1115" s="9"/>
      <c r="I1115" s="9"/>
      <c r="J1115" s="505"/>
      <c r="K1115" s="47"/>
      <c r="L1115" s="47"/>
      <c r="M1115" s="47"/>
      <c r="N1115" s="9"/>
      <c r="O1115" s="9"/>
      <c r="P1115" s="9"/>
      <c r="Q1115" s="47"/>
      <c r="R1115" s="47"/>
      <c r="S1115" s="47"/>
      <c r="T1115" s="47"/>
      <c r="U1115" s="47"/>
      <c r="V1115" s="47"/>
      <c r="W1115" s="47"/>
      <c r="X1115" s="47"/>
      <c r="Y1115" s="47"/>
      <c r="Z1115" s="47"/>
      <c r="AA1115" s="47"/>
      <c r="AB1115" s="47"/>
      <c r="AC1115" s="47"/>
      <c r="AD1115" s="47"/>
      <c r="AE1115" s="47"/>
      <c r="AF1115" s="47"/>
      <c r="AG1115" s="47"/>
      <c r="AH1115" s="47"/>
      <c r="AI1115" s="47"/>
      <c r="AJ1115" s="47"/>
      <c r="AK1115" s="47"/>
      <c r="AL1115" s="47"/>
      <c r="AM1115" s="47"/>
      <c r="AN1115" s="47"/>
      <c r="AO1115" s="47"/>
      <c r="AP1115" s="47"/>
      <c r="AQ1115" s="47"/>
      <c r="AR1115" s="47"/>
      <c r="AS1115" s="47"/>
      <c r="AT1115" s="47"/>
      <c r="AU1115" s="47"/>
      <c r="AV1115" s="47"/>
      <c r="AW1115" s="47"/>
      <c r="AX1115" s="47"/>
      <c r="AY1115" s="47"/>
    </row>
    <row r="1116" spans="1:51" ht="15.75" customHeight="1">
      <c r="A1116" s="500"/>
      <c r="B1116" s="481"/>
      <c r="C1116" s="481"/>
      <c r="D1116" s="47"/>
      <c r="E1116" s="47"/>
      <c r="F1116" s="478"/>
      <c r="G1116" s="479"/>
      <c r="H1116" s="9"/>
      <c r="I1116" s="9"/>
      <c r="J1116" s="505"/>
      <c r="K1116" s="47"/>
      <c r="L1116" s="47"/>
      <c r="M1116" s="47"/>
      <c r="N1116" s="9"/>
      <c r="O1116" s="9"/>
      <c r="P1116" s="9"/>
      <c r="Q1116" s="47"/>
      <c r="R1116" s="47"/>
      <c r="S1116" s="47"/>
      <c r="T1116" s="47"/>
      <c r="U1116" s="47"/>
      <c r="V1116" s="47"/>
      <c r="W1116" s="47"/>
      <c r="X1116" s="47"/>
      <c r="Y1116" s="47"/>
      <c r="Z1116" s="47"/>
      <c r="AA1116" s="47"/>
      <c r="AB1116" s="47"/>
      <c r="AC1116" s="47"/>
      <c r="AD1116" s="47"/>
      <c r="AE1116" s="47"/>
      <c r="AF1116" s="47"/>
      <c r="AG1116" s="47"/>
      <c r="AH1116" s="47"/>
      <c r="AI1116" s="47"/>
      <c r="AJ1116" s="47"/>
      <c r="AK1116" s="47"/>
      <c r="AL1116" s="47"/>
      <c r="AM1116" s="47"/>
      <c r="AN1116" s="47"/>
      <c r="AO1116" s="47"/>
      <c r="AP1116" s="47"/>
      <c r="AQ1116" s="47"/>
      <c r="AR1116" s="47"/>
      <c r="AS1116" s="47"/>
      <c r="AT1116" s="47"/>
      <c r="AU1116" s="47"/>
      <c r="AV1116" s="47"/>
      <c r="AW1116" s="47"/>
      <c r="AX1116" s="47"/>
      <c r="AY1116" s="47"/>
    </row>
    <row r="1117" spans="1:51" ht="15.75" customHeight="1">
      <c r="A1117" s="500"/>
      <c r="B1117" s="481"/>
      <c r="C1117" s="481"/>
      <c r="D1117" s="47"/>
      <c r="E1117" s="47"/>
      <c r="F1117" s="478"/>
      <c r="G1117" s="479"/>
      <c r="H1117" s="9"/>
      <c r="I1117" s="10"/>
      <c r="J1117" s="505"/>
      <c r="K1117" s="47"/>
      <c r="L1117" s="47"/>
      <c r="M1117" s="47"/>
      <c r="N1117" s="9"/>
      <c r="O1117" s="9"/>
      <c r="P1117" s="9"/>
      <c r="Q1117" s="47"/>
      <c r="R1117" s="47"/>
      <c r="S1117" s="47"/>
      <c r="T1117" s="47"/>
      <c r="U1117" s="47"/>
      <c r="V1117" s="47"/>
      <c r="W1117" s="47"/>
      <c r="X1117" s="47"/>
      <c r="Y1117" s="47"/>
      <c r="Z1117" s="47"/>
      <c r="AA1117" s="47"/>
      <c r="AB1117" s="47"/>
      <c r="AC1117" s="47"/>
      <c r="AD1117" s="47"/>
      <c r="AE1117" s="47"/>
      <c r="AF1117" s="47"/>
      <c r="AG1117" s="47"/>
      <c r="AH1117" s="47"/>
      <c r="AI1117" s="47"/>
      <c r="AJ1117" s="47"/>
      <c r="AK1117" s="47"/>
      <c r="AL1117" s="47"/>
      <c r="AM1117" s="47"/>
      <c r="AN1117" s="47"/>
      <c r="AO1117" s="47"/>
      <c r="AP1117" s="47"/>
      <c r="AQ1117" s="47"/>
      <c r="AR1117" s="47"/>
      <c r="AS1117" s="47"/>
      <c r="AT1117" s="47"/>
      <c r="AU1117" s="47"/>
      <c r="AV1117" s="47"/>
      <c r="AW1117" s="47"/>
      <c r="AX1117" s="47"/>
      <c r="AY1117" s="47"/>
    </row>
    <row r="1118" spans="1:51" ht="15.75" customHeight="1">
      <c r="A1118" s="500"/>
      <c r="B1118" s="481"/>
      <c r="C1118" s="481"/>
      <c r="D1118" s="47"/>
      <c r="E1118" s="47"/>
      <c r="F1118" s="478"/>
      <c r="G1118" s="479"/>
      <c r="H1118" s="9"/>
      <c r="I1118" s="9"/>
      <c r="J1118" s="505"/>
      <c r="K1118" s="47"/>
      <c r="L1118" s="47"/>
      <c r="M1118" s="47"/>
      <c r="N1118" s="9"/>
      <c r="O1118" s="9"/>
      <c r="P1118" s="9"/>
      <c r="Q1118" s="47"/>
      <c r="R1118" s="47"/>
      <c r="S1118" s="47"/>
      <c r="T1118" s="47"/>
      <c r="U1118" s="47"/>
      <c r="V1118" s="47"/>
      <c r="W1118" s="47"/>
      <c r="X1118" s="47"/>
      <c r="Y1118" s="47"/>
      <c r="Z1118" s="47"/>
      <c r="AA1118" s="47"/>
      <c r="AB1118" s="47"/>
      <c r="AC1118" s="47"/>
      <c r="AD1118" s="47"/>
      <c r="AE1118" s="47"/>
      <c r="AF1118" s="47"/>
      <c r="AG1118" s="47"/>
      <c r="AH1118" s="47"/>
      <c r="AI1118" s="47"/>
      <c r="AJ1118" s="47"/>
      <c r="AK1118" s="47"/>
      <c r="AL1118" s="47"/>
      <c r="AM1118" s="47"/>
      <c r="AN1118" s="47"/>
      <c r="AO1118" s="47"/>
      <c r="AP1118" s="47"/>
      <c r="AQ1118" s="47"/>
      <c r="AR1118" s="47"/>
      <c r="AS1118" s="47"/>
      <c r="AT1118" s="47"/>
      <c r="AU1118" s="47"/>
      <c r="AV1118" s="47"/>
      <c r="AW1118" s="47"/>
      <c r="AX1118" s="47"/>
      <c r="AY1118" s="47"/>
    </row>
    <row r="1119" spans="1:51" ht="15.75" customHeight="1">
      <c r="A1119" s="500"/>
      <c r="B1119" s="481"/>
      <c r="C1119" s="481"/>
      <c r="D1119" s="47"/>
      <c r="E1119" s="47"/>
      <c r="F1119" s="478"/>
      <c r="G1119" s="479"/>
      <c r="H1119" s="9"/>
      <c r="I1119" s="10"/>
      <c r="J1119" s="505"/>
      <c r="K1119" s="47"/>
      <c r="L1119" s="47"/>
      <c r="M1119" s="47"/>
      <c r="N1119" s="9"/>
      <c r="O1119" s="9"/>
      <c r="P1119" s="9"/>
      <c r="Q1119" s="47"/>
      <c r="R1119" s="47"/>
      <c r="S1119" s="47"/>
      <c r="T1119" s="47"/>
      <c r="U1119" s="47"/>
      <c r="V1119" s="47"/>
      <c r="W1119" s="47"/>
      <c r="X1119" s="47"/>
      <c r="Y1119" s="47"/>
      <c r="Z1119" s="47"/>
      <c r="AA1119" s="47"/>
      <c r="AB1119" s="47"/>
      <c r="AC1119" s="47"/>
      <c r="AD1119" s="47"/>
      <c r="AE1119" s="47"/>
      <c r="AF1119" s="47"/>
      <c r="AG1119" s="47"/>
      <c r="AH1119" s="47"/>
      <c r="AI1119" s="47"/>
      <c r="AJ1119" s="47"/>
      <c r="AK1119" s="47"/>
      <c r="AL1119" s="47"/>
      <c r="AM1119" s="47"/>
      <c r="AN1119" s="47"/>
      <c r="AO1119" s="47"/>
      <c r="AP1119" s="47"/>
      <c r="AQ1119" s="47"/>
      <c r="AR1119" s="47"/>
      <c r="AS1119" s="47"/>
      <c r="AT1119" s="47"/>
      <c r="AU1119" s="47"/>
      <c r="AV1119" s="47"/>
      <c r="AW1119" s="47"/>
      <c r="AX1119" s="47"/>
      <c r="AY1119" s="47"/>
    </row>
    <row r="1120" spans="1:51" ht="15.75" customHeight="1">
      <c r="A1120" s="500"/>
      <c r="B1120" s="481"/>
      <c r="C1120" s="481"/>
      <c r="D1120" s="47"/>
      <c r="E1120" s="47"/>
      <c r="F1120" s="478"/>
      <c r="G1120" s="479"/>
      <c r="H1120" s="9"/>
      <c r="I1120" s="9"/>
      <c r="J1120" s="505"/>
      <c r="K1120" s="47"/>
      <c r="L1120" s="47"/>
      <c r="M1120" s="47"/>
      <c r="N1120" s="9"/>
      <c r="O1120" s="9"/>
      <c r="P1120" s="9"/>
      <c r="Q1120" s="47"/>
      <c r="R1120" s="47"/>
      <c r="S1120" s="47"/>
      <c r="T1120" s="47"/>
      <c r="U1120" s="47"/>
      <c r="V1120" s="47"/>
      <c r="W1120" s="47"/>
      <c r="X1120" s="47"/>
      <c r="Y1120" s="47"/>
      <c r="Z1120" s="47"/>
      <c r="AA1120" s="47"/>
      <c r="AB1120" s="47"/>
      <c r="AC1120" s="47"/>
      <c r="AD1120" s="47"/>
      <c r="AE1120" s="47"/>
      <c r="AF1120" s="47"/>
      <c r="AG1120" s="47"/>
      <c r="AH1120" s="47"/>
      <c r="AI1120" s="47"/>
      <c r="AJ1120" s="47"/>
      <c r="AK1120" s="47"/>
      <c r="AL1120" s="47"/>
      <c r="AM1120" s="47"/>
      <c r="AN1120" s="47"/>
      <c r="AO1120" s="47"/>
      <c r="AP1120" s="47"/>
      <c r="AQ1120" s="47"/>
      <c r="AR1120" s="47"/>
      <c r="AS1120" s="47"/>
      <c r="AT1120" s="47"/>
      <c r="AU1120" s="47"/>
      <c r="AV1120" s="47"/>
      <c r="AW1120" s="47"/>
      <c r="AX1120" s="47"/>
      <c r="AY1120" s="47"/>
    </row>
    <row r="1121" spans="1:51" ht="15.75" customHeight="1">
      <c r="A1121" s="500"/>
      <c r="B1121" s="481"/>
      <c r="C1121" s="481"/>
      <c r="D1121" s="47"/>
      <c r="E1121" s="47"/>
      <c r="F1121" s="478"/>
      <c r="G1121" s="479"/>
      <c r="H1121" s="9"/>
      <c r="I1121" s="10"/>
      <c r="J1121" s="505"/>
      <c r="K1121" s="47"/>
      <c r="L1121" s="47"/>
      <c r="M1121" s="47"/>
      <c r="N1121" s="9"/>
      <c r="O1121" s="9"/>
      <c r="P1121" s="9"/>
      <c r="Q1121" s="47"/>
      <c r="R1121" s="47"/>
      <c r="S1121" s="47"/>
      <c r="T1121" s="47"/>
      <c r="U1121" s="47"/>
      <c r="V1121" s="47"/>
      <c r="W1121" s="47"/>
      <c r="X1121" s="47"/>
      <c r="Y1121" s="47"/>
      <c r="Z1121" s="47"/>
      <c r="AA1121" s="47"/>
      <c r="AB1121" s="47"/>
      <c r="AC1121" s="47"/>
      <c r="AD1121" s="47"/>
      <c r="AE1121" s="47"/>
      <c r="AF1121" s="47"/>
      <c r="AG1121" s="47"/>
      <c r="AH1121" s="47"/>
      <c r="AI1121" s="47"/>
      <c r="AJ1121" s="47"/>
      <c r="AK1121" s="47"/>
      <c r="AL1121" s="47"/>
      <c r="AM1121" s="47"/>
      <c r="AN1121" s="47"/>
      <c r="AO1121" s="47"/>
      <c r="AP1121" s="47"/>
      <c r="AQ1121" s="47"/>
      <c r="AR1121" s="47"/>
      <c r="AS1121" s="47"/>
      <c r="AT1121" s="47"/>
      <c r="AU1121" s="47"/>
      <c r="AV1121" s="47"/>
      <c r="AW1121" s="47"/>
      <c r="AX1121" s="47"/>
      <c r="AY1121" s="47"/>
    </row>
    <row r="1122" spans="1:51" ht="15.75" customHeight="1">
      <c r="A1122" s="500"/>
      <c r="B1122" s="481"/>
      <c r="C1122" s="481"/>
      <c r="D1122" s="47"/>
      <c r="E1122" s="47"/>
      <c r="F1122" s="478"/>
      <c r="G1122" s="479"/>
      <c r="H1122" s="9"/>
      <c r="I1122" s="9"/>
      <c r="J1122" s="505"/>
      <c r="K1122" s="47"/>
      <c r="L1122" s="47"/>
      <c r="M1122" s="47"/>
      <c r="N1122" s="9"/>
      <c r="O1122" s="9"/>
      <c r="P1122" s="9"/>
      <c r="Q1122" s="47"/>
      <c r="R1122" s="47"/>
      <c r="S1122" s="47"/>
      <c r="T1122" s="47"/>
      <c r="U1122" s="47"/>
      <c r="V1122" s="47"/>
      <c r="W1122" s="47"/>
      <c r="X1122" s="47"/>
      <c r="Y1122" s="47"/>
      <c r="Z1122" s="47"/>
      <c r="AA1122" s="47"/>
      <c r="AB1122" s="47"/>
      <c r="AC1122" s="47"/>
      <c r="AD1122" s="47"/>
      <c r="AE1122" s="47"/>
      <c r="AF1122" s="47"/>
      <c r="AG1122" s="47"/>
      <c r="AH1122" s="47"/>
      <c r="AI1122" s="47"/>
      <c r="AJ1122" s="47"/>
      <c r="AK1122" s="47"/>
      <c r="AL1122" s="47"/>
      <c r="AM1122" s="47"/>
      <c r="AN1122" s="47"/>
      <c r="AO1122" s="47"/>
      <c r="AP1122" s="47"/>
      <c r="AQ1122" s="47"/>
      <c r="AR1122" s="47"/>
      <c r="AS1122" s="47"/>
      <c r="AT1122" s="47"/>
      <c r="AU1122" s="47"/>
      <c r="AV1122" s="47"/>
      <c r="AW1122" s="47"/>
      <c r="AX1122" s="47"/>
      <c r="AY1122" s="47"/>
    </row>
    <row r="1123" spans="1:51" ht="15.75" customHeight="1">
      <c r="A1123" s="500"/>
      <c r="B1123" s="481"/>
      <c r="C1123" s="481"/>
      <c r="D1123" s="47"/>
      <c r="E1123" s="47"/>
      <c r="F1123" s="478"/>
      <c r="G1123" s="479"/>
      <c r="H1123" s="9"/>
      <c r="I1123" s="9"/>
      <c r="J1123" s="505"/>
      <c r="K1123" s="47"/>
      <c r="L1123" s="47"/>
      <c r="M1123" s="47"/>
      <c r="N1123" s="9"/>
      <c r="O1123" s="9"/>
      <c r="P1123" s="9"/>
      <c r="Q1123" s="47"/>
      <c r="R1123" s="47"/>
      <c r="S1123" s="47"/>
      <c r="T1123" s="47"/>
      <c r="U1123" s="47"/>
      <c r="V1123" s="47"/>
      <c r="W1123" s="47"/>
      <c r="X1123" s="47"/>
      <c r="Y1123" s="47"/>
      <c r="Z1123" s="47"/>
      <c r="AA1123" s="47"/>
      <c r="AB1123" s="47"/>
      <c r="AC1123" s="47"/>
      <c r="AD1123" s="47"/>
      <c r="AE1123" s="47"/>
      <c r="AF1123" s="47"/>
      <c r="AG1123" s="47"/>
      <c r="AH1123" s="47"/>
      <c r="AI1123" s="47"/>
      <c r="AJ1123" s="47"/>
      <c r="AK1123" s="47"/>
      <c r="AL1123" s="47"/>
      <c r="AM1123" s="47"/>
      <c r="AN1123" s="47"/>
      <c r="AO1123" s="47"/>
      <c r="AP1123" s="47"/>
      <c r="AQ1123" s="47"/>
      <c r="AR1123" s="47"/>
      <c r="AS1123" s="47"/>
      <c r="AT1123" s="47"/>
      <c r="AU1123" s="47"/>
      <c r="AV1123" s="47"/>
      <c r="AW1123" s="47"/>
      <c r="AX1123" s="47"/>
      <c r="AY1123" s="47"/>
    </row>
    <row r="1124" spans="1:51" ht="15.75" customHeight="1">
      <c r="A1124" s="500"/>
      <c r="B1124" s="481"/>
      <c r="C1124" s="481"/>
      <c r="D1124" s="47"/>
      <c r="E1124" s="47"/>
      <c r="F1124" s="478"/>
      <c r="G1124" s="479"/>
      <c r="H1124" s="9"/>
      <c r="I1124" s="9"/>
      <c r="J1124" s="505"/>
      <c r="K1124" s="47"/>
      <c r="L1124" s="47"/>
      <c r="M1124" s="47"/>
      <c r="N1124" s="9"/>
      <c r="O1124" s="9"/>
      <c r="P1124" s="9"/>
      <c r="Q1124" s="47"/>
      <c r="R1124" s="47"/>
      <c r="S1124" s="47"/>
      <c r="T1124" s="47"/>
      <c r="U1124" s="47"/>
      <c r="V1124" s="47"/>
      <c r="W1124" s="47"/>
      <c r="X1124" s="47"/>
      <c r="Y1124" s="47"/>
      <c r="Z1124" s="47"/>
      <c r="AA1124" s="47"/>
      <c r="AB1124" s="47"/>
      <c r="AC1124" s="47"/>
      <c r="AD1124" s="47"/>
      <c r="AE1124" s="47"/>
      <c r="AF1124" s="47"/>
      <c r="AG1124" s="47"/>
      <c r="AH1124" s="47"/>
      <c r="AI1124" s="47"/>
      <c r="AJ1124" s="47"/>
      <c r="AK1124" s="47"/>
      <c r="AL1124" s="47"/>
      <c r="AM1124" s="47"/>
      <c r="AN1124" s="47"/>
      <c r="AO1124" s="47"/>
      <c r="AP1124" s="47"/>
      <c r="AQ1124" s="47"/>
      <c r="AR1124" s="47"/>
      <c r="AS1124" s="47"/>
      <c r="AT1124" s="47"/>
      <c r="AU1124" s="47"/>
      <c r="AV1124" s="47"/>
      <c r="AW1124" s="47"/>
      <c r="AX1124" s="47"/>
      <c r="AY1124" s="47"/>
    </row>
    <row r="1125" spans="1:51" ht="15.75" customHeight="1">
      <c r="A1125" s="500"/>
      <c r="B1125" s="481"/>
      <c r="C1125" s="481"/>
      <c r="D1125" s="47"/>
      <c r="E1125" s="47"/>
      <c r="F1125" s="478"/>
      <c r="G1125" s="479"/>
      <c r="H1125" s="9"/>
      <c r="I1125" s="10"/>
      <c r="J1125" s="505"/>
      <c r="K1125" s="47"/>
      <c r="L1125" s="47"/>
      <c r="M1125" s="47"/>
      <c r="N1125" s="9"/>
      <c r="O1125" s="9"/>
      <c r="P1125" s="9"/>
      <c r="Q1125" s="47"/>
      <c r="R1125" s="47"/>
      <c r="S1125" s="47"/>
      <c r="T1125" s="47"/>
      <c r="U1125" s="47"/>
      <c r="V1125" s="47"/>
      <c r="W1125" s="47"/>
      <c r="X1125" s="47"/>
      <c r="Y1125" s="47"/>
      <c r="Z1125" s="47"/>
      <c r="AA1125" s="47"/>
      <c r="AB1125" s="47"/>
      <c r="AC1125" s="47"/>
      <c r="AD1125" s="47"/>
      <c r="AE1125" s="47"/>
      <c r="AF1125" s="47"/>
      <c r="AG1125" s="47"/>
      <c r="AH1125" s="47"/>
      <c r="AI1125" s="47"/>
      <c r="AJ1125" s="47"/>
      <c r="AK1125" s="47"/>
      <c r="AL1125" s="47"/>
      <c r="AM1125" s="47"/>
      <c r="AN1125" s="47"/>
      <c r="AO1125" s="47"/>
      <c r="AP1125" s="47"/>
      <c r="AQ1125" s="47"/>
      <c r="AR1125" s="47"/>
      <c r="AS1125" s="47"/>
      <c r="AT1125" s="47"/>
      <c r="AU1125" s="47"/>
      <c r="AV1125" s="47"/>
      <c r="AW1125" s="47"/>
      <c r="AX1125" s="47"/>
      <c r="AY1125" s="47"/>
    </row>
    <row r="1126" spans="1:51" ht="15.75" customHeight="1">
      <c r="A1126" s="500"/>
      <c r="B1126" s="481"/>
      <c r="C1126" s="481"/>
      <c r="D1126" s="47"/>
      <c r="E1126" s="47"/>
      <c r="F1126" s="478"/>
      <c r="G1126" s="479"/>
      <c r="H1126" s="9"/>
      <c r="I1126" s="9"/>
      <c r="J1126" s="505"/>
      <c r="K1126" s="47"/>
      <c r="L1126" s="47"/>
      <c r="M1126" s="47"/>
      <c r="N1126" s="9"/>
      <c r="O1126" s="9"/>
      <c r="P1126" s="9"/>
      <c r="Q1126" s="47"/>
      <c r="R1126" s="47"/>
      <c r="S1126" s="47"/>
      <c r="T1126" s="47"/>
      <c r="U1126" s="47"/>
      <c r="V1126" s="47"/>
      <c r="W1126" s="47"/>
      <c r="X1126" s="47"/>
      <c r="Y1126" s="47"/>
      <c r="Z1126" s="47"/>
      <c r="AA1126" s="47"/>
      <c r="AB1126" s="47"/>
      <c r="AC1126" s="47"/>
      <c r="AD1126" s="47"/>
      <c r="AE1126" s="47"/>
      <c r="AF1126" s="47"/>
      <c r="AG1126" s="47"/>
      <c r="AH1126" s="47"/>
      <c r="AI1126" s="47"/>
      <c r="AJ1126" s="47"/>
      <c r="AK1126" s="47"/>
      <c r="AL1126" s="47"/>
      <c r="AM1126" s="47"/>
      <c r="AN1126" s="47"/>
      <c r="AO1126" s="47"/>
      <c r="AP1126" s="47"/>
      <c r="AQ1126" s="47"/>
      <c r="AR1126" s="47"/>
      <c r="AS1126" s="47"/>
      <c r="AT1126" s="47"/>
      <c r="AU1126" s="47"/>
      <c r="AV1126" s="47"/>
      <c r="AW1126" s="47"/>
      <c r="AX1126" s="47"/>
      <c r="AY1126" s="47"/>
    </row>
    <row r="1127" spans="1:51" ht="15.75" customHeight="1">
      <c r="A1127" s="500"/>
      <c r="B1127" s="481"/>
      <c r="C1127" s="481"/>
      <c r="D1127" s="47"/>
      <c r="E1127" s="47"/>
      <c r="F1127" s="478"/>
      <c r="G1127" s="479"/>
      <c r="H1127" s="9"/>
      <c r="I1127" s="10"/>
      <c r="J1127" s="505"/>
      <c r="K1127" s="47"/>
      <c r="L1127" s="47"/>
      <c r="M1127" s="47"/>
      <c r="N1127" s="9"/>
      <c r="O1127" s="47"/>
      <c r="P1127" s="9"/>
      <c r="Q1127" s="47"/>
      <c r="R1127" s="47"/>
      <c r="S1127" s="47"/>
      <c r="T1127" s="47"/>
      <c r="U1127" s="47"/>
      <c r="V1127" s="47"/>
      <c r="W1127" s="47"/>
      <c r="X1127" s="47"/>
      <c r="Y1127" s="47"/>
      <c r="Z1127" s="47"/>
      <c r="AA1127" s="47"/>
      <c r="AB1127" s="47"/>
      <c r="AC1127" s="47"/>
      <c r="AD1127" s="47"/>
      <c r="AE1127" s="47"/>
      <c r="AF1127" s="47"/>
      <c r="AG1127" s="47"/>
      <c r="AH1127" s="47"/>
      <c r="AI1127" s="47"/>
      <c r="AJ1127" s="47"/>
      <c r="AK1127" s="47"/>
      <c r="AL1127" s="47"/>
      <c r="AM1127" s="47"/>
      <c r="AN1127" s="47"/>
      <c r="AO1127" s="47"/>
      <c r="AP1127" s="47"/>
      <c r="AQ1127" s="47"/>
      <c r="AR1127" s="47"/>
      <c r="AS1127" s="47"/>
      <c r="AT1127" s="47"/>
      <c r="AU1127" s="47"/>
      <c r="AV1127" s="47"/>
      <c r="AW1127" s="47"/>
      <c r="AX1127" s="47"/>
      <c r="AY1127" s="47"/>
    </row>
    <row r="1128" spans="1:51" ht="15.75" customHeight="1">
      <c r="A1128" s="500"/>
      <c r="B1128" s="481"/>
      <c r="C1128" s="481"/>
      <c r="D1128" s="47"/>
      <c r="E1128" s="47"/>
      <c r="F1128" s="478"/>
      <c r="G1128" s="479"/>
      <c r="H1128" s="9"/>
      <c r="I1128" s="9"/>
      <c r="J1128" s="505"/>
      <c r="K1128" s="47"/>
      <c r="L1128" s="47"/>
      <c r="M1128" s="47"/>
      <c r="N1128" s="9"/>
      <c r="O1128" s="9"/>
      <c r="P1128" s="9"/>
      <c r="Q1128" s="47"/>
      <c r="R1128" s="47"/>
      <c r="S1128" s="47"/>
      <c r="T1128" s="47"/>
      <c r="U1128" s="47"/>
      <c r="V1128" s="47"/>
      <c r="W1128" s="47"/>
      <c r="X1128" s="47"/>
      <c r="Y1128" s="47"/>
      <c r="Z1128" s="47"/>
      <c r="AA1128" s="47"/>
      <c r="AB1128" s="47"/>
      <c r="AC1128" s="47"/>
      <c r="AD1128" s="47"/>
      <c r="AE1128" s="47"/>
      <c r="AF1128" s="47"/>
      <c r="AG1128" s="47"/>
      <c r="AH1128" s="47"/>
      <c r="AI1128" s="47"/>
      <c r="AJ1128" s="47"/>
      <c r="AK1128" s="47"/>
      <c r="AL1128" s="47"/>
      <c r="AM1128" s="47"/>
      <c r="AN1128" s="47"/>
      <c r="AO1128" s="47"/>
      <c r="AP1128" s="47"/>
      <c r="AQ1128" s="47"/>
      <c r="AR1128" s="47"/>
      <c r="AS1128" s="47"/>
      <c r="AT1128" s="47"/>
      <c r="AU1128" s="47"/>
      <c r="AV1128" s="47"/>
      <c r="AW1128" s="47"/>
      <c r="AX1128" s="47"/>
      <c r="AY1128" s="47"/>
    </row>
    <row r="1129" spans="1:51" ht="15.75" customHeight="1">
      <c r="A1129" s="500"/>
      <c r="B1129" s="481"/>
      <c r="C1129" s="481"/>
      <c r="D1129" s="47"/>
      <c r="E1129" s="47"/>
      <c r="F1129" s="478"/>
      <c r="G1129" s="479"/>
      <c r="H1129" s="9"/>
      <c r="I1129" s="10"/>
      <c r="J1129" s="505"/>
      <c r="K1129" s="47"/>
      <c r="L1129" s="47"/>
      <c r="M1129" s="47"/>
      <c r="N1129" s="9"/>
      <c r="O1129" s="9"/>
      <c r="P1129" s="9"/>
      <c r="Q1129" s="47"/>
      <c r="R1129" s="47"/>
      <c r="S1129" s="47"/>
      <c r="T1129" s="47"/>
      <c r="U1129" s="47"/>
      <c r="V1129" s="47"/>
      <c r="W1129" s="47"/>
      <c r="X1129" s="47"/>
      <c r="Y1129" s="47"/>
      <c r="Z1129" s="47"/>
      <c r="AA1129" s="47"/>
      <c r="AB1129" s="47"/>
      <c r="AC1129" s="47"/>
      <c r="AD1129" s="47"/>
      <c r="AE1129" s="47"/>
      <c r="AF1129" s="47"/>
      <c r="AG1129" s="47"/>
      <c r="AH1129" s="47"/>
      <c r="AI1129" s="47"/>
      <c r="AJ1129" s="47"/>
      <c r="AK1129" s="47"/>
      <c r="AL1129" s="47"/>
      <c r="AM1129" s="47"/>
      <c r="AN1129" s="47"/>
      <c r="AO1129" s="47"/>
      <c r="AP1129" s="47"/>
      <c r="AQ1129" s="47"/>
      <c r="AR1129" s="47"/>
      <c r="AS1129" s="47"/>
      <c r="AT1129" s="47"/>
      <c r="AU1129" s="47"/>
      <c r="AV1129" s="47"/>
      <c r="AW1129" s="47"/>
      <c r="AX1129" s="47"/>
      <c r="AY1129" s="47"/>
    </row>
    <row r="1130" spans="1:51" ht="15.75" customHeight="1">
      <c r="A1130" s="500"/>
      <c r="B1130" s="481"/>
      <c r="C1130" s="481"/>
      <c r="D1130" s="47"/>
      <c r="E1130" s="47"/>
      <c r="F1130" s="478"/>
      <c r="G1130" s="479"/>
      <c r="H1130" s="9"/>
      <c r="I1130" s="9"/>
      <c r="J1130" s="505"/>
      <c r="K1130" s="47"/>
      <c r="L1130" s="47"/>
      <c r="M1130" s="47"/>
      <c r="N1130" s="9"/>
      <c r="O1130" s="9"/>
      <c r="P1130" s="9"/>
      <c r="Q1130" s="47"/>
      <c r="R1130" s="47"/>
      <c r="S1130" s="47"/>
      <c r="T1130" s="47"/>
      <c r="U1130" s="47"/>
      <c r="V1130" s="47"/>
      <c r="W1130" s="47"/>
      <c r="X1130" s="47"/>
      <c r="Y1130" s="47"/>
      <c r="Z1130" s="47"/>
      <c r="AA1130" s="47"/>
      <c r="AB1130" s="47"/>
      <c r="AC1130" s="47"/>
      <c r="AD1130" s="47"/>
      <c r="AE1130" s="47"/>
      <c r="AF1130" s="47"/>
      <c r="AG1130" s="47"/>
      <c r="AH1130" s="47"/>
      <c r="AI1130" s="47"/>
      <c r="AJ1130" s="47"/>
      <c r="AK1130" s="47"/>
      <c r="AL1130" s="47"/>
      <c r="AM1130" s="47"/>
      <c r="AN1130" s="47"/>
      <c r="AO1130" s="47"/>
      <c r="AP1130" s="47"/>
      <c r="AQ1130" s="47"/>
      <c r="AR1130" s="47"/>
      <c r="AS1130" s="47"/>
      <c r="AT1130" s="47"/>
      <c r="AU1130" s="47"/>
      <c r="AV1130" s="47"/>
      <c r="AW1130" s="47"/>
      <c r="AX1130" s="47"/>
      <c r="AY1130" s="47"/>
    </row>
    <row r="1131" spans="1:51" ht="15.75" customHeight="1">
      <c r="A1131" s="500"/>
      <c r="B1131" s="481"/>
      <c r="C1131" s="481"/>
      <c r="D1131" s="47"/>
      <c r="E1131" s="47"/>
      <c r="F1131" s="478"/>
      <c r="G1131" s="479"/>
      <c r="H1131" s="9"/>
      <c r="I1131" s="10"/>
      <c r="J1131" s="504"/>
      <c r="K1131" s="47"/>
      <c r="L1131" s="47"/>
      <c r="M1131" s="47"/>
      <c r="N1131" s="9"/>
      <c r="O1131" s="47"/>
      <c r="P1131" s="9"/>
      <c r="Q1131" s="47"/>
      <c r="R1131" s="47"/>
      <c r="S1131" s="47"/>
      <c r="T1131" s="47"/>
      <c r="U1131" s="47"/>
      <c r="V1131" s="47"/>
      <c r="W1131" s="47"/>
      <c r="X1131" s="47"/>
      <c r="Y1131" s="47"/>
      <c r="Z1131" s="47"/>
      <c r="AA1131" s="47"/>
      <c r="AB1131" s="47"/>
      <c r="AC1131" s="47"/>
      <c r="AD1131" s="47"/>
      <c r="AE1131" s="47"/>
      <c r="AF1131" s="47"/>
      <c r="AG1131" s="47"/>
      <c r="AH1131" s="47"/>
      <c r="AI1131" s="47"/>
      <c r="AJ1131" s="47"/>
      <c r="AK1131" s="47"/>
      <c r="AL1131" s="47"/>
      <c r="AM1131" s="47"/>
      <c r="AN1131" s="47"/>
      <c r="AO1131" s="47"/>
      <c r="AP1131" s="47"/>
      <c r="AQ1131" s="47"/>
      <c r="AR1131" s="47"/>
      <c r="AS1131" s="47"/>
      <c r="AT1131" s="47"/>
      <c r="AU1131" s="47"/>
      <c r="AV1131" s="47"/>
      <c r="AW1131" s="47"/>
      <c r="AX1131" s="47"/>
      <c r="AY1131" s="47"/>
    </row>
    <row r="1132" spans="1:51" ht="15.75" customHeight="1">
      <c r="A1132" s="500"/>
      <c r="B1132" s="481"/>
      <c r="C1132" s="481"/>
      <c r="D1132" s="47"/>
      <c r="E1132" s="47"/>
      <c r="F1132" s="478"/>
      <c r="G1132" s="479"/>
      <c r="H1132" s="9"/>
      <c r="I1132" s="9"/>
      <c r="J1132" s="504"/>
      <c r="K1132" s="47"/>
      <c r="L1132" s="47"/>
      <c r="M1132" s="47"/>
      <c r="N1132" s="9"/>
      <c r="O1132" s="47"/>
      <c r="P1132" s="9"/>
      <c r="Q1132" s="47"/>
      <c r="R1132" s="47"/>
      <c r="S1132" s="47"/>
      <c r="T1132" s="47"/>
      <c r="U1132" s="47"/>
      <c r="V1132" s="47"/>
      <c r="W1132" s="47"/>
      <c r="X1132" s="47"/>
      <c r="Y1132" s="47"/>
      <c r="Z1132" s="47"/>
      <c r="AA1132" s="47"/>
      <c r="AB1132" s="47"/>
      <c r="AC1132" s="47"/>
      <c r="AD1132" s="47"/>
      <c r="AE1132" s="47"/>
      <c r="AF1132" s="47"/>
      <c r="AG1132" s="47"/>
      <c r="AH1132" s="47"/>
      <c r="AI1132" s="47"/>
      <c r="AJ1132" s="47"/>
      <c r="AK1132" s="47"/>
      <c r="AL1132" s="47"/>
      <c r="AM1132" s="47"/>
      <c r="AN1132" s="47"/>
      <c r="AO1132" s="47"/>
      <c r="AP1132" s="47"/>
      <c r="AQ1132" s="47"/>
      <c r="AR1132" s="47"/>
      <c r="AS1132" s="47"/>
      <c r="AT1132" s="47"/>
      <c r="AU1132" s="47"/>
      <c r="AV1132" s="47"/>
      <c r="AW1132" s="47"/>
      <c r="AX1132" s="47"/>
      <c r="AY1132" s="47"/>
    </row>
    <row r="1133" spans="1:51" ht="15.75" customHeight="1">
      <c r="A1133" s="500"/>
      <c r="B1133" s="481"/>
      <c r="C1133" s="481"/>
      <c r="D1133" s="47"/>
      <c r="E1133" s="47"/>
      <c r="F1133" s="478"/>
      <c r="G1133" s="479"/>
      <c r="H1133" s="9"/>
      <c r="I1133" s="10"/>
      <c r="J1133" s="504"/>
      <c r="K1133" s="47"/>
      <c r="L1133" s="47"/>
      <c r="M1133" s="47"/>
      <c r="N1133" s="9"/>
      <c r="O1133" s="47"/>
      <c r="P1133" s="9"/>
      <c r="Q1133" s="47"/>
      <c r="R1133" s="47"/>
      <c r="S1133" s="47"/>
      <c r="T1133" s="47"/>
      <c r="U1133" s="47"/>
      <c r="V1133" s="47"/>
      <c r="W1133" s="47"/>
      <c r="X1133" s="47"/>
      <c r="Y1133" s="47"/>
      <c r="Z1133" s="47"/>
      <c r="AA1133" s="47"/>
      <c r="AB1133" s="47"/>
      <c r="AC1133" s="47"/>
      <c r="AD1133" s="47"/>
      <c r="AE1133" s="47"/>
      <c r="AF1133" s="47"/>
      <c r="AG1133" s="47"/>
      <c r="AH1133" s="47"/>
      <c r="AI1133" s="47"/>
      <c r="AJ1133" s="47"/>
      <c r="AK1133" s="47"/>
      <c r="AL1133" s="47"/>
      <c r="AM1133" s="47"/>
      <c r="AN1133" s="47"/>
      <c r="AO1133" s="47"/>
      <c r="AP1133" s="47"/>
      <c r="AQ1133" s="47"/>
      <c r="AR1133" s="47"/>
      <c r="AS1133" s="47"/>
      <c r="AT1133" s="47"/>
      <c r="AU1133" s="47"/>
      <c r="AV1133" s="47"/>
      <c r="AW1133" s="47"/>
      <c r="AX1133" s="47"/>
      <c r="AY1133" s="47"/>
    </row>
    <row r="1134" spans="1:51" ht="15.75" customHeight="1">
      <c r="A1134" s="500"/>
      <c r="B1134" s="481"/>
      <c r="C1134" s="481"/>
      <c r="D1134" s="47"/>
      <c r="E1134" s="47"/>
      <c r="F1134" s="478"/>
      <c r="G1134" s="479"/>
      <c r="H1134" s="9"/>
      <c r="I1134" s="9"/>
      <c r="J1134" s="504"/>
      <c r="K1134" s="47"/>
      <c r="L1134" s="47"/>
      <c r="M1134" s="47"/>
      <c r="N1134" s="9"/>
      <c r="O1134" s="47"/>
      <c r="P1134" s="9"/>
      <c r="Q1134" s="47"/>
      <c r="R1134" s="47"/>
      <c r="S1134" s="47"/>
      <c r="T1134" s="47"/>
      <c r="U1134" s="47"/>
      <c r="V1134" s="47"/>
      <c r="W1134" s="47"/>
      <c r="X1134" s="47"/>
      <c r="Y1134" s="47"/>
      <c r="Z1134" s="47"/>
      <c r="AA1134" s="47"/>
      <c r="AB1134" s="47"/>
      <c r="AC1134" s="47"/>
      <c r="AD1134" s="47"/>
      <c r="AE1134" s="47"/>
      <c r="AF1134" s="47"/>
      <c r="AG1134" s="47"/>
      <c r="AH1134" s="47"/>
      <c r="AI1134" s="47"/>
      <c r="AJ1134" s="47"/>
      <c r="AK1134" s="47"/>
      <c r="AL1134" s="47"/>
      <c r="AM1134" s="47"/>
      <c r="AN1134" s="47"/>
      <c r="AO1134" s="47"/>
      <c r="AP1134" s="47"/>
      <c r="AQ1134" s="47"/>
      <c r="AR1134" s="47"/>
      <c r="AS1134" s="47"/>
      <c r="AT1134" s="47"/>
      <c r="AU1134" s="47"/>
      <c r="AV1134" s="47"/>
      <c r="AW1134" s="47"/>
      <c r="AX1134" s="47"/>
      <c r="AY1134" s="47"/>
    </row>
    <row r="1135" spans="1:51" ht="15.75" customHeight="1">
      <c r="A1135" s="500"/>
      <c r="B1135" s="481"/>
      <c r="C1135" s="481"/>
      <c r="D1135" s="47"/>
      <c r="E1135" s="47"/>
      <c r="F1135" s="478"/>
      <c r="G1135" s="479"/>
      <c r="H1135" s="9"/>
      <c r="I1135" s="10"/>
      <c r="J1135" s="504"/>
      <c r="K1135" s="47"/>
      <c r="L1135" s="47"/>
      <c r="M1135" s="47"/>
      <c r="N1135" s="9"/>
      <c r="O1135" s="47"/>
      <c r="P1135" s="9"/>
      <c r="Q1135" s="47"/>
      <c r="R1135" s="47"/>
      <c r="S1135" s="47"/>
      <c r="T1135" s="47"/>
      <c r="U1135" s="47"/>
      <c r="V1135" s="47"/>
      <c r="W1135" s="47"/>
      <c r="X1135" s="47"/>
      <c r="Y1135" s="47"/>
      <c r="Z1135" s="47"/>
      <c r="AA1135" s="47"/>
      <c r="AB1135" s="47"/>
      <c r="AC1135" s="47"/>
      <c r="AD1135" s="47"/>
      <c r="AE1135" s="47"/>
      <c r="AF1135" s="47"/>
      <c r="AG1135" s="47"/>
      <c r="AH1135" s="47"/>
      <c r="AI1135" s="47"/>
      <c r="AJ1135" s="47"/>
      <c r="AK1135" s="47"/>
      <c r="AL1135" s="47"/>
      <c r="AM1135" s="47"/>
      <c r="AN1135" s="47"/>
      <c r="AO1135" s="47"/>
      <c r="AP1135" s="47"/>
      <c r="AQ1135" s="47"/>
      <c r="AR1135" s="47"/>
      <c r="AS1135" s="47"/>
      <c r="AT1135" s="47"/>
      <c r="AU1135" s="47"/>
      <c r="AV1135" s="47"/>
      <c r="AW1135" s="47"/>
      <c r="AX1135" s="47"/>
      <c r="AY1135" s="47"/>
    </row>
    <row r="1136" spans="1:51" ht="15.75" customHeight="1">
      <c r="A1136" s="500"/>
      <c r="B1136" s="481"/>
      <c r="C1136" s="481"/>
      <c r="D1136" s="47"/>
      <c r="E1136" s="47"/>
      <c r="F1136" s="478"/>
      <c r="G1136" s="479"/>
      <c r="H1136" s="9"/>
      <c r="I1136" s="9"/>
      <c r="J1136" s="504"/>
      <c r="K1136" s="47"/>
      <c r="L1136" s="47"/>
      <c r="M1136" s="47"/>
      <c r="N1136" s="9"/>
      <c r="O1136" s="47"/>
      <c r="P1136" s="9"/>
      <c r="Q1136" s="47"/>
      <c r="R1136" s="47"/>
      <c r="S1136" s="47"/>
      <c r="T1136" s="47"/>
      <c r="U1136" s="47"/>
      <c r="V1136" s="47"/>
      <c r="W1136" s="47"/>
      <c r="X1136" s="47"/>
      <c r="Y1136" s="47"/>
      <c r="Z1136" s="47"/>
      <c r="AA1136" s="47"/>
      <c r="AB1136" s="47"/>
      <c r="AC1136" s="47"/>
      <c r="AD1136" s="47"/>
      <c r="AE1136" s="47"/>
      <c r="AF1136" s="47"/>
      <c r="AG1136" s="47"/>
      <c r="AH1136" s="47"/>
      <c r="AI1136" s="47"/>
      <c r="AJ1136" s="47"/>
      <c r="AK1136" s="47"/>
      <c r="AL1136" s="47"/>
      <c r="AM1136" s="47"/>
      <c r="AN1136" s="47"/>
      <c r="AO1136" s="47"/>
      <c r="AP1136" s="47"/>
      <c r="AQ1136" s="47"/>
      <c r="AR1136" s="47"/>
      <c r="AS1136" s="47"/>
      <c r="AT1136" s="47"/>
      <c r="AU1136" s="47"/>
      <c r="AV1136" s="47"/>
      <c r="AW1136" s="47"/>
      <c r="AX1136" s="47"/>
      <c r="AY1136" s="47"/>
    </row>
    <row r="1137" spans="1:51" ht="15.75" customHeight="1">
      <c r="A1137" s="500"/>
      <c r="B1137" s="481"/>
      <c r="C1137" s="481"/>
      <c r="D1137" s="47"/>
      <c r="E1137" s="47"/>
      <c r="F1137" s="478"/>
      <c r="G1137" s="479"/>
      <c r="H1137" s="9"/>
      <c r="I1137" s="10"/>
      <c r="J1137" s="504"/>
      <c r="K1137" s="47"/>
      <c r="L1137" s="47"/>
      <c r="M1137" s="47"/>
      <c r="N1137" s="9"/>
      <c r="O1137" s="47"/>
      <c r="P1137" s="9"/>
      <c r="Q1137" s="47"/>
      <c r="R1137" s="47"/>
      <c r="S1137" s="47"/>
      <c r="T1137" s="47"/>
      <c r="U1137" s="47"/>
      <c r="V1137" s="47"/>
      <c r="W1137" s="47"/>
      <c r="X1137" s="47"/>
      <c r="Y1137" s="47"/>
      <c r="Z1137" s="47"/>
      <c r="AA1137" s="47"/>
      <c r="AB1137" s="47"/>
      <c r="AC1137" s="47"/>
      <c r="AD1137" s="47"/>
      <c r="AE1137" s="47"/>
      <c r="AF1137" s="47"/>
      <c r="AG1137" s="47"/>
      <c r="AH1137" s="47"/>
      <c r="AI1137" s="47"/>
      <c r="AJ1137" s="47"/>
      <c r="AK1137" s="47"/>
      <c r="AL1137" s="47"/>
      <c r="AM1137" s="47"/>
      <c r="AN1137" s="47"/>
      <c r="AO1137" s="47"/>
      <c r="AP1137" s="47"/>
      <c r="AQ1137" s="47"/>
      <c r="AR1137" s="47"/>
      <c r="AS1137" s="47"/>
      <c r="AT1137" s="47"/>
      <c r="AU1137" s="47"/>
      <c r="AV1137" s="47"/>
      <c r="AW1137" s="47"/>
      <c r="AX1137" s="47"/>
      <c r="AY1137" s="47"/>
    </row>
    <row r="1138" spans="1:51" ht="15.75" customHeight="1">
      <c r="A1138" s="500"/>
      <c r="B1138" s="481"/>
      <c r="C1138" s="481"/>
      <c r="D1138" s="47"/>
      <c r="E1138" s="47"/>
      <c r="F1138" s="478"/>
      <c r="G1138" s="479"/>
      <c r="H1138" s="9"/>
      <c r="I1138" s="9"/>
      <c r="J1138" s="504"/>
      <c r="K1138" s="47"/>
      <c r="L1138" s="47"/>
      <c r="M1138" s="47"/>
      <c r="N1138" s="9"/>
      <c r="O1138" s="47"/>
      <c r="P1138" s="9"/>
      <c r="Q1138" s="47"/>
      <c r="R1138" s="47"/>
      <c r="S1138" s="47"/>
      <c r="T1138" s="47"/>
      <c r="U1138" s="47"/>
      <c r="V1138" s="47"/>
      <c r="W1138" s="47"/>
      <c r="X1138" s="47"/>
      <c r="Y1138" s="47"/>
      <c r="Z1138" s="47"/>
      <c r="AA1138" s="47"/>
      <c r="AB1138" s="47"/>
      <c r="AC1138" s="47"/>
      <c r="AD1138" s="47"/>
      <c r="AE1138" s="47"/>
      <c r="AF1138" s="47"/>
      <c r="AG1138" s="47"/>
      <c r="AH1138" s="47"/>
      <c r="AI1138" s="47"/>
      <c r="AJ1138" s="47"/>
      <c r="AK1138" s="47"/>
      <c r="AL1138" s="47"/>
      <c r="AM1138" s="47"/>
      <c r="AN1138" s="47"/>
      <c r="AO1138" s="47"/>
      <c r="AP1138" s="47"/>
      <c r="AQ1138" s="47"/>
      <c r="AR1138" s="47"/>
      <c r="AS1138" s="47"/>
      <c r="AT1138" s="47"/>
      <c r="AU1138" s="47"/>
      <c r="AV1138" s="47"/>
      <c r="AW1138" s="47"/>
      <c r="AX1138" s="47"/>
      <c r="AY1138" s="47"/>
    </row>
    <row r="1139" spans="1:51" ht="15.75" customHeight="1">
      <c r="A1139" s="500"/>
      <c r="B1139" s="481"/>
      <c r="C1139" s="481"/>
      <c r="D1139" s="47"/>
      <c r="E1139" s="47"/>
      <c r="F1139" s="478"/>
      <c r="G1139" s="479"/>
      <c r="H1139" s="9"/>
      <c r="I1139" s="9"/>
      <c r="J1139" s="504"/>
      <c r="K1139" s="47"/>
      <c r="L1139" s="47"/>
      <c r="M1139" s="47"/>
      <c r="N1139" s="9"/>
      <c r="O1139" s="47"/>
      <c r="P1139" s="9"/>
      <c r="Q1139" s="47"/>
      <c r="R1139" s="47"/>
      <c r="S1139" s="47"/>
      <c r="T1139" s="47"/>
      <c r="U1139" s="47"/>
      <c r="V1139" s="47"/>
      <c r="W1139" s="47"/>
      <c r="X1139" s="47"/>
      <c r="Y1139" s="47"/>
      <c r="Z1139" s="47"/>
      <c r="AA1139" s="47"/>
      <c r="AB1139" s="47"/>
      <c r="AC1139" s="47"/>
      <c r="AD1139" s="47"/>
      <c r="AE1139" s="47"/>
      <c r="AF1139" s="47"/>
      <c r="AG1139" s="47"/>
      <c r="AH1139" s="47"/>
      <c r="AI1139" s="47"/>
      <c r="AJ1139" s="47"/>
      <c r="AK1139" s="47"/>
      <c r="AL1139" s="47"/>
      <c r="AM1139" s="47"/>
      <c r="AN1139" s="47"/>
      <c r="AO1139" s="47"/>
      <c r="AP1139" s="47"/>
      <c r="AQ1139" s="47"/>
      <c r="AR1139" s="47"/>
      <c r="AS1139" s="47"/>
      <c r="AT1139" s="47"/>
      <c r="AU1139" s="47"/>
      <c r="AV1139" s="47"/>
      <c r="AW1139" s="47"/>
      <c r="AX1139" s="47"/>
      <c r="AY1139" s="47"/>
    </row>
    <row r="1140" spans="1:51" ht="15.75" customHeight="1">
      <c r="A1140" s="500"/>
      <c r="B1140" s="481"/>
      <c r="C1140" s="481"/>
      <c r="D1140" s="47"/>
      <c r="E1140" s="47"/>
      <c r="F1140" s="478"/>
      <c r="G1140" s="479"/>
      <c r="H1140" s="9"/>
      <c r="I1140" s="9"/>
      <c r="J1140" s="505"/>
      <c r="K1140" s="47"/>
      <c r="L1140" s="47"/>
      <c r="M1140" s="47"/>
      <c r="N1140" s="9"/>
      <c r="O1140" s="47"/>
      <c r="P1140" s="9"/>
      <c r="Q1140" s="47"/>
      <c r="R1140" s="47"/>
      <c r="S1140" s="47"/>
      <c r="T1140" s="47"/>
      <c r="U1140" s="47"/>
      <c r="V1140" s="47"/>
      <c r="W1140" s="47"/>
      <c r="X1140" s="47"/>
      <c r="Y1140" s="47"/>
      <c r="Z1140" s="47"/>
      <c r="AA1140" s="47"/>
      <c r="AB1140" s="47"/>
      <c r="AC1140" s="47"/>
      <c r="AD1140" s="47"/>
      <c r="AE1140" s="47"/>
      <c r="AF1140" s="47"/>
      <c r="AG1140" s="47"/>
      <c r="AH1140" s="47"/>
      <c r="AI1140" s="47"/>
      <c r="AJ1140" s="47"/>
      <c r="AK1140" s="47"/>
      <c r="AL1140" s="47"/>
      <c r="AM1140" s="47"/>
      <c r="AN1140" s="47"/>
      <c r="AO1140" s="47"/>
      <c r="AP1140" s="47"/>
      <c r="AQ1140" s="47"/>
      <c r="AR1140" s="47"/>
      <c r="AS1140" s="47"/>
      <c r="AT1140" s="47"/>
      <c r="AU1140" s="47"/>
      <c r="AV1140" s="47"/>
      <c r="AW1140" s="47"/>
      <c r="AX1140" s="47"/>
      <c r="AY1140" s="47"/>
    </row>
    <row r="1141" spans="1:51" ht="15.75" customHeight="1">
      <c r="A1141" s="500"/>
      <c r="B1141" s="477"/>
      <c r="C1141" s="481"/>
      <c r="D1141" s="47"/>
      <c r="E1141" s="47"/>
      <c r="F1141" s="478"/>
      <c r="G1141" s="479"/>
      <c r="H1141" s="9"/>
      <c r="I1141" s="9"/>
      <c r="J1141" s="505"/>
      <c r="K1141" s="47"/>
      <c r="L1141" s="47"/>
      <c r="M1141" s="47"/>
      <c r="N1141" s="9"/>
      <c r="O1141" s="9"/>
      <c r="P1141" s="9"/>
      <c r="Q1141" s="47"/>
      <c r="R1141" s="47"/>
      <c r="S1141" s="47"/>
      <c r="T1141" s="47"/>
      <c r="U1141" s="47"/>
      <c r="V1141" s="47"/>
      <c r="W1141" s="47"/>
      <c r="X1141" s="47"/>
      <c r="Y1141" s="47"/>
      <c r="Z1141" s="47"/>
      <c r="AA1141" s="47"/>
      <c r="AB1141" s="47"/>
      <c r="AC1141" s="47"/>
      <c r="AD1141" s="47"/>
      <c r="AE1141" s="47"/>
      <c r="AF1141" s="47"/>
      <c r="AG1141" s="47"/>
      <c r="AH1141" s="47"/>
      <c r="AI1141" s="47"/>
      <c r="AJ1141" s="47"/>
      <c r="AK1141" s="47"/>
      <c r="AL1141" s="47"/>
      <c r="AM1141" s="47"/>
      <c r="AN1141" s="47"/>
      <c r="AO1141" s="47"/>
      <c r="AP1141" s="47"/>
      <c r="AQ1141" s="47"/>
      <c r="AR1141" s="47"/>
      <c r="AS1141" s="47"/>
      <c r="AT1141" s="47"/>
      <c r="AU1141" s="47"/>
      <c r="AV1141" s="47"/>
      <c r="AW1141" s="47"/>
      <c r="AX1141" s="47"/>
      <c r="AY1141" s="47"/>
    </row>
    <row r="1142" spans="1:51" ht="15.75" customHeight="1">
      <c r="A1142" s="500"/>
      <c r="B1142" s="481"/>
      <c r="C1142" s="481"/>
      <c r="D1142" s="47"/>
      <c r="E1142" s="47"/>
      <c r="F1142" s="478"/>
      <c r="G1142" s="479"/>
      <c r="H1142" s="9"/>
      <c r="I1142" s="9"/>
      <c r="J1142" s="505"/>
      <c r="K1142" s="47"/>
      <c r="L1142" s="47"/>
      <c r="M1142" s="47"/>
      <c r="N1142" s="9"/>
      <c r="O1142" s="9"/>
      <c r="P1142" s="9"/>
      <c r="Q1142" s="47"/>
      <c r="R1142" s="47"/>
      <c r="S1142" s="47"/>
      <c r="T1142" s="47"/>
      <c r="U1142" s="47"/>
      <c r="V1142" s="47"/>
      <c r="W1142" s="47"/>
      <c r="X1142" s="47"/>
      <c r="Y1142" s="47"/>
      <c r="Z1142" s="47"/>
      <c r="AA1142" s="47"/>
      <c r="AB1142" s="47"/>
      <c r="AC1142" s="47"/>
      <c r="AD1142" s="47"/>
      <c r="AE1142" s="47"/>
      <c r="AF1142" s="47"/>
      <c r="AG1142" s="47"/>
      <c r="AH1142" s="47"/>
      <c r="AI1142" s="47"/>
      <c r="AJ1142" s="47"/>
      <c r="AK1142" s="47"/>
      <c r="AL1142" s="47"/>
      <c r="AM1142" s="47"/>
      <c r="AN1142" s="47"/>
      <c r="AO1142" s="47"/>
      <c r="AP1142" s="47"/>
      <c r="AQ1142" s="47"/>
      <c r="AR1142" s="47"/>
      <c r="AS1142" s="47"/>
      <c r="AT1142" s="47"/>
      <c r="AU1142" s="47"/>
      <c r="AV1142" s="47"/>
      <c r="AW1142" s="47"/>
      <c r="AX1142" s="47"/>
      <c r="AY1142" s="47"/>
    </row>
    <row r="1143" spans="1:51" ht="15.75" customHeight="1">
      <c r="A1143" s="500"/>
      <c r="B1143" s="477"/>
      <c r="C1143" s="481"/>
      <c r="D1143" s="47"/>
      <c r="E1143" s="47"/>
      <c r="F1143" s="478"/>
      <c r="G1143" s="479"/>
      <c r="H1143" s="9"/>
      <c r="I1143" s="9"/>
      <c r="J1143" s="505"/>
      <c r="K1143" s="47"/>
      <c r="L1143" s="47"/>
      <c r="M1143" s="47"/>
      <c r="N1143" s="9"/>
      <c r="O1143" s="9"/>
      <c r="P1143" s="9"/>
      <c r="Q1143" s="47"/>
      <c r="R1143" s="47"/>
      <c r="S1143" s="47"/>
      <c r="T1143" s="47"/>
      <c r="U1143" s="47"/>
      <c r="V1143" s="47"/>
      <c r="W1143" s="47"/>
      <c r="X1143" s="47"/>
      <c r="Y1143" s="47"/>
      <c r="Z1143" s="47"/>
      <c r="AA1143" s="47"/>
      <c r="AB1143" s="47"/>
      <c r="AC1143" s="47"/>
      <c r="AD1143" s="47"/>
      <c r="AE1143" s="47"/>
      <c r="AF1143" s="47"/>
      <c r="AG1143" s="47"/>
      <c r="AH1143" s="47"/>
      <c r="AI1143" s="47"/>
      <c r="AJ1143" s="47"/>
      <c r="AK1143" s="47"/>
      <c r="AL1143" s="47"/>
      <c r="AM1143" s="47"/>
      <c r="AN1143" s="47"/>
      <c r="AO1143" s="47"/>
      <c r="AP1143" s="47"/>
      <c r="AQ1143" s="47"/>
      <c r="AR1143" s="47"/>
      <c r="AS1143" s="47"/>
      <c r="AT1143" s="47"/>
      <c r="AU1143" s="47"/>
      <c r="AV1143" s="47"/>
      <c r="AW1143" s="47"/>
      <c r="AX1143" s="47"/>
      <c r="AY1143" s="47"/>
    </row>
    <row r="1144" spans="1:51" ht="15.75" customHeight="1">
      <c r="A1144" s="500"/>
      <c r="B1144" s="477"/>
      <c r="C1144" s="481"/>
      <c r="D1144" s="47"/>
      <c r="E1144" s="47"/>
      <c r="F1144" s="478"/>
      <c r="G1144" s="479"/>
      <c r="H1144" s="9"/>
      <c r="I1144" s="9"/>
      <c r="J1144" s="505"/>
      <c r="K1144" s="47"/>
      <c r="L1144" s="47"/>
      <c r="M1144" s="47"/>
      <c r="N1144" s="9"/>
      <c r="O1144" s="9"/>
      <c r="P1144" s="9"/>
      <c r="Q1144" s="47"/>
      <c r="R1144" s="47"/>
      <c r="S1144" s="47"/>
      <c r="T1144" s="47"/>
      <c r="U1144" s="47"/>
      <c r="V1144" s="47"/>
      <c r="W1144" s="47"/>
      <c r="X1144" s="47"/>
      <c r="Y1144" s="47"/>
      <c r="Z1144" s="47"/>
      <c r="AA1144" s="47"/>
      <c r="AB1144" s="47"/>
      <c r="AC1144" s="47"/>
      <c r="AD1144" s="47"/>
      <c r="AE1144" s="47"/>
      <c r="AF1144" s="47"/>
      <c r="AG1144" s="47"/>
      <c r="AH1144" s="47"/>
      <c r="AI1144" s="47"/>
      <c r="AJ1144" s="47"/>
      <c r="AK1144" s="47"/>
      <c r="AL1144" s="47"/>
      <c r="AM1144" s="47"/>
      <c r="AN1144" s="47"/>
      <c r="AO1144" s="47"/>
      <c r="AP1144" s="47"/>
      <c r="AQ1144" s="47"/>
      <c r="AR1144" s="47"/>
      <c r="AS1144" s="47"/>
      <c r="AT1144" s="47"/>
      <c r="AU1144" s="47"/>
      <c r="AV1144" s="47"/>
      <c r="AW1144" s="47"/>
      <c r="AX1144" s="47"/>
      <c r="AY1144" s="47"/>
    </row>
    <row r="1145" spans="1:51" ht="15.75" customHeight="1">
      <c r="A1145" s="500"/>
      <c r="B1145" s="477"/>
      <c r="C1145" s="481"/>
      <c r="D1145" s="47"/>
      <c r="E1145" s="47"/>
      <c r="F1145" s="478"/>
      <c r="G1145" s="479"/>
      <c r="H1145" s="9"/>
      <c r="I1145" s="9"/>
      <c r="J1145" s="505"/>
      <c r="K1145" s="47"/>
      <c r="L1145" s="47"/>
      <c r="M1145" s="47"/>
      <c r="N1145" s="9"/>
      <c r="O1145" s="9"/>
      <c r="P1145" s="9"/>
      <c r="Q1145" s="47"/>
      <c r="R1145" s="47"/>
      <c r="S1145" s="47"/>
      <c r="T1145" s="47"/>
      <c r="U1145" s="47"/>
      <c r="V1145" s="47"/>
      <c r="W1145" s="47"/>
      <c r="X1145" s="47"/>
      <c r="Y1145" s="47"/>
      <c r="Z1145" s="47"/>
      <c r="AA1145" s="47"/>
      <c r="AB1145" s="47"/>
      <c r="AC1145" s="47"/>
      <c r="AD1145" s="47"/>
      <c r="AE1145" s="47"/>
      <c r="AF1145" s="47"/>
      <c r="AG1145" s="47"/>
      <c r="AH1145" s="47"/>
      <c r="AI1145" s="47"/>
      <c r="AJ1145" s="47"/>
      <c r="AK1145" s="47"/>
      <c r="AL1145" s="47"/>
      <c r="AM1145" s="47"/>
      <c r="AN1145" s="47"/>
      <c r="AO1145" s="47"/>
      <c r="AP1145" s="47"/>
      <c r="AQ1145" s="47"/>
      <c r="AR1145" s="47"/>
      <c r="AS1145" s="47"/>
      <c r="AT1145" s="47"/>
      <c r="AU1145" s="47"/>
      <c r="AV1145" s="47"/>
      <c r="AW1145" s="47"/>
      <c r="AX1145" s="47"/>
      <c r="AY1145" s="47"/>
    </row>
    <row r="1146" spans="1:51" ht="15.75" customHeight="1">
      <c r="A1146" s="500"/>
      <c r="B1146" s="477"/>
      <c r="C1146" s="481"/>
      <c r="D1146" s="47"/>
      <c r="E1146" s="47"/>
      <c r="F1146" s="478"/>
      <c r="G1146" s="479"/>
      <c r="H1146" s="9"/>
      <c r="I1146" s="9"/>
      <c r="J1146" s="505"/>
      <c r="K1146" s="47"/>
      <c r="L1146" s="47"/>
      <c r="M1146" s="47"/>
      <c r="N1146" s="9"/>
      <c r="O1146" s="9"/>
      <c r="P1146" s="9"/>
      <c r="Q1146" s="47"/>
      <c r="R1146" s="47"/>
      <c r="S1146" s="47"/>
      <c r="T1146" s="47"/>
      <c r="U1146" s="47"/>
      <c r="V1146" s="47"/>
      <c r="W1146" s="47"/>
      <c r="X1146" s="47"/>
      <c r="Y1146" s="47"/>
      <c r="Z1146" s="47"/>
      <c r="AA1146" s="47"/>
      <c r="AB1146" s="47"/>
      <c r="AC1146" s="47"/>
      <c r="AD1146" s="47"/>
      <c r="AE1146" s="47"/>
      <c r="AF1146" s="47"/>
      <c r="AG1146" s="47"/>
      <c r="AH1146" s="47"/>
      <c r="AI1146" s="47"/>
      <c r="AJ1146" s="47"/>
      <c r="AK1146" s="47"/>
      <c r="AL1146" s="47"/>
      <c r="AM1146" s="47"/>
      <c r="AN1146" s="47"/>
      <c r="AO1146" s="47"/>
      <c r="AP1146" s="47"/>
      <c r="AQ1146" s="47"/>
      <c r="AR1146" s="47"/>
      <c r="AS1146" s="47"/>
      <c r="AT1146" s="47"/>
      <c r="AU1146" s="47"/>
      <c r="AV1146" s="47"/>
      <c r="AW1146" s="47"/>
      <c r="AX1146" s="47"/>
      <c r="AY1146" s="47"/>
    </row>
    <row r="1147" spans="1:51" ht="15.75" customHeight="1">
      <c r="A1147" s="500"/>
      <c r="B1147" s="477"/>
      <c r="C1147" s="481"/>
      <c r="D1147" s="47"/>
      <c r="E1147" s="47"/>
      <c r="F1147" s="478"/>
      <c r="G1147" s="479"/>
      <c r="H1147" s="9"/>
      <c r="I1147" s="9"/>
      <c r="J1147" s="505"/>
      <c r="K1147" s="47"/>
      <c r="L1147" s="47"/>
      <c r="M1147" s="47"/>
      <c r="N1147" s="9"/>
      <c r="O1147" s="9"/>
      <c r="P1147" s="9"/>
      <c r="Q1147" s="47"/>
      <c r="R1147" s="47"/>
      <c r="S1147" s="47"/>
      <c r="T1147" s="47"/>
      <c r="U1147" s="47"/>
      <c r="V1147" s="47"/>
      <c r="W1147" s="47"/>
      <c r="X1147" s="47"/>
      <c r="Y1147" s="47"/>
      <c r="Z1147" s="47"/>
      <c r="AA1147" s="47"/>
      <c r="AB1147" s="47"/>
      <c r="AC1147" s="47"/>
      <c r="AD1147" s="47"/>
      <c r="AE1147" s="47"/>
      <c r="AF1147" s="47"/>
      <c r="AG1147" s="47"/>
      <c r="AH1147" s="47"/>
      <c r="AI1147" s="47"/>
      <c r="AJ1147" s="47"/>
      <c r="AK1147" s="47"/>
      <c r="AL1147" s="47"/>
      <c r="AM1147" s="47"/>
      <c r="AN1147" s="47"/>
      <c r="AO1147" s="47"/>
      <c r="AP1147" s="47"/>
      <c r="AQ1147" s="47"/>
      <c r="AR1147" s="47"/>
      <c r="AS1147" s="47"/>
      <c r="AT1147" s="47"/>
      <c r="AU1147" s="47"/>
      <c r="AV1147" s="47"/>
      <c r="AW1147" s="47"/>
      <c r="AX1147" s="47"/>
      <c r="AY1147" s="47"/>
    </row>
    <row r="1148" spans="1:51" ht="15.75" customHeight="1">
      <c r="A1148" s="500"/>
      <c r="B1148" s="477"/>
      <c r="C1148" s="481"/>
      <c r="D1148" s="47"/>
      <c r="E1148" s="47"/>
      <c r="F1148" s="478"/>
      <c r="G1148" s="479"/>
      <c r="H1148" s="9"/>
      <c r="I1148" s="9"/>
      <c r="J1148" s="505"/>
      <c r="K1148" s="47"/>
      <c r="L1148" s="47"/>
      <c r="M1148" s="47"/>
      <c r="N1148" s="9"/>
      <c r="O1148" s="9"/>
      <c r="P1148" s="9"/>
      <c r="Q1148" s="47"/>
      <c r="R1148" s="47"/>
      <c r="S1148" s="47"/>
      <c r="T1148" s="47"/>
      <c r="U1148" s="47"/>
      <c r="V1148" s="47"/>
      <c r="W1148" s="47"/>
      <c r="X1148" s="47"/>
      <c r="Y1148" s="47"/>
      <c r="Z1148" s="47"/>
      <c r="AA1148" s="47"/>
      <c r="AB1148" s="47"/>
      <c r="AC1148" s="47"/>
      <c r="AD1148" s="47"/>
      <c r="AE1148" s="47"/>
      <c r="AF1148" s="47"/>
      <c r="AG1148" s="47"/>
      <c r="AH1148" s="47"/>
      <c r="AI1148" s="47"/>
      <c r="AJ1148" s="47"/>
      <c r="AK1148" s="47"/>
      <c r="AL1148" s="47"/>
      <c r="AM1148" s="47"/>
      <c r="AN1148" s="47"/>
      <c r="AO1148" s="47"/>
      <c r="AP1148" s="47"/>
      <c r="AQ1148" s="47"/>
      <c r="AR1148" s="47"/>
      <c r="AS1148" s="47"/>
      <c r="AT1148" s="47"/>
      <c r="AU1148" s="47"/>
      <c r="AV1148" s="47"/>
      <c r="AW1148" s="47"/>
      <c r="AX1148" s="47"/>
      <c r="AY1148" s="47"/>
    </row>
    <row r="1149" spans="1:51" ht="15.75" customHeight="1">
      <c r="A1149" s="500"/>
      <c r="B1149" s="477"/>
      <c r="C1149" s="481"/>
      <c r="D1149" s="47"/>
      <c r="E1149" s="47"/>
      <c r="F1149" s="478"/>
      <c r="G1149" s="479"/>
      <c r="H1149" s="9"/>
      <c r="I1149" s="9"/>
      <c r="J1149" s="505"/>
      <c r="K1149" s="47"/>
      <c r="L1149" s="47"/>
      <c r="M1149" s="47"/>
      <c r="N1149" s="9"/>
      <c r="O1149" s="9"/>
      <c r="P1149" s="9"/>
      <c r="Q1149" s="47"/>
      <c r="R1149" s="47"/>
      <c r="S1149" s="47"/>
      <c r="T1149" s="47"/>
      <c r="U1149" s="47"/>
      <c r="V1149" s="47"/>
      <c r="W1149" s="47"/>
      <c r="X1149" s="47"/>
      <c r="Y1149" s="47"/>
      <c r="Z1149" s="47"/>
      <c r="AA1149" s="47"/>
      <c r="AB1149" s="47"/>
      <c r="AC1149" s="47"/>
      <c r="AD1149" s="47"/>
      <c r="AE1149" s="47"/>
      <c r="AF1149" s="47"/>
      <c r="AG1149" s="47"/>
      <c r="AH1149" s="47"/>
      <c r="AI1149" s="47"/>
      <c r="AJ1149" s="47"/>
      <c r="AK1149" s="47"/>
      <c r="AL1149" s="47"/>
      <c r="AM1149" s="47"/>
      <c r="AN1149" s="47"/>
      <c r="AO1149" s="47"/>
      <c r="AP1149" s="47"/>
      <c r="AQ1149" s="47"/>
      <c r="AR1149" s="47"/>
      <c r="AS1149" s="47"/>
      <c r="AT1149" s="47"/>
      <c r="AU1149" s="47"/>
      <c r="AV1149" s="47"/>
      <c r="AW1149" s="47"/>
      <c r="AX1149" s="47"/>
      <c r="AY1149" s="47"/>
    </row>
    <row r="1150" spans="1:51" ht="15.75" customHeight="1">
      <c r="A1150" s="500"/>
      <c r="B1150" s="477"/>
      <c r="C1150" s="481"/>
      <c r="D1150" s="47"/>
      <c r="E1150" s="47"/>
      <c r="F1150" s="478"/>
      <c r="G1150" s="479"/>
      <c r="H1150" s="9"/>
      <c r="I1150" s="9"/>
      <c r="J1150" s="505"/>
      <c r="K1150" s="47"/>
      <c r="L1150" s="47"/>
      <c r="M1150" s="47"/>
      <c r="N1150" s="9"/>
      <c r="O1150" s="9"/>
      <c r="P1150" s="9"/>
      <c r="Q1150" s="47"/>
      <c r="R1150" s="47"/>
      <c r="S1150" s="47"/>
      <c r="T1150" s="47"/>
      <c r="U1150" s="47"/>
      <c r="V1150" s="47"/>
      <c r="W1150" s="47"/>
      <c r="X1150" s="47"/>
      <c r="Y1150" s="47"/>
      <c r="Z1150" s="47"/>
      <c r="AA1150" s="47"/>
      <c r="AB1150" s="47"/>
      <c r="AC1150" s="47"/>
      <c r="AD1150" s="47"/>
      <c r="AE1150" s="47"/>
      <c r="AF1150" s="47"/>
      <c r="AG1150" s="47"/>
      <c r="AH1150" s="47"/>
      <c r="AI1150" s="47"/>
      <c r="AJ1150" s="47"/>
      <c r="AK1150" s="47"/>
      <c r="AL1150" s="47"/>
      <c r="AM1150" s="47"/>
      <c r="AN1150" s="47"/>
      <c r="AO1150" s="47"/>
      <c r="AP1150" s="47"/>
      <c r="AQ1150" s="47"/>
      <c r="AR1150" s="47"/>
      <c r="AS1150" s="47"/>
      <c r="AT1150" s="47"/>
      <c r="AU1150" s="47"/>
      <c r="AV1150" s="47"/>
      <c r="AW1150" s="47"/>
      <c r="AX1150" s="47"/>
      <c r="AY1150" s="47"/>
    </row>
    <row r="1151" spans="1:51" ht="15.75" customHeight="1">
      <c r="A1151" s="500"/>
      <c r="B1151" s="477"/>
      <c r="C1151" s="481"/>
      <c r="D1151" s="47"/>
      <c r="E1151" s="47"/>
      <c r="F1151" s="478"/>
      <c r="G1151" s="479"/>
      <c r="H1151" s="9"/>
      <c r="I1151" s="10"/>
      <c r="J1151" s="505"/>
      <c r="K1151" s="47"/>
      <c r="L1151" s="47"/>
      <c r="M1151" s="47"/>
      <c r="N1151" s="9"/>
      <c r="O1151" s="9"/>
      <c r="P1151" s="9"/>
      <c r="Q1151" s="47"/>
      <c r="R1151" s="47"/>
      <c r="S1151" s="47"/>
      <c r="T1151" s="47"/>
      <c r="U1151" s="47"/>
      <c r="V1151" s="47"/>
      <c r="W1151" s="47"/>
      <c r="X1151" s="47"/>
      <c r="Y1151" s="47"/>
      <c r="Z1151" s="47"/>
      <c r="AA1151" s="47"/>
      <c r="AB1151" s="47"/>
      <c r="AC1151" s="47"/>
      <c r="AD1151" s="47"/>
      <c r="AE1151" s="47"/>
      <c r="AF1151" s="47"/>
      <c r="AG1151" s="47"/>
      <c r="AH1151" s="47"/>
      <c r="AI1151" s="47"/>
      <c r="AJ1151" s="47"/>
      <c r="AK1151" s="47"/>
      <c r="AL1151" s="47"/>
      <c r="AM1151" s="47"/>
      <c r="AN1151" s="47"/>
      <c r="AO1151" s="47"/>
      <c r="AP1151" s="47"/>
      <c r="AQ1151" s="47"/>
      <c r="AR1151" s="47"/>
      <c r="AS1151" s="47"/>
      <c r="AT1151" s="47"/>
      <c r="AU1151" s="47"/>
      <c r="AV1151" s="47"/>
      <c r="AW1151" s="47"/>
      <c r="AX1151" s="47"/>
      <c r="AY1151" s="47"/>
    </row>
    <row r="1152" spans="1:51" ht="15.75" customHeight="1">
      <c r="A1152" s="500"/>
      <c r="B1152" s="477"/>
      <c r="C1152" s="481"/>
      <c r="D1152" s="47"/>
      <c r="E1152" s="47"/>
      <c r="F1152" s="478"/>
      <c r="G1152" s="479"/>
      <c r="H1152" s="9"/>
      <c r="I1152" s="9"/>
      <c r="J1152" s="505"/>
      <c r="K1152" s="47"/>
      <c r="L1152" s="47"/>
      <c r="M1152" s="47"/>
      <c r="N1152" s="9"/>
      <c r="O1152" s="9"/>
      <c r="P1152" s="9"/>
      <c r="Q1152" s="47"/>
      <c r="R1152" s="47"/>
      <c r="S1152" s="47"/>
      <c r="T1152" s="47"/>
      <c r="U1152" s="47"/>
      <c r="V1152" s="47"/>
      <c r="W1152" s="47"/>
      <c r="X1152" s="47"/>
      <c r="Y1152" s="47"/>
      <c r="Z1152" s="47"/>
      <c r="AA1152" s="47"/>
      <c r="AB1152" s="47"/>
      <c r="AC1152" s="47"/>
      <c r="AD1152" s="47"/>
      <c r="AE1152" s="47"/>
      <c r="AF1152" s="47"/>
      <c r="AG1152" s="47"/>
      <c r="AH1152" s="47"/>
      <c r="AI1152" s="47"/>
      <c r="AJ1152" s="47"/>
      <c r="AK1152" s="47"/>
      <c r="AL1152" s="47"/>
      <c r="AM1152" s="47"/>
      <c r="AN1152" s="47"/>
      <c r="AO1152" s="47"/>
      <c r="AP1152" s="47"/>
      <c r="AQ1152" s="47"/>
      <c r="AR1152" s="47"/>
      <c r="AS1152" s="47"/>
      <c r="AT1152" s="47"/>
      <c r="AU1152" s="47"/>
      <c r="AV1152" s="47"/>
      <c r="AW1152" s="47"/>
      <c r="AX1152" s="47"/>
      <c r="AY1152" s="47"/>
    </row>
    <row r="1153" spans="1:51" ht="15.75" customHeight="1">
      <c r="A1153" s="500"/>
      <c r="B1153" s="477"/>
      <c r="C1153" s="481"/>
      <c r="D1153" s="47"/>
      <c r="E1153" s="47"/>
      <c r="F1153" s="478"/>
      <c r="G1153" s="479"/>
      <c r="H1153" s="9"/>
      <c r="I1153" s="10"/>
      <c r="J1153" s="505"/>
      <c r="K1153" s="47"/>
      <c r="L1153" s="47"/>
      <c r="M1153" s="47"/>
      <c r="N1153" s="9"/>
      <c r="O1153" s="9"/>
      <c r="P1153" s="9"/>
      <c r="Q1153" s="47"/>
      <c r="R1153" s="47"/>
      <c r="S1153" s="47"/>
      <c r="T1153" s="47"/>
      <c r="U1153" s="47"/>
      <c r="V1153" s="47"/>
      <c r="W1153" s="47"/>
      <c r="X1153" s="47"/>
      <c r="Y1153" s="47"/>
      <c r="Z1153" s="47"/>
      <c r="AA1153" s="47"/>
      <c r="AB1153" s="47"/>
      <c r="AC1153" s="47"/>
      <c r="AD1153" s="47"/>
      <c r="AE1153" s="47"/>
      <c r="AF1153" s="47"/>
      <c r="AG1153" s="47"/>
      <c r="AH1153" s="47"/>
      <c r="AI1153" s="47"/>
      <c r="AJ1153" s="47"/>
      <c r="AK1153" s="47"/>
      <c r="AL1153" s="47"/>
      <c r="AM1153" s="47"/>
      <c r="AN1153" s="47"/>
      <c r="AO1153" s="47"/>
      <c r="AP1153" s="47"/>
      <c r="AQ1153" s="47"/>
      <c r="AR1153" s="47"/>
      <c r="AS1153" s="47"/>
      <c r="AT1153" s="47"/>
      <c r="AU1153" s="47"/>
      <c r="AV1153" s="47"/>
      <c r="AW1153" s="47"/>
      <c r="AX1153" s="47"/>
      <c r="AY1153" s="47"/>
    </row>
    <row r="1154" spans="1:51" ht="15.75" customHeight="1">
      <c r="A1154" s="500"/>
      <c r="B1154" s="477"/>
      <c r="C1154" s="481"/>
      <c r="D1154" s="47"/>
      <c r="E1154" s="47"/>
      <c r="F1154" s="478"/>
      <c r="G1154" s="479"/>
      <c r="H1154" s="9"/>
      <c r="I1154" s="9"/>
      <c r="J1154" s="505"/>
      <c r="K1154" s="47"/>
      <c r="L1154" s="47"/>
      <c r="M1154" s="47"/>
      <c r="N1154" s="9"/>
      <c r="O1154" s="9"/>
      <c r="P1154" s="9"/>
      <c r="Q1154" s="47"/>
      <c r="R1154" s="47"/>
      <c r="S1154" s="47"/>
      <c r="T1154" s="47"/>
      <c r="U1154" s="47"/>
      <c r="V1154" s="47"/>
      <c r="W1154" s="47"/>
      <c r="X1154" s="47"/>
      <c r="Y1154" s="47"/>
      <c r="Z1154" s="47"/>
      <c r="AA1154" s="47"/>
      <c r="AB1154" s="47"/>
      <c r="AC1154" s="47"/>
      <c r="AD1154" s="47"/>
      <c r="AE1154" s="47"/>
      <c r="AF1154" s="47"/>
      <c r="AG1154" s="47"/>
      <c r="AH1154" s="47"/>
      <c r="AI1154" s="47"/>
      <c r="AJ1154" s="47"/>
      <c r="AK1154" s="47"/>
      <c r="AL1154" s="47"/>
      <c r="AM1154" s="47"/>
      <c r="AN1154" s="47"/>
      <c r="AO1154" s="47"/>
      <c r="AP1154" s="47"/>
      <c r="AQ1154" s="47"/>
      <c r="AR1154" s="47"/>
      <c r="AS1154" s="47"/>
      <c r="AT1154" s="47"/>
      <c r="AU1154" s="47"/>
      <c r="AV1154" s="47"/>
      <c r="AW1154" s="47"/>
      <c r="AX1154" s="47"/>
      <c r="AY1154" s="47"/>
    </row>
    <row r="1155" spans="1:51" ht="15.75" customHeight="1">
      <c r="A1155" s="500"/>
      <c r="B1155" s="477"/>
      <c r="C1155" s="481"/>
      <c r="D1155" s="47"/>
      <c r="E1155" s="47"/>
      <c r="F1155" s="478"/>
      <c r="G1155" s="479"/>
      <c r="H1155" s="9"/>
      <c r="I1155" s="10"/>
      <c r="J1155" s="505"/>
      <c r="K1155" s="47"/>
      <c r="L1155" s="47"/>
      <c r="M1155" s="47"/>
      <c r="N1155" s="9"/>
      <c r="O1155" s="9"/>
      <c r="P1155" s="9"/>
      <c r="Q1155" s="47"/>
      <c r="R1155" s="47"/>
      <c r="S1155" s="47"/>
      <c r="T1155" s="47"/>
      <c r="U1155" s="47"/>
      <c r="V1155" s="47"/>
      <c r="W1155" s="47"/>
      <c r="X1155" s="47"/>
      <c r="Y1155" s="47"/>
      <c r="Z1155" s="47"/>
      <c r="AA1155" s="47"/>
      <c r="AB1155" s="47"/>
      <c r="AC1155" s="47"/>
      <c r="AD1155" s="47"/>
      <c r="AE1155" s="47"/>
      <c r="AF1155" s="47"/>
      <c r="AG1155" s="47"/>
      <c r="AH1155" s="47"/>
      <c r="AI1155" s="47"/>
      <c r="AJ1155" s="47"/>
      <c r="AK1155" s="47"/>
      <c r="AL1155" s="47"/>
      <c r="AM1155" s="47"/>
      <c r="AN1155" s="47"/>
      <c r="AO1155" s="47"/>
      <c r="AP1155" s="47"/>
      <c r="AQ1155" s="47"/>
      <c r="AR1155" s="47"/>
      <c r="AS1155" s="47"/>
      <c r="AT1155" s="47"/>
      <c r="AU1155" s="47"/>
      <c r="AV1155" s="47"/>
      <c r="AW1155" s="47"/>
      <c r="AX1155" s="47"/>
      <c r="AY1155" s="47"/>
    </row>
    <row r="1156" spans="1:51" ht="15.75" customHeight="1">
      <c r="A1156" s="500"/>
      <c r="B1156" s="477"/>
      <c r="C1156" s="481"/>
      <c r="D1156" s="47"/>
      <c r="E1156" s="47"/>
      <c r="F1156" s="478"/>
      <c r="G1156" s="479"/>
      <c r="H1156" s="9"/>
      <c r="I1156" s="9"/>
      <c r="J1156" s="505"/>
      <c r="K1156" s="47"/>
      <c r="L1156" s="47"/>
      <c r="M1156" s="47"/>
      <c r="N1156" s="9"/>
      <c r="O1156" s="9"/>
      <c r="P1156" s="9"/>
      <c r="Q1156" s="47"/>
      <c r="R1156" s="47"/>
      <c r="S1156" s="47"/>
      <c r="T1156" s="47"/>
      <c r="U1156" s="47"/>
      <c r="V1156" s="47"/>
      <c r="W1156" s="47"/>
      <c r="X1156" s="47"/>
      <c r="Y1156" s="47"/>
      <c r="Z1156" s="47"/>
      <c r="AA1156" s="47"/>
      <c r="AB1156" s="47"/>
      <c r="AC1156" s="47"/>
      <c r="AD1156" s="47"/>
      <c r="AE1156" s="47"/>
      <c r="AF1156" s="47"/>
      <c r="AG1156" s="47"/>
      <c r="AH1156" s="47"/>
      <c r="AI1156" s="47"/>
      <c r="AJ1156" s="47"/>
      <c r="AK1156" s="47"/>
      <c r="AL1156" s="47"/>
      <c r="AM1156" s="47"/>
      <c r="AN1156" s="47"/>
      <c r="AO1156" s="47"/>
      <c r="AP1156" s="47"/>
      <c r="AQ1156" s="47"/>
      <c r="AR1156" s="47"/>
      <c r="AS1156" s="47"/>
      <c r="AT1156" s="47"/>
      <c r="AU1156" s="47"/>
      <c r="AV1156" s="47"/>
      <c r="AW1156" s="47"/>
      <c r="AX1156" s="47"/>
      <c r="AY1156" s="47"/>
    </row>
    <row r="1157" spans="1:51" ht="15.75" customHeight="1">
      <c r="A1157" s="500"/>
      <c r="B1157" s="477"/>
      <c r="C1157" s="481"/>
      <c r="D1157" s="47"/>
      <c r="E1157" s="47"/>
      <c r="F1157" s="478"/>
      <c r="G1157" s="479"/>
      <c r="H1157" s="9"/>
      <c r="I1157" s="9"/>
      <c r="J1157" s="505"/>
      <c r="K1157" s="47"/>
      <c r="L1157" s="47"/>
      <c r="M1157" s="47"/>
      <c r="N1157" s="9"/>
      <c r="O1157" s="9"/>
      <c r="P1157" s="9"/>
      <c r="Q1157" s="47"/>
      <c r="R1157" s="47"/>
      <c r="S1157" s="47"/>
      <c r="T1157" s="47"/>
      <c r="U1157" s="47"/>
      <c r="V1157" s="47"/>
      <c r="W1157" s="47"/>
      <c r="X1157" s="47"/>
      <c r="Y1157" s="47"/>
      <c r="Z1157" s="47"/>
      <c r="AA1157" s="47"/>
      <c r="AB1157" s="47"/>
      <c r="AC1157" s="47"/>
      <c r="AD1157" s="47"/>
      <c r="AE1157" s="47"/>
      <c r="AF1157" s="47"/>
      <c r="AG1157" s="47"/>
      <c r="AH1157" s="47"/>
      <c r="AI1157" s="47"/>
      <c r="AJ1157" s="47"/>
      <c r="AK1157" s="47"/>
      <c r="AL1157" s="47"/>
      <c r="AM1157" s="47"/>
      <c r="AN1157" s="47"/>
      <c r="AO1157" s="47"/>
      <c r="AP1157" s="47"/>
      <c r="AQ1157" s="47"/>
      <c r="AR1157" s="47"/>
      <c r="AS1157" s="47"/>
      <c r="AT1157" s="47"/>
      <c r="AU1157" s="47"/>
      <c r="AV1157" s="47"/>
      <c r="AW1157" s="47"/>
      <c r="AX1157" s="47"/>
      <c r="AY1157" s="47"/>
    </row>
    <row r="1158" spans="1:51" ht="15.75" customHeight="1">
      <c r="A1158" s="500"/>
      <c r="B1158" s="477"/>
      <c r="C1158" s="481"/>
      <c r="D1158" s="47"/>
      <c r="E1158" s="47"/>
      <c r="F1158" s="478"/>
      <c r="G1158" s="479"/>
      <c r="H1158" s="9"/>
      <c r="I1158" s="9"/>
      <c r="J1158" s="505"/>
      <c r="K1158" s="47"/>
      <c r="L1158" s="47"/>
      <c r="M1158" s="47"/>
      <c r="N1158" s="9"/>
      <c r="O1158" s="9"/>
      <c r="P1158" s="9"/>
      <c r="Q1158" s="47"/>
      <c r="R1158" s="47"/>
      <c r="S1158" s="47"/>
      <c r="T1158" s="47"/>
      <c r="U1158" s="47"/>
      <c r="V1158" s="47"/>
      <c r="W1158" s="47"/>
      <c r="X1158" s="47"/>
      <c r="Y1158" s="47"/>
      <c r="Z1158" s="47"/>
      <c r="AA1158" s="47"/>
      <c r="AB1158" s="47"/>
      <c r="AC1158" s="47"/>
      <c r="AD1158" s="47"/>
      <c r="AE1158" s="47"/>
      <c r="AF1158" s="47"/>
      <c r="AG1158" s="47"/>
      <c r="AH1158" s="47"/>
      <c r="AI1158" s="47"/>
      <c r="AJ1158" s="47"/>
      <c r="AK1158" s="47"/>
      <c r="AL1158" s="47"/>
      <c r="AM1158" s="47"/>
      <c r="AN1158" s="47"/>
      <c r="AO1158" s="47"/>
      <c r="AP1158" s="47"/>
      <c r="AQ1158" s="47"/>
      <c r="AR1158" s="47"/>
      <c r="AS1158" s="47"/>
      <c r="AT1158" s="47"/>
      <c r="AU1158" s="47"/>
      <c r="AV1158" s="47"/>
      <c r="AW1158" s="47"/>
      <c r="AX1158" s="47"/>
      <c r="AY1158" s="47"/>
    </row>
    <row r="1159" spans="1:51" ht="15.75" customHeight="1">
      <c r="A1159" s="500"/>
      <c r="B1159" s="477"/>
      <c r="C1159" s="481"/>
      <c r="D1159" s="47"/>
      <c r="E1159" s="47"/>
      <c r="F1159" s="478"/>
      <c r="G1159" s="479"/>
      <c r="H1159" s="9"/>
      <c r="I1159" s="9"/>
      <c r="J1159" s="505"/>
      <c r="K1159" s="47"/>
      <c r="L1159" s="47"/>
      <c r="M1159" s="47"/>
      <c r="N1159" s="9"/>
      <c r="O1159" s="9"/>
      <c r="P1159" s="9"/>
      <c r="Q1159" s="47"/>
      <c r="R1159" s="47"/>
      <c r="S1159" s="47"/>
      <c r="T1159" s="47"/>
      <c r="U1159" s="47"/>
      <c r="V1159" s="47"/>
      <c r="W1159" s="47"/>
      <c r="X1159" s="47"/>
      <c r="Y1159" s="47"/>
      <c r="Z1159" s="47"/>
      <c r="AA1159" s="47"/>
      <c r="AB1159" s="47"/>
      <c r="AC1159" s="47"/>
      <c r="AD1159" s="47"/>
      <c r="AE1159" s="47"/>
      <c r="AF1159" s="47"/>
      <c r="AG1159" s="47"/>
      <c r="AH1159" s="47"/>
      <c r="AI1159" s="47"/>
      <c r="AJ1159" s="47"/>
      <c r="AK1159" s="47"/>
      <c r="AL1159" s="47"/>
      <c r="AM1159" s="47"/>
      <c r="AN1159" s="47"/>
      <c r="AO1159" s="47"/>
      <c r="AP1159" s="47"/>
      <c r="AQ1159" s="47"/>
      <c r="AR1159" s="47"/>
      <c r="AS1159" s="47"/>
      <c r="AT1159" s="47"/>
      <c r="AU1159" s="47"/>
      <c r="AV1159" s="47"/>
      <c r="AW1159" s="47"/>
      <c r="AX1159" s="47"/>
      <c r="AY1159" s="47"/>
    </row>
    <row r="1160" spans="1:51" ht="15.75" customHeight="1">
      <c r="A1160" s="500"/>
      <c r="B1160" s="477"/>
      <c r="C1160" s="481"/>
      <c r="D1160" s="47"/>
      <c r="E1160" s="47"/>
      <c r="F1160" s="478"/>
      <c r="G1160" s="479"/>
      <c r="H1160" s="9"/>
      <c r="I1160" s="9"/>
      <c r="J1160" s="505"/>
      <c r="K1160" s="47"/>
      <c r="L1160" s="47"/>
      <c r="M1160" s="47"/>
      <c r="N1160" s="9"/>
      <c r="O1160" s="9"/>
      <c r="P1160" s="9"/>
      <c r="Q1160" s="47"/>
      <c r="R1160" s="47"/>
      <c r="S1160" s="47"/>
      <c r="T1160" s="47"/>
      <c r="U1160" s="47"/>
      <c r="V1160" s="47"/>
      <c r="W1160" s="47"/>
      <c r="X1160" s="47"/>
      <c r="Y1160" s="47"/>
      <c r="Z1160" s="47"/>
      <c r="AA1160" s="47"/>
      <c r="AB1160" s="47"/>
      <c r="AC1160" s="47"/>
      <c r="AD1160" s="47"/>
      <c r="AE1160" s="47"/>
      <c r="AF1160" s="47"/>
      <c r="AG1160" s="47"/>
      <c r="AH1160" s="47"/>
      <c r="AI1160" s="47"/>
      <c r="AJ1160" s="47"/>
      <c r="AK1160" s="47"/>
      <c r="AL1160" s="47"/>
      <c r="AM1160" s="47"/>
      <c r="AN1160" s="47"/>
      <c r="AO1160" s="47"/>
      <c r="AP1160" s="47"/>
      <c r="AQ1160" s="47"/>
      <c r="AR1160" s="47"/>
      <c r="AS1160" s="47"/>
      <c r="AT1160" s="47"/>
      <c r="AU1160" s="47"/>
      <c r="AV1160" s="47"/>
      <c r="AW1160" s="47"/>
      <c r="AX1160" s="47"/>
      <c r="AY1160" s="47"/>
    </row>
    <row r="1161" spans="1:51" ht="15.75" customHeight="1">
      <c r="A1161" s="500"/>
      <c r="B1161" s="477"/>
      <c r="C1161" s="481"/>
      <c r="D1161" s="47"/>
      <c r="E1161" s="47"/>
      <c r="F1161" s="478"/>
      <c r="G1161" s="479"/>
      <c r="H1161" s="9"/>
      <c r="I1161" s="9"/>
      <c r="J1161" s="505"/>
      <c r="K1161" s="47"/>
      <c r="L1161" s="47"/>
      <c r="M1161" s="47"/>
      <c r="N1161" s="9"/>
      <c r="O1161" s="9"/>
      <c r="P1161" s="9"/>
      <c r="Q1161" s="47"/>
      <c r="R1161" s="47"/>
      <c r="S1161" s="47"/>
      <c r="T1161" s="47"/>
      <c r="U1161" s="47"/>
      <c r="V1161" s="47"/>
      <c r="W1161" s="47"/>
      <c r="X1161" s="47"/>
      <c r="Y1161" s="47"/>
      <c r="Z1161" s="47"/>
      <c r="AA1161" s="47"/>
      <c r="AB1161" s="47"/>
      <c r="AC1161" s="47"/>
      <c r="AD1161" s="47"/>
      <c r="AE1161" s="47"/>
      <c r="AF1161" s="47"/>
      <c r="AG1161" s="47"/>
      <c r="AH1161" s="47"/>
      <c r="AI1161" s="47"/>
      <c r="AJ1161" s="47"/>
      <c r="AK1161" s="47"/>
      <c r="AL1161" s="47"/>
      <c r="AM1161" s="47"/>
      <c r="AN1161" s="47"/>
      <c r="AO1161" s="47"/>
      <c r="AP1161" s="47"/>
      <c r="AQ1161" s="47"/>
      <c r="AR1161" s="47"/>
      <c r="AS1161" s="47"/>
      <c r="AT1161" s="47"/>
      <c r="AU1161" s="47"/>
      <c r="AV1161" s="47"/>
      <c r="AW1161" s="47"/>
      <c r="AX1161" s="47"/>
      <c r="AY1161" s="47"/>
    </row>
    <row r="1162" spans="1:51" ht="15.75" customHeight="1">
      <c r="A1162" s="500"/>
      <c r="B1162" s="477"/>
      <c r="C1162" s="481"/>
      <c r="D1162" s="47"/>
      <c r="E1162" s="47"/>
      <c r="F1162" s="478"/>
      <c r="G1162" s="479"/>
      <c r="H1162" s="9"/>
      <c r="I1162" s="9"/>
      <c r="J1162" s="505"/>
      <c r="K1162" s="47"/>
      <c r="L1162" s="47"/>
      <c r="M1162" s="47"/>
      <c r="N1162" s="9"/>
      <c r="O1162" s="9"/>
      <c r="P1162" s="9"/>
      <c r="Q1162" s="47"/>
      <c r="R1162" s="47"/>
      <c r="S1162" s="47"/>
      <c r="T1162" s="47"/>
      <c r="U1162" s="47"/>
      <c r="V1162" s="47"/>
      <c r="W1162" s="47"/>
      <c r="X1162" s="47"/>
      <c r="Y1162" s="47"/>
      <c r="Z1162" s="47"/>
      <c r="AA1162" s="47"/>
      <c r="AB1162" s="47"/>
      <c r="AC1162" s="47"/>
      <c r="AD1162" s="47"/>
      <c r="AE1162" s="47"/>
      <c r="AF1162" s="47"/>
      <c r="AG1162" s="47"/>
      <c r="AH1162" s="47"/>
      <c r="AI1162" s="47"/>
      <c r="AJ1162" s="47"/>
      <c r="AK1162" s="47"/>
      <c r="AL1162" s="47"/>
      <c r="AM1162" s="47"/>
      <c r="AN1162" s="47"/>
      <c r="AO1162" s="47"/>
      <c r="AP1162" s="47"/>
      <c r="AQ1162" s="47"/>
      <c r="AR1162" s="47"/>
      <c r="AS1162" s="47"/>
      <c r="AT1162" s="47"/>
      <c r="AU1162" s="47"/>
      <c r="AV1162" s="47"/>
      <c r="AW1162" s="47"/>
      <c r="AX1162" s="47"/>
      <c r="AY1162" s="47"/>
    </row>
    <row r="1163" spans="1:51" ht="15.75" customHeight="1">
      <c r="A1163" s="500"/>
      <c r="B1163" s="477"/>
      <c r="C1163" s="481"/>
      <c r="D1163" s="47"/>
      <c r="E1163" s="47"/>
      <c r="F1163" s="478"/>
      <c r="G1163" s="479"/>
      <c r="H1163" s="9"/>
      <c r="I1163" s="11"/>
      <c r="J1163" s="505"/>
      <c r="K1163" s="47"/>
      <c r="L1163" s="47"/>
      <c r="M1163" s="47"/>
      <c r="N1163" s="9"/>
      <c r="O1163" s="9"/>
      <c r="P1163" s="9"/>
      <c r="Q1163" s="47"/>
      <c r="R1163" s="47"/>
      <c r="S1163" s="47"/>
      <c r="T1163" s="47"/>
      <c r="U1163" s="47"/>
      <c r="V1163" s="47"/>
      <c r="W1163" s="47"/>
      <c r="X1163" s="47"/>
      <c r="Y1163" s="47"/>
      <c r="Z1163" s="47"/>
      <c r="AA1163" s="47"/>
      <c r="AB1163" s="47"/>
      <c r="AC1163" s="47"/>
      <c r="AD1163" s="47"/>
      <c r="AE1163" s="47"/>
      <c r="AF1163" s="47"/>
      <c r="AG1163" s="47"/>
      <c r="AH1163" s="47"/>
      <c r="AI1163" s="47"/>
      <c r="AJ1163" s="47"/>
      <c r="AK1163" s="47"/>
      <c r="AL1163" s="47"/>
      <c r="AM1163" s="47"/>
      <c r="AN1163" s="47"/>
      <c r="AO1163" s="47"/>
      <c r="AP1163" s="47"/>
      <c r="AQ1163" s="47"/>
      <c r="AR1163" s="47"/>
      <c r="AS1163" s="47"/>
      <c r="AT1163" s="47"/>
      <c r="AU1163" s="47"/>
      <c r="AV1163" s="47"/>
      <c r="AW1163" s="47"/>
      <c r="AX1163" s="47"/>
      <c r="AY1163" s="47"/>
    </row>
    <row r="1164" spans="1:51" ht="15.75" customHeight="1">
      <c r="A1164" s="500"/>
      <c r="B1164" s="477"/>
      <c r="C1164" s="481"/>
      <c r="D1164" s="47"/>
      <c r="E1164" s="47"/>
      <c r="F1164" s="478"/>
      <c r="G1164" s="479"/>
      <c r="H1164" s="9"/>
      <c r="I1164" s="9"/>
      <c r="J1164" s="505"/>
      <c r="K1164" s="47"/>
      <c r="L1164" s="47"/>
      <c r="M1164" s="47"/>
      <c r="N1164" s="9"/>
      <c r="O1164" s="9"/>
      <c r="P1164" s="9"/>
      <c r="Q1164" s="47"/>
      <c r="R1164" s="47"/>
      <c r="S1164" s="47"/>
      <c r="T1164" s="47"/>
      <c r="U1164" s="47"/>
      <c r="V1164" s="47"/>
      <c r="W1164" s="47"/>
      <c r="X1164" s="47"/>
      <c r="Y1164" s="47"/>
      <c r="Z1164" s="47"/>
      <c r="AA1164" s="47"/>
      <c r="AB1164" s="47"/>
      <c r="AC1164" s="47"/>
      <c r="AD1164" s="47"/>
      <c r="AE1164" s="47"/>
      <c r="AF1164" s="47"/>
      <c r="AG1164" s="47"/>
      <c r="AH1164" s="47"/>
      <c r="AI1164" s="47"/>
      <c r="AJ1164" s="47"/>
      <c r="AK1164" s="47"/>
      <c r="AL1164" s="47"/>
      <c r="AM1164" s="47"/>
      <c r="AN1164" s="47"/>
      <c r="AO1164" s="47"/>
      <c r="AP1164" s="47"/>
      <c r="AQ1164" s="47"/>
      <c r="AR1164" s="47"/>
      <c r="AS1164" s="47"/>
      <c r="AT1164" s="47"/>
      <c r="AU1164" s="47"/>
      <c r="AV1164" s="47"/>
      <c r="AW1164" s="47"/>
      <c r="AX1164" s="47"/>
      <c r="AY1164" s="47"/>
    </row>
    <row r="1165" spans="1:51" ht="15.75" customHeight="1">
      <c r="A1165" s="500"/>
      <c r="B1165" s="477"/>
      <c r="C1165" s="481"/>
      <c r="D1165" s="47"/>
      <c r="E1165" s="47"/>
      <c r="F1165" s="478"/>
      <c r="G1165" s="479"/>
      <c r="H1165" s="9"/>
      <c r="I1165" s="9"/>
      <c r="J1165" s="505"/>
      <c r="K1165" s="47"/>
      <c r="L1165" s="47"/>
      <c r="M1165" s="47"/>
      <c r="N1165" s="9"/>
      <c r="O1165" s="9"/>
      <c r="P1165" s="9"/>
      <c r="Q1165" s="47"/>
      <c r="R1165" s="47"/>
      <c r="S1165" s="47"/>
      <c r="T1165" s="47"/>
      <c r="U1165" s="47"/>
      <c r="V1165" s="47"/>
      <c r="W1165" s="47"/>
      <c r="X1165" s="47"/>
      <c r="Y1165" s="47"/>
      <c r="Z1165" s="47"/>
      <c r="AA1165" s="47"/>
      <c r="AB1165" s="47"/>
      <c r="AC1165" s="47"/>
      <c r="AD1165" s="47"/>
      <c r="AE1165" s="47"/>
      <c r="AF1165" s="47"/>
      <c r="AG1165" s="47"/>
      <c r="AH1165" s="47"/>
      <c r="AI1165" s="47"/>
      <c r="AJ1165" s="47"/>
      <c r="AK1165" s="47"/>
      <c r="AL1165" s="47"/>
      <c r="AM1165" s="47"/>
      <c r="AN1165" s="47"/>
      <c r="AO1165" s="47"/>
      <c r="AP1165" s="47"/>
      <c r="AQ1165" s="47"/>
      <c r="AR1165" s="47"/>
      <c r="AS1165" s="47"/>
      <c r="AT1165" s="47"/>
      <c r="AU1165" s="47"/>
      <c r="AV1165" s="47"/>
      <c r="AW1165" s="47"/>
      <c r="AX1165" s="47"/>
      <c r="AY1165" s="47"/>
    </row>
    <row r="1166" spans="1:51" ht="15.75" customHeight="1">
      <c r="A1166" s="500"/>
      <c r="B1166" s="477"/>
      <c r="C1166" s="481"/>
      <c r="D1166" s="47"/>
      <c r="E1166" s="47"/>
      <c r="F1166" s="478"/>
      <c r="G1166" s="479"/>
      <c r="H1166" s="9"/>
      <c r="I1166" s="9"/>
      <c r="J1166" s="505"/>
      <c r="K1166" s="47"/>
      <c r="L1166" s="47"/>
      <c r="M1166" s="47"/>
      <c r="N1166" s="9"/>
      <c r="O1166" s="9"/>
      <c r="P1166" s="9"/>
      <c r="Q1166" s="47"/>
      <c r="R1166" s="47"/>
      <c r="S1166" s="47"/>
      <c r="T1166" s="47"/>
      <c r="U1166" s="47"/>
      <c r="V1166" s="47"/>
      <c r="W1166" s="47"/>
      <c r="X1166" s="47"/>
      <c r="Y1166" s="47"/>
      <c r="Z1166" s="47"/>
      <c r="AA1166" s="47"/>
      <c r="AB1166" s="47"/>
      <c r="AC1166" s="47"/>
      <c r="AD1166" s="47"/>
      <c r="AE1166" s="47"/>
      <c r="AF1166" s="47"/>
      <c r="AG1166" s="47"/>
      <c r="AH1166" s="47"/>
      <c r="AI1166" s="47"/>
      <c r="AJ1166" s="47"/>
      <c r="AK1166" s="47"/>
      <c r="AL1166" s="47"/>
      <c r="AM1166" s="47"/>
      <c r="AN1166" s="47"/>
      <c r="AO1166" s="47"/>
      <c r="AP1166" s="47"/>
      <c r="AQ1166" s="47"/>
      <c r="AR1166" s="47"/>
      <c r="AS1166" s="47"/>
      <c r="AT1166" s="47"/>
      <c r="AU1166" s="47"/>
      <c r="AV1166" s="47"/>
      <c r="AW1166" s="47"/>
      <c r="AX1166" s="47"/>
      <c r="AY1166" s="47"/>
    </row>
    <row r="1167" spans="1:51" ht="15.75" customHeight="1">
      <c r="A1167" s="500"/>
      <c r="B1167" s="477"/>
      <c r="C1167" s="481"/>
      <c r="D1167" s="47"/>
      <c r="E1167" s="47"/>
      <c r="F1167" s="478"/>
      <c r="G1167" s="479"/>
      <c r="H1167" s="9"/>
      <c r="I1167" s="478"/>
      <c r="J1167" s="504"/>
      <c r="K1167" s="47"/>
      <c r="L1167" s="47"/>
      <c r="M1167" s="47"/>
      <c r="N1167" s="9"/>
      <c r="O1167" s="9"/>
      <c r="P1167" s="9"/>
      <c r="Q1167" s="47"/>
      <c r="R1167" s="47"/>
      <c r="S1167" s="47"/>
      <c r="T1167" s="47"/>
      <c r="U1167" s="47"/>
      <c r="V1167" s="47"/>
      <c r="W1167" s="47"/>
      <c r="X1167" s="47"/>
      <c r="Y1167" s="47"/>
      <c r="Z1167" s="47"/>
      <c r="AA1167" s="47"/>
      <c r="AB1167" s="47"/>
      <c r="AC1167" s="47"/>
      <c r="AD1167" s="47"/>
      <c r="AE1167" s="47"/>
      <c r="AF1167" s="47"/>
      <c r="AG1167" s="47"/>
      <c r="AH1167" s="47"/>
      <c r="AI1167" s="47"/>
      <c r="AJ1167" s="47"/>
      <c r="AK1167" s="47"/>
      <c r="AL1167" s="47"/>
      <c r="AM1167" s="47"/>
      <c r="AN1167" s="47"/>
      <c r="AO1167" s="47"/>
      <c r="AP1167" s="47"/>
      <c r="AQ1167" s="47"/>
      <c r="AR1167" s="47"/>
      <c r="AS1167" s="47"/>
      <c r="AT1167" s="47"/>
      <c r="AU1167" s="47"/>
      <c r="AV1167" s="47"/>
      <c r="AW1167" s="47"/>
      <c r="AX1167" s="47"/>
      <c r="AY1167" s="47"/>
    </row>
    <row r="1168" spans="1:51" ht="15.75" customHeight="1">
      <c r="A1168" s="500"/>
      <c r="B1168" s="477"/>
      <c r="C1168" s="481"/>
      <c r="D1168" s="47"/>
      <c r="E1168" s="47"/>
      <c r="F1168" s="478"/>
      <c r="G1168" s="479"/>
      <c r="H1168" s="9"/>
      <c r="I1168" s="478"/>
      <c r="J1168" s="504"/>
      <c r="K1168" s="47"/>
      <c r="L1168" s="47"/>
      <c r="M1168" s="47"/>
      <c r="N1168" s="9"/>
      <c r="O1168" s="9"/>
      <c r="P1168" s="9"/>
      <c r="Q1168" s="47"/>
      <c r="R1168" s="47"/>
      <c r="S1168" s="47"/>
      <c r="T1168" s="47"/>
      <c r="U1168" s="47"/>
      <c r="V1168" s="47"/>
      <c r="W1168" s="47"/>
      <c r="X1168" s="47"/>
      <c r="Y1168" s="47"/>
      <c r="Z1168" s="47"/>
      <c r="AA1168" s="47"/>
      <c r="AB1168" s="47"/>
      <c r="AC1168" s="47"/>
      <c r="AD1168" s="47"/>
      <c r="AE1168" s="47"/>
      <c r="AF1168" s="47"/>
      <c r="AG1168" s="47"/>
      <c r="AH1168" s="47"/>
      <c r="AI1168" s="47"/>
      <c r="AJ1168" s="47"/>
      <c r="AK1168" s="47"/>
      <c r="AL1168" s="47"/>
      <c r="AM1168" s="47"/>
      <c r="AN1168" s="47"/>
      <c r="AO1168" s="47"/>
      <c r="AP1168" s="47"/>
      <c r="AQ1168" s="47"/>
      <c r="AR1168" s="47"/>
      <c r="AS1168" s="47"/>
      <c r="AT1168" s="47"/>
      <c r="AU1168" s="47"/>
      <c r="AV1168" s="47"/>
      <c r="AW1168" s="47"/>
      <c r="AX1168" s="47"/>
      <c r="AY1168" s="47"/>
    </row>
    <row r="1169" spans="1:51" ht="15.75" customHeight="1">
      <c r="A1169" s="500"/>
      <c r="B1169" s="477"/>
      <c r="C1169" s="481"/>
      <c r="D1169" s="47"/>
      <c r="E1169" s="47"/>
      <c r="F1169" s="478"/>
      <c r="G1169" s="479"/>
      <c r="H1169" s="9"/>
      <c r="I1169" s="10"/>
      <c r="J1169" s="505"/>
      <c r="K1169" s="47"/>
      <c r="L1169" s="47"/>
      <c r="M1169" s="47"/>
      <c r="N1169" s="9"/>
      <c r="O1169" s="9"/>
      <c r="P1169" s="9"/>
      <c r="Q1169" s="47"/>
      <c r="R1169" s="47"/>
      <c r="S1169" s="47"/>
      <c r="T1169" s="47"/>
      <c r="U1169" s="47"/>
      <c r="V1169" s="47"/>
      <c r="W1169" s="47"/>
      <c r="X1169" s="47"/>
      <c r="Y1169" s="47"/>
      <c r="Z1169" s="47"/>
      <c r="AA1169" s="47"/>
      <c r="AB1169" s="47"/>
      <c r="AC1169" s="47"/>
      <c r="AD1169" s="47"/>
      <c r="AE1169" s="47"/>
      <c r="AF1169" s="47"/>
      <c r="AG1169" s="47"/>
      <c r="AH1169" s="47"/>
      <c r="AI1169" s="47"/>
      <c r="AJ1169" s="47"/>
      <c r="AK1169" s="47"/>
      <c r="AL1169" s="47"/>
      <c r="AM1169" s="47"/>
      <c r="AN1169" s="47"/>
      <c r="AO1169" s="47"/>
      <c r="AP1169" s="47"/>
      <c r="AQ1169" s="47"/>
      <c r="AR1169" s="47"/>
      <c r="AS1169" s="47"/>
      <c r="AT1169" s="47"/>
      <c r="AU1169" s="47"/>
      <c r="AV1169" s="47"/>
      <c r="AW1169" s="47"/>
      <c r="AX1169" s="47"/>
      <c r="AY1169" s="47"/>
    </row>
    <row r="1170" spans="1:51" ht="15.75" customHeight="1">
      <c r="A1170" s="500"/>
      <c r="B1170" s="477"/>
      <c r="C1170" s="481"/>
      <c r="D1170" s="47"/>
      <c r="E1170" s="47"/>
      <c r="F1170" s="478"/>
      <c r="G1170" s="479"/>
      <c r="H1170" s="9"/>
      <c r="I1170" s="10"/>
      <c r="J1170" s="505"/>
      <c r="K1170" s="47"/>
      <c r="L1170" s="47"/>
      <c r="M1170" s="47"/>
      <c r="N1170" s="9"/>
      <c r="O1170" s="9"/>
      <c r="P1170" s="9"/>
      <c r="Q1170" s="47"/>
      <c r="R1170" s="47"/>
      <c r="S1170" s="47"/>
      <c r="T1170" s="47"/>
      <c r="U1170" s="47"/>
      <c r="V1170" s="47"/>
      <c r="W1170" s="47"/>
      <c r="X1170" s="47"/>
      <c r="Y1170" s="47"/>
      <c r="Z1170" s="47"/>
      <c r="AA1170" s="47"/>
      <c r="AB1170" s="47"/>
      <c r="AC1170" s="47"/>
      <c r="AD1170" s="47"/>
      <c r="AE1170" s="47"/>
      <c r="AF1170" s="47"/>
      <c r="AG1170" s="47"/>
      <c r="AH1170" s="47"/>
      <c r="AI1170" s="47"/>
      <c r="AJ1170" s="47"/>
      <c r="AK1170" s="47"/>
      <c r="AL1170" s="47"/>
      <c r="AM1170" s="47"/>
      <c r="AN1170" s="47"/>
      <c r="AO1170" s="47"/>
      <c r="AP1170" s="47"/>
      <c r="AQ1170" s="47"/>
      <c r="AR1170" s="47"/>
      <c r="AS1170" s="47"/>
      <c r="AT1170" s="47"/>
      <c r="AU1170" s="47"/>
      <c r="AV1170" s="47"/>
      <c r="AW1170" s="47"/>
      <c r="AX1170" s="47"/>
      <c r="AY1170" s="47"/>
    </row>
    <row r="1171" spans="1:51" ht="15.75" customHeight="1">
      <c r="A1171" s="500"/>
      <c r="B1171" s="477"/>
      <c r="C1171" s="481"/>
      <c r="D1171" s="47"/>
      <c r="E1171" s="47"/>
      <c r="F1171" s="478"/>
      <c r="G1171" s="479"/>
      <c r="H1171" s="9"/>
      <c r="I1171" s="10"/>
      <c r="J1171" s="505"/>
      <c r="K1171" s="47"/>
      <c r="L1171" s="47"/>
      <c r="M1171" s="47"/>
      <c r="N1171" s="9"/>
      <c r="O1171" s="9"/>
      <c r="P1171" s="9"/>
      <c r="Q1171" s="47"/>
      <c r="R1171" s="47"/>
      <c r="S1171" s="47"/>
      <c r="T1171" s="47"/>
      <c r="U1171" s="47"/>
      <c r="V1171" s="47"/>
      <c r="W1171" s="47"/>
      <c r="X1171" s="47"/>
      <c r="Y1171" s="47"/>
      <c r="Z1171" s="47"/>
      <c r="AA1171" s="47"/>
      <c r="AB1171" s="47"/>
      <c r="AC1171" s="47"/>
      <c r="AD1171" s="47"/>
      <c r="AE1171" s="47"/>
      <c r="AF1171" s="47"/>
      <c r="AG1171" s="47"/>
      <c r="AH1171" s="47"/>
      <c r="AI1171" s="47"/>
      <c r="AJ1171" s="47"/>
      <c r="AK1171" s="47"/>
      <c r="AL1171" s="47"/>
      <c r="AM1171" s="47"/>
      <c r="AN1171" s="47"/>
      <c r="AO1171" s="47"/>
      <c r="AP1171" s="47"/>
      <c r="AQ1171" s="47"/>
      <c r="AR1171" s="47"/>
      <c r="AS1171" s="47"/>
      <c r="AT1171" s="47"/>
      <c r="AU1171" s="47"/>
      <c r="AV1171" s="47"/>
      <c r="AW1171" s="47"/>
      <c r="AX1171" s="47"/>
      <c r="AY1171" s="47"/>
    </row>
    <row r="1172" spans="1:51" ht="15.75" customHeight="1">
      <c r="A1172" s="500"/>
      <c r="B1172" s="477"/>
      <c r="C1172" s="481"/>
      <c r="D1172" s="47"/>
      <c r="E1172" s="47"/>
      <c r="F1172" s="478"/>
      <c r="G1172" s="479"/>
      <c r="H1172" s="9"/>
      <c r="I1172" s="9"/>
      <c r="J1172" s="505"/>
      <c r="K1172" s="47"/>
      <c r="L1172" s="47"/>
      <c r="M1172" s="47"/>
      <c r="N1172" s="9"/>
      <c r="O1172" s="9"/>
      <c r="P1172" s="9"/>
      <c r="Q1172" s="47"/>
      <c r="R1172" s="47"/>
      <c r="S1172" s="47"/>
      <c r="T1172" s="47"/>
      <c r="U1172" s="47"/>
      <c r="V1172" s="47"/>
      <c r="W1172" s="47"/>
      <c r="X1172" s="47"/>
      <c r="Y1172" s="47"/>
      <c r="Z1172" s="47"/>
      <c r="AA1172" s="47"/>
      <c r="AB1172" s="47"/>
      <c r="AC1172" s="47"/>
      <c r="AD1172" s="47"/>
      <c r="AE1172" s="47"/>
      <c r="AF1172" s="47"/>
      <c r="AG1172" s="47"/>
      <c r="AH1172" s="47"/>
      <c r="AI1172" s="47"/>
      <c r="AJ1172" s="47"/>
      <c r="AK1172" s="47"/>
      <c r="AL1172" s="47"/>
      <c r="AM1172" s="47"/>
      <c r="AN1172" s="47"/>
      <c r="AO1172" s="47"/>
      <c r="AP1172" s="47"/>
      <c r="AQ1172" s="47"/>
      <c r="AR1172" s="47"/>
      <c r="AS1172" s="47"/>
      <c r="AT1172" s="47"/>
      <c r="AU1172" s="47"/>
      <c r="AV1172" s="47"/>
      <c r="AW1172" s="47"/>
      <c r="AX1172" s="47"/>
      <c r="AY1172" s="47"/>
    </row>
    <row r="1173" spans="1:51" ht="15.75" customHeight="1">
      <c r="A1173" s="500"/>
      <c r="B1173" s="477"/>
      <c r="C1173" s="481"/>
      <c r="D1173" s="47"/>
      <c r="E1173" s="47"/>
      <c r="F1173" s="478"/>
      <c r="G1173" s="479"/>
      <c r="H1173" s="9"/>
      <c r="I1173" s="10"/>
      <c r="J1173" s="505"/>
      <c r="K1173" s="47"/>
      <c r="L1173" s="47"/>
      <c r="M1173" s="47"/>
      <c r="N1173" s="9"/>
      <c r="O1173" s="9"/>
      <c r="P1173" s="9"/>
      <c r="Q1173" s="47"/>
      <c r="R1173" s="47"/>
      <c r="S1173" s="47"/>
      <c r="T1173" s="47"/>
      <c r="U1173" s="47"/>
      <c r="V1173" s="47"/>
      <c r="W1173" s="47"/>
      <c r="X1173" s="47"/>
      <c r="Y1173" s="47"/>
      <c r="Z1173" s="47"/>
      <c r="AA1173" s="47"/>
      <c r="AB1173" s="47"/>
      <c r="AC1173" s="47"/>
      <c r="AD1173" s="47"/>
      <c r="AE1173" s="47"/>
      <c r="AF1173" s="47"/>
      <c r="AG1173" s="47"/>
      <c r="AH1173" s="47"/>
      <c r="AI1173" s="47"/>
      <c r="AJ1173" s="47"/>
      <c r="AK1173" s="47"/>
      <c r="AL1173" s="47"/>
      <c r="AM1173" s="47"/>
      <c r="AN1173" s="47"/>
      <c r="AO1173" s="47"/>
      <c r="AP1173" s="47"/>
      <c r="AQ1173" s="47"/>
      <c r="AR1173" s="47"/>
      <c r="AS1173" s="47"/>
      <c r="AT1173" s="47"/>
      <c r="AU1173" s="47"/>
      <c r="AV1173" s="47"/>
      <c r="AW1173" s="47"/>
      <c r="AX1173" s="47"/>
      <c r="AY1173" s="47"/>
    </row>
    <row r="1174" spans="1:51" ht="15.75" customHeight="1">
      <c r="A1174" s="500"/>
      <c r="B1174" s="477"/>
      <c r="C1174" s="481"/>
      <c r="D1174" s="47"/>
      <c r="E1174" s="47"/>
      <c r="F1174" s="478"/>
      <c r="G1174" s="479"/>
      <c r="H1174" s="9"/>
      <c r="I1174" s="10"/>
      <c r="J1174" s="505"/>
      <c r="K1174" s="47"/>
      <c r="L1174" s="47"/>
      <c r="M1174" s="47"/>
      <c r="N1174" s="9"/>
      <c r="O1174" s="9"/>
      <c r="P1174" s="9"/>
      <c r="Q1174" s="47"/>
      <c r="R1174" s="47"/>
      <c r="S1174" s="47"/>
      <c r="T1174" s="47"/>
      <c r="U1174" s="47"/>
      <c r="V1174" s="47"/>
      <c r="W1174" s="47"/>
      <c r="X1174" s="47"/>
      <c r="Y1174" s="47"/>
      <c r="Z1174" s="47"/>
      <c r="AA1174" s="47"/>
      <c r="AB1174" s="47"/>
      <c r="AC1174" s="47"/>
      <c r="AD1174" s="47"/>
      <c r="AE1174" s="47"/>
      <c r="AF1174" s="47"/>
      <c r="AG1174" s="47"/>
      <c r="AH1174" s="47"/>
      <c r="AI1174" s="47"/>
      <c r="AJ1174" s="47"/>
      <c r="AK1174" s="47"/>
      <c r="AL1174" s="47"/>
      <c r="AM1174" s="47"/>
      <c r="AN1174" s="47"/>
      <c r="AO1174" s="47"/>
      <c r="AP1174" s="47"/>
      <c r="AQ1174" s="47"/>
      <c r="AR1174" s="47"/>
      <c r="AS1174" s="47"/>
      <c r="AT1174" s="47"/>
      <c r="AU1174" s="47"/>
      <c r="AV1174" s="47"/>
      <c r="AW1174" s="47"/>
      <c r="AX1174" s="47"/>
      <c r="AY1174" s="47"/>
    </row>
    <row r="1175" spans="1:51" ht="15.75" customHeight="1">
      <c r="A1175" s="500"/>
      <c r="B1175" s="477"/>
      <c r="C1175" s="481"/>
      <c r="D1175" s="47"/>
      <c r="E1175" s="47"/>
      <c r="F1175" s="478"/>
      <c r="G1175" s="479"/>
      <c r="H1175" s="9"/>
      <c r="I1175" s="10"/>
      <c r="J1175" s="505"/>
      <c r="K1175" s="47"/>
      <c r="L1175" s="47"/>
      <c r="M1175" s="47"/>
      <c r="N1175" s="9"/>
      <c r="O1175" s="9"/>
      <c r="P1175" s="9"/>
      <c r="Q1175" s="47"/>
      <c r="R1175" s="47"/>
      <c r="S1175" s="47"/>
      <c r="T1175" s="47"/>
      <c r="U1175" s="47"/>
      <c r="V1175" s="47"/>
      <c r="W1175" s="47"/>
      <c r="X1175" s="47"/>
      <c r="Y1175" s="47"/>
      <c r="Z1175" s="47"/>
      <c r="AA1175" s="47"/>
      <c r="AB1175" s="47"/>
      <c r="AC1175" s="47"/>
      <c r="AD1175" s="47"/>
      <c r="AE1175" s="47"/>
      <c r="AF1175" s="47"/>
      <c r="AG1175" s="47"/>
      <c r="AH1175" s="47"/>
      <c r="AI1175" s="47"/>
      <c r="AJ1175" s="47"/>
      <c r="AK1175" s="47"/>
      <c r="AL1175" s="47"/>
      <c r="AM1175" s="47"/>
      <c r="AN1175" s="47"/>
      <c r="AO1175" s="47"/>
      <c r="AP1175" s="47"/>
      <c r="AQ1175" s="47"/>
      <c r="AR1175" s="47"/>
      <c r="AS1175" s="47"/>
      <c r="AT1175" s="47"/>
      <c r="AU1175" s="47"/>
      <c r="AV1175" s="47"/>
      <c r="AW1175" s="47"/>
      <c r="AX1175" s="47"/>
      <c r="AY1175" s="47"/>
    </row>
    <row r="1176" spans="1:51" ht="15.75" customHeight="1">
      <c r="A1176" s="500"/>
      <c r="B1176" s="477"/>
      <c r="C1176" s="481"/>
      <c r="D1176" s="47"/>
      <c r="E1176" s="47"/>
      <c r="F1176" s="478"/>
      <c r="G1176" s="479"/>
      <c r="H1176" s="9"/>
      <c r="I1176" s="9"/>
      <c r="J1176" s="505"/>
      <c r="K1176" s="47"/>
      <c r="L1176" s="47"/>
      <c r="M1176" s="47"/>
      <c r="N1176" s="9"/>
      <c r="O1176" s="9"/>
      <c r="P1176" s="9"/>
      <c r="Q1176" s="47"/>
      <c r="R1176" s="47"/>
      <c r="S1176" s="47"/>
      <c r="T1176" s="47"/>
      <c r="U1176" s="47"/>
      <c r="V1176" s="47"/>
      <c r="W1176" s="47"/>
      <c r="X1176" s="47"/>
      <c r="Y1176" s="47"/>
      <c r="Z1176" s="47"/>
      <c r="AA1176" s="47"/>
      <c r="AB1176" s="47"/>
      <c r="AC1176" s="47"/>
      <c r="AD1176" s="47"/>
      <c r="AE1176" s="47"/>
      <c r="AF1176" s="47"/>
      <c r="AG1176" s="47"/>
      <c r="AH1176" s="47"/>
      <c r="AI1176" s="47"/>
      <c r="AJ1176" s="47"/>
      <c r="AK1176" s="47"/>
      <c r="AL1176" s="47"/>
      <c r="AM1176" s="47"/>
      <c r="AN1176" s="47"/>
      <c r="AO1176" s="47"/>
      <c r="AP1176" s="47"/>
      <c r="AQ1176" s="47"/>
      <c r="AR1176" s="47"/>
      <c r="AS1176" s="47"/>
      <c r="AT1176" s="47"/>
      <c r="AU1176" s="47"/>
      <c r="AV1176" s="47"/>
      <c r="AW1176" s="47"/>
      <c r="AX1176" s="47"/>
      <c r="AY1176" s="47"/>
    </row>
    <row r="1177" spans="1:51" ht="15.75" customHeight="1">
      <c r="A1177" s="500"/>
      <c r="B1177" s="477"/>
      <c r="C1177" s="481"/>
      <c r="D1177" s="47"/>
      <c r="E1177" s="47"/>
      <c r="F1177" s="478"/>
      <c r="G1177" s="479"/>
      <c r="H1177" s="9"/>
      <c r="I1177" s="10"/>
      <c r="J1177" s="505"/>
      <c r="K1177" s="47"/>
      <c r="L1177" s="47"/>
      <c r="M1177" s="47"/>
      <c r="N1177" s="9"/>
      <c r="O1177" s="9"/>
      <c r="P1177" s="9"/>
      <c r="Q1177" s="47"/>
      <c r="R1177" s="47"/>
      <c r="S1177" s="47"/>
      <c r="T1177" s="47"/>
      <c r="U1177" s="47"/>
      <c r="V1177" s="47"/>
      <c r="W1177" s="47"/>
      <c r="X1177" s="47"/>
      <c r="Y1177" s="47"/>
      <c r="Z1177" s="47"/>
      <c r="AA1177" s="47"/>
      <c r="AB1177" s="47"/>
      <c r="AC1177" s="47"/>
      <c r="AD1177" s="47"/>
      <c r="AE1177" s="47"/>
      <c r="AF1177" s="47"/>
      <c r="AG1177" s="47"/>
      <c r="AH1177" s="47"/>
      <c r="AI1177" s="47"/>
      <c r="AJ1177" s="47"/>
      <c r="AK1177" s="47"/>
      <c r="AL1177" s="47"/>
      <c r="AM1177" s="47"/>
      <c r="AN1177" s="47"/>
      <c r="AO1177" s="47"/>
      <c r="AP1177" s="47"/>
      <c r="AQ1177" s="47"/>
      <c r="AR1177" s="47"/>
      <c r="AS1177" s="47"/>
      <c r="AT1177" s="47"/>
      <c r="AU1177" s="47"/>
      <c r="AV1177" s="47"/>
      <c r="AW1177" s="47"/>
      <c r="AX1177" s="47"/>
      <c r="AY1177" s="47"/>
    </row>
    <row r="1178" spans="1:51" ht="15.75" customHeight="1">
      <c r="A1178" s="500"/>
      <c r="B1178" s="477"/>
      <c r="C1178" s="481"/>
      <c r="D1178" s="47"/>
      <c r="E1178" s="47"/>
      <c r="F1178" s="478"/>
      <c r="G1178" s="479"/>
      <c r="H1178" s="9"/>
      <c r="I1178" s="10"/>
      <c r="J1178" s="505"/>
      <c r="K1178" s="47"/>
      <c r="L1178" s="47"/>
      <c r="M1178" s="47"/>
      <c r="N1178" s="9"/>
      <c r="O1178" s="9"/>
      <c r="P1178" s="9"/>
      <c r="Q1178" s="47"/>
      <c r="R1178" s="47"/>
      <c r="S1178" s="47"/>
      <c r="T1178" s="47"/>
      <c r="U1178" s="47"/>
      <c r="V1178" s="47"/>
      <c r="W1178" s="47"/>
      <c r="X1178" s="47"/>
      <c r="Y1178" s="47"/>
      <c r="Z1178" s="47"/>
      <c r="AA1178" s="47"/>
      <c r="AB1178" s="47"/>
      <c r="AC1178" s="47"/>
      <c r="AD1178" s="47"/>
      <c r="AE1178" s="47"/>
      <c r="AF1178" s="47"/>
      <c r="AG1178" s="47"/>
      <c r="AH1178" s="47"/>
      <c r="AI1178" s="47"/>
      <c r="AJ1178" s="47"/>
      <c r="AK1178" s="47"/>
      <c r="AL1178" s="47"/>
      <c r="AM1178" s="47"/>
      <c r="AN1178" s="47"/>
      <c r="AO1178" s="47"/>
      <c r="AP1178" s="47"/>
      <c r="AQ1178" s="47"/>
      <c r="AR1178" s="47"/>
      <c r="AS1178" s="47"/>
      <c r="AT1178" s="47"/>
      <c r="AU1178" s="47"/>
      <c r="AV1178" s="47"/>
      <c r="AW1178" s="47"/>
      <c r="AX1178" s="47"/>
      <c r="AY1178" s="47"/>
    </row>
    <row r="1179" spans="1:51" ht="15.75" customHeight="1">
      <c r="A1179" s="500"/>
      <c r="B1179" s="477"/>
      <c r="C1179" s="481"/>
      <c r="D1179" s="47"/>
      <c r="E1179" s="47"/>
      <c r="F1179" s="478"/>
      <c r="G1179" s="479"/>
      <c r="H1179" s="9"/>
      <c r="I1179" s="10"/>
      <c r="J1179" s="505"/>
      <c r="K1179" s="47"/>
      <c r="L1179" s="47"/>
      <c r="M1179" s="47"/>
      <c r="N1179" s="9"/>
      <c r="O1179" s="9"/>
      <c r="P1179" s="9"/>
      <c r="Q1179" s="47"/>
      <c r="R1179" s="47"/>
      <c r="S1179" s="47"/>
      <c r="T1179" s="47"/>
      <c r="U1179" s="47"/>
      <c r="V1179" s="47"/>
      <c r="W1179" s="47"/>
      <c r="X1179" s="47"/>
      <c r="Y1179" s="47"/>
      <c r="Z1179" s="47"/>
      <c r="AA1179" s="47"/>
      <c r="AB1179" s="47"/>
      <c r="AC1179" s="47"/>
      <c r="AD1179" s="47"/>
      <c r="AE1179" s="47"/>
      <c r="AF1179" s="47"/>
      <c r="AG1179" s="47"/>
      <c r="AH1179" s="47"/>
      <c r="AI1179" s="47"/>
      <c r="AJ1179" s="47"/>
      <c r="AK1179" s="47"/>
      <c r="AL1179" s="47"/>
      <c r="AM1179" s="47"/>
      <c r="AN1179" s="47"/>
      <c r="AO1179" s="47"/>
      <c r="AP1179" s="47"/>
      <c r="AQ1179" s="47"/>
      <c r="AR1179" s="47"/>
      <c r="AS1179" s="47"/>
      <c r="AT1179" s="47"/>
      <c r="AU1179" s="47"/>
      <c r="AV1179" s="47"/>
      <c r="AW1179" s="47"/>
      <c r="AX1179" s="47"/>
      <c r="AY1179" s="47"/>
    </row>
    <row r="1180" spans="1:51" ht="15.75" customHeight="1">
      <c r="A1180" s="500"/>
      <c r="B1180" s="477"/>
      <c r="C1180" s="481"/>
      <c r="D1180" s="47"/>
      <c r="E1180" s="47"/>
      <c r="F1180" s="478"/>
      <c r="G1180" s="479"/>
      <c r="H1180" s="9"/>
      <c r="I1180" s="9"/>
      <c r="J1180" s="505"/>
      <c r="K1180" s="47"/>
      <c r="L1180" s="47"/>
      <c r="M1180" s="47"/>
      <c r="N1180" s="9"/>
      <c r="O1180" s="9"/>
      <c r="P1180" s="9"/>
      <c r="Q1180" s="47"/>
      <c r="R1180" s="47"/>
      <c r="S1180" s="47"/>
      <c r="T1180" s="47"/>
      <c r="U1180" s="47"/>
      <c r="V1180" s="47"/>
      <c r="W1180" s="47"/>
      <c r="X1180" s="47"/>
      <c r="Y1180" s="47"/>
      <c r="Z1180" s="47"/>
      <c r="AA1180" s="47"/>
      <c r="AB1180" s="47"/>
      <c r="AC1180" s="47"/>
      <c r="AD1180" s="47"/>
      <c r="AE1180" s="47"/>
      <c r="AF1180" s="47"/>
      <c r="AG1180" s="47"/>
      <c r="AH1180" s="47"/>
      <c r="AI1180" s="47"/>
      <c r="AJ1180" s="47"/>
      <c r="AK1180" s="47"/>
      <c r="AL1180" s="47"/>
      <c r="AM1180" s="47"/>
      <c r="AN1180" s="47"/>
      <c r="AO1180" s="47"/>
      <c r="AP1180" s="47"/>
      <c r="AQ1180" s="47"/>
      <c r="AR1180" s="47"/>
      <c r="AS1180" s="47"/>
      <c r="AT1180" s="47"/>
      <c r="AU1180" s="47"/>
      <c r="AV1180" s="47"/>
      <c r="AW1180" s="47"/>
      <c r="AX1180" s="47"/>
      <c r="AY1180" s="47"/>
    </row>
    <row r="1181" spans="1:51" ht="15.75" customHeight="1">
      <c r="A1181" s="500"/>
      <c r="B1181" s="477"/>
      <c r="C1181" s="481"/>
      <c r="D1181" s="47"/>
      <c r="E1181" s="47"/>
      <c r="F1181" s="478"/>
      <c r="G1181" s="479"/>
      <c r="H1181" s="9"/>
      <c r="I1181" s="10"/>
      <c r="J1181" s="505"/>
      <c r="K1181" s="47"/>
      <c r="L1181" s="47"/>
      <c r="M1181" s="47"/>
      <c r="N1181" s="9"/>
      <c r="O1181" s="9"/>
      <c r="P1181" s="9"/>
      <c r="Q1181" s="47"/>
      <c r="R1181" s="47"/>
      <c r="S1181" s="47"/>
      <c r="T1181" s="47"/>
      <c r="U1181" s="47"/>
      <c r="V1181" s="47"/>
      <c r="W1181" s="47"/>
      <c r="X1181" s="47"/>
      <c r="Y1181" s="47"/>
      <c r="Z1181" s="47"/>
      <c r="AA1181" s="47"/>
      <c r="AB1181" s="47"/>
      <c r="AC1181" s="47"/>
      <c r="AD1181" s="47"/>
      <c r="AE1181" s="47"/>
      <c r="AF1181" s="47"/>
      <c r="AG1181" s="47"/>
      <c r="AH1181" s="47"/>
      <c r="AI1181" s="47"/>
      <c r="AJ1181" s="47"/>
      <c r="AK1181" s="47"/>
      <c r="AL1181" s="47"/>
      <c r="AM1181" s="47"/>
      <c r="AN1181" s="47"/>
      <c r="AO1181" s="47"/>
      <c r="AP1181" s="47"/>
      <c r="AQ1181" s="47"/>
      <c r="AR1181" s="47"/>
      <c r="AS1181" s="47"/>
      <c r="AT1181" s="47"/>
      <c r="AU1181" s="47"/>
      <c r="AV1181" s="47"/>
      <c r="AW1181" s="47"/>
      <c r="AX1181" s="47"/>
      <c r="AY1181" s="47"/>
    </row>
    <row r="1182" spans="1:51" ht="15.75" customHeight="1">
      <c r="A1182" s="500"/>
      <c r="B1182" s="477"/>
      <c r="C1182" s="481"/>
      <c r="D1182" s="47"/>
      <c r="E1182" s="47"/>
      <c r="F1182" s="478"/>
      <c r="G1182" s="479"/>
      <c r="H1182" s="9"/>
      <c r="I1182" s="9"/>
      <c r="J1182" s="505"/>
      <c r="K1182" s="47"/>
      <c r="L1182" s="47"/>
      <c r="M1182" s="47"/>
      <c r="N1182" s="9"/>
      <c r="O1182" s="9"/>
      <c r="P1182" s="9"/>
      <c r="Q1182" s="47"/>
      <c r="R1182" s="47"/>
      <c r="S1182" s="47"/>
      <c r="T1182" s="47"/>
      <c r="U1182" s="47"/>
      <c r="V1182" s="47"/>
      <c r="W1182" s="47"/>
      <c r="X1182" s="47"/>
      <c r="Y1182" s="47"/>
      <c r="Z1182" s="47"/>
      <c r="AA1182" s="47"/>
      <c r="AB1182" s="47"/>
      <c r="AC1182" s="47"/>
      <c r="AD1182" s="47"/>
      <c r="AE1182" s="47"/>
      <c r="AF1182" s="47"/>
      <c r="AG1182" s="47"/>
      <c r="AH1182" s="47"/>
      <c r="AI1182" s="47"/>
      <c r="AJ1182" s="47"/>
      <c r="AK1182" s="47"/>
      <c r="AL1182" s="47"/>
      <c r="AM1182" s="47"/>
      <c r="AN1182" s="47"/>
      <c r="AO1182" s="47"/>
      <c r="AP1182" s="47"/>
      <c r="AQ1182" s="47"/>
      <c r="AR1182" s="47"/>
      <c r="AS1182" s="47"/>
      <c r="AT1182" s="47"/>
      <c r="AU1182" s="47"/>
      <c r="AV1182" s="47"/>
      <c r="AW1182" s="47"/>
      <c r="AX1182" s="47"/>
      <c r="AY1182" s="47"/>
    </row>
    <row r="1183" spans="1:51" ht="15.75" customHeight="1">
      <c r="A1183" s="500"/>
      <c r="B1183" s="477"/>
      <c r="C1183" s="481"/>
      <c r="D1183" s="47"/>
      <c r="E1183" s="47"/>
      <c r="F1183" s="478"/>
      <c r="G1183" s="479"/>
      <c r="H1183" s="9"/>
      <c r="I1183" s="10"/>
      <c r="J1183" s="505"/>
      <c r="K1183" s="47"/>
      <c r="L1183" s="47"/>
      <c r="M1183" s="47"/>
      <c r="N1183" s="9"/>
      <c r="O1183" s="9"/>
      <c r="P1183" s="9"/>
      <c r="Q1183" s="47"/>
      <c r="R1183" s="47"/>
      <c r="S1183" s="47"/>
      <c r="T1183" s="47"/>
      <c r="U1183" s="47"/>
      <c r="V1183" s="47"/>
      <c r="W1183" s="47"/>
      <c r="X1183" s="47"/>
      <c r="Y1183" s="47"/>
      <c r="Z1183" s="47"/>
      <c r="AA1183" s="47"/>
      <c r="AB1183" s="47"/>
      <c r="AC1183" s="47"/>
      <c r="AD1183" s="47"/>
      <c r="AE1183" s="47"/>
      <c r="AF1183" s="47"/>
      <c r="AG1183" s="47"/>
      <c r="AH1183" s="47"/>
      <c r="AI1183" s="47"/>
      <c r="AJ1183" s="47"/>
      <c r="AK1183" s="47"/>
      <c r="AL1183" s="47"/>
      <c r="AM1183" s="47"/>
      <c r="AN1183" s="47"/>
      <c r="AO1183" s="47"/>
      <c r="AP1183" s="47"/>
      <c r="AQ1183" s="47"/>
      <c r="AR1183" s="47"/>
      <c r="AS1183" s="47"/>
      <c r="AT1183" s="47"/>
      <c r="AU1183" s="47"/>
      <c r="AV1183" s="47"/>
      <c r="AW1183" s="47"/>
      <c r="AX1183" s="47"/>
      <c r="AY1183" s="47"/>
    </row>
    <row r="1184" spans="1:51" ht="15.75" customHeight="1">
      <c r="A1184" s="500"/>
      <c r="B1184" s="477"/>
      <c r="C1184" s="481"/>
      <c r="D1184" s="47"/>
      <c r="E1184" s="47"/>
      <c r="F1184" s="478"/>
      <c r="G1184" s="479"/>
      <c r="H1184" s="9"/>
      <c r="I1184" s="9"/>
      <c r="J1184" s="505"/>
      <c r="K1184" s="47"/>
      <c r="L1184" s="47"/>
      <c r="M1184" s="47"/>
      <c r="N1184" s="9"/>
      <c r="O1184" s="9"/>
      <c r="P1184" s="9"/>
      <c r="Q1184" s="47"/>
      <c r="R1184" s="47"/>
      <c r="S1184" s="47"/>
      <c r="T1184" s="47"/>
      <c r="U1184" s="47"/>
      <c r="V1184" s="47"/>
      <c r="W1184" s="47"/>
      <c r="X1184" s="47"/>
      <c r="Y1184" s="47"/>
      <c r="Z1184" s="47"/>
      <c r="AA1184" s="47"/>
      <c r="AB1184" s="47"/>
      <c r="AC1184" s="47"/>
      <c r="AD1184" s="47"/>
      <c r="AE1184" s="47"/>
      <c r="AF1184" s="47"/>
      <c r="AG1184" s="47"/>
      <c r="AH1184" s="47"/>
      <c r="AI1184" s="47"/>
      <c r="AJ1184" s="47"/>
      <c r="AK1184" s="47"/>
      <c r="AL1184" s="47"/>
      <c r="AM1184" s="47"/>
      <c r="AN1184" s="47"/>
      <c r="AO1184" s="47"/>
      <c r="AP1184" s="47"/>
      <c r="AQ1184" s="47"/>
      <c r="AR1184" s="47"/>
      <c r="AS1184" s="47"/>
      <c r="AT1184" s="47"/>
      <c r="AU1184" s="47"/>
      <c r="AV1184" s="47"/>
      <c r="AW1184" s="47"/>
      <c r="AX1184" s="47"/>
      <c r="AY1184" s="47"/>
    </row>
    <row r="1185" spans="1:51" ht="15.75" customHeight="1">
      <c r="A1185" s="500"/>
      <c r="B1185" s="477"/>
      <c r="C1185" s="481"/>
      <c r="D1185" s="47"/>
      <c r="E1185" s="47"/>
      <c r="F1185" s="478"/>
      <c r="G1185" s="479"/>
      <c r="H1185" s="9"/>
      <c r="I1185" s="10"/>
      <c r="J1185" s="505"/>
      <c r="K1185" s="47"/>
      <c r="L1185" s="47"/>
      <c r="M1185" s="47"/>
      <c r="N1185" s="9"/>
      <c r="O1185" s="9"/>
      <c r="P1185" s="9"/>
      <c r="Q1185" s="47"/>
      <c r="R1185" s="47"/>
      <c r="S1185" s="47"/>
      <c r="T1185" s="47"/>
      <c r="U1185" s="47"/>
      <c r="V1185" s="47"/>
      <c r="W1185" s="47"/>
      <c r="X1185" s="47"/>
      <c r="Y1185" s="47"/>
      <c r="Z1185" s="47"/>
      <c r="AA1185" s="47"/>
      <c r="AB1185" s="47"/>
      <c r="AC1185" s="47"/>
      <c r="AD1185" s="47"/>
      <c r="AE1185" s="47"/>
      <c r="AF1185" s="47"/>
      <c r="AG1185" s="47"/>
      <c r="AH1185" s="47"/>
      <c r="AI1185" s="47"/>
      <c r="AJ1185" s="47"/>
      <c r="AK1185" s="47"/>
      <c r="AL1185" s="47"/>
      <c r="AM1185" s="47"/>
      <c r="AN1185" s="47"/>
      <c r="AO1185" s="47"/>
      <c r="AP1185" s="47"/>
      <c r="AQ1185" s="47"/>
      <c r="AR1185" s="47"/>
      <c r="AS1185" s="47"/>
      <c r="AT1185" s="47"/>
      <c r="AU1185" s="47"/>
      <c r="AV1185" s="47"/>
      <c r="AW1185" s="47"/>
      <c r="AX1185" s="47"/>
      <c r="AY1185" s="47"/>
    </row>
    <row r="1186" spans="1:51" ht="15.75" customHeight="1">
      <c r="A1186" s="500"/>
      <c r="B1186" s="477"/>
      <c r="C1186" s="481"/>
      <c r="D1186" s="47"/>
      <c r="E1186" s="47"/>
      <c r="F1186" s="478"/>
      <c r="G1186" s="479"/>
      <c r="H1186" s="9"/>
      <c r="I1186" s="9"/>
      <c r="J1186" s="505"/>
      <c r="K1186" s="47"/>
      <c r="L1186" s="47"/>
      <c r="M1186" s="47"/>
      <c r="N1186" s="9"/>
      <c r="O1186" s="9"/>
      <c r="P1186" s="9"/>
      <c r="Q1186" s="47"/>
      <c r="R1186" s="47"/>
      <c r="S1186" s="47"/>
      <c r="T1186" s="47"/>
      <c r="U1186" s="47"/>
      <c r="V1186" s="47"/>
      <c r="W1186" s="47"/>
      <c r="X1186" s="47"/>
      <c r="Y1186" s="47"/>
      <c r="Z1186" s="47"/>
      <c r="AA1186" s="47"/>
      <c r="AB1186" s="47"/>
      <c r="AC1186" s="47"/>
      <c r="AD1186" s="47"/>
      <c r="AE1186" s="47"/>
      <c r="AF1186" s="47"/>
      <c r="AG1186" s="47"/>
      <c r="AH1186" s="47"/>
      <c r="AI1186" s="47"/>
      <c r="AJ1186" s="47"/>
      <c r="AK1186" s="47"/>
      <c r="AL1186" s="47"/>
      <c r="AM1186" s="47"/>
      <c r="AN1186" s="47"/>
      <c r="AO1186" s="47"/>
      <c r="AP1186" s="47"/>
      <c r="AQ1186" s="47"/>
      <c r="AR1186" s="47"/>
      <c r="AS1186" s="47"/>
      <c r="AT1186" s="47"/>
      <c r="AU1186" s="47"/>
      <c r="AV1186" s="47"/>
      <c r="AW1186" s="47"/>
      <c r="AX1186" s="47"/>
      <c r="AY1186" s="47"/>
    </row>
    <row r="1187" spans="1:51" ht="15.75" customHeight="1">
      <c r="A1187" s="500"/>
      <c r="B1187" s="477"/>
      <c r="C1187" s="481"/>
      <c r="D1187" s="47"/>
      <c r="E1187" s="47"/>
      <c r="F1187" s="478"/>
      <c r="G1187" s="479"/>
      <c r="H1187" s="9"/>
      <c r="I1187" s="10"/>
      <c r="J1187" s="505"/>
      <c r="K1187" s="47"/>
      <c r="L1187" s="47"/>
      <c r="M1187" s="47"/>
      <c r="N1187" s="9"/>
      <c r="O1187" s="9"/>
      <c r="P1187" s="9"/>
      <c r="Q1187" s="47"/>
      <c r="R1187" s="47"/>
      <c r="S1187" s="47"/>
      <c r="T1187" s="47"/>
      <c r="U1187" s="47"/>
      <c r="V1187" s="47"/>
      <c r="W1187" s="47"/>
      <c r="X1187" s="47"/>
      <c r="Y1187" s="47"/>
      <c r="Z1187" s="47"/>
      <c r="AA1187" s="47"/>
      <c r="AB1187" s="47"/>
      <c r="AC1187" s="47"/>
      <c r="AD1187" s="47"/>
      <c r="AE1187" s="47"/>
      <c r="AF1187" s="47"/>
      <c r="AG1187" s="47"/>
      <c r="AH1187" s="47"/>
      <c r="AI1187" s="47"/>
      <c r="AJ1187" s="47"/>
      <c r="AK1187" s="47"/>
      <c r="AL1187" s="47"/>
      <c r="AM1187" s="47"/>
      <c r="AN1187" s="47"/>
      <c r="AO1187" s="47"/>
      <c r="AP1187" s="47"/>
      <c r="AQ1187" s="47"/>
      <c r="AR1187" s="47"/>
      <c r="AS1187" s="47"/>
      <c r="AT1187" s="47"/>
      <c r="AU1187" s="47"/>
      <c r="AV1187" s="47"/>
      <c r="AW1187" s="47"/>
      <c r="AX1187" s="47"/>
      <c r="AY1187" s="47"/>
    </row>
    <row r="1188" spans="1:51" ht="15.75" customHeight="1">
      <c r="A1188" s="500"/>
      <c r="B1188" s="477"/>
      <c r="C1188" s="481"/>
      <c r="D1188" s="47"/>
      <c r="E1188" s="47"/>
      <c r="F1188" s="478"/>
      <c r="G1188" s="479"/>
      <c r="H1188" s="9"/>
      <c r="I1188" s="9"/>
      <c r="J1188" s="505"/>
      <c r="K1188" s="47"/>
      <c r="L1188" s="47"/>
      <c r="M1188" s="47"/>
      <c r="N1188" s="9"/>
      <c r="O1188" s="9"/>
      <c r="P1188" s="9"/>
      <c r="Q1188" s="47"/>
      <c r="R1188" s="47"/>
      <c r="S1188" s="47"/>
      <c r="T1188" s="47"/>
      <c r="U1188" s="47"/>
      <c r="V1188" s="47"/>
      <c r="W1188" s="47"/>
      <c r="X1188" s="47"/>
      <c r="Y1188" s="47"/>
      <c r="Z1188" s="47"/>
      <c r="AA1188" s="47"/>
      <c r="AB1188" s="47"/>
      <c r="AC1188" s="47"/>
      <c r="AD1188" s="47"/>
      <c r="AE1188" s="47"/>
      <c r="AF1188" s="47"/>
      <c r="AG1188" s="47"/>
      <c r="AH1188" s="47"/>
      <c r="AI1188" s="47"/>
      <c r="AJ1188" s="47"/>
      <c r="AK1188" s="47"/>
      <c r="AL1188" s="47"/>
      <c r="AM1188" s="47"/>
      <c r="AN1188" s="47"/>
      <c r="AO1188" s="47"/>
      <c r="AP1188" s="47"/>
      <c r="AQ1188" s="47"/>
      <c r="AR1188" s="47"/>
      <c r="AS1188" s="47"/>
      <c r="AT1188" s="47"/>
      <c r="AU1188" s="47"/>
      <c r="AV1188" s="47"/>
      <c r="AW1188" s="47"/>
      <c r="AX1188" s="47"/>
      <c r="AY1188" s="47"/>
    </row>
    <row r="1189" spans="1:51" ht="15.75" customHeight="1">
      <c r="A1189" s="500"/>
      <c r="B1189" s="477"/>
      <c r="C1189" s="481"/>
      <c r="D1189" s="47"/>
      <c r="E1189" s="47"/>
      <c r="F1189" s="478"/>
      <c r="G1189" s="479"/>
      <c r="H1189" s="9"/>
      <c r="I1189" s="10"/>
      <c r="J1189" s="505"/>
      <c r="K1189" s="47"/>
      <c r="L1189" s="47"/>
      <c r="M1189" s="47"/>
      <c r="N1189" s="9"/>
      <c r="O1189" s="9"/>
      <c r="P1189" s="9"/>
      <c r="Q1189" s="47"/>
      <c r="R1189" s="47"/>
      <c r="S1189" s="47"/>
      <c r="T1189" s="47"/>
      <c r="U1189" s="47"/>
      <c r="V1189" s="47"/>
      <c r="W1189" s="47"/>
      <c r="X1189" s="47"/>
      <c r="Y1189" s="47"/>
      <c r="Z1189" s="47"/>
      <c r="AA1189" s="47"/>
      <c r="AB1189" s="47"/>
      <c r="AC1189" s="47"/>
      <c r="AD1189" s="47"/>
      <c r="AE1189" s="47"/>
      <c r="AF1189" s="47"/>
      <c r="AG1189" s="47"/>
      <c r="AH1189" s="47"/>
      <c r="AI1189" s="47"/>
      <c r="AJ1189" s="47"/>
      <c r="AK1189" s="47"/>
      <c r="AL1189" s="47"/>
      <c r="AM1189" s="47"/>
      <c r="AN1189" s="47"/>
      <c r="AO1189" s="47"/>
      <c r="AP1189" s="47"/>
      <c r="AQ1189" s="47"/>
      <c r="AR1189" s="47"/>
      <c r="AS1189" s="47"/>
      <c r="AT1189" s="47"/>
      <c r="AU1189" s="47"/>
      <c r="AV1189" s="47"/>
      <c r="AW1189" s="47"/>
      <c r="AX1189" s="47"/>
      <c r="AY1189" s="47"/>
    </row>
    <row r="1190" spans="1:51" ht="15.75" customHeight="1">
      <c r="A1190" s="500"/>
      <c r="B1190" s="477"/>
      <c r="C1190" s="481"/>
      <c r="D1190" s="47"/>
      <c r="E1190" s="47"/>
      <c r="F1190" s="478"/>
      <c r="G1190" s="479"/>
      <c r="H1190" s="9"/>
      <c r="I1190" s="9"/>
      <c r="J1190" s="505"/>
      <c r="K1190" s="47"/>
      <c r="L1190" s="47"/>
      <c r="M1190" s="47"/>
      <c r="N1190" s="9"/>
      <c r="O1190" s="9"/>
      <c r="P1190" s="9"/>
      <c r="Q1190" s="47"/>
      <c r="R1190" s="47"/>
      <c r="S1190" s="47"/>
      <c r="T1190" s="47"/>
      <c r="U1190" s="47"/>
      <c r="V1190" s="47"/>
      <c r="W1190" s="47"/>
      <c r="X1190" s="47"/>
      <c r="Y1190" s="47"/>
      <c r="Z1190" s="47"/>
      <c r="AA1190" s="47"/>
      <c r="AB1190" s="47"/>
      <c r="AC1190" s="47"/>
      <c r="AD1190" s="47"/>
      <c r="AE1190" s="47"/>
      <c r="AF1190" s="47"/>
      <c r="AG1190" s="47"/>
      <c r="AH1190" s="47"/>
      <c r="AI1190" s="47"/>
      <c r="AJ1190" s="47"/>
      <c r="AK1190" s="47"/>
      <c r="AL1190" s="47"/>
      <c r="AM1190" s="47"/>
      <c r="AN1190" s="47"/>
      <c r="AO1190" s="47"/>
      <c r="AP1190" s="47"/>
      <c r="AQ1190" s="47"/>
      <c r="AR1190" s="47"/>
      <c r="AS1190" s="47"/>
      <c r="AT1190" s="47"/>
      <c r="AU1190" s="47"/>
      <c r="AV1190" s="47"/>
      <c r="AW1190" s="47"/>
      <c r="AX1190" s="47"/>
      <c r="AY1190" s="47"/>
    </row>
    <row r="1191" spans="1:51" ht="15.75" customHeight="1">
      <c r="A1191" s="500"/>
      <c r="B1191" s="477"/>
      <c r="C1191" s="481"/>
      <c r="D1191" s="47"/>
      <c r="E1191" s="47"/>
      <c r="F1191" s="478"/>
      <c r="G1191" s="479"/>
      <c r="H1191" s="9"/>
      <c r="I1191" s="10"/>
      <c r="J1191" s="505"/>
      <c r="K1191" s="47"/>
      <c r="L1191" s="47"/>
      <c r="M1191" s="47"/>
      <c r="N1191" s="9"/>
      <c r="O1191" s="9"/>
      <c r="P1191" s="9"/>
      <c r="Q1191" s="47"/>
      <c r="R1191" s="47"/>
      <c r="S1191" s="47"/>
      <c r="T1191" s="47"/>
      <c r="U1191" s="47"/>
      <c r="V1191" s="47"/>
      <c r="W1191" s="47"/>
      <c r="X1191" s="47"/>
      <c r="Y1191" s="47"/>
      <c r="Z1191" s="47"/>
      <c r="AA1191" s="47"/>
      <c r="AB1191" s="47"/>
      <c r="AC1191" s="47"/>
      <c r="AD1191" s="47"/>
      <c r="AE1191" s="47"/>
      <c r="AF1191" s="47"/>
      <c r="AG1191" s="47"/>
      <c r="AH1191" s="47"/>
      <c r="AI1191" s="47"/>
      <c r="AJ1191" s="47"/>
      <c r="AK1191" s="47"/>
      <c r="AL1191" s="47"/>
      <c r="AM1191" s="47"/>
      <c r="AN1191" s="47"/>
      <c r="AO1191" s="47"/>
      <c r="AP1191" s="47"/>
      <c r="AQ1191" s="47"/>
      <c r="AR1191" s="47"/>
      <c r="AS1191" s="47"/>
      <c r="AT1191" s="47"/>
      <c r="AU1191" s="47"/>
      <c r="AV1191" s="47"/>
      <c r="AW1191" s="47"/>
      <c r="AX1191" s="47"/>
      <c r="AY1191" s="47"/>
    </row>
    <row r="1192" spans="1:51" ht="15.75" customHeight="1">
      <c r="A1192" s="500"/>
      <c r="B1192" s="477"/>
      <c r="C1192" s="481"/>
      <c r="D1192" s="47"/>
      <c r="E1192" s="47"/>
      <c r="F1192" s="478"/>
      <c r="G1192" s="479"/>
      <c r="H1192" s="9"/>
      <c r="I1192" s="9"/>
      <c r="J1192" s="505"/>
      <c r="K1192" s="47"/>
      <c r="L1192" s="47"/>
      <c r="M1192" s="47"/>
      <c r="N1192" s="9"/>
      <c r="O1192" s="9"/>
      <c r="P1192" s="9"/>
      <c r="Q1192" s="47"/>
      <c r="R1192" s="47"/>
      <c r="S1192" s="47"/>
      <c r="T1192" s="47"/>
      <c r="U1192" s="47"/>
      <c r="V1192" s="47"/>
      <c r="W1192" s="47"/>
      <c r="X1192" s="47"/>
      <c r="Y1192" s="47"/>
      <c r="Z1192" s="47"/>
      <c r="AA1192" s="47"/>
      <c r="AB1192" s="47"/>
      <c r="AC1192" s="47"/>
      <c r="AD1192" s="47"/>
      <c r="AE1192" s="47"/>
      <c r="AF1192" s="47"/>
      <c r="AG1192" s="47"/>
      <c r="AH1192" s="47"/>
      <c r="AI1192" s="47"/>
      <c r="AJ1192" s="47"/>
      <c r="AK1192" s="47"/>
      <c r="AL1192" s="47"/>
      <c r="AM1192" s="47"/>
      <c r="AN1192" s="47"/>
      <c r="AO1192" s="47"/>
      <c r="AP1192" s="47"/>
      <c r="AQ1192" s="47"/>
      <c r="AR1192" s="47"/>
      <c r="AS1192" s="47"/>
      <c r="AT1192" s="47"/>
      <c r="AU1192" s="47"/>
      <c r="AV1192" s="47"/>
      <c r="AW1192" s="47"/>
      <c r="AX1192" s="47"/>
      <c r="AY1192" s="47"/>
    </row>
    <row r="1193" spans="1:51" ht="15.75" customHeight="1">
      <c r="A1193" s="500"/>
      <c r="B1193" s="477"/>
      <c r="C1193" s="481"/>
      <c r="D1193" s="47"/>
      <c r="E1193" s="47"/>
      <c r="F1193" s="478"/>
      <c r="G1193" s="479"/>
      <c r="H1193" s="9"/>
      <c r="I1193" s="10"/>
      <c r="J1193" s="505"/>
      <c r="K1193" s="47"/>
      <c r="L1193" s="47"/>
      <c r="M1193" s="47"/>
      <c r="N1193" s="9"/>
      <c r="O1193" s="9"/>
      <c r="P1193" s="9"/>
      <c r="Q1193" s="47"/>
      <c r="R1193" s="47"/>
      <c r="S1193" s="47"/>
      <c r="T1193" s="47"/>
      <c r="U1193" s="47"/>
      <c r="V1193" s="47"/>
      <c r="W1193" s="47"/>
      <c r="X1193" s="47"/>
      <c r="Y1193" s="47"/>
      <c r="Z1193" s="47"/>
      <c r="AA1193" s="47"/>
      <c r="AB1193" s="47"/>
      <c r="AC1193" s="47"/>
      <c r="AD1193" s="47"/>
      <c r="AE1193" s="47"/>
      <c r="AF1193" s="47"/>
      <c r="AG1193" s="47"/>
      <c r="AH1193" s="47"/>
      <c r="AI1193" s="47"/>
      <c r="AJ1193" s="47"/>
      <c r="AK1193" s="47"/>
      <c r="AL1193" s="47"/>
      <c r="AM1193" s="47"/>
      <c r="AN1193" s="47"/>
      <c r="AO1193" s="47"/>
      <c r="AP1193" s="47"/>
      <c r="AQ1193" s="47"/>
      <c r="AR1193" s="47"/>
      <c r="AS1193" s="47"/>
      <c r="AT1193" s="47"/>
      <c r="AU1193" s="47"/>
      <c r="AV1193" s="47"/>
      <c r="AW1193" s="47"/>
      <c r="AX1193" s="47"/>
      <c r="AY1193" s="47"/>
    </row>
    <row r="1194" spans="1:51" ht="15.75" customHeight="1">
      <c r="A1194" s="500"/>
      <c r="B1194" s="477"/>
      <c r="C1194" s="481"/>
      <c r="D1194" s="47"/>
      <c r="E1194" s="47"/>
      <c r="F1194" s="478"/>
      <c r="G1194" s="479"/>
      <c r="H1194" s="9"/>
      <c r="I1194" s="9"/>
      <c r="J1194" s="505"/>
      <c r="K1194" s="47"/>
      <c r="L1194" s="47"/>
      <c r="M1194" s="47"/>
      <c r="N1194" s="9"/>
      <c r="O1194" s="9"/>
      <c r="P1194" s="9"/>
      <c r="Q1194" s="47"/>
      <c r="R1194" s="47"/>
      <c r="S1194" s="47"/>
      <c r="T1194" s="47"/>
      <c r="U1194" s="47"/>
      <c r="V1194" s="47"/>
      <c r="W1194" s="47"/>
      <c r="X1194" s="47"/>
      <c r="Y1194" s="47"/>
      <c r="Z1194" s="47"/>
      <c r="AA1194" s="47"/>
      <c r="AB1194" s="47"/>
      <c r="AC1194" s="47"/>
      <c r="AD1194" s="47"/>
      <c r="AE1194" s="47"/>
      <c r="AF1194" s="47"/>
      <c r="AG1194" s="47"/>
      <c r="AH1194" s="47"/>
      <c r="AI1194" s="47"/>
      <c r="AJ1194" s="47"/>
      <c r="AK1194" s="47"/>
      <c r="AL1194" s="47"/>
      <c r="AM1194" s="47"/>
      <c r="AN1194" s="47"/>
      <c r="AO1194" s="47"/>
      <c r="AP1194" s="47"/>
      <c r="AQ1194" s="47"/>
      <c r="AR1194" s="47"/>
      <c r="AS1194" s="47"/>
      <c r="AT1194" s="47"/>
      <c r="AU1194" s="47"/>
      <c r="AV1194" s="47"/>
      <c r="AW1194" s="47"/>
      <c r="AX1194" s="47"/>
      <c r="AY1194" s="47"/>
    </row>
    <row r="1195" spans="1:51" ht="15.75" customHeight="1">
      <c r="A1195" s="500"/>
      <c r="B1195" s="477"/>
      <c r="C1195" s="481"/>
      <c r="D1195" s="47"/>
      <c r="E1195" s="47"/>
      <c r="F1195" s="478"/>
      <c r="G1195" s="479"/>
      <c r="H1195" s="9"/>
      <c r="I1195" s="10"/>
      <c r="J1195" s="505"/>
      <c r="K1195" s="47"/>
      <c r="L1195" s="47"/>
      <c r="M1195" s="47"/>
      <c r="N1195" s="9"/>
      <c r="O1195" s="9"/>
      <c r="P1195" s="9"/>
      <c r="Q1195" s="47"/>
      <c r="R1195" s="47"/>
      <c r="S1195" s="47"/>
      <c r="T1195" s="47"/>
      <c r="U1195" s="47"/>
      <c r="V1195" s="47"/>
      <c r="W1195" s="47"/>
      <c r="X1195" s="47"/>
      <c r="Y1195" s="47"/>
      <c r="Z1195" s="47"/>
      <c r="AA1195" s="47"/>
      <c r="AB1195" s="47"/>
      <c r="AC1195" s="47"/>
      <c r="AD1195" s="47"/>
      <c r="AE1195" s="47"/>
      <c r="AF1195" s="47"/>
      <c r="AG1195" s="47"/>
      <c r="AH1195" s="47"/>
      <c r="AI1195" s="47"/>
      <c r="AJ1195" s="47"/>
      <c r="AK1195" s="47"/>
      <c r="AL1195" s="47"/>
      <c r="AM1195" s="47"/>
      <c r="AN1195" s="47"/>
      <c r="AO1195" s="47"/>
      <c r="AP1195" s="47"/>
      <c r="AQ1195" s="47"/>
      <c r="AR1195" s="47"/>
      <c r="AS1195" s="47"/>
      <c r="AT1195" s="47"/>
      <c r="AU1195" s="47"/>
      <c r="AV1195" s="47"/>
      <c r="AW1195" s="47"/>
      <c r="AX1195" s="47"/>
      <c r="AY1195" s="47"/>
    </row>
    <row r="1196" spans="1:51" ht="15.75" customHeight="1">
      <c r="A1196" s="500"/>
      <c r="B1196" s="477"/>
      <c r="C1196" s="481"/>
      <c r="D1196" s="47"/>
      <c r="E1196" s="47"/>
      <c r="F1196" s="478"/>
      <c r="G1196" s="479"/>
      <c r="H1196" s="9"/>
      <c r="I1196" s="10"/>
      <c r="J1196" s="505"/>
      <c r="K1196" s="47"/>
      <c r="L1196" s="47"/>
      <c r="M1196" s="47"/>
      <c r="N1196" s="9"/>
      <c r="O1196" s="9"/>
      <c r="P1196" s="9"/>
      <c r="Q1196" s="47"/>
      <c r="R1196" s="47"/>
      <c r="S1196" s="47"/>
      <c r="T1196" s="47"/>
      <c r="U1196" s="47"/>
      <c r="V1196" s="47"/>
      <c r="W1196" s="47"/>
      <c r="X1196" s="47"/>
      <c r="Y1196" s="47"/>
      <c r="Z1196" s="47"/>
      <c r="AA1196" s="47"/>
      <c r="AB1196" s="47"/>
      <c r="AC1196" s="47"/>
      <c r="AD1196" s="47"/>
      <c r="AE1196" s="47"/>
      <c r="AF1196" s="47"/>
      <c r="AG1196" s="47"/>
      <c r="AH1196" s="47"/>
      <c r="AI1196" s="47"/>
      <c r="AJ1196" s="47"/>
      <c r="AK1196" s="47"/>
      <c r="AL1196" s="47"/>
      <c r="AM1196" s="47"/>
      <c r="AN1196" s="47"/>
      <c r="AO1196" s="47"/>
      <c r="AP1196" s="47"/>
      <c r="AQ1196" s="47"/>
      <c r="AR1196" s="47"/>
      <c r="AS1196" s="47"/>
      <c r="AT1196" s="47"/>
      <c r="AU1196" s="47"/>
      <c r="AV1196" s="47"/>
      <c r="AW1196" s="47"/>
      <c r="AX1196" s="47"/>
      <c r="AY1196" s="47"/>
    </row>
    <row r="1197" spans="1:51" ht="15.75" customHeight="1">
      <c r="A1197" s="500"/>
      <c r="B1197" s="477"/>
      <c r="C1197" s="481"/>
      <c r="D1197" s="47"/>
      <c r="E1197" s="47"/>
      <c r="F1197" s="478"/>
      <c r="G1197" s="479"/>
      <c r="H1197" s="9"/>
      <c r="I1197" s="10"/>
      <c r="J1197" s="505"/>
      <c r="K1197" s="47"/>
      <c r="L1197" s="47"/>
      <c r="M1197" s="47"/>
      <c r="N1197" s="9"/>
      <c r="O1197" s="9"/>
      <c r="P1197" s="9"/>
      <c r="Q1197" s="47"/>
      <c r="R1197" s="47"/>
      <c r="S1197" s="47"/>
      <c r="T1197" s="47"/>
      <c r="U1197" s="47"/>
      <c r="V1197" s="47"/>
      <c r="W1197" s="47"/>
      <c r="X1197" s="47"/>
      <c r="Y1197" s="47"/>
      <c r="Z1197" s="47"/>
      <c r="AA1197" s="47"/>
      <c r="AB1197" s="47"/>
      <c r="AC1197" s="47"/>
      <c r="AD1197" s="47"/>
      <c r="AE1197" s="47"/>
      <c r="AF1197" s="47"/>
      <c r="AG1197" s="47"/>
      <c r="AH1197" s="47"/>
      <c r="AI1197" s="47"/>
      <c r="AJ1197" s="47"/>
      <c r="AK1197" s="47"/>
      <c r="AL1197" s="47"/>
      <c r="AM1197" s="47"/>
      <c r="AN1197" s="47"/>
      <c r="AO1197" s="47"/>
      <c r="AP1197" s="47"/>
      <c r="AQ1197" s="47"/>
      <c r="AR1197" s="47"/>
      <c r="AS1197" s="47"/>
      <c r="AT1197" s="47"/>
      <c r="AU1197" s="47"/>
      <c r="AV1197" s="47"/>
      <c r="AW1197" s="47"/>
      <c r="AX1197" s="47"/>
      <c r="AY1197" s="47"/>
    </row>
    <row r="1198" spans="1:51" ht="15.75" customHeight="1">
      <c r="A1198" s="500"/>
      <c r="B1198" s="477"/>
      <c r="C1198" s="481"/>
      <c r="D1198" s="47"/>
      <c r="E1198" s="47"/>
      <c r="F1198" s="478"/>
      <c r="G1198" s="479"/>
      <c r="H1198" s="9"/>
      <c r="I1198" s="10"/>
      <c r="J1198" s="505"/>
      <c r="K1198" s="47"/>
      <c r="L1198" s="47"/>
      <c r="M1198" s="47"/>
      <c r="N1198" s="9"/>
      <c r="O1198" s="9"/>
      <c r="P1198" s="9"/>
      <c r="Q1198" s="47"/>
      <c r="R1198" s="47"/>
      <c r="S1198" s="47"/>
      <c r="T1198" s="47"/>
      <c r="U1198" s="47"/>
      <c r="V1198" s="47"/>
      <c r="W1198" s="47"/>
      <c r="X1198" s="47"/>
      <c r="Y1198" s="47"/>
      <c r="Z1198" s="47"/>
      <c r="AA1198" s="47"/>
      <c r="AB1198" s="47"/>
      <c r="AC1198" s="47"/>
      <c r="AD1198" s="47"/>
      <c r="AE1198" s="47"/>
      <c r="AF1198" s="47"/>
      <c r="AG1198" s="47"/>
      <c r="AH1198" s="47"/>
      <c r="AI1198" s="47"/>
      <c r="AJ1198" s="47"/>
      <c r="AK1198" s="47"/>
      <c r="AL1198" s="47"/>
      <c r="AM1198" s="47"/>
      <c r="AN1198" s="47"/>
      <c r="AO1198" s="47"/>
      <c r="AP1198" s="47"/>
      <c r="AQ1198" s="47"/>
      <c r="AR1198" s="47"/>
      <c r="AS1198" s="47"/>
      <c r="AT1198" s="47"/>
      <c r="AU1198" s="47"/>
      <c r="AV1198" s="47"/>
      <c r="AW1198" s="47"/>
      <c r="AX1198" s="47"/>
      <c r="AY1198" s="47"/>
    </row>
    <row r="1199" spans="1:51" ht="15.75" customHeight="1">
      <c r="A1199" s="500"/>
      <c r="B1199" s="477"/>
      <c r="C1199" s="481"/>
      <c r="D1199" s="47"/>
      <c r="E1199" s="47"/>
      <c r="F1199" s="478"/>
      <c r="G1199" s="479"/>
      <c r="H1199" s="9"/>
      <c r="I1199" s="10"/>
      <c r="J1199" s="505"/>
      <c r="K1199" s="47"/>
      <c r="L1199" s="47"/>
      <c r="M1199" s="47"/>
      <c r="N1199" s="9"/>
      <c r="O1199" s="9"/>
      <c r="P1199" s="9"/>
      <c r="Q1199" s="47"/>
      <c r="R1199" s="47"/>
      <c r="S1199" s="47"/>
      <c r="T1199" s="47"/>
      <c r="U1199" s="47"/>
      <c r="V1199" s="47"/>
      <c r="W1199" s="47"/>
      <c r="X1199" s="47"/>
      <c r="Y1199" s="47"/>
      <c r="Z1199" s="47"/>
      <c r="AA1199" s="47"/>
      <c r="AB1199" s="47"/>
      <c r="AC1199" s="47"/>
      <c r="AD1199" s="47"/>
      <c r="AE1199" s="47"/>
      <c r="AF1199" s="47"/>
      <c r="AG1199" s="47"/>
      <c r="AH1199" s="47"/>
      <c r="AI1199" s="47"/>
      <c r="AJ1199" s="47"/>
      <c r="AK1199" s="47"/>
      <c r="AL1199" s="47"/>
      <c r="AM1199" s="47"/>
      <c r="AN1199" s="47"/>
      <c r="AO1199" s="47"/>
      <c r="AP1199" s="47"/>
      <c r="AQ1199" s="47"/>
      <c r="AR1199" s="47"/>
      <c r="AS1199" s="47"/>
      <c r="AT1199" s="47"/>
      <c r="AU1199" s="47"/>
      <c r="AV1199" s="47"/>
      <c r="AW1199" s="47"/>
      <c r="AX1199" s="47"/>
      <c r="AY1199" s="47"/>
    </row>
    <row r="1200" spans="1:51" ht="15.75" customHeight="1">
      <c r="A1200" s="500"/>
      <c r="B1200" s="477"/>
      <c r="C1200" s="481"/>
      <c r="D1200" s="47"/>
      <c r="E1200" s="47"/>
      <c r="F1200" s="478"/>
      <c r="G1200" s="479"/>
      <c r="H1200" s="9"/>
      <c r="I1200" s="10"/>
      <c r="J1200" s="505"/>
      <c r="K1200" s="47"/>
      <c r="L1200" s="47"/>
      <c r="M1200" s="47"/>
      <c r="N1200" s="9"/>
      <c r="O1200" s="9"/>
      <c r="P1200" s="9"/>
      <c r="Q1200" s="47"/>
      <c r="R1200" s="47"/>
      <c r="S1200" s="47"/>
      <c r="T1200" s="47"/>
      <c r="U1200" s="47"/>
      <c r="V1200" s="47"/>
      <c r="W1200" s="47"/>
      <c r="X1200" s="47"/>
      <c r="Y1200" s="47"/>
      <c r="Z1200" s="47"/>
      <c r="AA1200" s="47"/>
      <c r="AB1200" s="47"/>
      <c r="AC1200" s="47"/>
      <c r="AD1200" s="47"/>
      <c r="AE1200" s="47"/>
      <c r="AF1200" s="47"/>
      <c r="AG1200" s="47"/>
      <c r="AH1200" s="47"/>
      <c r="AI1200" s="47"/>
      <c r="AJ1200" s="47"/>
      <c r="AK1200" s="47"/>
      <c r="AL1200" s="47"/>
      <c r="AM1200" s="47"/>
      <c r="AN1200" s="47"/>
      <c r="AO1200" s="47"/>
      <c r="AP1200" s="47"/>
      <c r="AQ1200" s="47"/>
      <c r="AR1200" s="47"/>
      <c r="AS1200" s="47"/>
      <c r="AT1200" s="47"/>
      <c r="AU1200" s="47"/>
      <c r="AV1200" s="47"/>
      <c r="AW1200" s="47"/>
      <c r="AX1200" s="47"/>
      <c r="AY1200" s="47"/>
    </row>
    <row r="1201" spans="1:51" ht="15.75" customHeight="1">
      <c r="A1201" s="500"/>
      <c r="B1201" s="477"/>
      <c r="C1201" s="481"/>
      <c r="D1201" s="47"/>
      <c r="E1201" s="47"/>
      <c r="F1201" s="478"/>
      <c r="G1201" s="479"/>
      <c r="H1201" s="9"/>
      <c r="I1201" s="10"/>
      <c r="J1201" s="505"/>
      <c r="K1201" s="47"/>
      <c r="L1201" s="47"/>
      <c r="M1201" s="47"/>
      <c r="N1201" s="9"/>
      <c r="O1201" s="9"/>
      <c r="P1201" s="9"/>
      <c r="Q1201" s="47"/>
      <c r="R1201" s="47"/>
      <c r="S1201" s="47"/>
      <c r="T1201" s="47"/>
      <c r="U1201" s="47"/>
      <c r="V1201" s="47"/>
      <c r="W1201" s="47"/>
      <c r="X1201" s="47"/>
      <c r="Y1201" s="47"/>
      <c r="Z1201" s="47"/>
      <c r="AA1201" s="47"/>
      <c r="AB1201" s="47"/>
      <c r="AC1201" s="47"/>
      <c r="AD1201" s="47"/>
      <c r="AE1201" s="47"/>
      <c r="AF1201" s="47"/>
      <c r="AG1201" s="47"/>
      <c r="AH1201" s="47"/>
      <c r="AI1201" s="47"/>
      <c r="AJ1201" s="47"/>
      <c r="AK1201" s="47"/>
      <c r="AL1201" s="47"/>
      <c r="AM1201" s="47"/>
      <c r="AN1201" s="47"/>
      <c r="AO1201" s="47"/>
      <c r="AP1201" s="47"/>
      <c r="AQ1201" s="47"/>
      <c r="AR1201" s="47"/>
      <c r="AS1201" s="47"/>
      <c r="AT1201" s="47"/>
      <c r="AU1201" s="47"/>
      <c r="AV1201" s="47"/>
      <c r="AW1201" s="47"/>
      <c r="AX1201" s="47"/>
      <c r="AY1201" s="47"/>
    </row>
    <row r="1202" spans="1:51" ht="15.75" customHeight="1">
      <c r="A1202" s="500"/>
      <c r="B1202" s="477"/>
      <c r="C1202" s="481"/>
      <c r="D1202" s="47"/>
      <c r="E1202" s="47"/>
      <c r="F1202" s="478"/>
      <c r="G1202" s="479"/>
      <c r="H1202" s="9"/>
      <c r="I1202" s="10"/>
      <c r="J1202" s="505"/>
      <c r="K1202" s="47"/>
      <c r="L1202" s="47"/>
      <c r="M1202" s="47"/>
      <c r="N1202" s="9"/>
      <c r="O1202" s="9"/>
      <c r="P1202" s="9"/>
      <c r="Q1202" s="47"/>
      <c r="R1202" s="47"/>
      <c r="S1202" s="47"/>
      <c r="T1202" s="47"/>
      <c r="U1202" s="47"/>
      <c r="V1202" s="47"/>
      <c r="W1202" s="47"/>
      <c r="X1202" s="47"/>
      <c r="Y1202" s="47"/>
      <c r="Z1202" s="47"/>
      <c r="AA1202" s="47"/>
      <c r="AB1202" s="47"/>
      <c r="AC1202" s="47"/>
      <c r="AD1202" s="47"/>
      <c r="AE1202" s="47"/>
      <c r="AF1202" s="47"/>
      <c r="AG1202" s="47"/>
      <c r="AH1202" s="47"/>
      <c r="AI1202" s="47"/>
      <c r="AJ1202" s="47"/>
      <c r="AK1202" s="47"/>
      <c r="AL1202" s="47"/>
      <c r="AM1202" s="47"/>
      <c r="AN1202" s="47"/>
      <c r="AO1202" s="47"/>
      <c r="AP1202" s="47"/>
      <c r="AQ1202" s="47"/>
      <c r="AR1202" s="47"/>
      <c r="AS1202" s="47"/>
      <c r="AT1202" s="47"/>
      <c r="AU1202" s="47"/>
      <c r="AV1202" s="47"/>
      <c r="AW1202" s="47"/>
      <c r="AX1202" s="47"/>
      <c r="AY1202" s="47"/>
    </row>
    <row r="1203" spans="1:51" ht="15.75" customHeight="1">
      <c r="A1203" s="500"/>
      <c r="B1203" s="477"/>
      <c r="C1203" s="481"/>
      <c r="D1203" s="47"/>
      <c r="E1203" s="47"/>
      <c r="F1203" s="478"/>
      <c r="G1203" s="479"/>
      <c r="H1203" s="9"/>
      <c r="I1203" s="10"/>
      <c r="J1203" s="505"/>
      <c r="K1203" s="47"/>
      <c r="L1203" s="47"/>
      <c r="M1203" s="47"/>
      <c r="N1203" s="9"/>
      <c r="O1203" s="9"/>
      <c r="P1203" s="9"/>
      <c r="Q1203" s="47"/>
      <c r="R1203" s="47"/>
      <c r="S1203" s="47"/>
      <c r="T1203" s="47"/>
      <c r="U1203" s="47"/>
      <c r="V1203" s="47"/>
      <c r="W1203" s="47"/>
      <c r="X1203" s="47"/>
      <c r="Y1203" s="47"/>
      <c r="Z1203" s="47"/>
      <c r="AA1203" s="47"/>
      <c r="AB1203" s="47"/>
      <c r="AC1203" s="47"/>
      <c r="AD1203" s="47"/>
      <c r="AE1203" s="47"/>
      <c r="AF1203" s="47"/>
      <c r="AG1203" s="47"/>
      <c r="AH1203" s="47"/>
      <c r="AI1203" s="47"/>
      <c r="AJ1203" s="47"/>
      <c r="AK1203" s="47"/>
      <c r="AL1203" s="47"/>
      <c r="AM1203" s="47"/>
      <c r="AN1203" s="47"/>
      <c r="AO1203" s="47"/>
      <c r="AP1203" s="47"/>
      <c r="AQ1203" s="47"/>
      <c r="AR1203" s="47"/>
      <c r="AS1203" s="47"/>
      <c r="AT1203" s="47"/>
      <c r="AU1203" s="47"/>
      <c r="AV1203" s="47"/>
      <c r="AW1203" s="47"/>
      <c r="AX1203" s="47"/>
      <c r="AY1203" s="47"/>
    </row>
    <row r="1204" spans="1:51" ht="15.75" customHeight="1">
      <c r="A1204" s="500"/>
      <c r="B1204" s="477"/>
      <c r="C1204" s="481"/>
      <c r="D1204" s="47"/>
      <c r="E1204" s="47"/>
      <c r="F1204" s="478"/>
      <c r="G1204" s="479"/>
      <c r="H1204" s="9"/>
      <c r="I1204" s="10"/>
      <c r="J1204" s="505"/>
      <c r="K1204" s="47"/>
      <c r="L1204" s="47"/>
      <c r="M1204" s="47"/>
      <c r="N1204" s="9"/>
      <c r="O1204" s="9"/>
      <c r="P1204" s="9"/>
      <c r="Q1204" s="47"/>
      <c r="R1204" s="47"/>
      <c r="S1204" s="47"/>
      <c r="T1204" s="47"/>
      <c r="U1204" s="47"/>
      <c r="V1204" s="47"/>
      <c r="W1204" s="47"/>
      <c r="X1204" s="47"/>
      <c r="Y1204" s="47"/>
      <c r="Z1204" s="47"/>
      <c r="AA1204" s="47"/>
      <c r="AB1204" s="47"/>
      <c r="AC1204" s="47"/>
      <c r="AD1204" s="47"/>
      <c r="AE1204" s="47"/>
      <c r="AF1204" s="47"/>
      <c r="AG1204" s="47"/>
      <c r="AH1204" s="47"/>
      <c r="AI1204" s="47"/>
      <c r="AJ1204" s="47"/>
      <c r="AK1204" s="47"/>
      <c r="AL1204" s="47"/>
      <c r="AM1204" s="47"/>
      <c r="AN1204" s="47"/>
      <c r="AO1204" s="47"/>
      <c r="AP1204" s="47"/>
      <c r="AQ1204" s="47"/>
      <c r="AR1204" s="47"/>
      <c r="AS1204" s="47"/>
      <c r="AT1204" s="47"/>
      <c r="AU1204" s="47"/>
      <c r="AV1204" s="47"/>
      <c r="AW1204" s="47"/>
      <c r="AX1204" s="47"/>
      <c r="AY1204" s="47"/>
    </row>
    <row r="1205" spans="1:51" ht="15.75" customHeight="1">
      <c r="A1205" s="500"/>
      <c r="B1205" s="477"/>
      <c r="C1205" s="481"/>
      <c r="D1205" s="47"/>
      <c r="E1205" s="47"/>
      <c r="F1205" s="478"/>
      <c r="G1205" s="479"/>
      <c r="H1205" s="9"/>
      <c r="I1205" s="10"/>
      <c r="J1205" s="505"/>
      <c r="K1205" s="47"/>
      <c r="L1205" s="47"/>
      <c r="M1205" s="47"/>
      <c r="N1205" s="9"/>
      <c r="O1205" s="9"/>
      <c r="P1205" s="9"/>
      <c r="Q1205" s="47"/>
      <c r="R1205" s="47"/>
      <c r="S1205" s="47"/>
      <c r="T1205" s="47"/>
      <c r="U1205" s="47"/>
      <c r="V1205" s="47"/>
      <c r="W1205" s="47"/>
      <c r="X1205" s="47"/>
      <c r="Y1205" s="47"/>
      <c r="Z1205" s="47"/>
      <c r="AA1205" s="47"/>
      <c r="AB1205" s="47"/>
      <c r="AC1205" s="47"/>
      <c r="AD1205" s="47"/>
      <c r="AE1205" s="47"/>
      <c r="AF1205" s="47"/>
      <c r="AG1205" s="47"/>
      <c r="AH1205" s="47"/>
      <c r="AI1205" s="47"/>
      <c r="AJ1205" s="47"/>
      <c r="AK1205" s="47"/>
      <c r="AL1205" s="47"/>
      <c r="AM1205" s="47"/>
      <c r="AN1205" s="47"/>
      <c r="AO1205" s="47"/>
      <c r="AP1205" s="47"/>
      <c r="AQ1205" s="47"/>
      <c r="AR1205" s="47"/>
      <c r="AS1205" s="47"/>
      <c r="AT1205" s="47"/>
      <c r="AU1205" s="47"/>
      <c r="AV1205" s="47"/>
      <c r="AW1205" s="47"/>
      <c r="AX1205" s="47"/>
      <c r="AY1205" s="47"/>
    </row>
    <row r="1206" spans="1:51" ht="15.75" customHeight="1">
      <c r="A1206" s="500"/>
      <c r="B1206" s="477"/>
      <c r="C1206" s="481"/>
      <c r="D1206" s="47"/>
      <c r="E1206" s="47"/>
      <c r="F1206" s="478"/>
      <c r="G1206" s="479"/>
      <c r="H1206" s="9"/>
      <c r="I1206" s="10"/>
      <c r="J1206" s="505"/>
      <c r="K1206" s="47"/>
      <c r="L1206" s="47"/>
      <c r="M1206" s="47"/>
      <c r="N1206" s="9"/>
      <c r="O1206" s="9"/>
      <c r="P1206" s="9"/>
      <c r="Q1206" s="47"/>
      <c r="R1206" s="47"/>
      <c r="S1206" s="47"/>
      <c r="T1206" s="47"/>
      <c r="U1206" s="47"/>
      <c r="V1206" s="47"/>
      <c r="W1206" s="47"/>
      <c r="X1206" s="47"/>
      <c r="Y1206" s="47"/>
      <c r="Z1206" s="47"/>
      <c r="AA1206" s="47"/>
      <c r="AB1206" s="47"/>
      <c r="AC1206" s="47"/>
      <c r="AD1206" s="47"/>
      <c r="AE1206" s="47"/>
      <c r="AF1206" s="47"/>
      <c r="AG1206" s="47"/>
      <c r="AH1206" s="47"/>
      <c r="AI1206" s="47"/>
      <c r="AJ1206" s="47"/>
      <c r="AK1206" s="47"/>
      <c r="AL1206" s="47"/>
      <c r="AM1206" s="47"/>
      <c r="AN1206" s="47"/>
      <c r="AO1206" s="47"/>
      <c r="AP1206" s="47"/>
      <c r="AQ1206" s="47"/>
      <c r="AR1206" s="47"/>
      <c r="AS1206" s="47"/>
      <c r="AT1206" s="47"/>
      <c r="AU1206" s="47"/>
      <c r="AV1206" s="47"/>
      <c r="AW1206" s="47"/>
      <c r="AX1206" s="47"/>
      <c r="AY1206" s="47"/>
    </row>
    <row r="1207" spans="1:51" ht="15.75" customHeight="1">
      <c r="A1207" s="500"/>
      <c r="B1207" s="477"/>
      <c r="C1207" s="481"/>
      <c r="D1207" s="47"/>
      <c r="E1207" s="47"/>
      <c r="F1207" s="478"/>
      <c r="G1207" s="479"/>
      <c r="H1207" s="9"/>
      <c r="I1207" s="10"/>
      <c r="J1207" s="505"/>
      <c r="K1207" s="47"/>
      <c r="L1207" s="47"/>
      <c r="M1207" s="47"/>
      <c r="N1207" s="9"/>
      <c r="O1207" s="9"/>
      <c r="P1207" s="9"/>
      <c r="Q1207" s="47"/>
      <c r="R1207" s="47"/>
      <c r="S1207" s="47"/>
      <c r="T1207" s="47"/>
      <c r="U1207" s="47"/>
      <c r="V1207" s="47"/>
      <c r="W1207" s="47"/>
      <c r="X1207" s="47"/>
      <c r="Y1207" s="47"/>
      <c r="Z1207" s="47"/>
      <c r="AA1207" s="47"/>
      <c r="AB1207" s="47"/>
      <c r="AC1207" s="47"/>
      <c r="AD1207" s="47"/>
      <c r="AE1207" s="47"/>
      <c r="AF1207" s="47"/>
      <c r="AG1207" s="47"/>
      <c r="AH1207" s="47"/>
      <c r="AI1207" s="47"/>
      <c r="AJ1207" s="47"/>
      <c r="AK1207" s="47"/>
      <c r="AL1207" s="47"/>
      <c r="AM1207" s="47"/>
      <c r="AN1207" s="47"/>
      <c r="AO1207" s="47"/>
      <c r="AP1207" s="47"/>
      <c r="AQ1207" s="47"/>
      <c r="AR1207" s="47"/>
      <c r="AS1207" s="47"/>
      <c r="AT1207" s="47"/>
      <c r="AU1207" s="47"/>
      <c r="AV1207" s="47"/>
      <c r="AW1207" s="47"/>
      <c r="AX1207" s="47"/>
      <c r="AY1207" s="47"/>
    </row>
    <row r="1208" spans="1:51" ht="15.75" customHeight="1">
      <c r="A1208" s="500"/>
      <c r="B1208" s="477"/>
      <c r="C1208" s="481"/>
      <c r="D1208" s="47"/>
      <c r="E1208" s="47"/>
      <c r="F1208" s="478"/>
      <c r="G1208" s="479"/>
      <c r="H1208" s="9"/>
      <c r="I1208" s="10"/>
      <c r="J1208" s="505"/>
      <c r="K1208" s="47"/>
      <c r="L1208" s="47"/>
      <c r="M1208" s="47"/>
      <c r="N1208" s="9"/>
      <c r="O1208" s="9"/>
      <c r="P1208" s="9"/>
      <c r="Q1208" s="47"/>
      <c r="R1208" s="47"/>
      <c r="S1208" s="47"/>
      <c r="T1208" s="47"/>
      <c r="U1208" s="47"/>
      <c r="V1208" s="47"/>
      <c r="W1208" s="47"/>
      <c r="X1208" s="47"/>
      <c r="Y1208" s="47"/>
      <c r="Z1208" s="47"/>
      <c r="AA1208" s="47"/>
      <c r="AB1208" s="47"/>
      <c r="AC1208" s="47"/>
      <c r="AD1208" s="47"/>
      <c r="AE1208" s="47"/>
      <c r="AF1208" s="47"/>
      <c r="AG1208" s="47"/>
      <c r="AH1208" s="47"/>
      <c r="AI1208" s="47"/>
      <c r="AJ1208" s="47"/>
      <c r="AK1208" s="47"/>
      <c r="AL1208" s="47"/>
      <c r="AM1208" s="47"/>
      <c r="AN1208" s="47"/>
      <c r="AO1208" s="47"/>
      <c r="AP1208" s="47"/>
      <c r="AQ1208" s="47"/>
      <c r="AR1208" s="47"/>
      <c r="AS1208" s="47"/>
      <c r="AT1208" s="47"/>
      <c r="AU1208" s="47"/>
      <c r="AV1208" s="47"/>
      <c r="AW1208" s="47"/>
      <c r="AX1208" s="47"/>
      <c r="AY1208" s="47"/>
    </row>
    <row r="1209" spans="1:51" ht="15.75" customHeight="1">
      <c r="A1209" s="500"/>
      <c r="B1209" s="477"/>
      <c r="C1209" s="481"/>
      <c r="D1209" s="47"/>
      <c r="E1209" s="47"/>
      <c r="F1209" s="478"/>
      <c r="G1209" s="479"/>
      <c r="H1209" s="9"/>
      <c r="I1209" s="10"/>
      <c r="J1209" s="505"/>
      <c r="K1209" s="47"/>
      <c r="L1209" s="47"/>
      <c r="M1209" s="47"/>
      <c r="N1209" s="9"/>
      <c r="O1209" s="9"/>
      <c r="P1209" s="9"/>
      <c r="Q1209" s="47"/>
      <c r="R1209" s="47"/>
      <c r="S1209" s="47"/>
      <c r="T1209" s="47"/>
      <c r="U1209" s="47"/>
      <c r="V1209" s="47"/>
      <c r="W1209" s="47"/>
      <c r="X1209" s="47"/>
      <c r="Y1209" s="47"/>
      <c r="Z1209" s="47"/>
      <c r="AA1209" s="47"/>
      <c r="AB1209" s="47"/>
      <c r="AC1209" s="47"/>
      <c r="AD1209" s="47"/>
      <c r="AE1209" s="47"/>
      <c r="AF1209" s="47"/>
      <c r="AG1209" s="47"/>
      <c r="AH1209" s="47"/>
      <c r="AI1209" s="47"/>
      <c r="AJ1209" s="47"/>
      <c r="AK1209" s="47"/>
      <c r="AL1209" s="47"/>
      <c r="AM1209" s="47"/>
      <c r="AN1209" s="47"/>
      <c r="AO1209" s="47"/>
      <c r="AP1209" s="47"/>
      <c r="AQ1209" s="47"/>
      <c r="AR1209" s="47"/>
      <c r="AS1209" s="47"/>
      <c r="AT1209" s="47"/>
      <c r="AU1209" s="47"/>
      <c r="AV1209" s="47"/>
      <c r="AW1209" s="47"/>
      <c r="AX1209" s="47"/>
      <c r="AY1209" s="47"/>
    </row>
    <row r="1210" spans="1:51" ht="15.75" customHeight="1">
      <c r="A1210" s="500"/>
      <c r="B1210" s="477"/>
      <c r="C1210" s="481"/>
      <c r="D1210" s="47"/>
      <c r="E1210" s="47"/>
      <c r="F1210" s="478"/>
      <c r="G1210" s="479"/>
      <c r="H1210" s="9"/>
      <c r="I1210" s="10"/>
      <c r="J1210" s="505"/>
      <c r="K1210" s="47"/>
      <c r="L1210" s="47"/>
      <c r="M1210" s="47"/>
      <c r="N1210" s="9"/>
      <c r="O1210" s="9"/>
      <c r="P1210" s="9"/>
      <c r="Q1210" s="47"/>
      <c r="R1210" s="47"/>
      <c r="S1210" s="47"/>
      <c r="T1210" s="47"/>
      <c r="U1210" s="47"/>
      <c r="V1210" s="47"/>
      <c r="W1210" s="47"/>
      <c r="X1210" s="47"/>
      <c r="Y1210" s="47"/>
      <c r="Z1210" s="47"/>
      <c r="AA1210" s="47"/>
      <c r="AB1210" s="47"/>
      <c r="AC1210" s="47"/>
      <c r="AD1210" s="47"/>
      <c r="AE1210" s="47"/>
      <c r="AF1210" s="47"/>
      <c r="AG1210" s="47"/>
      <c r="AH1210" s="47"/>
      <c r="AI1210" s="47"/>
      <c r="AJ1210" s="47"/>
      <c r="AK1210" s="47"/>
      <c r="AL1210" s="47"/>
      <c r="AM1210" s="47"/>
      <c r="AN1210" s="47"/>
      <c r="AO1210" s="47"/>
      <c r="AP1210" s="47"/>
      <c r="AQ1210" s="47"/>
      <c r="AR1210" s="47"/>
      <c r="AS1210" s="47"/>
      <c r="AT1210" s="47"/>
      <c r="AU1210" s="47"/>
      <c r="AV1210" s="47"/>
      <c r="AW1210" s="47"/>
      <c r="AX1210" s="47"/>
      <c r="AY1210" s="47"/>
    </row>
    <row r="1211" spans="1:51" ht="15.75" customHeight="1">
      <c r="A1211" s="500"/>
      <c r="B1211" s="477"/>
      <c r="C1211" s="481"/>
      <c r="D1211" s="47"/>
      <c r="E1211" s="47"/>
      <c r="F1211" s="478"/>
      <c r="G1211" s="479"/>
      <c r="H1211" s="9"/>
      <c r="I1211" s="10"/>
      <c r="J1211" s="505"/>
      <c r="K1211" s="47"/>
      <c r="L1211" s="47"/>
      <c r="M1211" s="47"/>
      <c r="N1211" s="9"/>
      <c r="O1211" s="9"/>
      <c r="P1211" s="9"/>
      <c r="Q1211" s="47"/>
      <c r="R1211" s="47"/>
      <c r="S1211" s="47"/>
      <c r="T1211" s="47"/>
      <c r="U1211" s="47"/>
      <c r="V1211" s="47"/>
      <c r="W1211" s="47"/>
      <c r="X1211" s="47"/>
      <c r="Y1211" s="47"/>
      <c r="Z1211" s="47"/>
      <c r="AA1211" s="47"/>
      <c r="AB1211" s="47"/>
      <c r="AC1211" s="47"/>
      <c r="AD1211" s="47"/>
      <c r="AE1211" s="47"/>
      <c r="AF1211" s="47"/>
      <c r="AG1211" s="47"/>
      <c r="AH1211" s="47"/>
      <c r="AI1211" s="47"/>
      <c r="AJ1211" s="47"/>
      <c r="AK1211" s="47"/>
      <c r="AL1211" s="47"/>
      <c r="AM1211" s="47"/>
      <c r="AN1211" s="47"/>
      <c r="AO1211" s="47"/>
      <c r="AP1211" s="47"/>
      <c r="AQ1211" s="47"/>
      <c r="AR1211" s="47"/>
      <c r="AS1211" s="47"/>
      <c r="AT1211" s="47"/>
      <c r="AU1211" s="47"/>
      <c r="AV1211" s="47"/>
      <c r="AW1211" s="47"/>
      <c r="AX1211" s="47"/>
      <c r="AY1211" s="47"/>
    </row>
    <row r="1212" spans="1:51" ht="15.75" customHeight="1">
      <c r="A1212" s="500"/>
      <c r="B1212" s="477"/>
      <c r="C1212" s="481"/>
      <c r="D1212" s="47"/>
      <c r="E1212" s="47"/>
      <c r="F1212" s="478"/>
      <c r="G1212" s="479"/>
      <c r="H1212" s="9"/>
      <c r="I1212" s="10"/>
      <c r="J1212" s="481"/>
      <c r="K1212" s="47"/>
      <c r="L1212" s="47"/>
      <c r="M1212" s="47"/>
      <c r="N1212" s="9"/>
      <c r="O1212" s="9"/>
      <c r="P1212" s="9"/>
      <c r="Q1212" s="47"/>
      <c r="R1212" s="47"/>
      <c r="S1212" s="47"/>
      <c r="T1212" s="47"/>
      <c r="U1212" s="47"/>
      <c r="V1212" s="47"/>
      <c r="W1212" s="47"/>
      <c r="X1212" s="47"/>
      <c r="Y1212" s="47"/>
      <c r="Z1212" s="47"/>
      <c r="AA1212" s="47"/>
      <c r="AB1212" s="47"/>
      <c r="AC1212" s="47"/>
      <c r="AD1212" s="47"/>
      <c r="AE1212" s="47"/>
      <c r="AF1212" s="47"/>
      <c r="AG1212" s="47"/>
      <c r="AH1212" s="47"/>
      <c r="AI1212" s="47"/>
      <c r="AJ1212" s="47"/>
      <c r="AK1212" s="47"/>
      <c r="AL1212" s="47"/>
      <c r="AM1212" s="47"/>
      <c r="AN1212" s="47"/>
      <c r="AO1212" s="47"/>
      <c r="AP1212" s="47"/>
      <c r="AQ1212" s="47"/>
      <c r="AR1212" s="47"/>
      <c r="AS1212" s="47"/>
      <c r="AT1212" s="47"/>
      <c r="AU1212" s="47"/>
      <c r="AV1212" s="47"/>
      <c r="AW1212" s="47"/>
      <c r="AX1212" s="47"/>
      <c r="AY1212" s="47"/>
    </row>
    <row r="1213" spans="1:51" ht="15.75" customHeight="1">
      <c r="B1213" s="562"/>
      <c r="H1213" s="563"/>
      <c r="I1213" s="538"/>
      <c r="J1213" s="581"/>
      <c r="N1213" s="563"/>
      <c r="O1213" s="563"/>
      <c r="P1213" s="563"/>
    </row>
    <row r="1214" spans="1:51" ht="15.75" customHeight="1">
      <c r="B1214" s="562"/>
      <c r="H1214" s="563"/>
      <c r="I1214" s="563"/>
      <c r="J1214" s="581"/>
      <c r="N1214" s="563"/>
      <c r="O1214" s="563"/>
      <c r="P1214" s="563"/>
    </row>
    <row r="1215" spans="1:51" ht="15.75" customHeight="1">
      <c r="B1215" s="562"/>
      <c r="H1215" s="563"/>
      <c r="I1215" s="538"/>
      <c r="J1215" s="581"/>
      <c r="N1215" s="563"/>
      <c r="O1215" s="563"/>
      <c r="P1215" s="563"/>
    </row>
    <row r="1216" spans="1:51" ht="15.75" customHeight="1">
      <c r="B1216" s="562"/>
      <c r="H1216" s="563"/>
      <c r="I1216" s="563"/>
      <c r="J1216" s="581"/>
      <c r="N1216" s="563"/>
      <c r="O1216" s="563"/>
      <c r="P1216" s="563"/>
    </row>
    <row r="1217" spans="2:16" ht="15.75" customHeight="1">
      <c r="B1217" s="562"/>
      <c r="H1217" s="563"/>
      <c r="I1217" s="563"/>
      <c r="J1217" s="581"/>
      <c r="N1217" s="563"/>
      <c r="O1217" s="563"/>
      <c r="P1217" s="563"/>
    </row>
    <row r="1218" spans="2:16" ht="15.75" customHeight="1">
      <c r="B1218" s="562"/>
      <c r="H1218" s="563"/>
      <c r="I1218" s="563"/>
      <c r="J1218" s="581"/>
      <c r="N1218" s="563"/>
      <c r="O1218" s="563"/>
      <c r="P1218" s="563"/>
    </row>
    <row r="1219" spans="2:16" ht="15.75" customHeight="1">
      <c r="B1219" s="562"/>
      <c r="H1219" s="563"/>
      <c r="I1219" s="563"/>
      <c r="J1219" s="581"/>
      <c r="N1219" s="563"/>
      <c r="O1219" s="563"/>
      <c r="P1219" s="563"/>
    </row>
    <row r="1220" spans="2:16" ht="15.75" customHeight="1">
      <c r="B1220" s="562"/>
      <c r="H1220" s="563"/>
      <c r="I1220" s="563"/>
      <c r="J1220" s="581"/>
      <c r="N1220" s="563"/>
      <c r="O1220" s="563"/>
      <c r="P1220" s="563"/>
    </row>
    <row r="1221" spans="2:16" ht="15.75" customHeight="1">
      <c r="B1221" s="562"/>
      <c r="H1221" s="563"/>
      <c r="I1221" s="563"/>
      <c r="J1221" s="581"/>
      <c r="N1221" s="563"/>
      <c r="O1221" s="563"/>
      <c r="P1221" s="563"/>
    </row>
    <row r="1222" spans="2:16" ht="15.75" customHeight="1">
      <c r="B1222" s="562"/>
      <c r="H1222" s="563"/>
      <c r="I1222" s="563"/>
      <c r="J1222" s="581"/>
      <c r="N1222" s="563"/>
      <c r="O1222" s="563"/>
      <c r="P1222" s="563"/>
    </row>
    <row r="1223" spans="2:16" ht="15.75" customHeight="1">
      <c r="B1223" s="562"/>
      <c r="H1223" s="563"/>
      <c r="I1223" s="563"/>
      <c r="J1223" s="581"/>
      <c r="N1223" s="563"/>
      <c r="O1223" s="563"/>
      <c r="P1223" s="563"/>
    </row>
    <row r="1224" spans="2:16" ht="15.75" customHeight="1">
      <c r="B1224" s="562"/>
      <c r="H1224" s="563"/>
      <c r="I1224" s="563"/>
      <c r="J1224" s="581"/>
      <c r="N1224" s="563"/>
      <c r="O1224" s="563"/>
      <c r="P1224" s="563"/>
    </row>
    <row r="1225" spans="2:16" ht="15.75" customHeight="1">
      <c r="B1225" s="562"/>
      <c r="H1225" s="563"/>
      <c r="I1225" s="563"/>
      <c r="J1225" s="581"/>
      <c r="N1225" s="563"/>
      <c r="O1225" s="563"/>
      <c r="P1225" s="563"/>
    </row>
    <row r="1226" spans="2:16" ht="15.75" customHeight="1">
      <c r="B1226" s="562"/>
      <c r="H1226" s="563"/>
      <c r="I1226" s="563"/>
      <c r="J1226" s="581"/>
      <c r="N1226" s="563"/>
      <c r="O1226" s="563"/>
      <c r="P1226" s="563"/>
    </row>
    <row r="1227" spans="2:16" ht="15.75" customHeight="1">
      <c r="B1227" s="562"/>
      <c r="H1227" s="563"/>
      <c r="I1227" s="563"/>
      <c r="J1227" s="581"/>
      <c r="N1227" s="563"/>
      <c r="O1227" s="563"/>
      <c r="P1227" s="563"/>
    </row>
    <row r="1228" spans="2:16" ht="15.75" customHeight="1">
      <c r="B1228" s="562"/>
      <c r="H1228" s="563"/>
      <c r="I1228" s="563"/>
      <c r="J1228" s="581"/>
      <c r="N1228" s="563"/>
      <c r="O1228" s="550"/>
      <c r="P1228" s="563"/>
    </row>
    <row r="1229" spans="2:16" ht="15.75" customHeight="1">
      <c r="B1229" s="562"/>
      <c r="H1229" s="563"/>
      <c r="I1229" s="563"/>
      <c r="J1229" s="581"/>
      <c r="N1229" s="563"/>
      <c r="O1229" s="550"/>
      <c r="P1229" s="550"/>
    </row>
    <row r="1230" spans="2:16" ht="15.75" customHeight="1">
      <c r="B1230" s="562"/>
      <c r="H1230" s="563"/>
      <c r="I1230" s="563"/>
      <c r="J1230" s="581"/>
      <c r="N1230" s="563"/>
      <c r="O1230" s="550"/>
      <c r="P1230" s="550"/>
    </row>
    <row r="1231" spans="2:16" ht="15.75" customHeight="1">
      <c r="B1231" s="562"/>
      <c r="H1231" s="563"/>
      <c r="I1231" s="563"/>
      <c r="J1231" s="581"/>
      <c r="N1231" s="563"/>
      <c r="O1231" s="563"/>
      <c r="P1231" s="550"/>
    </row>
    <row r="1232" spans="2:16" ht="15.75" customHeight="1">
      <c r="B1232" s="562"/>
      <c r="H1232" s="563"/>
      <c r="I1232" s="563"/>
      <c r="J1232" s="581"/>
      <c r="N1232" s="563"/>
      <c r="O1232" s="563"/>
      <c r="P1232" s="563"/>
    </row>
    <row r="1233" spans="2:16" ht="15.75" customHeight="1">
      <c r="B1233" s="562"/>
      <c r="H1233" s="563"/>
      <c r="I1233" s="563"/>
      <c r="J1233" s="581"/>
      <c r="N1233" s="563"/>
      <c r="O1233" s="563"/>
      <c r="P1233" s="563"/>
    </row>
    <row r="1234" spans="2:16" ht="15.75" customHeight="1">
      <c r="B1234" s="562"/>
      <c r="H1234" s="563"/>
      <c r="I1234" s="563"/>
      <c r="J1234" s="581"/>
      <c r="N1234" s="563"/>
      <c r="O1234" s="563"/>
      <c r="P1234" s="563"/>
    </row>
    <row r="1235" spans="2:16" ht="15.75" customHeight="1">
      <c r="B1235" s="562"/>
      <c r="H1235" s="563"/>
      <c r="I1235" s="563"/>
      <c r="J1235" s="581"/>
      <c r="N1235" s="563"/>
      <c r="O1235" s="563"/>
      <c r="P1235" s="563"/>
    </row>
    <row r="1236" spans="2:16" ht="15.75" customHeight="1">
      <c r="B1236" s="562"/>
      <c r="H1236" s="563"/>
      <c r="I1236" s="563"/>
      <c r="J1236" s="581"/>
      <c r="N1236" s="563"/>
      <c r="O1236" s="563"/>
      <c r="P1236" s="563"/>
    </row>
    <row r="1237" spans="2:16" ht="15.75" customHeight="1">
      <c r="B1237" s="562"/>
      <c r="H1237" s="563"/>
      <c r="I1237" s="563"/>
      <c r="J1237" s="581"/>
      <c r="N1237" s="563"/>
      <c r="O1237" s="563"/>
      <c r="P1237" s="563"/>
    </row>
    <row r="1238" spans="2:16" ht="15.75" customHeight="1">
      <c r="B1238" s="562"/>
      <c r="H1238" s="563"/>
      <c r="I1238" s="563"/>
      <c r="J1238" s="581"/>
      <c r="N1238" s="563"/>
      <c r="O1238" s="563"/>
      <c r="P1238" s="563"/>
    </row>
    <row r="1239" spans="2:16" ht="15.75" customHeight="1">
      <c r="B1239" s="562"/>
      <c r="H1239" s="563"/>
      <c r="I1239" s="563"/>
      <c r="J1239" s="581"/>
      <c r="N1239" s="563"/>
      <c r="O1239" s="563"/>
      <c r="P1239" s="563"/>
    </row>
    <row r="1240" spans="2:16" ht="15.75" customHeight="1">
      <c r="B1240" s="562"/>
      <c r="H1240" s="563"/>
      <c r="I1240" s="563"/>
      <c r="J1240" s="581"/>
      <c r="N1240" s="563"/>
      <c r="O1240" s="563"/>
      <c r="P1240" s="563"/>
    </row>
    <row r="1241" spans="2:16" ht="15.75" customHeight="1">
      <c r="B1241" s="562"/>
      <c r="H1241" s="563"/>
      <c r="I1241" s="563"/>
      <c r="J1241" s="581"/>
      <c r="N1241" s="563"/>
      <c r="O1241" s="563"/>
      <c r="P1241" s="563"/>
    </row>
    <row r="1242" spans="2:16" ht="15.75" customHeight="1">
      <c r="B1242" s="562"/>
      <c r="H1242" s="563"/>
      <c r="I1242" s="563"/>
      <c r="J1242" s="581"/>
      <c r="N1242" s="563"/>
      <c r="O1242" s="563"/>
      <c r="P1242" s="563"/>
    </row>
    <row r="1243" spans="2:16" ht="15.75" customHeight="1">
      <c r="B1243" s="562"/>
      <c r="H1243" s="563"/>
      <c r="I1243" s="563"/>
      <c r="J1243" s="581"/>
      <c r="N1243" s="563"/>
      <c r="O1243" s="563"/>
      <c r="P1243" s="563"/>
    </row>
    <row r="1244" spans="2:16" ht="15.75" customHeight="1">
      <c r="B1244" s="562"/>
      <c r="H1244" s="563"/>
      <c r="I1244" s="563"/>
      <c r="J1244" s="581"/>
      <c r="N1244" s="563"/>
      <c r="O1244" s="563"/>
      <c r="P1244" s="563"/>
    </row>
    <row r="1245" spans="2:16" ht="15.75" customHeight="1">
      <c r="B1245" s="562"/>
      <c r="H1245" s="563"/>
      <c r="I1245" s="563"/>
      <c r="J1245" s="581"/>
      <c r="N1245" s="563"/>
      <c r="O1245" s="563"/>
      <c r="P1245" s="563"/>
    </row>
    <row r="1246" spans="2:16" ht="15.75" customHeight="1">
      <c r="B1246" s="562"/>
      <c r="H1246" s="563"/>
      <c r="I1246" s="563"/>
      <c r="J1246" s="581"/>
      <c r="N1246" s="563"/>
      <c r="O1246" s="563"/>
      <c r="P1246" s="563"/>
    </row>
    <row r="1247" spans="2:16" ht="15.75" customHeight="1">
      <c r="B1247" s="562"/>
      <c r="H1247" s="563"/>
      <c r="I1247" s="563"/>
      <c r="J1247" s="581"/>
      <c r="N1247" s="563"/>
      <c r="O1247" s="563"/>
      <c r="P1247" s="563"/>
    </row>
    <row r="1248" spans="2:16" ht="15.75" customHeight="1">
      <c r="B1248" s="562"/>
      <c r="H1248" s="563"/>
      <c r="I1248" s="563"/>
      <c r="J1248" s="581"/>
      <c r="N1248" s="563"/>
      <c r="O1248" s="563"/>
      <c r="P1248" s="563"/>
    </row>
    <row r="1249" spans="2:16" ht="15.75" customHeight="1">
      <c r="B1249" s="562"/>
      <c r="H1249" s="563"/>
      <c r="I1249" s="563"/>
      <c r="J1249" s="581"/>
      <c r="N1249" s="563"/>
      <c r="O1249" s="563"/>
      <c r="P1249" s="563"/>
    </row>
    <row r="1250" spans="2:16" ht="15.75" customHeight="1">
      <c r="B1250" s="562"/>
      <c r="H1250" s="563"/>
      <c r="I1250" s="563"/>
      <c r="J1250" s="581"/>
      <c r="N1250" s="563"/>
      <c r="O1250" s="563"/>
      <c r="P1250" s="563"/>
    </row>
    <row r="1251" spans="2:16" ht="15.75" customHeight="1">
      <c r="B1251" s="562"/>
      <c r="H1251" s="563"/>
      <c r="I1251" s="563"/>
      <c r="J1251" s="581"/>
      <c r="N1251" s="563"/>
      <c r="O1251" s="563"/>
      <c r="P1251" s="563"/>
    </row>
    <row r="1252" spans="2:16" ht="15.75" customHeight="1">
      <c r="B1252" s="562"/>
      <c r="H1252" s="563"/>
      <c r="I1252" s="563"/>
      <c r="J1252" s="581"/>
      <c r="N1252" s="563"/>
      <c r="O1252" s="563"/>
      <c r="P1252" s="563"/>
    </row>
    <row r="1253" spans="2:16" ht="15.75" customHeight="1">
      <c r="B1253" s="562"/>
      <c r="H1253" s="563"/>
      <c r="I1253" s="563"/>
      <c r="J1253" s="581"/>
      <c r="N1253" s="563"/>
      <c r="O1253" s="563"/>
      <c r="P1253" s="563"/>
    </row>
    <row r="1254" spans="2:16" ht="15.75" customHeight="1">
      <c r="B1254" s="562"/>
      <c r="H1254" s="563"/>
      <c r="I1254" s="563"/>
      <c r="J1254" s="581"/>
      <c r="N1254" s="563"/>
      <c r="O1254" s="563"/>
      <c r="P1254" s="563"/>
    </row>
    <row r="1255" spans="2:16" ht="15.75" customHeight="1">
      <c r="B1255" s="562"/>
      <c r="H1255" s="563"/>
      <c r="I1255" s="563"/>
      <c r="J1255" s="581"/>
      <c r="N1255" s="563"/>
      <c r="O1255" s="563"/>
      <c r="P1255" s="563"/>
    </row>
    <row r="1256" spans="2:16" ht="15.75" customHeight="1">
      <c r="B1256" s="562"/>
      <c r="H1256" s="563"/>
      <c r="I1256" s="563"/>
      <c r="J1256" s="581"/>
      <c r="N1256" s="563"/>
      <c r="O1256" s="563"/>
      <c r="P1256" s="563"/>
    </row>
    <row r="1257" spans="2:16" ht="15.75" customHeight="1">
      <c r="B1257" s="562"/>
      <c r="H1257" s="563"/>
      <c r="I1257" s="563"/>
      <c r="J1257" s="581"/>
      <c r="N1257" s="563"/>
      <c r="O1257" s="563"/>
      <c r="P1257" s="563"/>
    </row>
    <row r="1258" spans="2:16" ht="15.75" customHeight="1">
      <c r="B1258" s="562"/>
      <c r="H1258" s="563"/>
      <c r="I1258" s="563"/>
      <c r="J1258" s="581"/>
      <c r="N1258" s="563"/>
      <c r="O1258" s="563"/>
      <c r="P1258" s="563"/>
    </row>
    <row r="1259" spans="2:16" ht="15.75" customHeight="1">
      <c r="B1259" s="562"/>
      <c r="H1259" s="563"/>
      <c r="I1259" s="563"/>
      <c r="J1259" s="581"/>
      <c r="N1259" s="563"/>
      <c r="O1259" s="563"/>
      <c r="P1259" s="563"/>
    </row>
    <row r="1260" spans="2:16" ht="15.75" customHeight="1">
      <c r="B1260" s="562"/>
      <c r="H1260" s="563"/>
      <c r="I1260" s="563"/>
      <c r="J1260" s="581"/>
      <c r="N1260" s="563"/>
      <c r="O1260" s="563"/>
      <c r="P1260" s="563"/>
    </row>
    <row r="1261" spans="2:16" ht="15.75" customHeight="1">
      <c r="B1261" s="562"/>
      <c r="H1261" s="563"/>
      <c r="I1261" s="538"/>
      <c r="J1261" s="581"/>
      <c r="N1261" s="563"/>
      <c r="O1261" s="563"/>
      <c r="P1261" s="563"/>
    </row>
    <row r="1262" spans="2:16" ht="15.75" customHeight="1">
      <c r="B1262" s="562"/>
      <c r="H1262" s="563"/>
      <c r="I1262" s="563"/>
      <c r="J1262" s="581"/>
      <c r="N1262" s="563"/>
      <c r="O1262" s="563"/>
      <c r="P1262" s="563"/>
    </row>
    <row r="1263" spans="2:16" ht="15.75" customHeight="1">
      <c r="B1263" s="562"/>
      <c r="H1263" s="563"/>
      <c r="I1263" s="538"/>
      <c r="J1263" s="581"/>
      <c r="N1263" s="563"/>
      <c r="O1263" s="563"/>
      <c r="P1263" s="563"/>
    </row>
    <row r="1264" spans="2:16" ht="15.75" customHeight="1">
      <c r="B1264" s="562"/>
      <c r="H1264" s="563"/>
      <c r="I1264" s="563"/>
      <c r="J1264" s="581"/>
      <c r="N1264" s="563"/>
      <c r="O1264" s="563"/>
      <c r="P1264" s="563"/>
    </row>
    <row r="1265" spans="2:16" ht="15.75" customHeight="1">
      <c r="B1265" s="562"/>
      <c r="H1265" s="563"/>
      <c r="I1265" s="563"/>
      <c r="J1265" s="581"/>
      <c r="N1265" s="563"/>
      <c r="O1265" s="563"/>
      <c r="P1265" s="563"/>
    </row>
    <row r="1266" spans="2:16" ht="15.75" customHeight="1">
      <c r="B1266" s="562"/>
      <c r="H1266" s="563"/>
      <c r="I1266" s="563"/>
      <c r="J1266" s="581"/>
      <c r="N1266" s="563"/>
      <c r="O1266" s="563"/>
      <c r="P1266" s="563"/>
    </row>
    <row r="1267" spans="2:16" ht="15.75" customHeight="1">
      <c r="B1267" s="562"/>
      <c r="H1267" s="563"/>
      <c r="I1267" s="563"/>
      <c r="J1267" s="581"/>
      <c r="N1267" s="563"/>
      <c r="O1267" s="563"/>
      <c r="P1267" s="563"/>
    </row>
    <row r="1268" spans="2:16" ht="15.75" customHeight="1">
      <c r="B1268" s="562"/>
      <c r="H1268" s="563"/>
      <c r="I1268" s="563"/>
      <c r="J1268" s="581"/>
      <c r="N1268" s="563"/>
      <c r="O1268" s="563"/>
      <c r="P1268" s="563"/>
    </row>
    <row r="1269" spans="2:16" ht="15.75" customHeight="1">
      <c r="B1269" s="562"/>
      <c r="H1269" s="563"/>
      <c r="I1269" s="563"/>
      <c r="J1269" s="581"/>
      <c r="N1269" s="563"/>
      <c r="O1269" s="563"/>
      <c r="P1269" s="563"/>
    </row>
    <row r="1270" spans="2:16" ht="15.75" customHeight="1">
      <c r="B1270" s="562"/>
      <c r="H1270" s="563"/>
      <c r="I1270" s="563"/>
      <c r="J1270" s="581"/>
      <c r="N1270" s="563"/>
      <c r="O1270" s="563"/>
      <c r="P1270" s="563"/>
    </row>
    <row r="1271" spans="2:16" ht="15.75" customHeight="1">
      <c r="B1271" s="562"/>
      <c r="H1271" s="563"/>
      <c r="I1271" s="563"/>
      <c r="J1271" s="581"/>
      <c r="N1271" s="563"/>
      <c r="O1271" s="563"/>
      <c r="P1271" s="563"/>
    </row>
    <row r="1272" spans="2:16" ht="15.75" customHeight="1">
      <c r="B1272" s="562"/>
      <c r="H1272" s="563"/>
      <c r="I1272" s="563"/>
      <c r="J1272" s="581"/>
      <c r="N1272" s="563"/>
      <c r="O1272" s="563"/>
      <c r="P1272" s="563"/>
    </row>
    <row r="1273" spans="2:16" ht="15.75" customHeight="1">
      <c r="B1273" s="562"/>
      <c r="H1273" s="563"/>
      <c r="I1273" s="563"/>
      <c r="J1273" s="581"/>
      <c r="N1273" s="563"/>
      <c r="O1273" s="563"/>
      <c r="P1273" s="563"/>
    </row>
    <row r="1274" spans="2:16" ht="15.75" customHeight="1">
      <c r="B1274" s="562"/>
      <c r="H1274" s="563"/>
      <c r="I1274" s="563"/>
      <c r="J1274" s="581"/>
      <c r="N1274" s="563"/>
      <c r="O1274" s="563"/>
      <c r="P1274" s="563"/>
    </row>
    <row r="1275" spans="2:16" ht="15.75" customHeight="1">
      <c r="B1275" s="562"/>
      <c r="H1275" s="563"/>
      <c r="I1275" s="563"/>
      <c r="J1275" s="581"/>
      <c r="N1275" s="563"/>
      <c r="O1275" s="563"/>
      <c r="P1275" s="563"/>
    </row>
    <row r="1276" spans="2:16" ht="15.75" customHeight="1">
      <c r="B1276" s="562"/>
      <c r="H1276" s="563"/>
      <c r="I1276" s="563"/>
      <c r="J1276" s="581"/>
      <c r="N1276" s="563"/>
      <c r="O1276" s="563"/>
      <c r="P1276" s="563"/>
    </row>
    <row r="1277" spans="2:16" ht="15.75" customHeight="1">
      <c r="B1277" s="562"/>
      <c r="H1277" s="563"/>
      <c r="I1277" s="563"/>
      <c r="J1277" s="581"/>
      <c r="N1277" s="563"/>
      <c r="O1277" s="563"/>
      <c r="P1277" s="563"/>
    </row>
    <row r="1278" spans="2:16" ht="15.75" customHeight="1">
      <c r="B1278" s="562"/>
      <c r="H1278" s="563"/>
      <c r="I1278" s="563"/>
      <c r="J1278" s="581"/>
      <c r="N1278" s="563"/>
      <c r="O1278" s="563"/>
      <c r="P1278" s="563"/>
    </row>
    <row r="1279" spans="2:16" ht="15.75" customHeight="1">
      <c r="B1279" s="562"/>
      <c r="H1279" s="563"/>
      <c r="I1279" s="563"/>
      <c r="J1279" s="581"/>
      <c r="N1279" s="563"/>
      <c r="O1279" s="563"/>
      <c r="P1279" s="563"/>
    </row>
    <row r="1280" spans="2:16" ht="15.75" customHeight="1">
      <c r="B1280" s="562"/>
      <c r="H1280" s="563"/>
      <c r="I1280" s="563"/>
      <c r="J1280" s="581"/>
      <c r="N1280" s="563"/>
      <c r="O1280" s="563"/>
      <c r="P1280" s="563"/>
    </row>
    <row r="1281" spans="2:16" ht="15.75" customHeight="1">
      <c r="B1281" s="562"/>
      <c r="H1281" s="563"/>
      <c r="I1281" s="563"/>
      <c r="J1281" s="581"/>
      <c r="N1281" s="563"/>
      <c r="O1281" s="563"/>
      <c r="P1281" s="563"/>
    </row>
    <row r="1282" spans="2:16" ht="15.75" customHeight="1">
      <c r="B1282" s="562"/>
      <c r="H1282" s="563"/>
      <c r="I1282" s="563"/>
      <c r="J1282" s="581"/>
      <c r="N1282" s="563"/>
      <c r="O1282" s="563"/>
      <c r="P1282" s="563"/>
    </row>
    <row r="1283" spans="2:16" ht="15.75" customHeight="1">
      <c r="B1283" s="562"/>
      <c r="H1283" s="563"/>
      <c r="I1283" s="563"/>
      <c r="J1283" s="581"/>
      <c r="N1283" s="563"/>
      <c r="O1283" s="563"/>
      <c r="P1283" s="563"/>
    </row>
    <row r="1284" spans="2:16" ht="15.75" customHeight="1">
      <c r="B1284" s="562"/>
      <c r="H1284" s="563"/>
      <c r="I1284" s="563"/>
      <c r="J1284" s="581"/>
      <c r="N1284" s="563"/>
      <c r="O1284" s="563"/>
      <c r="P1284" s="563"/>
    </row>
    <row r="1285" spans="2:16" ht="15.75" customHeight="1">
      <c r="B1285" s="562"/>
      <c r="H1285" s="563"/>
      <c r="I1285" s="563"/>
      <c r="J1285" s="581"/>
      <c r="N1285" s="563"/>
      <c r="O1285" s="563"/>
      <c r="P1285" s="563"/>
    </row>
    <row r="1286" spans="2:16" ht="15.75" customHeight="1">
      <c r="B1286" s="562"/>
      <c r="H1286" s="563"/>
      <c r="I1286" s="563"/>
      <c r="J1286" s="581"/>
      <c r="N1286" s="563"/>
      <c r="O1286" s="563"/>
      <c r="P1286" s="563"/>
    </row>
    <row r="1287" spans="2:16" ht="15.75" customHeight="1">
      <c r="B1287" s="562"/>
      <c r="H1287" s="563"/>
      <c r="I1287" s="563"/>
      <c r="J1287" s="581"/>
      <c r="N1287" s="563"/>
      <c r="O1287" s="563"/>
      <c r="P1287" s="563"/>
    </row>
    <row r="1288" spans="2:16" ht="15.75" customHeight="1">
      <c r="B1288" s="562"/>
      <c r="H1288" s="563"/>
      <c r="I1288" s="563"/>
      <c r="J1288" s="581"/>
      <c r="N1288" s="563"/>
      <c r="O1288" s="563"/>
      <c r="P1288" s="563"/>
    </row>
    <row r="1289" spans="2:16" ht="15.75" customHeight="1">
      <c r="B1289" s="562"/>
      <c r="H1289" s="563"/>
      <c r="I1289" s="563"/>
      <c r="J1289" s="581"/>
      <c r="N1289" s="563"/>
      <c r="O1289" s="563"/>
      <c r="P1289" s="563"/>
    </row>
    <row r="1290" spans="2:16" ht="15.75" customHeight="1">
      <c r="B1290" s="562"/>
      <c r="H1290" s="563"/>
      <c r="I1290" s="563"/>
      <c r="J1290" s="581"/>
      <c r="N1290" s="563"/>
      <c r="O1290" s="563"/>
      <c r="P1290" s="563"/>
    </row>
    <row r="1291" spans="2:16" ht="15.75" customHeight="1">
      <c r="B1291" s="562"/>
      <c r="H1291" s="563"/>
      <c r="I1291" s="563"/>
      <c r="J1291" s="581"/>
      <c r="N1291" s="563"/>
      <c r="O1291" s="563"/>
      <c r="P1291" s="563"/>
    </row>
    <row r="1292" spans="2:16" ht="15.75" customHeight="1">
      <c r="B1292" s="562"/>
      <c r="H1292" s="563"/>
      <c r="I1292" s="563"/>
      <c r="J1292" s="581"/>
      <c r="N1292" s="563"/>
      <c r="O1292" s="563"/>
      <c r="P1292" s="563"/>
    </row>
    <row r="1293" spans="2:16" ht="15.75" customHeight="1">
      <c r="B1293" s="562"/>
      <c r="H1293" s="563"/>
      <c r="I1293" s="563"/>
      <c r="J1293" s="581"/>
      <c r="N1293" s="563"/>
      <c r="O1293" s="563"/>
      <c r="P1293" s="563"/>
    </row>
    <row r="1294" spans="2:16" ht="15.75" customHeight="1">
      <c r="B1294" s="562"/>
      <c r="H1294" s="563"/>
      <c r="I1294" s="563"/>
      <c r="J1294" s="581"/>
      <c r="N1294" s="563"/>
      <c r="O1294" s="563"/>
      <c r="P1294" s="563"/>
    </row>
    <row r="1295" spans="2:16" ht="15.75" customHeight="1">
      <c r="B1295" s="562"/>
      <c r="H1295" s="563"/>
      <c r="I1295" s="563"/>
      <c r="J1295" s="581"/>
      <c r="N1295" s="563"/>
      <c r="O1295" s="563"/>
      <c r="P1295" s="563"/>
    </row>
    <row r="1296" spans="2:16" ht="15.75" customHeight="1">
      <c r="B1296" s="562"/>
      <c r="H1296" s="563"/>
      <c r="I1296" s="563"/>
      <c r="J1296" s="581"/>
      <c r="N1296" s="563"/>
      <c r="O1296" s="563"/>
      <c r="P1296" s="563"/>
    </row>
    <row r="1297" spans="2:16" ht="15.75" customHeight="1">
      <c r="B1297" s="562"/>
      <c r="H1297" s="563"/>
      <c r="I1297" s="563"/>
      <c r="J1297" s="581"/>
      <c r="N1297" s="563"/>
      <c r="O1297" s="563"/>
      <c r="P1297" s="563"/>
    </row>
    <row r="1298" spans="2:16" ht="15.75" customHeight="1">
      <c r="B1298" s="562"/>
      <c r="H1298" s="563"/>
      <c r="I1298" s="563"/>
      <c r="J1298" s="581"/>
      <c r="N1298" s="563"/>
      <c r="O1298" s="563"/>
      <c r="P1298" s="563"/>
    </row>
    <row r="1299" spans="2:16" ht="15.75" customHeight="1">
      <c r="B1299" s="562"/>
      <c r="H1299" s="563"/>
      <c r="I1299" s="563"/>
      <c r="J1299" s="581"/>
      <c r="N1299" s="563"/>
      <c r="O1299" s="563"/>
      <c r="P1299" s="563"/>
    </row>
    <row r="1300" spans="2:16" ht="15.75" customHeight="1">
      <c r="B1300" s="562"/>
      <c r="H1300" s="563"/>
      <c r="I1300" s="563"/>
      <c r="J1300" s="581"/>
      <c r="N1300" s="563"/>
      <c r="O1300" s="563"/>
      <c r="P1300" s="563"/>
    </row>
    <row r="1301" spans="2:16" ht="15.75" customHeight="1">
      <c r="B1301" s="562"/>
      <c r="H1301" s="563"/>
      <c r="I1301" s="538"/>
      <c r="J1301" s="581"/>
      <c r="N1301" s="563"/>
      <c r="O1301" s="563"/>
      <c r="P1301" s="563"/>
    </row>
    <row r="1302" spans="2:16" ht="15.75" customHeight="1">
      <c r="B1302" s="562"/>
      <c r="H1302" s="563"/>
      <c r="I1302" s="563"/>
      <c r="J1302" s="581"/>
      <c r="N1302" s="563"/>
      <c r="O1302" s="563"/>
      <c r="P1302" s="563"/>
    </row>
    <row r="1303" spans="2:16" ht="15.75" customHeight="1">
      <c r="B1303" s="562"/>
      <c r="H1303" s="563"/>
      <c r="I1303" s="538"/>
      <c r="J1303" s="581"/>
      <c r="N1303" s="563"/>
      <c r="O1303" s="563"/>
      <c r="P1303" s="563"/>
    </row>
    <row r="1304" spans="2:16" ht="15.75" customHeight="1">
      <c r="B1304" s="562"/>
      <c r="H1304" s="563"/>
      <c r="I1304" s="563"/>
      <c r="J1304" s="581"/>
      <c r="N1304" s="563"/>
      <c r="O1304" s="563"/>
      <c r="P1304" s="563"/>
    </row>
    <row r="1305" spans="2:16" ht="15.75" customHeight="1">
      <c r="B1305" s="562"/>
      <c r="H1305" s="563"/>
      <c r="I1305" s="563"/>
      <c r="J1305" s="581"/>
      <c r="N1305" s="563"/>
      <c r="O1305" s="563"/>
      <c r="P1305" s="563"/>
    </row>
    <row r="1306" spans="2:16" ht="15.75" customHeight="1">
      <c r="B1306" s="562"/>
      <c r="H1306" s="563"/>
      <c r="I1306" s="563"/>
      <c r="J1306" s="581"/>
      <c r="N1306" s="563"/>
      <c r="O1306" s="563"/>
      <c r="P1306" s="563"/>
    </row>
    <row r="1307" spans="2:16" ht="15.75" customHeight="1">
      <c r="B1307" s="562"/>
      <c r="H1307" s="563"/>
      <c r="I1307" s="563"/>
      <c r="J1307" s="581"/>
      <c r="N1307" s="563"/>
      <c r="O1307" s="563"/>
      <c r="P1307" s="563"/>
    </row>
    <row r="1308" spans="2:16" ht="15.75" customHeight="1">
      <c r="B1308" s="562"/>
      <c r="H1308" s="563"/>
      <c r="I1308" s="563"/>
      <c r="J1308" s="581"/>
      <c r="N1308" s="563"/>
      <c r="O1308" s="563"/>
      <c r="P1308" s="563"/>
    </row>
    <row r="1309" spans="2:16" ht="15.75" customHeight="1">
      <c r="B1309" s="562"/>
      <c r="H1309" s="563"/>
      <c r="I1309" s="563"/>
      <c r="J1309" s="581"/>
      <c r="N1309" s="563"/>
      <c r="O1309" s="563"/>
      <c r="P1309" s="563"/>
    </row>
    <row r="1310" spans="2:16" ht="15.75" customHeight="1">
      <c r="B1310" s="562"/>
      <c r="H1310" s="563"/>
      <c r="I1310" s="563"/>
      <c r="J1310" s="581"/>
      <c r="N1310" s="563"/>
      <c r="O1310" s="563"/>
      <c r="P1310" s="563"/>
    </row>
    <row r="1311" spans="2:16" ht="15.75" customHeight="1">
      <c r="B1311" s="562"/>
      <c r="H1311" s="563"/>
      <c r="I1311" s="563"/>
      <c r="J1311" s="581"/>
      <c r="N1311" s="563"/>
      <c r="O1311" s="563"/>
      <c r="P1311" s="563"/>
    </row>
    <row r="1312" spans="2:16" ht="15.75" customHeight="1">
      <c r="B1312" s="562"/>
      <c r="H1312" s="563"/>
      <c r="I1312" s="563"/>
      <c r="J1312" s="581"/>
      <c r="N1312" s="563"/>
      <c r="O1312" s="563"/>
      <c r="P1312" s="563"/>
    </row>
    <row r="1313" spans="2:16" ht="15.75" customHeight="1">
      <c r="B1313" s="562"/>
      <c r="H1313" s="563"/>
      <c r="I1313" s="563"/>
      <c r="J1313" s="581"/>
      <c r="N1313" s="563"/>
      <c r="O1313" s="563"/>
      <c r="P1313" s="563"/>
    </row>
    <row r="1314" spans="2:16" ht="15.75" customHeight="1">
      <c r="B1314" s="562"/>
      <c r="H1314" s="563"/>
      <c r="I1314" s="563"/>
      <c r="J1314" s="581"/>
      <c r="N1314" s="563"/>
      <c r="O1314" s="563"/>
      <c r="P1314" s="563"/>
    </row>
    <row r="1315" spans="2:16" ht="15.75" customHeight="1">
      <c r="B1315" s="562"/>
      <c r="H1315" s="563"/>
      <c r="I1315" s="563"/>
      <c r="J1315" s="581"/>
      <c r="N1315" s="563"/>
      <c r="O1315" s="563"/>
      <c r="P1315" s="563"/>
    </row>
    <row r="1316" spans="2:16" ht="15.75" customHeight="1">
      <c r="B1316" s="562"/>
      <c r="H1316" s="563"/>
      <c r="I1316" s="563"/>
      <c r="J1316" s="581"/>
      <c r="N1316" s="563"/>
      <c r="O1316" s="563"/>
      <c r="P1316" s="563"/>
    </row>
    <row r="1317" spans="2:16" ht="15.75" customHeight="1">
      <c r="B1317" s="562"/>
      <c r="H1317" s="563"/>
      <c r="I1317" s="538"/>
      <c r="J1317" s="581"/>
      <c r="N1317" s="563"/>
      <c r="O1317" s="563"/>
      <c r="P1317" s="563"/>
    </row>
    <row r="1318" spans="2:16" ht="15.75" customHeight="1">
      <c r="B1318" s="562"/>
      <c r="H1318" s="563"/>
      <c r="I1318" s="563"/>
      <c r="J1318" s="581"/>
      <c r="N1318" s="563"/>
      <c r="O1318" s="563"/>
      <c r="P1318" s="563"/>
    </row>
    <row r="1319" spans="2:16" ht="15.75" customHeight="1">
      <c r="B1319" s="562"/>
      <c r="H1319" s="563"/>
      <c r="I1319" s="563"/>
      <c r="J1319" s="581"/>
      <c r="N1319" s="563"/>
      <c r="O1319" s="563"/>
      <c r="P1319" s="563"/>
    </row>
    <row r="1320" spans="2:16" ht="15.75" customHeight="1">
      <c r="B1320" s="562"/>
      <c r="H1320" s="563"/>
      <c r="I1320" s="563"/>
      <c r="J1320" s="581"/>
      <c r="N1320" s="563"/>
      <c r="O1320" s="563"/>
      <c r="P1320" s="563"/>
    </row>
    <row r="1321" spans="2:16" ht="15.75" customHeight="1">
      <c r="B1321" s="562"/>
      <c r="H1321" s="563"/>
      <c r="I1321" s="563"/>
      <c r="J1321" s="581"/>
      <c r="N1321" s="563"/>
      <c r="O1321" s="563"/>
      <c r="P1321" s="563"/>
    </row>
    <row r="1322" spans="2:16" ht="15.75" customHeight="1">
      <c r="B1322" s="562"/>
      <c r="H1322" s="563"/>
      <c r="I1322" s="563"/>
      <c r="J1322" s="581"/>
      <c r="N1322" s="563"/>
      <c r="O1322" s="563"/>
      <c r="P1322" s="563"/>
    </row>
    <row r="1323" spans="2:16" ht="15.75" customHeight="1">
      <c r="B1323" s="562"/>
      <c r="H1323" s="563"/>
      <c r="I1323" s="563"/>
      <c r="J1323" s="581"/>
      <c r="N1323" s="563"/>
      <c r="O1323" s="563"/>
      <c r="P1323" s="563"/>
    </row>
    <row r="1324" spans="2:16" ht="15.75" customHeight="1">
      <c r="B1324" s="562"/>
      <c r="H1324" s="563"/>
      <c r="I1324" s="563"/>
      <c r="J1324" s="581"/>
      <c r="N1324" s="563"/>
      <c r="O1324" s="563"/>
      <c r="P1324" s="563"/>
    </row>
    <row r="1325" spans="2:16" ht="15.75" customHeight="1">
      <c r="B1325" s="562"/>
      <c r="H1325" s="563"/>
      <c r="I1325" s="563"/>
      <c r="J1325" s="581"/>
      <c r="N1325" s="563"/>
      <c r="O1325" s="563"/>
      <c r="P1325" s="563"/>
    </row>
    <row r="1326" spans="2:16" ht="15.75" customHeight="1">
      <c r="B1326" s="562"/>
      <c r="H1326" s="563"/>
      <c r="I1326" s="563"/>
      <c r="J1326" s="581"/>
      <c r="N1326" s="563"/>
      <c r="O1326" s="563"/>
      <c r="P1326" s="563"/>
    </row>
    <row r="1327" spans="2:16" ht="15.75" customHeight="1">
      <c r="B1327" s="562"/>
      <c r="H1327" s="563"/>
      <c r="I1327" s="563"/>
      <c r="J1327" s="581"/>
      <c r="N1327" s="563"/>
      <c r="O1327" s="563"/>
      <c r="P1327" s="563"/>
    </row>
    <row r="1328" spans="2:16" ht="15.75" customHeight="1">
      <c r="B1328" s="562"/>
      <c r="H1328" s="563"/>
      <c r="I1328" s="563"/>
      <c r="J1328" s="581"/>
      <c r="N1328" s="563"/>
      <c r="O1328" s="563"/>
      <c r="P1328" s="563"/>
    </row>
    <row r="1329" spans="2:16" ht="15.75" customHeight="1">
      <c r="B1329" s="562"/>
      <c r="H1329" s="563"/>
      <c r="I1329" s="563"/>
      <c r="J1329" s="581"/>
      <c r="N1329" s="563"/>
      <c r="O1329" s="563"/>
      <c r="P1329" s="563"/>
    </row>
    <row r="1330" spans="2:16" ht="15.75" customHeight="1">
      <c r="B1330" s="562"/>
      <c r="H1330" s="563"/>
      <c r="I1330" s="563"/>
      <c r="J1330" s="581"/>
      <c r="N1330" s="563"/>
      <c r="O1330" s="563"/>
      <c r="P1330" s="563"/>
    </row>
    <row r="1331" spans="2:16" ht="15.75" customHeight="1">
      <c r="B1331" s="562"/>
      <c r="H1331" s="563"/>
      <c r="I1331" s="563"/>
      <c r="J1331" s="581"/>
      <c r="N1331" s="563"/>
      <c r="O1331" s="563"/>
      <c r="P1331" s="563"/>
    </row>
    <row r="1332" spans="2:16" ht="15.75" customHeight="1">
      <c r="B1332" s="562"/>
      <c r="H1332" s="563"/>
      <c r="I1332" s="563"/>
      <c r="J1332" s="581"/>
      <c r="N1332" s="563"/>
      <c r="O1332" s="563"/>
      <c r="P1332" s="563"/>
    </row>
    <row r="1333" spans="2:16" ht="15.75" customHeight="1">
      <c r="B1333" s="562"/>
      <c r="H1333" s="563"/>
      <c r="I1333" s="563"/>
      <c r="J1333" s="581"/>
      <c r="N1333" s="563"/>
      <c r="O1333" s="563"/>
      <c r="P1333" s="563"/>
    </row>
    <row r="1334" spans="2:16" ht="15.75" customHeight="1">
      <c r="B1334" s="562"/>
      <c r="H1334" s="563"/>
      <c r="I1334" s="563"/>
      <c r="J1334" s="581"/>
      <c r="N1334" s="563"/>
      <c r="O1334" s="563"/>
      <c r="P1334" s="563"/>
    </row>
    <row r="1335" spans="2:16" ht="15.75" customHeight="1">
      <c r="B1335" s="562"/>
      <c r="H1335" s="563"/>
      <c r="I1335" s="538"/>
      <c r="J1335" s="581"/>
      <c r="N1335" s="563"/>
      <c r="O1335" s="563"/>
      <c r="P1335" s="563"/>
    </row>
    <row r="1336" spans="2:16" ht="15.75" customHeight="1">
      <c r="B1336" s="562"/>
      <c r="H1336" s="563"/>
      <c r="I1336" s="563"/>
      <c r="J1336" s="581"/>
      <c r="N1336" s="563"/>
      <c r="O1336" s="563"/>
      <c r="P1336" s="563"/>
    </row>
    <row r="1337" spans="2:16" ht="15.75" customHeight="1">
      <c r="B1337" s="562"/>
      <c r="H1337" s="563"/>
      <c r="I1337" s="538"/>
      <c r="J1337" s="581"/>
      <c r="N1337" s="563"/>
      <c r="O1337" s="563"/>
      <c r="P1337" s="563"/>
    </row>
    <row r="1338" spans="2:16" ht="15.75" customHeight="1">
      <c r="B1338" s="562"/>
      <c r="H1338" s="563"/>
      <c r="I1338" s="563"/>
      <c r="J1338" s="581"/>
      <c r="N1338" s="563"/>
      <c r="O1338" s="563"/>
      <c r="P1338" s="563"/>
    </row>
    <row r="1339" spans="2:16" ht="15.75" customHeight="1">
      <c r="B1339" s="562"/>
      <c r="H1339" s="563"/>
      <c r="I1339" s="563"/>
      <c r="J1339" s="581"/>
      <c r="N1339" s="563"/>
      <c r="O1339" s="563"/>
      <c r="P1339" s="563"/>
    </row>
    <row r="1340" spans="2:16" ht="15.75" customHeight="1">
      <c r="B1340" s="562"/>
      <c r="H1340" s="563"/>
      <c r="I1340" s="563"/>
      <c r="J1340" s="581"/>
      <c r="N1340" s="563"/>
      <c r="O1340" s="563"/>
      <c r="P1340" s="563"/>
    </row>
    <row r="1341" spans="2:16" ht="15.75" customHeight="1">
      <c r="B1341" s="562"/>
      <c r="H1341" s="563"/>
      <c r="I1341" s="563"/>
      <c r="J1341" s="581"/>
      <c r="N1341" s="563"/>
      <c r="O1341" s="563"/>
      <c r="P1341" s="563"/>
    </row>
    <row r="1342" spans="2:16" ht="15.75" customHeight="1">
      <c r="B1342" s="562"/>
      <c r="H1342" s="563"/>
      <c r="I1342" s="563"/>
      <c r="J1342" s="581"/>
      <c r="N1342" s="563"/>
      <c r="O1342" s="563"/>
      <c r="P1342" s="563"/>
    </row>
    <row r="1343" spans="2:16" ht="15.75" customHeight="1">
      <c r="B1343" s="562"/>
      <c r="H1343" s="563"/>
      <c r="I1343" s="563"/>
      <c r="J1343" s="581"/>
      <c r="N1343" s="563"/>
      <c r="O1343" s="563"/>
      <c r="P1343" s="563"/>
    </row>
    <row r="1344" spans="2:16" ht="15.75" customHeight="1">
      <c r="B1344" s="562"/>
      <c r="H1344" s="563"/>
      <c r="I1344" s="563"/>
      <c r="J1344" s="581"/>
      <c r="N1344" s="563"/>
      <c r="O1344" s="563"/>
      <c r="P1344" s="563"/>
    </row>
    <row r="1345" spans="2:16" ht="15.75" customHeight="1">
      <c r="B1345" s="562"/>
      <c r="H1345" s="563"/>
      <c r="I1345" s="563"/>
      <c r="J1345" s="581"/>
      <c r="N1345" s="563"/>
      <c r="O1345" s="563"/>
      <c r="P1345" s="563"/>
    </row>
    <row r="1346" spans="2:16" ht="15.75" customHeight="1">
      <c r="B1346" s="562"/>
      <c r="H1346" s="563"/>
      <c r="I1346" s="563"/>
      <c r="J1346" s="581"/>
      <c r="N1346" s="563"/>
      <c r="O1346" s="563"/>
      <c r="P1346" s="563"/>
    </row>
    <row r="1347" spans="2:16" ht="15.75" customHeight="1">
      <c r="B1347" s="562"/>
      <c r="H1347" s="563"/>
      <c r="I1347" s="563"/>
      <c r="J1347" s="581"/>
      <c r="N1347" s="563"/>
      <c r="O1347" s="563"/>
      <c r="P1347" s="563"/>
    </row>
    <row r="1348" spans="2:16" ht="15.75" customHeight="1">
      <c r="B1348" s="562"/>
      <c r="H1348" s="563"/>
      <c r="I1348" s="563"/>
      <c r="J1348" s="581"/>
      <c r="N1348" s="563"/>
      <c r="O1348" s="563"/>
      <c r="P1348" s="563"/>
    </row>
    <row r="1349" spans="2:16" ht="15.75" customHeight="1">
      <c r="B1349" s="562"/>
      <c r="H1349" s="563"/>
      <c r="I1349" s="563"/>
      <c r="J1349" s="581"/>
      <c r="N1349" s="563"/>
      <c r="O1349" s="563"/>
      <c r="P1349" s="563"/>
    </row>
    <row r="1350" spans="2:16" ht="15.75" customHeight="1">
      <c r="B1350" s="562"/>
      <c r="H1350" s="563"/>
      <c r="I1350" s="563"/>
      <c r="J1350" s="581"/>
      <c r="N1350" s="563"/>
      <c r="O1350" s="563"/>
      <c r="P1350" s="563"/>
    </row>
    <row r="1351" spans="2:16" ht="15.75" customHeight="1">
      <c r="B1351" s="562"/>
      <c r="H1351" s="563"/>
      <c r="I1351" s="563"/>
      <c r="J1351" s="581"/>
      <c r="N1351" s="563"/>
      <c r="O1351" s="563"/>
      <c r="P1351" s="563"/>
    </row>
    <row r="1352" spans="2:16" ht="15.75" customHeight="1">
      <c r="B1352" s="562"/>
      <c r="H1352" s="563"/>
      <c r="I1352" s="563"/>
      <c r="J1352" s="581"/>
      <c r="N1352" s="563"/>
      <c r="O1352" s="563"/>
      <c r="P1352" s="563"/>
    </row>
    <row r="1353" spans="2:16" ht="15.75" customHeight="1">
      <c r="B1353" s="562"/>
      <c r="H1353" s="563"/>
      <c r="I1353" s="563"/>
      <c r="J1353" s="581"/>
      <c r="N1353" s="563"/>
      <c r="O1353" s="563"/>
      <c r="P1353" s="563"/>
    </row>
    <row r="1354" spans="2:16" ht="15.75" customHeight="1">
      <c r="B1354" s="562"/>
      <c r="H1354" s="563"/>
      <c r="I1354" s="563"/>
      <c r="J1354" s="581"/>
      <c r="N1354" s="563"/>
      <c r="O1354" s="563"/>
      <c r="P1354" s="563"/>
    </row>
    <row r="1355" spans="2:16" ht="15.75" customHeight="1">
      <c r="B1355" s="562"/>
      <c r="H1355" s="563"/>
      <c r="I1355" s="563"/>
      <c r="J1355" s="581"/>
      <c r="N1355" s="563"/>
      <c r="O1355" s="563"/>
      <c r="P1355" s="563"/>
    </row>
    <row r="1356" spans="2:16" ht="15.75" customHeight="1">
      <c r="B1356" s="562"/>
      <c r="H1356" s="563"/>
      <c r="I1356" s="563"/>
      <c r="J1356" s="581"/>
      <c r="N1356" s="563"/>
      <c r="O1356" s="563"/>
      <c r="P1356" s="563"/>
    </row>
    <row r="1357" spans="2:16" ht="15.75" customHeight="1">
      <c r="B1357" s="562"/>
      <c r="H1357" s="563"/>
      <c r="I1357" s="563"/>
      <c r="J1357" s="581"/>
      <c r="N1357" s="563"/>
      <c r="O1357" s="563"/>
      <c r="P1357" s="563"/>
    </row>
    <row r="1358" spans="2:16" ht="15.75" customHeight="1">
      <c r="B1358" s="562"/>
      <c r="H1358" s="563"/>
      <c r="I1358" s="563"/>
      <c r="J1358" s="581"/>
      <c r="N1358" s="563"/>
      <c r="O1358" s="563"/>
      <c r="P1358" s="563"/>
    </row>
    <row r="1359" spans="2:16" ht="15.75" customHeight="1">
      <c r="B1359" s="566"/>
      <c r="H1359" s="563"/>
      <c r="I1359" s="563"/>
      <c r="J1359" s="581"/>
      <c r="N1359" s="563"/>
      <c r="O1359" s="563"/>
      <c r="P1359" s="563"/>
    </row>
    <row r="1360" spans="2:16" ht="15.75" customHeight="1">
      <c r="B1360" s="562"/>
      <c r="H1360" s="563"/>
      <c r="I1360" s="563"/>
      <c r="J1360" s="581"/>
      <c r="N1360" s="563"/>
      <c r="O1360" s="563"/>
      <c r="P1360" s="563"/>
    </row>
    <row r="1361" spans="2:16" ht="15.75" customHeight="1">
      <c r="B1361" s="562"/>
      <c r="H1361" s="563"/>
      <c r="I1361" s="563"/>
      <c r="J1361" s="581"/>
      <c r="N1361" s="563"/>
      <c r="O1361" s="563"/>
      <c r="P1361" s="563"/>
    </row>
    <row r="1362" spans="2:16" ht="15.75" customHeight="1">
      <c r="B1362" s="562"/>
      <c r="H1362" s="563"/>
      <c r="I1362" s="563"/>
      <c r="J1362" s="581"/>
      <c r="N1362" s="563"/>
      <c r="O1362" s="563"/>
      <c r="P1362" s="563"/>
    </row>
    <row r="1363" spans="2:16" ht="15.75" customHeight="1">
      <c r="B1363" s="562"/>
      <c r="H1363" s="563"/>
      <c r="I1363" s="563"/>
      <c r="J1363" s="581"/>
      <c r="N1363" s="563"/>
      <c r="O1363" s="563"/>
      <c r="P1363" s="563"/>
    </row>
    <row r="1364" spans="2:16" ht="15.75" customHeight="1">
      <c r="B1364" s="562"/>
      <c r="H1364" s="563"/>
      <c r="I1364" s="563"/>
      <c r="J1364" s="581"/>
      <c r="N1364" s="563"/>
      <c r="O1364" s="563"/>
      <c r="P1364" s="563"/>
    </row>
    <row r="1365" spans="2:16" ht="15.75" customHeight="1">
      <c r="B1365" s="562"/>
      <c r="H1365" s="563"/>
      <c r="I1365" s="563"/>
      <c r="J1365" s="581"/>
      <c r="N1365" s="563"/>
      <c r="O1365" s="563"/>
      <c r="P1365" s="563"/>
    </row>
    <row r="1366" spans="2:16" ht="15.75" customHeight="1">
      <c r="B1366" s="562"/>
      <c r="H1366" s="563"/>
      <c r="I1366" s="563"/>
      <c r="J1366" s="581"/>
      <c r="N1366" s="563"/>
      <c r="O1366" s="563"/>
      <c r="P1366" s="563"/>
    </row>
    <row r="1367" spans="2:16" ht="15.75" customHeight="1">
      <c r="B1367" s="562"/>
      <c r="H1367" s="563"/>
      <c r="I1367" s="563"/>
      <c r="J1367" s="581"/>
      <c r="N1367" s="563"/>
      <c r="O1367" s="563"/>
      <c r="P1367" s="563"/>
    </row>
    <row r="1368" spans="2:16" ht="15.75" customHeight="1">
      <c r="B1368" s="562"/>
      <c r="H1368" s="563"/>
      <c r="I1368" s="563"/>
      <c r="J1368" s="581"/>
      <c r="N1368" s="563"/>
      <c r="O1368" s="563"/>
      <c r="P1368" s="563"/>
    </row>
    <row r="1369" spans="2:16" ht="15.75" customHeight="1">
      <c r="B1369" s="562"/>
      <c r="H1369" s="563"/>
      <c r="I1369" s="563"/>
      <c r="J1369" s="581"/>
      <c r="N1369" s="563"/>
      <c r="O1369" s="563"/>
      <c r="P1369" s="563"/>
    </row>
    <row r="1370" spans="2:16" ht="15.75" customHeight="1">
      <c r="B1370" s="562"/>
      <c r="H1370" s="563"/>
      <c r="I1370" s="563"/>
      <c r="J1370" s="581"/>
      <c r="N1370" s="563"/>
      <c r="O1370" s="563"/>
      <c r="P1370" s="563"/>
    </row>
    <row r="1371" spans="2:16" ht="15.75" customHeight="1">
      <c r="B1371" s="562"/>
      <c r="H1371" s="563"/>
      <c r="I1371" s="563"/>
      <c r="J1371" s="581"/>
      <c r="N1371" s="563"/>
      <c r="O1371" s="563"/>
      <c r="P1371" s="563"/>
    </row>
    <row r="1372" spans="2:16" ht="15.75" customHeight="1">
      <c r="B1372" s="562"/>
      <c r="H1372" s="563"/>
      <c r="I1372" s="563"/>
      <c r="J1372" s="581"/>
      <c r="N1372" s="563"/>
      <c r="O1372" s="563"/>
      <c r="P1372" s="563"/>
    </row>
    <row r="1373" spans="2:16" ht="15.75" customHeight="1">
      <c r="B1373" s="562"/>
      <c r="H1373" s="563"/>
      <c r="I1373" s="538"/>
      <c r="J1373" s="581"/>
      <c r="N1373" s="563"/>
      <c r="O1373" s="563"/>
      <c r="P1373" s="563"/>
    </row>
    <row r="1374" spans="2:16" ht="15.75" customHeight="1">
      <c r="B1374" s="562"/>
      <c r="H1374" s="563"/>
      <c r="I1374" s="563"/>
      <c r="J1374" s="581"/>
      <c r="N1374" s="563"/>
      <c r="O1374" s="563"/>
      <c r="P1374" s="563"/>
    </row>
    <row r="1375" spans="2:16" ht="15.75" customHeight="1">
      <c r="B1375" s="562"/>
      <c r="H1375" s="563"/>
      <c r="I1375" s="538"/>
      <c r="J1375" s="581"/>
      <c r="N1375" s="563"/>
      <c r="O1375" s="563"/>
      <c r="P1375" s="563"/>
    </row>
    <row r="1376" spans="2:16" ht="15.75" customHeight="1">
      <c r="B1376" s="562"/>
      <c r="H1376" s="563"/>
      <c r="I1376" s="563"/>
      <c r="J1376" s="581"/>
      <c r="N1376" s="563"/>
      <c r="O1376" s="563"/>
      <c r="P1376" s="563"/>
    </row>
    <row r="1377" spans="2:16" ht="15.75" customHeight="1">
      <c r="B1377" s="562"/>
      <c r="H1377" s="563"/>
      <c r="I1377" s="563"/>
      <c r="J1377" s="581"/>
      <c r="N1377" s="563"/>
      <c r="O1377" s="563"/>
      <c r="P1377" s="563"/>
    </row>
    <row r="1378" spans="2:16" ht="15.75" customHeight="1">
      <c r="B1378" s="562"/>
      <c r="H1378" s="563"/>
      <c r="I1378" s="563"/>
      <c r="J1378" s="581"/>
      <c r="N1378" s="563"/>
      <c r="O1378" s="563"/>
      <c r="P1378" s="563"/>
    </row>
    <row r="1379" spans="2:16" ht="15.75" customHeight="1">
      <c r="B1379" s="562"/>
      <c r="H1379" s="563"/>
      <c r="I1379" s="563"/>
      <c r="J1379" s="581"/>
      <c r="N1379" s="563"/>
      <c r="O1379" s="563"/>
      <c r="P1379" s="563"/>
    </row>
    <row r="1380" spans="2:16" ht="15.75" customHeight="1">
      <c r="B1380" s="562"/>
      <c r="H1380" s="563"/>
      <c r="I1380" s="563"/>
      <c r="J1380" s="581"/>
      <c r="N1380" s="563"/>
      <c r="O1380" s="563"/>
      <c r="P1380" s="563"/>
    </row>
    <row r="1381" spans="2:16" ht="15.75" customHeight="1">
      <c r="B1381" s="562"/>
      <c r="H1381" s="563"/>
      <c r="I1381" s="563"/>
      <c r="J1381" s="581"/>
      <c r="N1381" s="563"/>
      <c r="O1381" s="563"/>
      <c r="P1381" s="563"/>
    </row>
    <row r="1382" spans="2:16" ht="15.75" customHeight="1">
      <c r="B1382" s="562"/>
      <c r="H1382" s="563"/>
      <c r="I1382" s="563"/>
      <c r="J1382" s="581"/>
      <c r="N1382" s="563"/>
      <c r="O1382" s="563"/>
      <c r="P1382" s="563"/>
    </row>
    <row r="1383" spans="2:16" ht="15.75" customHeight="1">
      <c r="B1383" s="562"/>
      <c r="H1383" s="563"/>
      <c r="I1383" s="563"/>
      <c r="J1383" s="581"/>
      <c r="N1383" s="563"/>
      <c r="O1383" s="563"/>
      <c r="P1383" s="563"/>
    </row>
    <row r="1384" spans="2:16" ht="15.75" customHeight="1">
      <c r="B1384" s="562"/>
      <c r="H1384" s="563"/>
      <c r="I1384" s="563"/>
      <c r="J1384" s="581"/>
      <c r="N1384" s="563"/>
      <c r="O1384" s="563"/>
      <c r="P1384" s="563"/>
    </row>
    <row r="1385" spans="2:16" ht="15.75" customHeight="1">
      <c r="B1385" s="562"/>
      <c r="H1385" s="563"/>
      <c r="I1385" s="563"/>
      <c r="J1385" s="581"/>
      <c r="N1385" s="563"/>
      <c r="O1385" s="563"/>
      <c r="P1385" s="563"/>
    </row>
    <row r="1386" spans="2:16" ht="15.75" customHeight="1">
      <c r="B1386" s="562"/>
      <c r="H1386" s="563"/>
      <c r="I1386" s="563"/>
      <c r="J1386" s="581"/>
      <c r="N1386" s="563"/>
      <c r="O1386" s="563"/>
      <c r="P1386" s="563"/>
    </row>
    <row r="1387" spans="2:16" ht="15.75" customHeight="1">
      <c r="B1387" s="562"/>
      <c r="H1387" s="563"/>
      <c r="I1387" s="563"/>
      <c r="J1387" s="581"/>
      <c r="N1387" s="563"/>
      <c r="O1387" s="563"/>
      <c r="P1387" s="563"/>
    </row>
    <row r="1388" spans="2:16" ht="15.75" customHeight="1">
      <c r="B1388" s="562"/>
      <c r="H1388" s="563"/>
      <c r="I1388" s="563"/>
      <c r="J1388" s="581"/>
      <c r="N1388" s="563"/>
      <c r="O1388" s="563"/>
      <c r="P1388" s="563"/>
    </row>
    <row r="1389" spans="2:16" ht="15.75" customHeight="1">
      <c r="B1389" s="562"/>
      <c r="H1389" s="563"/>
      <c r="I1389" s="563"/>
      <c r="J1389" s="581"/>
      <c r="N1389" s="563"/>
      <c r="O1389" s="563"/>
      <c r="P1389" s="563"/>
    </row>
    <row r="1390" spans="2:16" ht="15.75" customHeight="1">
      <c r="B1390" s="562"/>
      <c r="H1390" s="563"/>
      <c r="I1390" s="563"/>
      <c r="J1390" s="581"/>
      <c r="N1390" s="563"/>
      <c r="O1390" s="563"/>
      <c r="P1390" s="563"/>
    </row>
    <row r="1391" spans="2:16" ht="15.75" customHeight="1">
      <c r="B1391" s="562"/>
      <c r="H1391" s="563"/>
      <c r="I1391" s="538"/>
      <c r="J1391" s="581"/>
      <c r="N1391" s="563"/>
      <c r="O1391" s="563"/>
      <c r="P1391" s="563"/>
    </row>
    <row r="1392" spans="2:16" ht="15.75" customHeight="1">
      <c r="B1392" s="562"/>
      <c r="H1392" s="563"/>
      <c r="I1392" s="563"/>
      <c r="J1392" s="581"/>
      <c r="N1392" s="563"/>
      <c r="O1392" s="563"/>
      <c r="P1392" s="563"/>
    </row>
    <row r="1393" spans="2:16" ht="15.75" customHeight="1">
      <c r="B1393" s="562"/>
      <c r="H1393" s="563"/>
      <c r="I1393" s="563"/>
      <c r="J1393" s="581"/>
      <c r="N1393" s="563"/>
      <c r="O1393" s="563"/>
      <c r="P1393" s="563"/>
    </row>
    <row r="1394" spans="2:16" ht="15.75" customHeight="1">
      <c r="B1394" s="562"/>
      <c r="H1394" s="563"/>
      <c r="I1394" s="563"/>
      <c r="J1394" s="581"/>
      <c r="N1394" s="563"/>
      <c r="O1394" s="563"/>
      <c r="P1394" s="563"/>
    </row>
    <row r="1395" spans="2:16" ht="15.75" customHeight="1">
      <c r="B1395" s="562"/>
      <c r="H1395" s="563"/>
      <c r="I1395" s="563"/>
      <c r="J1395" s="581"/>
      <c r="N1395" s="563"/>
      <c r="O1395" s="563"/>
      <c r="P1395" s="563"/>
    </row>
    <row r="1396" spans="2:16" ht="15.75" customHeight="1">
      <c r="B1396" s="562"/>
      <c r="H1396" s="563"/>
      <c r="I1396" s="563"/>
      <c r="J1396" s="581"/>
      <c r="N1396" s="563"/>
      <c r="O1396" s="563"/>
      <c r="P1396" s="563"/>
    </row>
    <row r="1397" spans="2:16" ht="15.75" customHeight="1">
      <c r="B1397" s="562"/>
      <c r="H1397" s="563"/>
      <c r="I1397" s="563"/>
      <c r="J1397" s="581"/>
      <c r="N1397" s="563"/>
      <c r="O1397" s="563"/>
      <c r="P1397" s="563"/>
    </row>
    <row r="1398" spans="2:16" ht="15.75" customHeight="1">
      <c r="B1398" s="562"/>
      <c r="H1398" s="563"/>
      <c r="I1398" s="563"/>
      <c r="J1398" s="581"/>
      <c r="N1398" s="563"/>
      <c r="O1398" s="563"/>
      <c r="P1398" s="563"/>
    </row>
    <row r="1399" spans="2:16" ht="15.75" customHeight="1">
      <c r="B1399" s="562"/>
      <c r="H1399" s="563"/>
      <c r="I1399" s="563"/>
      <c r="J1399" s="581"/>
      <c r="N1399" s="563"/>
      <c r="O1399" s="563"/>
      <c r="P1399" s="563"/>
    </row>
    <row r="1400" spans="2:16" ht="15.75" customHeight="1">
      <c r="B1400" s="562"/>
      <c r="H1400" s="563"/>
      <c r="I1400" s="563"/>
      <c r="J1400" s="581"/>
      <c r="N1400" s="563"/>
      <c r="O1400" s="563"/>
      <c r="P1400" s="563"/>
    </row>
    <row r="1401" spans="2:16" ht="15.75" customHeight="1">
      <c r="B1401" s="562"/>
      <c r="H1401" s="563"/>
      <c r="I1401" s="563"/>
      <c r="J1401" s="581"/>
      <c r="N1401" s="563"/>
      <c r="O1401" s="563"/>
      <c r="P1401" s="563"/>
    </row>
    <row r="1402" spans="2:16" ht="15.75" customHeight="1">
      <c r="B1402" s="562"/>
      <c r="H1402" s="563"/>
      <c r="I1402" s="563"/>
      <c r="J1402" s="581"/>
      <c r="N1402" s="563"/>
      <c r="O1402" s="563"/>
      <c r="P1402" s="563"/>
    </row>
    <row r="1403" spans="2:16" ht="15.75" customHeight="1">
      <c r="B1403" s="562"/>
      <c r="H1403" s="563"/>
      <c r="I1403" s="563"/>
      <c r="J1403" s="581"/>
      <c r="N1403" s="563"/>
      <c r="O1403" s="563"/>
      <c r="P1403" s="563"/>
    </row>
    <row r="1404" spans="2:16" ht="15.75" customHeight="1">
      <c r="B1404" s="562"/>
      <c r="N1404" s="563"/>
      <c r="O1404" s="563"/>
      <c r="P1404" s="563"/>
    </row>
    <row r="1405" spans="2:16" ht="15.75" customHeight="1">
      <c r="B1405" s="562"/>
      <c r="H1405" s="563"/>
      <c r="I1405" s="563"/>
      <c r="J1405" s="581"/>
      <c r="O1405" s="563"/>
      <c r="P1405" s="563"/>
    </row>
    <row r="1406" spans="2:16" ht="15.75" customHeight="1">
      <c r="B1406" s="562"/>
      <c r="H1406" s="563"/>
      <c r="I1406" s="563"/>
      <c r="J1406" s="581"/>
      <c r="N1406" s="563"/>
      <c r="O1406" s="550"/>
      <c r="P1406" s="563"/>
    </row>
    <row r="1407" spans="2:16" ht="15.75" customHeight="1">
      <c r="B1407" s="562"/>
      <c r="H1407" s="563"/>
      <c r="I1407" s="538"/>
      <c r="J1407" s="581"/>
      <c r="N1407" s="563"/>
      <c r="O1407" s="550"/>
      <c r="P1407" s="563"/>
    </row>
    <row r="1408" spans="2:16" ht="15.75" customHeight="1">
      <c r="B1408" s="562"/>
      <c r="H1408" s="563"/>
      <c r="I1408" s="563"/>
      <c r="J1408" s="581"/>
      <c r="N1408" s="563"/>
      <c r="P1408" s="550"/>
    </row>
    <row r="1409" spans="2:16" ht="15.75" customHeight="1">
      <c r="B1409" s="562"/>
      <c r="H1409" s="563"/>
      <c r="I1409" s="563"/>
      <c r="J1409" s="581"/>
      <c r="N1409" s="563"/>
      <c r="P1409" s="550"/>
    </row>
    <row r="1410" spans="2:16" ht="15.75" customHeight="1">
      <c r="B1410" s="562"/>
      <c r="H1410" s="563"/>
      <c r="I1410" s="563"/>
      <c r="J1410" s="581"/>
      <c r="N1410" s="563"/>
      <c r="P1410" s="550"/>
    </row>
    <row r="1411" spans="2:16" ht="15.75" customHeight="1">
      <c r="B1411" s="562"/>
      <c r="H1411" s="563"/>
      <c r="I1411" s="563"/>
      <c r="J1411" s="581"/>
      <c r="N1411" s="563"/>
      <c r="P1411" s="563"/>
    </row>
    <row r="1412" spans="2:16" ht="15.75" customHeight="1">
      <c r="B1412" s="562"/>
      <c r="H1412" s="563"/>
      <c r="I1412" s="563"/>
      <c r="J1412" s="581"/>
      <c r="N1412" s="563"/>
      <c r="P1412" s="563"/>
    </row>
    <row r="1413" spans="2:16" ht="15.75" customHeight="1">
      <c r="B1413" s="562"/>
      <c r="H1413" s="563"/>
      <c r="I1413" s="538"/>
      <c r="J1413" s="581"/>
      <c r="N1413" s="563"/>
      <c r="O1413" s="563"/>
      <c r="P1413" s="563"/>
    </row>
    <row r="1414" spans="2:16" ht="15.75" customHeight="1">
      <c r="B1414" s="562"/>
      <c r="H1414" s="563"/>
      <c r="I1414" s="563"/>
      <c r="J1414" s="581"/>
      <c r="N1414" s="563"/>
      <c r="O1414" s="563"/>
      <c r="P1414" s="563"/>
    </row>
    <row r="1415" spans="2:16" ht="15.75" customHeight="1">
      <c r="B1415" s="562"/>
      <c r="H1415" s="563"/>
      <c r="I1415" s="538"/>
      <c r="J1415" s="581"/>
      <c r="N1415" s="563"/>
      <c r="O1415" s="563"/>
      <c r="P1415" s="563"/>
    </row>
    <row r="1416" spans="2:16" ht="15.75" customHeight="1">
      <c r="B1416" s="562"/>
      <c r="H1416" s="563"/>
      <c r="I1416" s="563"/>
      <c r="J1416" s="581"/>
      <c r="N1416" s="563"/>
      <c r="O1416" s="563"/>
      <c r="P1416" s="563"/>
    </row>
    <row r="1417" spans="2:16" ht="15.75" customHeight="1">
      <c r="B1417" s="562"/>
      <c r="H1417" s="563"/>
      <c r="I1417" s="563"/>
      <c r="J1417" s="581"/>
      <c r="N1417" s="563"/>
      <c r="O1417" s="563"/>
      <c r="P1417" s="563"/>
    </row>
    <row r="1418" spans="2:16" ht="15.75" customHeight="1">
      <c r="B1418" s="562"/>
      <c r="H1418" s="563"/>
      <c r="I1418" s="563"/>
      <c r="J1418" s="581"/>
      <c r="N1418" s="563"/>
      <c r="O1418" s="563"/>
      <c r="P1418" s="563"/>
    </row>
    <row r="1419" spans="2:16" ht="15.75" customHeight="1">
      <c r="B1419" s="562"/>
      <c r="H1419" s="563"/>
      <c r="I1419" s="563"/>
      <c r="J1419" s="581"/>
      <c r="N1419" s="563"/>
      <c r="O1419" s="563"/>
      <c r="P1419" s="563"/>
    </row>
    <row r="1420" spans="2:16" ht="15.75" customHeight="1">
      <c r="B1420" s="562"/>
      <c r="H1420" s="563"/>
      <c r="I1420" s="563"/>
      <c r="J1420" s="581"/>
      <c r="N1420" s="563"/>
      <c r="O1420" s="563"/>
      <c r="P1420" s="563"/>
    </row>
    <row r="1421" spans="2:16" ht="15.75" customHeight="1">
      <c r="B1421" s="562"/>
      <c r="H1421" s="563"/>
      <c r="I1421" s="563"/>
      <c r="J1421" s="581"/>
      <c r="N1421" s="563"/>
      <c r="O1421" s="563"/>
      <c r="P1421" s="563"/>
    </row>
    <row r="1422" spans="2:16" ht="15.75" customHeight="1">
      <c r="B1422" s="562"/>
      <c r="H1422" s="563"/>
      <c r="I1422" s="563"/>
      <c r="J1422" s="581"/>
      <c r="N1422" s="563"/>
      <c r="O1422" s="563"/>
      <c r="P1422" s="563"/>
    </row>
    <row r="1423" spans="2:16" ht="15.75" customHeight="1">
      <c r="B1423" s="562"/>
      <c r="H1423" s="563"/>
      <c r="I1423" s="563"/>
      <c r="J1423" s="581"/>
      <c r="N1423" s="563"/>
      <c r="O1423" s="563"/>
      <c r="P1423" s="563"/>
    </row>
    <row r="1424" spans="2:16" ht="15.75" customHeight="1">
      <c r="B1424" s="562"/>
      <c r="H1424" s="563"/>
      <c r="I1424" s="563"/>
      <c r="J1424" s="581"/>
      <c r="N1424" s="563"/>
      <c r="O1424" s="563"/>
      <c r="P1424" s="563"/>
    </row>
    <row r="1425" spans="2:16" ht="15.75" customHeight="1">
      <c r="B1425" s="562"/>
      <c r="H1425" s="563"/>
      <c r="I1425" s="563"/>
      <c r="J1425" s="581"/>
      <c r="N1425" s="563"/>
      <c r="O1425" s="563"/>
      <c r="P1425" s="563"/>
    </row>
    <row r="1426" spans="2:16" ht="15.75" customHeight="1">
      <c r="B1426" s="562"/>
      <c r="H1426" s="563"/>
      <c r="I1426" s="563"/>
      <c r="J1426" s="581"/>
      <c r="N1426" s="563"/>
      <c r="O1426" s="563"/>
      <c r="P1426" s="563"/>
    </row>
    <row r="1427" spans="2:16" ht="15.75" customHeight="1">
      <c r="B1427" s="562"/>
      <c r="H1427" s="563"/>
      <c r="I1427" s="563"/>
      <c r="J1427" s="581"/>
      <c r="N1427" s="563"/>
      <c r="O1427" s="563"/>
      <c r="P1427" s="563"/>
    </row>
    <row r="1428" spans="2:16" ht="15.75" customHeight="1">
      <c r="B1428" s="562"/>
      <c r="H1428" s="563"/>
      <c r="I1428" s="563"/>
      <c r="J1428" s="581"/>
      <c r="N1428" s="563"/>
      <c r="O1428" s="563"/>
      <c r="P1428" s="563"/>
    </row>
    <row r="1429" spans="2:16" ht="15.75" customHeight="1">
      <c r="B1429" s="562"/>
      <c r="H1429" s="563"/>
      <c r="I1429" s="563"/>
      <c r="J1429" s="581"/>
      <c r="N1429" s="563"/>
      <c r="O1429" s="563"/>
      <c r="P1429" s="563"/>
    </row>
    <row r="1430" spans="2:16" ht="15.75" customHeight="1">
      <c r="B1430" s="562"/>
      <c r="H1430" s="563"/>
      <c r="I1430" s="563"/>
      <c r="J1430" s="581"/>
      <c r="N1430" s="563"/>
      <c r="O1430" s="563"/>
      <c r="P1430" s="563"/>
    </row>
    <row r="1431" spans="2:16" ht="15.75" customHeight="1">
      <c r="B1431" s="562"/>
      <c r="H1431" s="563"/>
      <c r="I1431" s="563"/>
      <c r="J1431" s="581"/>
      <c r="N1431" s="563"/>
      <c r="O1431" s="563"/>
      <c r="P1431" s="563"/>
    </row>
    <row r="1432" spans="2:16" ht="15.75" customHeight="1">
      <c r="B1432" s="562"/>
      <c r="H1432" s="563"/>
      <c r="I1432" s="563"/>
      <c r="J1432" s="581"/>
      <c r="N1432" s="563"/>
      <c r="O1432" s="563"/>
      <c r="P1432" s="563"/>
    </row>
    <row r="1433" spans="2:16" ht="15.75" customHeight="1">
      <c r="B1433" s="562"/>
      <c r="H1433" s="563"/>
      <c r="I1433" s="563"/>
      <c r="J1433" s="581"/>
      <c r="N1433" s="563"/>
      <c r="O1433" s="563"/>
      <c r="P1433" s="563"/>
    </row>
    <row r="1434" spans="2:16" ht="15.75" customHeight="1">
      <c r="B1434" s="562"/>
      <c r="H1434" s="563"/>
      <c r="I1434" s="563"/>
      <c r="J1434" s="581"/>
      <c r="N1434" s="563"/>
      <c r="O1434" s="563"/>
      <c r="P1434" s="563"/>
    </row>
    <row r="1435" spans="2:16" ht="15.75" customHeight="1">
      <c r="B1435" s="562"/>
      <c r="H1435" s="563"/>
      <c r="I1435" s="563"/>
      <c r="J1435" s="581"/>
      <c r="N1435" s="563"/>
      <c r="O1435" s="563"/>
      <c r="P1435" s="563"/>
    </row>
    <row r="1436" spans="2:16" ht="15.75" customHeight="1">
      <c r="B1436" s="562"/>
      <c r="H1436" s="563"/>
      <c r="I1436" s="563"/>
      <c r="J1436" s="581"/>
      <c r="N1436" s="563"/>
      <c r="O1436" s="563"/>
      <c r="P1436" s="563"/>
    </row>
    <row r="1437" spans="2:16" ht="15.75" customHeight="1">
      <c r="B1437" s="562"/>
      <c r="H1437" s="563"/>
      <c r="I1437" s="563"/>
      <c r="J1437" s="581"/>
      <c r="N1437" s="563"/>
      <c r="O1437" s="563"/>
      <c r="P1437" s="563"/>
    </row>
    <row r="1438" spans="2:16" ht="15.75" customHeight="1">
      <c r="B1438" s="562"/>
      <c r="N1438" s="563"/>
      <c r="O1438" s="563"/>
      <c r="P1438" s="563"/>
    </row>
    <row r="1439" spans="2:16" ht="15.75" customHeight="1">
      <c r="B1439" s="562"/>
      <c r="N1439" s="563"/>
      <c r="O1439" s="563"/>
      <c r="P1439" s="563"/>
    </row>
    <row r="1440" spans="2:16" ht="15.75" customHeight="1">
      <c r="B1440" s="562"/>
      <c r="H1440" s="563"/>
      <c r="I1440" s="563"/>
      <c r="J1440" s="581"/>
      <c r="N1440" s="563"/>
      <c r="O1440" s="563"/>
      <c r="P1440" s="563"/>
    </row>
    <row r="1441" spans="2:16" ht="15.75" customHeight="1">
      <c r="B1441" s="562"/>
      <c r="H1441" s="563"/>
      <c r="I1441" s="538"/>
      <c r="J1441" s="581"/>
      <c r="N1441" s="563"/>
      <c r="O1441" s="563"/>
      <c r="P1441" s="563"/>
    </row>
    <row r="1442" spans="2:16" ht="15.75" customHeight="1">
      <c r="B1442" s="562"/>
      <c r="H1442" s="563"/>
      <c r="I1442" s="563"/>
      <c r="J1442" s="581"/>
      <c r="N1442" s="563"/>
      <c r="O1442" s="563"/>
      <c r="P1442" s="563"/>
    </row>
    <row r="1443" spans="2:16" ht="15.75" customHeight="1">
      <c r="B1443" s="562"/>
      <c r="H1443" s="563"/>
      <c r="I1443" s="538"/>
      <c r="J1443" s="581"/>
      <c r="N1443" s="563"/>
      <c r="O1443" s="563"/>
      <c r="P1443" s="563"/>
    </row>
    <row r="1444" spans="2:16" ht="15.75" customHeight="1">
      <c r="B1444" s="562"/>
      <c r="H1444" s="563"/>
      <c r="I1444" s="563"/>
      <c r="J1444" s="581"/>
      <c r="N1444" s="563"/>
      <c r="O1444" s="563"/>
      <c r="P1444" s="563"/>
    </row>
    <row r="1445" spans="2:16" ht="15.75" customHeight="1">
      <c r="B1445" s="562"/>
      <c r="N1445" s="563"/>
      <c r="O1445" s="563"/>
      <c r="P1445" s="563"/>
    </row>
    <row r="1446" spans="2:16" ht="15.75" customHeight="1">
      <c r="B1446" s="562"/>
      <c r="N1446" s="563"/>
      <c r="O1446" s="563"/>
      <c r="P1446" s="563"/>
    </row>
    <row r="1447" spans="2:16" ht="15.75" customHeight="1">
      <c r="B1447" s="562"/>
      <c r="H1447" s="563"/>
      <c r="I1447" s="563"/>
      <c r="J1447" s="581"/>
      <c r="N1447" s="563"/>
      <c r="O1447" s="563"/>
      <c r="P1447" s="563"/>
    </row>
    <row r="1448" spans="2:16" ht="15.75" customHeight="1">
      <c r="B1448" s="562"/>
      <c r="H1448" s="563"/>
      <c r="I1448" s="563"/>
      <c r="J1448" s="581"/>
      <c r="N1448" s="563"/>
      <c r="O1448" s="563"/>
      <c r="P1448" s="563"/>
    </row>
    <row r="1449" spans="2:16" ht="15.75" customHeight="1">
      <c r="B1449" s="562"/>
      <c r="H1449" s="563"/>
      <c r="I1449" s="563"/>
      <c r="J1449" s="581"/>
      <c r="N1449" s="563"/>
      <c r="O1449" s="563"/>
      <c r="P1449" s="563"/>
    </row>
    <row r="1450" spans="2:16" ht="15.75" customHeight="1">
      <c r="B1450" s="562"/>
      <c r="H1450" s="563"/>
      <c r="I1450" s="563"/>
      <c r="J1450" s="581"/>
      <c r="N1450" s="563"/>
      <c r="O1450" s="563"/>
      <c r="P1450" s="563"/>
    </row>
    <row r="1451" spans="2:16" ht="15.75" customHeight="1">
      <c r="B1451" s="562"/>
      <c r="H1451" s="563"/>
      <c r="I1451" s="563"/>
      <c r="J1451" s="581"/>
      <c r="N1451" s="563"/>
      <c r="O1451" s="563"/>
      <c r="P1451" s="563"/>
    </row>
    <row r="1452" spans="2:16" ht="15.75" customHeight="1">
      <c r="B1452" s="562"/>
      <c r="H1452" s="563"/>
      <c r="I1452" s="563"/>
      <c r="J1452" s="581"/>
      <c r="N1452" s="563"/>
      <c r="O1452" s="563"/>
      <c r="P1452" s="563"/>
    </row>
    <row r="1453" spans="2:16" ht="15.75" customHeight="1">
      <c r="B1453" s="562"/>
      <c r="H1453" s="563"/>
      <c r="I1453" s="563"/>
      <c r="J1453" s="581"/>
      <c r="N1453" s="563"/>
      <c r="O1453" s="563"/>
      <c r="P1453" s="563"/>
    </row>
    <row r="1454" spans="2:16" ht="15.75" customHeight="1">
      <c r="B1454" s="562"/>
      <c r="H1454" s="563"/>
      <c r="I1454" s="563"/>
      <c r="J1454" s="581"/>
      <c r="N1454" s="563"/>
      <c r="O1454" s="563"/>
      <c r="P1454" s="563"/>
    </row>
    <row r="1455" spans="2:16" ht="15.75" customHeight="1">
      <c r="B1455" s="562"/>
      <c r="H1455" s="563"/>
      <c r="I1455" s="563"/>
      <c r="J1455" s="581"/>
      <c r="N1455" s="563"/>
      <c r="O1455" s="563"/>
      <c r="P1455" s="563"/>
    </row>
    <row r="1456" spans="2:16" ht="15.75" customHeight="1">
      <c r="B1456" s="562"/>
      <c r="H1456" s="563"/>
      <c r="I1456" s="563"/>
      <c r="J1456" s="581"/>
      <c r="N1456" s="563"/>
      <c r="O1456" s="563"/>
      <c r="P1456" s="563"/>
    </row>
    <row r="1457" spans="2:16" ht="15.75" customHeight="1">
      <c r="B1457" s="562"/>
      <c r="H1457" s="563"/>
      <c r="I1457" s="563"/>
      <c r="J1457" s="581"/>
      <c r="N1457" s="563"/>
      <c r="O1457" s="563"/>
      <c r="P1457" s="563"/>
    </row>
    <row r="1458" spans="2:16" ht="15.75" customHeight="1">
      <c r="B1458" s="562"/>
      <c r="H1458" s="563"/>
      <c r="I1458" s="563"/>
      <c r="J1458" s="581"/>
      <c r="N1458" s="563"/>
      <c r="O1458" s="563"/>
      <c r="P1458" s="563"/>
    </row>
    <row r="1459" spans="2:16" ht="15.75" customHeight="1">
      <c r="B1459" s="562"/>
      <c r="H1459" s="563"/>
      <c r="I1459" s="563"/>
      <c r="J1459" s="581"/>
      <c r="N1459" s="563"/>
      <c r="O1459" s="563"/>
      <c r="P1459" s="563"/>
    </row>
    <row r="1460" spans="2:16" ht="15.75" customHeight="1">
      <c r="B1460" s="562"/>
      <c r="H1460" s="563"/>
      <c r="I1460" s="563"/>
      <c r="J1460" s="581"/>
      <c r="N1460" s="563"/>
      <c r="O1460" s="563"/>
      <c r="P1460" s="563"/>
    </row>
    <row r="1461" spans="2:16" ht="15.75" customHeight="1">
      <c r="B1461" s="562"/>
      <c r="H1461" s="563"/>
      <c r="I1461" s="563"/>
      <c r="J1461" s="581"/>
      <c r="N1461" s="563"/>
      <c r="O1461" s="563"/>
      <c r="P1461" s="563"/>
    </row>
    <row r="1462" spans="2:16" ht="15.75" customHeight="1">
      <c r="B1462" s="562"/>
      <c r="H1462" s="563"/>
      <c r="I1462" s="563"/>
      <c r="J1462" s="581"/>
      <c r="N1462" s="563"/>
      <c r="O1462" s="563"/>
      <c r="P1462" s="563"/>
    </row>
    <row r="1463" spans="2:16" ht="15.75" customHeight="1">
      <c r="B1463" s="562"/>
      <c r="H1463" s="563"/>
      <c r="I1463" s="563"/>
      <c r="J1463" s="581"/>
      <c r="N1463" s="563"/>
      <c r="O1463" s="563"/>
      <c r="P1463" s="563"/>
    </row>
    <row r="1464" spans="2:16" ht="15.75" customHeight="1">
      <c r="B1464" s="562"/>
      <c r="H1464" s="563"/>
      <c r="I1464" s="563"/>
      <c r="J1464" s="581"/>
      <c r="N1464" s="563"/>
      <c r="O1464" s="563"/>
      <c r="P1464" s="563"/>
    </row>
    <row r="1465" spans="2:16" ht="15.75" customHeight="1">
      <c r="B1465" s="562"/>
      <c r="H1465" s="563"/>
      <c r="I1465" s="563"/>
      <c r="J1465" s="581"/>
      <c r="N1465" s="563"/>
      <c r="O1465" s="563"/>
      <c r="P1465" s="563"/>
    </row>
    <row r="1466" spans="2:16" ht="15.75" customHeight="1">
      <c r="B1466" s="562"/>
      <c r="H1466" s="563"/>
      <c r="I1466" s="563"/>
      <c r="J1466" s="581"/>
      <c r="N1466" s="563"/>
      <c r="O1466" s="563"/>
      <c r="P1466" s="563"/>
    </row>
    <row r="1467" spans="2:16" ht="15.75" customHeight="1">
      <c r="B1467" s="562"/>
      <c r="H1467" s="563"/>
      <c r="I1467" s="563"/>
      <c r="J1467" s="581"/>
      <c r="N1467" s="563"/>
      <c r="O1467" s="563"/>
      <c r="P1467" s="563"/>
    </row>
    <row r="1468" spans="2:16" ht="15.75" customHeight="1">
      <c r="B1468" s="562"/>
      <c r="H1468" s="563"/>
      <c r="I1468" s="563"/>
      <c r="J1468" s="581"/>
      <c r="N1468" s="563"/>
      <c r="O1468" s="563"/>
      <c r="P1468" s="563"/>
    </row>
    <row r="1469" spans="2:16" ht="15.75" customHeight="1">
      <c r="B1469" s="562"/>
      <c r="H1469" s="563"/>
      <c r="I1469" s="563"/>
      <c r="J1469" s="581"/>
      <c r="N1469" s="563"/>
      <c r="O1469" s="563"/>
      <c r="P1469" s="563"/>
    </row>
    <row r="1470" spans="2:16" ht="15.75" customHeight="1">
      <c r="B1470" s="562"/>
      <c r="H1470" s="563"/>
      <c r="I1470" s="563"/>
      <c r="J1470" s="581"/>
      <c r="N1470" s="563"/>
      <c r="O1470" s="563"/>
      <c r="P1470" s="563"/>
    </row>
    <row r="1471" spans="2:16" ht="15.75" customHeight="1">
      <c r="B1471" s="562"/>
      <c r="H1471" s="563"/>
      <c r="I1471" s="563"/>
      <c r="J1471" s="581"/>
      <c r="N1471" s="563"/>
      <c r="O1471" s="563"/>
      <c r="P1471" s="563"/>
    </row>
    <row r="1472" spans="2:16" ht="15.75" customHeight="1">
      <c r="B1472" s="562"/>
      <c r="H1472" s="563"/>
      <c r="I1472" s="563"/>
      <c r="J1472" s="581"/>
      <c r="N1472" s="563"/>
      <c r="O1472" s="563"/>
      <c r="P1472" s="563"/>
    </row>
    <row r="1473" spans="2:16" ht="15.75" customHeight="1">
      <c r="B1473" s="562"/>
      <c r="H1473" s="563"/>
      <c r="I1473" s="563"/>
      <c r="J1473" s="581"/>
      <c r="N1473" s="563"/>
      <c r="O1473" s="563"/>
      <c r="P1473" s="563"/>
    </row>
    <row r="1474" spans="2:16" ht="15.75" customHeight="1">
      <c r="B1474" s="562"/>
      <c r="H1474" s="563"/>
      <c r="I1474" s="563"/>
      <c r="J1474" s="581"/>
      <c r="N1474" s="563"/>
      <c r="O1474" s="563"/>
      <c r="P1474" s="563"/>
    </row>
    <row r="1475" spans="2:16" ht="15.75" customHeight="1">
      <c r="B1475" s="562"/>
      <c r="H1475" s="563"/>
      <c r="I1475" s="538"/>
      <c r="J1475" s="581"/>
      <c r="N1475" s="563"/>
      <c r="O1475" s="563"/>
      <c r="P1475" s="563"/>
    </row>
    <row r="1476" spans="2:16" ht="15.75" customHeight="1">
      <c r="B1476" s="562"/>
      <c r="H1476" s="563"/>
      <c r="I1476" s="563"/>
      <c r="J1476" s="581"/>
      <c r="N1476" s="563"/>
      <c r="O1476" s="563"/>
      <c r="P1476" s="563"/>
    </row>
    <row r="1477" spans="2:16" ht="15.75" customHeight="1">
      <c r="B1477" s="562"/>
      <c r="H1477" s="563"/>
      <c r="I1477" s="538"/>
      <c r="J1477" s="581"/>
      <c r="N1477" s="563"/>
      <c r="O1477" s="563"/>
      <c r="P1477" s="563"/>
    </row>
    <row r="1478" spans="2:16" ht="15.75" customHeight="1">
      <c r="B1478" s="562"/>
      <c r="H1478" s="563"/>
      <c r="I1478" s="563"/>
      <c r="J1478" s="581"/>
      <c r="N1478" s="563"/>
      <c r="O1478" s="563"/>
      <c r="P1478" s="563"/>
    </row>
    <row r="1479" spans="2:16" ht="15.75" customHeight="1">
      <c r="B1479" s="562"/>
      <c r="H1479" s="563"/>
      <c r="I1479" s="563"/>
      <c r="J1479" s="581"/>
      <c r="N1479" s="563"/>
      <c r="O1479" s="563"/>
      <c r="P1479" s="563"/>
    </row>
    <row r="1480" spans="2:16" ht="15.75" customHeight="1">
      <c r="B1480" s="562"/>
      <c r="H1480" s="563"/>
      <c r="I1480" s="563"/>
      <c r="J1480" s="581"/>
      <c r="N1480" s="563"/>
      <c r="O1480" s="563"/>
      <c r="P1480" s="563"/>
    </row>
    <row r="1481" spans="2:16" ht="15.75" customHeight="1">
      <c r="B1481" s="562"/>
      <c r="H1481" s="563"/>
      <c r="I1481" s="563"/>
      <c r="J1481" s="581"/>
      <c r="N1481" s="563"/>
      <c r="O1481" s="563"/>
      <c r="P1481" s="563"/>
    </row>
    <row r="1482" spans="2:16" ht="15.75" customHeight="1">
      <c r="B1482" s="562"/>
      <c r="H1482" s="563"/>
      <c r="I1482" s="563"/>
      <c r="J1482" s="581"/>
      <c r="N1482" s="563"/>
      <c r="O1482" s="563"/>
      <c r="P1482" s="563"/>
    </row>
    <row r="1483" spans="2:16" ht="15.75" customHeight="1">
      <c r="B1483" s="562"/>
      <c r="H1483" s="563"/>
      <c r="I1483" s="563"/>
      <c r="J1483" s="581"/>
      <c r="N1483" s="563"/>
      <c r="O1483" s="563"/>
      <c r="P1483" s="563"/>
    </row>
    <row r="1484" spans="2:16" ht="15.75" customHeight="1">
      <c r="B1484" s="562"/>
      <c r="H1484" s="563"/>
      <c r="I1484" s="563"/>
      <c r="J1484" s="581"/>
      <c r="N1484" s="563"/>
      <c r="O1484" s="563"/>
      <c r="P1484" s="563"/>
    </row>
    <row r="1485" spans="2:16" ht="15.75" customHeight="1">
      <c r="B1485" s="562"/>
      <c r="H1485" s="563"/>
      <c r="I1485" s="563"/>
      <c r="J1485" s="581"/>
      <c r="N1485" s="563"/>
      <c r="O1485" s="563"/>
      <c r="P1485" s="563"/>
    </row>
    <row r="1486" spans="2:16" ht="15.75" customHeight="1">
      <c r="B1486" s="562"/>
      <c r="H1486" s="563"/>
      <c r="I1486" s="563"/>
      <c r="J1486" s="581"/>
      <c r="N1486" s="563"/>
      <c r="O1486" s="563"/>
      <c r="P1486" s="563"/>
    </row>
    <row r="1487" spans="2:16" ht="15.75" customHeight="1">
      <c r="B1487" s="562"/>
      <c r="H1487" s="563"/>
      <c r="I1487" s="563"/>
      <c r="J1487" s="581"/>
      <c r="N1487" s="563"/>
      <c r="O1487" s="563"/>
      <c r="P1487" s="563"/>
    </row>
    <row r="1488" spans="2:16" ht="15.75" customHeight="1">
      <c r="B1488" s="562"/>
      <c r="H1488" s="563"/>
      <c r="I1488" s="563"/>
      <c r="J1488" s="581"/>
      <c r="N1488" s="563"/>
      <c r="O1488" s="563"/>
      <c r="P1488" s="563"/>
    </row>
    <row r="1489" spans="2:16" ht="15.75" customHeight="1">
      <c r="B1489" s="562"/>
      <c r="H1489" s="563"/>
      <c r="I1489" s="563"/>
      <c r="J1489" s="581"/>
      <c r="N1489" s="563"/>
      <c r="O1489" s="563"/>
      <c r="P1489" s="563"/>
    </row>
    <row r="1490" spans="2:16" ht="15.75" customHeight="1">
      <c r="B1490" s="562"/>
      <c r="H1490" s="563"/>
      <c r="I1490" s="563"/>
      <c r="J1490" s="581"/>
      <c r="N1490" s="563"/>
      <c r="O1490" s="563"/>
      <c r="P1490" s="563"/>
    </row>
    <row r="1491" spans="2:16" ht="15.75" customHeight="1">
      <c r="B1491" s="562"/>
      <c r="H1491" s="563"/>
      <c r="I1491" s="563"/>
      <c r="J1491" s="581"/>
      <c r="N1491" s="563"/>
      <c r="O1491" s="563"/>
      <c r="P1491" s="563"/>
    </row>
    <row r="1492" spans="2:16" ht="15.75" customHeight="1">
      <c r="B1492" s="562"/>
      <c r="H1492" s="563"/>
      <c r="I1492" s="563"/>
      <c r="J1492" s="581"/>
      <c r="N1492" s="563"/>
      <c r="O1492" s="563"/>
      <c r="P1492" s="563"/>
    </row>
    <row r="1493" spans="2:16" ht="15.75" customHeight="1">
      <c r="B1493" s="562"/>
      <c r="H1493" s="563"/>
      <c r="I1493" s="563"/>
      <c r="J1493" s="581"/>
      <c r="N1493" s="563"/>
      <c r="O1493" s="563"/>
      <c r="P1493" s="563"/>
    </row>
    <row r="1494" spans="2:16" ht="15.75" customHeight="1">
      <c r="B1494" s="562"/>
      <c r="H1494" s="563"/>
      <c r="I1494" s="563"/>
      <c r="J1494" s="581"/>
      <c r="N1494" s="563"/>
      <c r="O1494" s="563"/>
      <c r="P1494" s="563"/>
    </row>
    <row r="1495" spans="2:16" ht="15.75" customHeight="1">
      <c r="B1495" s="562"/>
      <c r="H1495" s="563"/>
      <c r="I1495" s="563"/>
      <c r="J1495" s="581"/>
      <c r="N1495" s="563"/>
      <c r="O1495" s="563"/>
      <c r="P1495" s="563"/>
    </row>
    <row r="1496" spans="2:16" ht="15.75" customHeight="1">
      <c r="B1496" s="562"/>
      <c r="H1496" s="563"/>
      <c r="I1496" s="563"/>
      <c r="J1496" s="581"/>
      <c r="N1496" s="563"/>
      <c r="O1496" s="563"/>
      <c r="P1496" s="563"/>
    </row>
    <row r="1497" spans="2:16" ht="15.75" customHeight="1">
      <c r="B1497" s="562"/>
      <c r="H1497" s="563"/>
      <c r="I1497" s="563"/>
      <c r="J1497" s="581"/>
      <c r="N1497" s="563"/>
      <c r="O1497" s="563"/>
      <c r="P1497" s="563"/>
    </row>
    <row r="1498" spans="2:16" ht="15.75" customHeight="1">
      <c r="B1498" s="562"/>
      <c r="H1498" s="563"/>
      <c r="I1498" s="563"/>
      <c r="J1498" s="581"/>
      <c r="N1498" s="563"/>
      <c r="O1498" s="563"/>
      <c r="P1498" s="563"/>
    </row>
    <row r="1499" spans="2:16" ht="15.75" customHeight="1">
      <c r="B1499" s="562"/>
      <c r="H1499" s="563"/>
      <c r="I1499" s="563"/>
      <c r="J1499" s="581"/>
      <c r="N1499" s="563"/>
      <c r="O1499" s="563"/>
      <c r="P1499" s="563"/>
    </row>
    <row r="1500" spans="2:16" ht="15.75" customHeight="1">
      <c r="B1500" s="562"/>
      <c r="H1500" s="563"/>
      <c r="I1500" s="563"/>
      <c r="J1500" s="581"/>
      <c r="N1500" s="563"/>
      <c r="O1500" s="563"/>
      <c r="P1500" s="563"/>
    </row>
    <row r="1501" spans="2:16" ht="15.75" customHeight="1">
      <c r="B1501" s="562"/>
      <c r="H1501" s="563"/>
      <c r="I1501" s="563"/>
      <c r="J1501" s="581"/>
      <c r="N1501" s="563"/>
      <c r="O1501" s="563"/>
      <c r="P1501" s="563"/>
    </row>
    <row r="1502" spans="2:16" ht="15.75" customHeight="1">
      <c r="B1502" s="562"/>
      <c r="H1502" s="563"/>
      <c r="I1502" s="563"/>
      <c r="J1502" s="581"/>
      <c r="N1502" s="563"/>
      <c r="O1502" s="563"/>
      <c r="P1502" s="563"/>
    </row>
    <row r="1503" spans="2:16" ht="15.75" customHeight="1">
      <c r="B1503" s="562"/>
      <c r="H1503" s="563"/>
      <c r="I1503" s="563"/>
      <c r="J1503" s="581"/>
      <c r="N1503" s="563"/>
      <c r="O1503" s="563"/>
      <c r="P1503" s="563"/>
    </row>
    <row r="1504" spans="2:16" ht="15.75" customHeight="1">
      <c r="B1504" s="562"/>
      <c r="H1504" s="563"/>
      <c r="I1504" s="563"/>
      <c r="J1504" s="581"/>
      <c r="N1504" s="563"/>
      <c r="O1504" s="563"/>
      <c r="P1504" s="563"/>
    </row>
    <row r="1505" spans="2:16" ht="15.75" customHeight="1">
      <c r="B1505" s="562"/>
      <c r="H1505" s="563"/>
      <c r="I1505" s="563"/>
      <c r="J1505" s="581"/>
      <c r="N1505" s="563"/>
      <c r="O1505" s="563"/>
      <c r="P1505" s="563"/>
    </row>
    <row r="1506" spans="2:16" ht="15.75" customHeight="1">
      <c r="B1506" s="562"/>
      <c r="H1506" s="563"/>
      <c r="I1506" s="563"/>
      <c r="J1506" s="581"/>
      <c r="N1506" s="563"/>
      <c r="O1506" s="563"/>
      <c r="P1506" s="563"/>
    </row>
    <row r="1507" spans="2:16" ht="15.75" customHeight="1">
      <c r="B1507" s="562"/>
      <c r="H1507" s="563"/>
      <c r="I1507" s="563"/>
      <c r="J1507" s="581"/>
      <c r="N1507" s="563"/>
      <c r="O1507" s="563"/>
      <c r="P1507" s="563"/>
    </row>
    <row r="1508" spans="2:16" ht="15.75" customHeight="1">
      <c r="B1508" s="562"/>
      <c r="H1508" s="563"/>
      <c r="I1508" s="563"/>
      <c r="J1508" s="581"/>
      <c r="N1508" s="563"/>
      <c r="O1508" s="563"/>
      <c r="P1508" s="563"/>
    </row>
    <row r="1509" spans="2:16" ht="15.75" customHeight="1">
      <c r="B1509" s="562"/>
      <c r="H1509" s="563"/>
      <c r="I1509" s="563"/>
      <c r="J1509" s="581"/>
      <c r="N1509" s="563"/>
      <c r="O1509" s="563"/>
      <c r="P1509" s="563"/>
    </row>
    <row r="1510" spans="2:16" ht="15.75" customHeight="1">
      <c r="B1510" s="562"/>
      <c r="H1510" s="563"/>
      <c r="I1510" s="563"/>
      <c r="J1510" s="581"/>
      <c r="N1510" s="563"/>
      <c r="O1510" s="563"/>
      <c r="P1510" s="563"/>
    </row>
    <row r="1511" spans="2:16" ht="15.75" customHeight="1">
      <c r="B1511" s="562"/>
      <c r="H1511" s="563"/>
      <c r="I1511" s="563"/>
      <c r="J1511" s="581"/>
      <c r="N1511" s="563"/>
      <c r="O1511" s="563"/>
      <c r="P1511" s="563"/>
    </row>
    <row r="1512" spans="2:16" ht="15.75" customHeight="1">
      <c r="B1512" s="562"/>
      <c r="H1512" s="563"/>
      <c r="I1512" s="563"/>
      <c r="J1512" s="581"/>
      <c r="N1512" s="563"/>
      <c r="O1512" s="563"/>
      <c r="P1512" s="563"/>
    </row>
    <row r="1513" spans="2:16" ht="15.75" customHeight="1">
      <c r="B1513" s="562"/>
      <c r="H1513" s="563"/>
      <c r="I1513" s="538"/>
      <c r="J1513" s="581"/>
      <c r="N1513" s="563"/>
      <c r="O1513" s="563"/>
      <c r="P1513" s="563"/>
    </row>
    <row r="1514" spans="2:16" ht="15.75" customHeight="1">
      <c r="B1514" s="562"/>
      <c r="H1514" s="563"/>
      <c r="I1514" s="563"/>
      <c r="J1514" s="581"/>
      <c r="N1514" s="563"/>
      <c r="O1514" s="563"/>
      <c r="P1514" s="563"/>
    </row>
    <row r="1515" spans="2:16" ht="15.75" customHeight="1">
      <c r="B1515" s="562"/>
      <c r="H1515" s="563"/>
      <c r="I1515" s="538"/>
      <c r="J1515" s="581"/>
      <c r="N1515" s="563"/>
      <c r="O1515" s="563"/>
      <c r="P1515" s="563"/>
    </row>
    <row r="1516" spans="2:16" ht="15.75" customHeight="1">
      <c r="B1516" s="562"/>
      <c r="H1516" s="563"/>
      <c r="I1516" s="563"/>
      <c r="J1516" s="581"/>
      <c r="N1516" s="563"/>
      <c r="O1516" s="563"/>
      <c r="P1516" s="563"/>
    </row>
    <row r="1517" spans="2:16" ht="15.75" customHeight="1">
      <c r="B1517" s="562"/>
      <c r="H1517" s="563"/>
      <c r="I1517" s="563"/>
      <c r="J1517" s="581"/>
      <c r="N1517" s="563"/>
      <c r="O1517" s="563"/>
      <c r="P1517" s="563"/>
    </row>
    <row r="1518" spans="2:16" ht="15.75" customHeight="1">
      <c r="B1518" s="562"/>
      <c r="H1518" s="563"/>
      <c r="I1518" s="563"/>
      <c r="J1518" s="581"/>
      <c r="N1518" s="563"/>
      <c r="O1518" s="563"/>
      <c r="P1518" s="563"/>
    </row>
    <row r="1519" spans="2:16" ht="15.75" customHeight="1">
      <c r="B1519" s="562"/>
      <c r="H1519" s="563"/>
      <c r="I1519" s="563"/>
      <c r="J1519" s="581"/>
      <c r="N1519" s="563"/>
      <c r="O1519" s="563"/>
      <c r="P1519" s="563"/>
    </row>
    <row r="1520" spans="2:16" ht="15.75" customHeight="1">
      <c r="B1520" s="562"/>
      <c r="H1520" s="563"/>
      <c r="I1520" s="563"/>
      <c r="J1520" s="581"/>
      <c r="N1520" s="563"/>
      <c r="O1520" s="563"/>
      <c r="P1520" s="563"/>
    </row>
    <row r="1521" spans="2:16" ht="15.75" customHeight="1">
      <c r="B1521" s="562"/>
      <c r="H1521" s="563"/>
      <c r="I1521" s="563"/>
      <c r="J1521" s="581"/>
      <c r="N1521" s="563"/>
      <c r="O1521" s="563"/>
      <c r="P1521" s="563"/>
    </row>
    <row r="1522" spans="2:16" ht="15.75" customHeight="1">
      <c r="B1522" s="562"/>
      <c r="H1522" s="563"/>
      <c r="I1522" s="563"/>
      <c r="J1522" s="581"/>
      <c r="N1522" s="563"/>
      <c r="O1522" s="563"/>
      <c r="P1522" s="563"/>
    </row>
    <row r="1523" spans="2:16" ht="15.75" customHeight="1">
      <c r="B1523" s="562"/>
      <c r="H1523" s="563"/>
      <c r="I1523" s="563"/>
      <c r="J1523" s="581"/>
      <c r="N1523" s="563"/>
      <c r="O1523" s="563"/>
      <c r="P1523" s="563"/>
    </row>
    <row r="1524" spans="2:16" ht="15.75" customHeight="1">
      <c r="B1524" s="562"/>
      <c r="H1524" s="563"/>
      <c r="I1524" s="563"/>
      <c r="J1524" s="581"/>
      <c r="N1524" s="563"/>
      <c r="O1524" s="563"/>
      <c r="P1524" s="563"/>
    </row>
    <row r="1525" spans="2:16" ht="15.75" customHeight="1">
      <c r="B1525" s="562"/>
      <c r="H1525" s="563"/>
      <c r="I1525" s="563"/>
      <c r="J1525" s="581"/>
      <c r="N1525" s="563"/>
      <c r="O1525" s="563"/>
      <c r="P1525" s="563"/>
    </row>
    <row r="1526" spans="2:16" ht="15.75" customHeight="1">
      <c r="B1526" s="562"/>
      <c r="H1526" s="563"/>
      <c r="I1526" s="563"/>
      <c r="J1526" s="581"/>
      <c r="N1526" s="563"/>
      <c r="O1526" s="563"/>
      <c r="P1526" s="563"/>
    </row>
    <row r="1527" spans="2:16" ht="15.75" customHeight="1">
      <c r="B1527" s="562"/>
      <c r="H1527" s="563"/>
      <c r="I1527" s="563"/>
      <c r="J1527" s="581"/>
      <c r="N1527" s="563"/>
      <c r="O1527" s="563"/>
      <c r="P1527" s="563"/>
    </row>
    <row r="1528" spans="2:16" ht="15.75" customHeight="1">
      <c r="B1528" s="562"/>
      <c r="H1528" s="563"/>
      <c r="I1528" s="563"/>
      <c r="J1528" s="581"/>
      <c r="N1528" s="563"/>
      <c r="O1528" s="563"/>
      <c r="P1528" s="563"/>
    </row>
    <row r="1529" spans="2:16" ht="15.75" customHeight="1">
      <c r="B1529" s="562"/>
      <c r="H1529" s="563"/>
      <c r="I1529" s="563"/>
      <c r="J1529" s="581"/>
      <c r="N1529" s="563"/>
      <c r="O1529" s="563"/>
      <c r="P1529" s="563"/>
    </row>
    <row r="1530" spans="2:16" ht="15.75" customHeight="1">
      <c r="B1530" s="562"/>
      <c r="H1530" s="563"/>
      <c r="I1530" s="563"/>
      <c r="J1530" s="581"/>
      <c r="N1530" s="563"/>
      <c r="O1530" s="563"/>
      <c r="P1530" s="563"/>
    </row>
    <row r="1531" spans="2:16" ht="15.75" customHeight="1">
      <c r="B1531" s="562"/>
      <c r="H1531" s="563"/>
      <c r="I1531" s="563"/>
      <c r="J1531" s="581"/>
      <c r="N1531" s="563"/>
      <c r="O1531" s="563"/>
      <c r="P1531" s="563"/>
    </row>
    <row r="1532" spans="2:16" ht="15.75" customHeight="1">
      <c r="B1532" s="562"/>
      <c r="H1532" s="563"/>
      <c r="I1532" s="563"/>
      <c r="J1532" s="581"/>
      <c r="N1532" s="563"/>
      <c r="O1532" s="563"/>
      <c r="P1532" s="563"/>
    </row>
    <row r="1533" spans="2:16" ht="15.75" customHeight="1">
      <c r="B1533" s="562"/>
      <c r="H1533" s="563"/>
      <c r="I1533" s="563"/>
      <c r="J1533" s="581"/>
      <c r="N1533" s="563"/>
      <c r="O1533" s="563"/>
      <c r="P1533" s="563"/>
    </row>
    <row r="1534" spans="2:16" ht="15.75" customHeight="1">
      <c r="B1534" s="562"/>
      <c r="H1534" s="563"/>
      <c r="I1534" s="563"/>
      <c r="J1534" s="581"/>
      <c r="N1534" s="563"/>
      <c r="O1534" s="563"/>
      <c r="P1534" s="563"/>
    </row>
    <row r="1535" spans="2:16" ht="15.75" customHeight="1">
      <c r="B1535" s="562"/>
      <c r="H1535" s="563"/>
      <c r="I1535" s="563"/>
      <c r="J1535" s="581"/>
      <c r="N1535" s="563"/>
      <c r="O1535" s="563"/>
      <c r="P1535" s="563"/>
    </row>
    <row r="1536" spans="2:16" ht="15.75" customHeight="1">
      <c r="B1536" s="562"/>
      <c r="H1536" s="563"/>
      <c r="I1536" s="563"/>
      <c r="J1536" s="581"/>
      <c r="N1536" s="563"/>
      <c r="O1536" s="563"/>
      <c r="P1536" s="563"/>
    </row>
    <row r="1537" spans="2:16" ht="15.75" customHeight="1">
      <c r="B1537" s="562"/>
      <c r="H1537" s="563"/>
      <c r="I1537" s="563"/>
      <c r="J1537" s="581"/>
      <c r="N1537" s="563"/>
      <c r="O1537" s="563"/>
      <c r="P1537" s="563"/>
    </row>
    <row r="1538" spans="2:16" ht="15.75" customHeight="1">
      <c r="B1538" s="562"/>
      <c r="H1538" s="563"/>
      <c r="I1538" s="563"/>
      <c r="J1538" s="581"/>
      <c r="N1538" s="563"/>
      <c r="O1538" s="563"/>
      <c r="P1538" s="563"/>
    </row>
    <row r="1539" spans="2:16" ht="15.75" customHeight="1">
      <c r="B1539" s="562"/>
      <c r="H1539" s="563"/>
      <c r="I1539" s="563"/>
      <c r="J1539" s="581"/>
      <c r="N1539" s="563"/>
      <c r="O1539" s="563"/>
      <c r="P1539" s="563"/>
    </row>
    <row r="1540" spans="2:16" ht="15.75" customHeight="1">
      <c r="B1540" s="562"/>
      <c r="H1540" s="563"/>
      <c r="I1540" s="563"/>
      <c r="J1540" s="581"/>
      <c r="N1540" s="563"/>
      <c r="O1540" s="563"/>
      <c r="P1540" s="563"/>
    </row>
    <row r="1541" spans="2:16" ht="15.75" customHeight="1">
      <c r="B1541" s="562"/>
      <c r="H1541" s="563"/>
      <c r="I1541" s="563"/>
      <c r="J1541" s="581"/>
      <c r="N1541" s="563"/>
      <c r="O1541" s="563"/>
      <c r="P1541" s="563"/>
    </row>
    <row r="1542" spans="2:16" ht="15.75" customHeight="1">
      <c r="B1542" s="562"/>
      <c r="H1542" s="563"/>
      <c r="I1542" s="563"/>
      <c r="J1542" s="581"/>
      <c r="N1542" s="563"/>
      <c r="O1542" s="563"/>
      <c r="P1542" s="563"/>
    </row>
    <row r="1543" spans="2:16" ht="15.75" customHeight="1">
      <c r="B1543" s="562"/>
      <c r="H1543" s="563"/>
      <c r="I1543" s="563"/>
      <c r="J1543" s="581"/>
      <c r="N1543" s="563"/>
      <c r="O1543" s="563"/>
      <c r="P1543" s="563"/>
    </row>
    <row r="1544" spans="2:16" ht="15.75" customHeight="1">
      <c r="B1544" s="562"/>
      <c r="H1544" s="563"/>
      <c r="I1544" s="563"/>
      <c r="J1544" s="581"/>
      <c r="N1544" s="563"/>
      <c r="O1544" s="563"/>
      <c r="P1544" s="563"/>
    </row>
    <row r="1545" spans="2:16" ht="15.75" customHeight="1">
      <c r="B1545" s="562"/>
      <c r="H1545" s="563"/>
      <c r="I1545" s="563"/>
      <c r="J1545" s="581"/>
      <c r="N1545" s="563"/>
      <c r="O1545" s="563"/>
      <c r="P1545" s="563"/>
    </row>
    <row r="1546" spans="2:16" ht="15.75" customHeight="1">
      <c r="B1546" s="562"/>
      <c r="H1546" s="563"/>
      <c r="I1546" s="563"/>
      <c r="J1546" s="581"/>
      <c r="N1546" s="563"/>
      <c r="O1546" s="563"/>
      <c r="P1546" s="563"/>
    </row>
    <row r="1547" spans="2:16" ht="15.75" customHeight="1">
      <c r="B1547" s="562"/>
      <c r="H1547" s="563"/>
      <c r="I1547" s="538"/>
      <c r="J1547" s="581"/>
      <c r="N1547" s="563"/>
      <c r="O1547" s="563"/>
      <c r="P1547" s="563"/>
    </row>
    <row r="1548" spans="2:16" ht="15.75" customHeight="1">
      <c r="B1548" s="562"/>
      <c r="H1548" s="563"/>
      <c r="I1548" s="563"/>
      <c r="J1548" s="581"/>
      <c r="N1548" s="563"/>
      <c r="O1548" s="563"/>
      <c r="P1548" s="563"/>
    </row>
    <row r="1549" spans="2:16" ht="15.75" customHeight="1">
      <c r="B1549" s="562"/>
      <c r="H1549" s="563"/>
      <c r="I1549" s="538"/>
      <c r="J1549" s="581"/>
      <c r="N1549" s="563"/>
      <c r="O1549" s="563"/>
      <c r="P1549" s="563"/>
    </row>
    <row r="1550" spans="2:16" ht="15.75" customHeight="1">
      <c r="B1550" s="562"/>
      <c r="H1550" s="563"/>
      <c r="I1550" s="563"/>
      <c r="J1550" s="581"/>
      <c r="N1550" s="563"/>
      <c r="O1550" s="563"/>
      <c r="P1550" s="563"/>
    </row>
    <row r="1551" spans="2:16" ht="15.75" customHeight="1">
      <c r="B1551" s="562"/>
      <c r="H1551" s="563"/>
      <c r="I1551" s="563"/>
      <c r="J1551" s="581"/>
      <c r="N1551" s="563"/>
      <c r="O1551" s="563"/>
      <c r="P1551" s="563"/>
    </row>
    <row r="1552" spans="2:16" ht="15.75" customHeight="1">
      <c r="B1552" s="562"/>
      <c r="H1552" s="563"/>
      <c r="I1552" s="563"/>
      <c r="J1552" s="581"/>
      <c r="N1552" s="563"/>
      <c r="O1552" s="563"/>
      <c r="P1552" s="563"/>
    </row>
    <row r="1553" spans="2:16" ht="15.75" customHeight="1">
      <c r="B1553" s="562"/>
      <c r="H1553" s="563"/>
      <c r="I1553" s="563"/>
      <c r="J1553" s="581"/>
      <c r="N1553" s="563"/>
      <c r="O1553" s="563"/>
      <c r="P1553" s="563"/>
    </row>
    <row r="1554" spans="2:16" ht="15.75" customHeight="1">
      <c r="B1554" s="562"/>
      <c r="H1554" s="563"/>
      <c r="I1554" s="563"/>
      <c r="J1554" s="581"/>
      <c r="N1554" s="563"/>
      <c r="O1554" s="563"/>
      <c r="P1554" s="563"/>
    </row>
    <row r="1555" spans="2:16" ht="15.75" customHeight="1">
      <c r="B1555" s="562"/>
      <c r="H1555" s="563"/>
      <c r="I1555" s="563"/>
      <c r="J1555" s="581"/>
      <c r="N1555" s="563"/>
      <c r="O1555" s="563"/>
      <c r="P1555" s="563"/>
    </row>
    <row r="1556" spans="2:16" ht="15.75" customHeight="1">
      <c r="B1556" s="562"/>
      <c r="H1556" s="563"/>
      <c r="I1556" s="563"/>
      <c r="J1556" s="581"/>
      <c r="N1556" s="563"/>
      <c r="O1556" s="563"/>
      <c r="P1556" s="563"/>
    </row>
    <row r="1557" spans="2:16" ht="15.75" customHeight="1">
      <c r="B1557" s="562"/>
      <c r="H1557" s="563"/>
      <c r="I1557" s="563"/>
      <c r="J1557" s="581"/>
      <c r="N1557" s="563"/>
      <c r="O1557" s="563"/>
      <c r="P1557" s="563"/>
    </row>
    <row r="1558" spans="2:16" ht="15.75" customHeight="1">
      <c r="B1558" s="562"/>
      <c r="H1558" s="563"/>
      <c r="I1558" s="563"/>
      <c r="J1558" s="581"/>
      <c r="N1558" s="563"/>
      <c r="O1558" s="563"/>
      <c r="P1558" s="563"/>
    </row>
    <row r="1559" spans="2:16" ht="15.75" customHeight="1">
      <c r="B1559" s="562"/>
      <c r="H1559" s="563"/>
      <c r="I1559" s="563"/>
      <c r="J1559" s="581"/>
      <c r="N1559" s="563"/>
      <c r="O1559" s="563"/>
      <c r="P1559" s="563"/>
    </row>
    <row r="1560" spans="2:16" ht="15.75" customHeight="1">
      <c r="B1560" s="562"/>
      <c r="H1560" s="563"/>
      <c r="I1560" s="563"/>
      <c r="J1560" s="581"/>
      <c r="N1560" s="563"/>
      <c r="O1560" s="563"/>
      <c r="P1560" s="563"/>
    </row>
    <row r="1561" spans="2:16" ht="15.75" customHeight="1">
      <c r="B1561" s="566"/>
      <c r="H1561" s="563"/>
      <c r="I1561" s="563"/>
      <c r="J1561" s="581"/>
      <c r="N1561" s="563"/>
      <c r="O1561" s="563"/>
      <c r="P1561" s="563"/>
    </row>
    <row r="1562" spans="2:16" ht="15.75" customHeight="1">
      <c r="B1562" s="562"/>
      <c r="H1562" s="563"/>
      <c r="I1562" s="563"/>
      <c r="J1562" s="581"/>
      <c r="N1562" s="563"/>
      <c r="O1562" s="563"/>
      <c r="P1562" s="563"/>
    </row>
    <row r="1563" spans="2:16" ht="15.75" customHeight="1">
      <c r="B1563" s="562"/>
      <c r="H1563" s="563"/>
      <c r="I1563" s="563"/>
      <c r="J1563" s="581"/>
      <c r="N1563" s="563"/>
      <c r="O1563" s="563"/>
      <c r="P1563" s="563"/>
    </row>
    <row r="1564" spans="2:16" ht="15.75" customHeight="1">
      <c r="B1564" s="562"/>
      <c r="H1564" s="563"/>
      <c r="I1564" s="563"/>
      <c r="J1564" s="581"/>
      <c r="N1564" s="563"/>
      <c r="O1564" s="563"/>
      <c r="P1564" s="563"/>
    </row>
    <row r="1565" spans="2:16" ht="15.75" customHeight="1">
      <c r="B1565" s="562"/>
      <c r="H1565" s="563"/>
      <c r="I1565" s="563"/>
      <c r="J1565" s="581"/>
      <c r="N1565" s="563"/>
      <c r="O1565" s="563"/>
      <c r="P1565" s="563"/>
    </row>
    <row r="1566" spans="2:16" ht="15.75" customHeight="1">
      <c r="B1566" s="562"/>
      <c r="H1566" s="563"/>
      <c r="I1566" s="563"/>
      <c r="J1566" s="581"/>
      <c r="N1566" s="563"/>
      <c r="O1566" s="563"/>
      <c r="P1566" s="563"/>
    </row>
    <row r="1567" spans="2:16" ht="15.75" customHeight="1">
      <c r="B1567" s="562"/>
      <c r="H1567" s="563"/>
      <c r="I1567" s="563"/>
      <c r="J1567" s="581"/>
      <c r="N1567" s="563"/>
      <c r="O1567" s="563"/>
      <c r="P1567" s="563"/>
    </row>
    <row r="1568" spans="2:16" ht="15.75" customHeight="1">
      <c r="B1568" s="562"/>
      <c r="H1568" s="563"/>
      <c r="I1568" s="563"/>
      <c r="J1568" s="581"/>
      <c r="N1568" s="563"/>
      <c r="O1568" s="563"/>
      <c r="P1568" s="563"/>
    </row>
    <row r="1569" spans="2:16" ht="15.75" customHeight="1">
      <c r="B1569" s="562"/>
      <c r="H1569" s="563"/>
      <c r="I1569" s="563"/>
      <c r="J1569" s="581"/>
      <c r="N1569" s="563"/>
      <c r="O1569" s="563"/>
      <c r="P1569" s="563"/>
    </row>
    <row r="1570" spans="2:16" ht="15.75" customHeight="1">
      <c r="B1570" s="562"/>
      <c r="H1570" s="563"/>
      <c r="I1570" s="563"/>
      <c r="J1570" s="581"/>
      <c r="N1570" s="563"/>
      <c r="O1570" s="563"/>
      <c r="P1570" s="563"/>
    </row>
    <row r="1571" spans="2:16" ht="15.75" customHeight="1">
      <c r="B1571" s="562"/>
      <c r="H1571" s="563"/>
      <c r="I1571" s="563"/>
      <c r="J1571" s="581"/>
      <c r="N1571" s="563"/>
      <c r="O1571" s="563"/>
      <c r="P1571" s="563"/>
    </row>
    <row r="1572" spans="2:16" ht="15.75" customHeight="1">
      <c r="B1572" s="562"/>
      <c r="H1572" s="563"/>
      <c r="I1572" s="563"/>
      <c r="J1572" s="581"/>
      <c r="N1572" s="563"/>
      <c r="O1572" s="563"/>
      <c r="P1572" s="563"/>
    </row>
    <row r="1573" spans="2:16" ht="15.75" customHeight="1">
      <c r="B1573" s="562"/>
      <c r="H1573" s="563"/>
      <c r="I1573" s="563"/>
      <c r="J1573" s="581"/>
      <c r="N1573" s="563"/>
      <c r="O1573" s="563"/>
      <c r="P1573" s="563"/>
    </row>
    <row r="1574" spans="2:16" ht="15.75" customHeight="1">
      <c r="B1574" s="562"/>
      <c r="H1574" s="563"/>
      <c r="I1574" s="563"/>
      <c r="J1574" s="581"/>
      <c r="N1574" s="563"/>
      <c r="O1574" s="563"/>
      <c r="P1574" s="563"/>
    </row>
    <row r="1575" spans="2:16" ht="15.75" customHeight="1">
      <c r="B1575" s="562"/>
      <c r="H1575" s="563"/>
      <c r="I1575" s="563"/>
      <c r="J1575" s="581"/>
      <c r="N1575" s="563"/>
      <c r="O1575" s="563"/>
      <c r="P1575" s="563"/>
    </row>
    <row r="1576" spans="2:16" ht="15.75" customHeight="1">
      <c r="B1576" s="562"/>
      <c r="H1576" s="563"/>
      <c r="I1576" s="563"/>
      <c r="J1576" s="581"/>
      <c r="N1576" s="563"/>
      <c r="O1576" s="563"/>
      <c r="P1576" s="563"/>
    </row>
    <row r="1577" spans="2:16" ht="15.75" customHeight="1">
      <c r="B1577" s="562"/>
      <c r="H1577" s="563"/>
      <c r="I1577" s="563"/>
      <c r="J1577" s="581"/>
      <c r="N1577" s="563"/>
      <c r="O1577" s="563"/>
      <c r="P1577" s="563"/>
    </row>
    <row r="1578" spans="2:16" ht="15.75" customHeight="1">
      <c r="B1578" s="562"/>
      <c r="N1578" s="563"/>
      <c r="O1578" s="563"/>
      <c r="P1578" s="563"/>
    </row>
    <row r="1579" spans="2:16" ht="15.75" customHeight="1">
      <c r="B1579" s="562"/>
      <c r="N1579" s="563"/>
      <c r="O1579" s="563"/>
      <c r="P1579" s="563"/>
    </row>
    <row r="1580" spans="2:16" ht="15.75" customHeight="1">
      <c r="B1580" s="562"/>
      <c r="H1580" s="563"/>
      <c r="I1580" s="563"/>
      <c r="J1580" s="581"/>
      <c r="N1580" s="563"/>
      <c r="O1580" s="563"/>
      <c r="P1580" s="563"/>
    </row>
    <row r="1581" spans="2:16" ht="15.75" customHeight="1">
      <c r="B1581" s="562"/>
      <c r="H1581" s="563"/>
      <c r="I1581" s="538"/>
      <c r="J1581" s="581"/>
      <c r="N1581" s="563"/>
      <c r="O1581" s="563"/>
      <c r="P1581" s="563"/>
    </row>
    <row r="1582" spans="2:16" ht="15.75" customHeight="1">
      <c r="B1582" s="562"/>
      <c r="H1582" s="563"/>
      <c r="I1582" s="563"/>
      <c r="J1582" s="581"/>
      <c r="N1582" s="563"/>
      <c r="O1582" s="563"/>
      <c r="P1582" s="563"/>
    </row>
    <row r="1583" spans="2:16" ht="15.75" customHeight="1">
      <c r="B1583" s="562"/>
      <c r="H1583" s="563"/>
      <c r="I1583" s="538"/>
      <c r="J1583" s="581"/>
      <c r="N1583" s="563"/>
      <c r="O1583" s="563"/>
      <c r="P1583" s="563"/>
    </row>
    <row r="1584" spans="2:16" ht="15.75" customHeight="1">
      <c r="B1584" s="562"/>
      <c r="H1584" s="563"/>
      <c r="I1584" s="563"/>
      <c r="J1584" s="581"/>
      <c r="N1584" s="563"/>
      <c r="O1584" s="563"/>
      <c r="P1584" s="563"/>
    </row>
    <row r="1585" spans="2:16" ht="15.75" customHeight="1">
      <c r="B1585" s="562"/>
      <c r="H1585" s="563"/>
      <c r="I1585" s="563"/>
      <c r="J1585" s="581"/>
      <c r="N1585" s="563"/>
      <c r="O1585" s="563"/>
      <c r="P1585" s="563"/>
    </row>
    <row r="1586" spans="2:16" ht="15.75" customHeight="1">
      <c r="B1586" s="562"/>
      <c r="H1586" s="563"/>
      <c r="I1586" s="563"/>
      <c r="J1586" s="581"/>
      <c r="N1586" s="563"/>
      <c r="O1586" s="563"/>
      <c r="P1586" s="563"/>
    </row>
    <row r="1587" spans="2:16" ht="15.75" customHeight="1">
      <c r="B1587" s="562"/>
      <c r="H1587" s="563"/>
      <c r="I1587" s="563"/>
      <c r="J1587" s="581"/>
      <c r="N1587" s="563"/>
      <c r="O1587" s="563"/>
      <c r="P1587" s="563"/>
    </row>
    <row r="1588" spans="2:16" ht="15.75" customHeight="1">
      <c r="B1588" s="562"/>
      <c r="H1588" s="563"/>
      <c r="I1588" s="563"/>
      <c r="J1588" s="581"/>
      <c r="N1588" s="563"/>
      <c r="O1588" s="563"/>
      <c r="P1588" s="563"/>
    </row>
    <row r="1589" spans="2:16" ht="15.75" customHeight="1">
      <c r="B1589" s="562"/>
      <c r="H1589" s="563"/>
      <c r="I1589" s="563"/>
      <c r="J1589" s="581"/>
      <c r="N1589" s="563"/>
      <c r="O1589" s="563"/>
      <c r="P1589" s="563"/>
    </row>
    <row r="1590" spans="2:16" ht="15.75" customHeight="1">
      <c r="B1590" s="562"/>
      <c r="H1590" s="563"/>
      <c r="I1590" s="563"/>
      <c r="J1590" s="581"/>
      <c r="N1590" s="563"/>
      <c r="O1590" s="563"/>
      <c r="P1590" s="563"/>
    </row>
    <row r="1591" spans="2:16" ht="15.75" customHeight="1">
      <c r="B1591" s="562"/>
      <c r="N1591" s="563"/>
      <c r="O1591" s="563"/>
      <c r="P1591" s="563"/>
    </row>
    <row r="1592" spans="2:16" ht="15.75" customHeight="1">
      <c r="B1592" s="562"/>
      <c r="N1592" s="563"/>
      <c r="O1592" s="563"/>
      <c r="P1592" s="563"/>
    </row>
    <row r="1593" spans="2:16" ht="15.75" customHeight="1">
      <c r="B1593" s="562"/>
      <c r="N1593" s="563"/>
      <c r="O1593" s="563"/>
      <c r="P1593" s="563"/>
    </row>
    <row r="1594" spans="2:16" ht="15.75" customHeight="1">
      <c r="B1594" s="562"/>
      <c r="N1594" s="563"/>
      <c r="P1594" s="563"/>
    </row>
    <row r="1595" spans="2:16" ht="15.75" customHeight="1">
      <c r="B1595" s="562"/>
      <c r="H1595" s="563"/>
      <c r="I1595" s="563"/>
      <c r="J1595" s="581"/>
      <c r="N1595" s="563"/>
      <c r="P1595" s="563"/>
    </row>
    <row r="1596" spans="2:16" ht="15.75" customHeight="1">
      <c r="B1596" s="562"/>
      <c r="H1596" s="563"/>
      <c r="I1596" s="563"/>
      <c r="J1596" s="581"/>
      <c r="N1596" s="563"/>
      <c r="P1596" s="563"/>
    </row>
    <row r="1597" spans="2:16" ht="15.75" customHeight="1">
      <c r="B1597" s="562"/>
      <c r="H1597" s="563"/>
      <c r="I1597" s="563"/>
      <c r="J1597" s="581"/>
      <c r="N1597" s="563"/>
      <c r="O1597" s="563"/>
      <c r="P1597" s="563"/>
    </row>
    <row r="1598" spans="2:16" ht="15.75" customHeight="1">
      <c r="B1598" s="562"/>
      <c r="H1598" s="563"/>
      <c r="I1598" s="563"/>
      <c r="J1598" s="581"/>
      <c r="N1598" s="563"/>
      <c r="O1598" s="563"/>
      <c r="P1598" s="563"/>
    </row>
    <row r="1599" spans="2:16" ht="15.75" customHeight="1">
      <c r="B1599" s="562"/>
      <c r="H1599" s="563"/>
      <c r="I1599" s="563"/>
      <c r="J1599" s="581"/>
      <c r="N1599" s="563"/>
      <c r="O1599" s="563"/>
      <c r="P1599" s="563"/>
    </row>
    <row r="1600" spans="2:16" ht="15.75" customHeight="1">
      <c r="B1600" s="562"/>
      <c r="H1600" s="563"/>
      <c r="I1600" s="563"/>
      <c r="J1600" s="581"/>
      <c r="N1600" s="563"/>
      <c r="O1600" s="563"/>
      <c r="P1600" s="563"/>
    </row>
    <row r="1601" spans="2:16" ht="15.75" customHeight="1">
      <c r="B1601" s="562"/>
      <c r="H1601" s="563"/>
      <c r="I1601" s="563"/>
      <c r="J1601" s="581"/>
      <c r="N1601" s="563"/>
      <c r="O1601" s="563"/>
      <c r="P1601" s="563"/>
    </row>
    <row r="1602" spans="2:16" ht="15.75" customHeight="1">
      <c r="B1602" s="562"/>
      <c r="H1602" s="563"/>
      <c r="I1602" s="563"/>
      <c r="J1602" s="581"/>
      <c r="N1602" s="563"/>
      <c r="O1602" s="563"/>
      <c r="P1602" s="563"/>
    </row>
    <row r="1603" spans="2:16" ht="15.75" customHeight="1">
      <c r="B1603" s="562"/>
      <c r="H1603" s="563"/>
      <c r="I1603" s="563"/>
      <c r="J1603" s="581"/>
      <c r="N1603" s="563"/>
      <c r="O1603" s="563"/>
      <c r="P1603" s="563"/>
    </row>
    <row r="1604" spans="2:16" ht="15.75" customHeight="1">
      <c r="B1604" s="562"/>
      <c r="N1604" s="563"/>
      <c r="O1604" s="563"/>
      <c r="P1604" s="563"/>
    </row>
    <row r="1605" spans="2:16" ht="15.75" customHeight="1">
      <c r="B1605" s="562"/>
      <c r="H1605" s="563"/>
      <c r="I1605" s="563"/>
      <c r="J1605" s="581"/>
      <c r="N1605" s="563"/>
      <c r="O1605" s="563"/>
      <c r="P1605" s="563"/>
    </row>
    <row r="1606" spans="2:16" ht="15.75" customHeight="1">
      <c r="B1606" s="562"/>
      <c r="H1606" s="563"/>
      <c r="I1606" s="563"/>
      <c r="J1606" s="581"/>
      <c r="N1606" s="563"/>
      <c r="O1606" s="550"/>
      <c r="P1606" s="563"/>
    </row>
    <row r="1607" spans="2:16" ht="15.75" customHeight="1">
      <c r="B1607" s="562"/>
      <c r="N1607" s="563"/>
      <c r="O1607" s="550"/>
      <c r="P1607" s="563"/>
    </row>
    <row r="1608" spans="2:16" ht="15.75" customHeight="1">
      <c r="B1608" s="562"/>
      <c r="H1608" s="563"/>
      <c r="I1608" s="563"/>
      <c r="J1608" s="581"/>
      <c r="N1608" s="563"/>
      <c r="O1608" s="550"/>
      <c r="P1608" s="563"/>
    </row>
    <row r="1609" spans="2:16" ht="15.75" customHeight="1">
      <c r="B1609" s="562"/>
      <c r="H1609" s="563"/>
      <c r="I1609" s="538"/>
      <c r="J1609" s="581"/>
      <c r="N1609" s="563"/>
      <c r="O1609" s="563"/>
      <c r="P1609" s="550"/>
    </row>
    <row r="1610" spans="2:16" ht="15.75" customHeight="1">
      <c r="B1610" s="562"/>
      <c r="H1610" s="563"/>
      <c r="I1610" s="563"/>
      <c r="J1610" s="581"/>
      <c r="N1610" s="563"/>
      <c r="O1610" s="563"/>
      <c r="P1610" s="550"/>
    </row>
    <row r="1611" spans="2:16" ht="15.75" customHeight="1">
      <c r="B1611" s="562"/>
      <c r="H1611" s="563"/>
      <c r="I1611" s="538"/>
      <c r="J1611" s="581"/>
      <c r="N1611" s="563"/>
      <c r="O1611" s="563"/>
      <c r="P1611" s="550"/>
    </row>
    <row r="1612" spans="2:16" ht="15.75" customHeight="1">
      <c r="B1612" s="562"/>
      <c r="H1612" s="563"/>
      <c r="I1612" s="563"/>
      <c r="J1612" s="581"/>
      <c r="N1612" s="563"/>
      <c r="O1612" s="563"/>
      <c r="P1612" s="563"/>
    </row>
    <row r="1613" spans="2:16" ht="15.75" customHeight="1">
      <c r="B1613" s="562"/>
      <c r="N1613" s="563"/>
      <c r="O1613" s="563"/>
      <c r="P1613" s="563"/>
    </row>
    <row r="1614" spans="2:16" ht="15.75" customHeight="1">
      <c r="B1614" s="562"/>
      <c r="N1614" s="563"/>
      <c r="O1614" s="563"/>
      <c r="P1614" s="563"/>
    </row>
    <row r="1615" spans="2:16" ht="15.75" customHeight="1">
      <c r="B1615" s="562"/>
      <c r="N1615" s="563"/>
      <c r="O1615" s="563"/>
      <c r="P1615" s="563"/>
    </row>
    <row r="1616" spans="2:16" ht="15.75" customHeight="1">
      <c r="B1616" s="562"/>
      <c r="N1616" s="563"/>
      <c r="O1616" s="563"/>
      <c r="P1616" s="563"/>
    </row>
    <row r="1617" spans="2:16" ht="15.75" customHeight="1">
      <c r="B1617" s="562"/>
      <c r="H1617" s="563"/>
      <c r="I1617" s="563"/>
      <c r="J1617" s="581"/>
      <c r="N1617" s="563"/>
      <c r="O1617" s="563"/>
      <c r="P1617" s="563"/>
    </row>
    <row r="1618" spans="2:16" ht="15.75" customHeight="1">
      <c r="B1618" s="562"/>
      <c r="H1618" s="563"/>
      <c r="I1618" s="563"/>
      <c r="J1618" s="581"/>
      <c r="N1618" s="563"/>
      <c r="O1618" s="563"/>
      <c r="P1618" s="563"/>
    </row>
    <row r="1619" spans="2:16" ht="15.75" customHeight="1">
      <c r="B1619" s="562"/>
      <c r="H1619" s="563"/>
      <c r="I1619" s="563"/>
      <c r="J1619" s="581"/>
      <c r="N1619" s="563"/>
      <c r="O1619" s="563"/>
      <c r="P1619" s="563"/>
    </row>
    <row r="1620" spans="2:16" ht="15.75" customHeight="1">
      <c r="B1620" s="562"/>
      <c r="H1620" s="563"/>
      <c r="I1620" s="563"/>
      <c r="J1620" s="581"/>
      <c r="N1620" s="563"/>
      <c r="O1620" s="563"/>
      <c r="P1620" s="563"/>
    </row>
    <row r="1621" spans="2:16" ht="15.75" customHeight="1">
      <c r="B1621" s="562"/>
      <c r="H1621" s="563"/>
      <c r="I1621" s="563"/>
      <c r="J1621" s="581"/>
      <c r="N1621" s="563"/>
      <c r="O1621" s="563"/>
      <c r="P1621" s="563"/>
    </row>
    <row r="1622" spans="2:16" ht="15.75" customHeight="1">
      <c r="B1622" s="562"/>
      <c r="H1622" s="563"/>
      <c r="I1622" s="563"/>
      <c r="J1622" s="581"/>
      <c r="N1622" s="563"/>
      <c r="O1622" s="563"/>
      <c r="P1622" s="563"/>
    </row>
    <row r="1623" spans="2:16" ht="15.75" customHeight="1">
      <c r="B1623" s="562"/>
      <c r="H1623" s="563"/>
      <c r="I1623" s="563"/>
      <c r="J1623" s="581"/>
      <c r="N1623" s="563"/>
      <c r="O1623" s="563"/>
      <c r="P1623" s="563"/>
    </row>
    <row r="1624" spans="2:16" ht="15.75" customHeight="1">
      <c r="B1624" s="562"/>
      <c r="H1624" s="563"/>
      <c r="I1624" s="563"/>
      <c r="J1624" s="581"/>
      <c r="N1624" s="563"/>
      <c r="O1624" s="563"/>
      <c r="P1624" s="563"/>
    </row>
    <row r="1625" spans="2:16" ht="15.75" customHeight="1">
      <c r="B1625" s="562"/>
      <c r="H1625" s="563"/>
      <c r="I1625" s="563"/>
      <c r="J1625" s="581"/>
      <c r="N1625" s="563"/>
      <c r="O1625" s="563"/>
      <c r="P1625" s="563"/>
    </row>
    <row r="1626" spans="2:16" ht="15.75" customHeight="1">
      <c r="B1626" s="562"/>
      <c r="H1626" s="563"/>
      <c r="I1626" s="563"/>
      <c r="J1626" s="581"/>
      <c r="N1626" s="563"/>
      <c r="O1626" s="563"/>
      <c r="P1626" s="563"/>
    </row>
    <row r="1627" spans="2:16" ht="15.75" customHeight="1">
      <c r="B1627" s="562"/>
      <c r="H1627" s="563"/>
      <c r="I1627" s="563"/>
      <c r="J1627" s="581"/>
      <c r="N1627" s="563"/>
      <c r="O1627" s="563"/>
      <c r="P1627" s="563"/>
    </row>
    <row r="1628" spans="2:16" ht="15.75" customHeight="1">
      <c r="B1628" s="562"/>
      <c r="H1628" s="563"/>
      <c r="I1628" s="563"/>
      <c r="J1628" s="581"/>
      <c r="N1628" s="563"/>
      <c r="O1628" s="563"/>
      <c r="P1628" s="563"/>
    </row>
    <row r="1629" spans="2:16" ht="15.75" customHeight="1">
      <c r="B1629" s="562"/>
      <c r="H1629" s="563"/>
      <c r="I1629" s="563"/>
      <c r="J1629" s="581"/>
      <c r="N1629" s="563"/>
      <c r="O1629" s="563"/>
      <c r="P1629" s="563"/>
    </row>
    <row r="1630" spans="2:16" ht="15.75" customHeight="1">
      <c r="B1630" s="562"/>
      <c r="H1630" s="563"/>
      <c r="I1630" s="563"/>
      <c r="J1630" s="581"/>
      <c r="N1630" s="563"/>
      <c r="O1630" s="563"/>
      <c r="P1630" s="563"/>
    </row>
    <row r="1631" spans="2:16" ht="15.75" customHeight="1">
      <c r="B1631" s="562"/>
      <c r="H1631" s="563"/>
      <c r="I1631" s="563"/>
      <c r="J1631" s="581"/>
      <c r="N1631" s="563"/>
      <c r="O1631" s="563"/>
      <c r="P1631" s="563"/>
    </row>
    <row r="1632" spans="2:16" ht="15.75" customHeight="1">
      <c r="B1632" s="562"/>
      <c r="H1632" s="563"/>
      <c r="I1632" s="563"/>
      <c r="J1632" s="581"/>
      <c r="N1632" s="563"/>
      <c r="O1632" s="563"/>
      <c r="P1632" s="563"/>
    </row>
    <row r="1633" spans="2:16" ht="15.75" customHeight="1">
      <c r="B1633" s="562"/>
      <c r="H1633" s="563"/>
      <c r="I1633" s="563"/>
      <c r="J1633" s="581"/>
      <c r="N1633" s="563"/>
      <c r="O1633" s="563"/>
      <c r="P1633" s="563"/>
    </row>
    <row r="1634" spans="2:16" ht="15.75" customHeight="1">
      <c r="B1634" s="562"/>
      <c r="H1634" s="563"/>
      <c r="I1634" s="563"/>
      <c r="J1634" s="581"/>
      <c r="N1634" s="563"/>
      <c r="O1634" s="563"/>
      <c r="P1634" s="563"/>
    </row>
    <row r="1635" spans="2:16" ht="15.75" customHeight="1">
      <c r="B1635" s="562"/>
      <c r="H1635" s="563"/>
      <c r="I1635" s="563"/>
      <c r="J1635" s="581"/>
      <c r="N1635" s="563"/>
      <c r="O1635" s="563"/>
      <c r="P1635" s="563"/>
    </row>
    <row r="1636" spans="2:16" ht="15.75" customHeight="1">
      <c r="B1636" s="562"/>
      <c r="H1636" s="563"/>
      <c r="I1636" s="563"/>
      <c r="J1636" s="581"/>
      <c r="N1636" s="563"/>
      <c r="O1636" s="563"/>
      <c r="P1636" s="563"/>
    </row>
    <row r="1637" spans="2:16" ht="15.75" customHeight="1">
      <c r="B1637" s="562"/>
      <c r="H1637" s="563"/>
      <c r="I1637" s="563"/>
      <c r="J1637" s="581"/>
      <c r="N1637" s="563"/>
      <c r="O1637" s="563"/>
      <c r="P1637" s="563"/>
    </row>
    <row r="1638" spans="2:16" ht="15.75" customHeight="1">
      <c r="B1638" s="562"/>
      <c r="H1638" s="563"/>
      <c r="I1638" s="563"/>
      <c r="J1638" s="581"/>
      <c r="N1638" s="563"/>
      <c r="O1638" s="563"/>
      <c r="P1638" s="563"/>
    </row>
    <row r="1639" spans="2:16" ht="15.75" customHeight="1">
      <c r="B1639" s="562"/>
      <c r="H1639" s="563"/>
      <c r="I1639" s="538"/>
      <c r="J1639" s="581"/>
      <c r="N1639" s="563"/>
      <c r="O1639" s="563"/>
      <c r="P1639" s="563"/>
    </row>
    <row r="1640" spans="2:16" ht="15.75" customHeight="1">
      <c r="B1640" s="562"/>
      <c r="H1640" s="563"/>
      <c r="I1640" s="563"/>
      <c r="J1640" s="581"/>
      <c r="N1640" s="563"/>
      <c r="O1640" s="563"/>
      <c r="P1640" s="563"/>
    </row>
    <row r="1641" spans="2:16" ht="15.75" customHeight="1">
      <c r="B1641" s="562"/>
      <c r="H1641" s="563"/>
      <c r="I1641" s="538"/>
      <c r="J1641" s="581"/>
      <c r="N1641" s="563"/>
      <c r="O1641" s="563"/>
      <c r="P1641" s="563"/>
    </row>
    <row r="1642" spans="2:16" ht="15.75" customHeight="1">
      <c r="B1642" s="562"/>
      <c r="H1642" s="563"/>
      <c r="I1642" s="563"/>
      <c r="J1642" s="581"/>
      <c r="N1642" s="563"/>
      <c r="O1642" s="563"/>
      <c r="P1642" s="563"/>
    </row>
    <row r="1643" spans="2:16" ht="15.75" customHeight="1">
      <c r="B1643" s="562"/>
      <c r="H1643" s="563"/>
      <c r="I1643" s="563"/>
      <c r="J1643" s="581"/>
      <c r="N1643" s="563"/>
      <c r="O1643" s="563"/>
      <c r="P1643" s="563"/>
    </row>
    <row r="1644" spans="2:16" ht="15.75" customHeight="1">
      <c r="B1644" s="562"/>
      <c r="H1644" s="563"/>
      <c r="I1644" s="563"/>
      <c r="J1644" s="581"/>
      <c r="N1644" s="563"/>
      <c r="O1644" s="563"/>
      <c r="P1644" s="563"/>
    </row>
    <row r="1645" spans="2:16" ht="15.75" customHeight="1">
      <c r="B1645" s="562"/>
      <c r="H1645" s="563"/>
      <c r="I1645" s="563"/>
      <c r="J1645" s="581"/>
      <c r="N1645" s="563"/>
      <c r="O1645" s="563"/>
      <c r="P1645" s="563"/>
    </row>
    <row r="1646" spans="2:16" ht="15.75" customHeight="1">
      <c r="B1646" s="562"/>
      <c r="H1646" s="563"/>
      <c r="I1646" s="563"/>
      <c r="J1646" s="581"/>
      <c r="N1646" s="563"/>
      <c r="O1646" s="563"/>
      <c r="P1646" s="563"/>
    </row>
    <row r="1647" spans="2:16" ht="15.75" customHeight="1">
      <c r="B1647" s="562"/>
      <c r="H1647" s="563"/>
      <c r="I1647" s="563"/>
      <c r="J1647" s="581"/>
      <c r="N1647" s="563"/>
      <c r="O1647" s="563"/>
      <c r="P1647" s="563"/>
    </row>
    <row r="1648" spans="2:16" ht="15.75" customHeight="1">
      <c r="B1648" s="562"/>
      <c r="H1648" s="563"/>
      <c r="I1648" s="563"/>
      <c r="J1648" s="581"/>
      <c r="N1648" s="563"/>
      <c r="O1648" s="563"/>
      <c r="P1648" s="563"/>
    </row>
    <row r="1649" spans="2:16" ht="15.75" customHeight="1">
      <c r="B1649" s="562"/>
      <c r="H1649" s="563"/>
      <c r="I1649" s="563"/>
      <c r="J1649" s="581"/>
      <c r="N1649" s="563"/>
      <c r="O1649" s="563"/>
      <c r="P1649" s="563"/>
    </row>
    <row r="1650" spans="2:16" ht="15.75" customHeight="1">
      <c r="B1650" s="562"/>
      <c r="H1650" s="563"/>
      <c r="I1650" s="563"/>
      <c r="J1650" s="581"/>
      <c r="N1650" s="563"/>
      <c r="O1650" s="563"/>
      <c r="P1650" s="563"/>
    </row>
    <row r="1651" spans="2:16" ht="15.75" customHeight="1">
      <c r="B1651" s="562"/>
      <c r="H1651" s="563"/>
      <c r="I1651" s="563"/>
      <c r="J1651" s="581"/>
      <c r="N1651" s="563"/>
      <c r="O1651" s="563"/>
      <c r="P1651" s="563"/>
    </row>
    <row r="1652" spans="2:16" ht="15.75" customHeight="1">
      <c r="B1652" s="562"/>
      <c r="H1652" s="563"/>
      <c r="I1652" s="563"/>
      <c r="J1652" s="581"/>
      <c r="N1652" s="563"/>
      <c r="O1652" s="563"/>
      <c r="P1652" s="563"/>
    </row>
    <row r="1653" spans="2:16" ht="15.75" customHeight="1">
      <c r="B1653" s="562"/>
      <c r="H1653" s="563"/>
      <c r="I1653" s="563"/>
      <c r="J1653" s="581"/>
      <c r="N1653" s="563"/>
      <c r="O1653" s="563"/>
      <c r="P1653" s="563"/>
    </row>
    <row r="1654" spans="2:16" ht="15.75" customHeight="1">
      <c r="B1654" s="562"/>
      <c r="H1654" s="563"/>
      <c r="I1654" s="563"/>
      <c r="J1654" s="581"/>
      <c r="N1654" s="563"/>
      <c r="O1654" s="563"/>
      <c r="P1654" s="563"/>
    </row>
    <row r="1655" spans="2:16" ht="15.75" customHeight="1">
      <c r="B1655" s="562"/>
      <c r="H1655" s="563"/>
      <c r="I1655" s="563"/>
      <c r="J1655" s="581"/>
      <c r="N1655" s="563"/>
      <c r="O1655" s="563"/>
      <c r="P1655" s="563"/>
    </row>
    <row r="1656" spans="2:16" ht="15.75" customHeight="1">
      <c r="B1656" s="562"/>
      <c r="H1656" s="563"/>
      <c r="I1656" s="563"/>
      <c r="J1656" s="581"/>
      <c r="N1656" s="563"/>
      <c r="O1656" s="563"/>
      <c r="P1656" s="563"/>
    </row>
    <row r="1657" spans="2:16" ht="15.75" customHeight="1">
      <c r="B1657" s="562"/>
      <c r="H1657" s="563"/>
      <c r="I1657" s="563"/>
      <c r="J1657" s="581"/>
      <c r="N1657" s="563"/>
      <c r="O1657" s="563"/>
      <c r="P1657" s="563"/>
    </row>
    <row r="1658" spans="2:16" ht="15.75" customHeight="1">
      <c r="B1658" s="562"/>
      <c r="H1658" s="563"/>
      <c r="I1658" s="563"/>
      <c r="J1658" s="581"/>
      <c r="N1658" s="563"/>
      <c r="O1658" s="563"/>
      <c r="P1658" s="563"/>
    </row>
    <row r="1659" spans="2:16" ht="15.75" customHeight="1">
      <c r="B1659" s="562"/>
      <c r="H1659" s="563"/>
      <c r="I1659" s="563"/>
      <c r="J1659" s="581"/>
      <c r="N1659" s="563"/>
      <c r="O1659" s="563"/>
      <c r="P1659" s="563"/>
    </row>
    <row r="1660" spans="2:16" ht="15.75" customHeight="1">
      <c r="B1660" s="562"/>
      <c r="H1660" s="563"/>
      <c r="I1660" s="563"/>
      <c r="J1660" s="581"/>
      <c r="N1660" s="563"/>
      <c r="O1660" s="563"/>
      <c r="P1660" s="563"/>
    </row>
    <row r="1661" spans="2:16" ht="15.75" customHeight="1">
      <c r="B1661" s="562"/>
      <c r="H1661" s="563"/>
      <c r="I1661" s="563"/>
      <c r="J1661" s="581"/>
      <c r="N1661" s="563"/>
      <c r="O1661" s="563"/>
      <c r="P1661" s="563"/>
    </row>
    <row r="1662" spans="2:16" ht="15.75" customHeight="1">
      <c r="B1662" s="562"/>
      <c r="H1662" s="563"/>
      <c r="I1662" s="563"/>
      <c r="J1662" s="581"/>
      <c r="N1662" s="563"/>
      <c r="O1662" s="563"/>
      <c r="P1662" s="563"/>
    </row>
    <row r="1663" spans="2:16" ht="15.75" customHeight="1">
      <c r="B1663" s="562"/>
      <c r="H1663" s="563"/>
      <c r="I1663" s="563"/>
      <c r="J1663" s="581"/>
      <c r="N1663" s="563"/>
      <c r="O1663" s="563"/>
      <c r="P1663" s="563"/>
    </row>
    <row r="1664" spans="2:16" ht="15.75" customHeight="1">
      <c r="B1664" s="562"/>
      <c r="H1664" s="563"/>
      <c r="I1664" s="563"/>
      <c r="J1664" s="581"/>
      <c r="N1664" s="563"/>
      <c r="O1664" s="563"/>
      <c r="P1664" s="563"/>
    </row>
    <row r="1665" spans="2:16" ht="15.75" customHeight="1">
      <c r="B1665" s="562"/>
      <c r="H1665" s="563"/>
      <c r="I1665" s="563"/>
      <c r="J1665" s="581"/>
      <c r="N1665" s="563"/>
      <c r="O1665" s="563"/>
      <c r="P1665" s="563"/>
    </row>
    <row r="1666" spans="2:16" ht="15.75" customHeight="1">
      <c r="B1666" s="562"/>
      <c r="H1666" s="563"/>
      <c r="I1666" s="563"/>
      <c r="J1666" s="581"/>
      <c r="N1666" s="563"/>
      <c r="O1666" s="563"/>
      <c r="P1666" s="563"/>
    </row>
    <row r="1667" spans="2:16" ht="15.75" customHeight="1">
      <c r="B1667" s="562"/>
      <c r="H1667" s="563"/>
      <c r="I1667" s="563"/>
      <c r="J1667" s="581"/>
      <c r="N1667" s="563"/>
      <c r="O1667" s="563"/>
      <c r="P1667" s="563"/>
    </row>
    <row r="1668" spans="2:16" ht="15.75" customHeight="1">
      <c r="B1668" s="562"/>
      <c r="H1668" s="563"/>
      <c r="I1668" s="563"/>
      <c r="J1668" s="581"/>
      <c r="N1668" s="563"/>
      <c r="O1668" s="563"/>
      <c r="P1668" s="563"/>
    </row>
    <row r="1669" spans="2:16" ht="15.75" customHeight="1">
      <c r="B1669" s="562"/>
      <c r="H1669" s="563"/>
      <c r="I1669" s="563"/>
      <c r="J1669" s="581"/>
      <c r="N1669" s="563"/>
      <c r="O1669" s="563"/>
      <c r="P1669" s="563"/>
    </row>
    <row r="1670" spans="2:16" ht="15.75" customHeight="1">
      <c r="B1670" s="562"/>
      <c r="H1670" s="563"/>
      <c r="I1670" s="563"/>
      <c r="J1670" s="581"/>
      <c r="N1670" s="563"/>
      <c r="O1670" s="563"/>
      <c r="P1670" s="563"/>
    </row>
    <row r="1671" spans="2:16" ht="15.75" customHeight="1">
      <c r="B1671" s="562"/>
      <c r="H1671" s="563"/>
      <c r="I1671" s="563"/>
      <c r="J1671" s="581"/>
      <c r="N1671" s="563"/>
      <c r="O1671" s="563"/>
      <c r="P1671" s="563"/>
    </row>
    <row r="1672" spans="2:16" ht="15.75" customHeight="1">
      <c r="B1672" s="562"/>
      <c r="H1672" s="563"/>
      <c r="I1672" s="563"/>
      <c r="J1672" s="581"/>
      <c r="N1672" s="563"/>
      <c r="O1672" s="563"/>
      <c r="P1672" s="563"/>
    </row>
    <row r="1673" spans="2:16" ht="15.75" customHeight="1">
      <c r="B1673" s="562"/>
      <c r="H1673" s="563"/>
      <c r="I1673" s="563"/>
      <c r="J1673" s="581"/>
      <c r="N1673" s="563"/>
      <c r="O1673" s="563"/>
      <c r="P1673" s="563"/>
    </row>
    <row r="1674" spans="2:16" ht="15.75" customHeight="1">
      <c r="B1674" s="562"/>
      <c r="N1674" s="563"/>
      <c r="O1674" s="563"/>
      <c r="P1674" s="563"/>
    </row>
    <row r="1675" spans="2:16" ht="15.75" customHeight="1">
      <c r="B1675" s="562"/>
      <c r="N1675" s="563"/>
      <c r="O1675" s="563"/>
      <c r="P1675" s="563"/>
    </row>
    <row r="1676" spans="2:16" ht="15.75" customHeight="1">
      <c r="B1676" s="562"/>
      <c r="H1676" s="563"/>
      <c r="I1676" s="563"/>
      <c r="J1676" s="581"/>
      <c r="N1676" s="563"/>
      <c r="O1676" s="563"/>
      <c r="P1676" s="563"/>
    </row>
    <row r="1677" spans="2:16" ht="15.75" customHeight="1">
      <c r="B1677" s="562"/>
      <c r="H1677" s="563"/>
      <c r="I1677" s="538"/>
      <c r="J1677" s="581"/>
      <c r="N1677" s="563"/>
      <c r="O1677" s="563"/>
      <c r="P1677" s="563"/>
    </row>
    <row r="1678" spans="2:16" ht="15.75" customHeight="1">
      <c r="B1678" s="562"/>
      <c r="H1678" s="563"/>
      <c r="I1678" s="563"/>
      <c r="J1678" s="581"/>
      <c r="N1678" s="563"/>
      <c r="O1678" s="563"/>
      <c r="P1678" s="563"/>
    </row>
    <row r="1679" spans="2:16" ht="15.75" customHeight="1">
      <c r="B1679" s="562"/>
      <c r="H1679" s="563"/>
      <c r="I1679" s="538"/>
      <c r="J1679" s="581"/>
      <c r="N1679" s="563"/>
      <c r="O1679" s="563"/>
      <c r="P1679" s="563"/>
    </row>
    <row r="1680" spans="2:16" ht="15.75" customHeight="1">
      <c r="B1680" s="562"/>
      <c r="H1680" s="563"/>
      <c r="I1680" s="563"/>
      <c r="J1680" s="581"/>
      <c r="N1680" s="563"/>
      <c r="O1680" s="563"/>
      <c r="P1680" s="563"/>
    </row>
    <row r="1681" spans="2:16" ht="15.75" customHeight="1">
      <c r="B1681" s="562"/>
      <c r="N1681" s="563"/>
      <c r="O1681" s="563"/>
      <c r="P1681" s="563"/>
    </row>
    <row r="1682" spans="2:16" ht="15.75" customHeight="1">
      <c r="B1682" s="562"/>
      <c r="N1682" s="563"/>
      <c r="O1682" s="563"/>
      <c r="P1682" s="563"/>
    </row>
    <row r="1683" spans="2:16" ht="15.75" customHeight="1">
      <c r="B1683" s="562"/>
      <c r="H1683" s="563"/>
      <c r="I1683" s="563"/>
      <c r="J1683" s="581"/>
      <c r="N1683" s="563"/>
      <c r="O1683" s="563"/>
      <c r="P1683" s="563"/>
    </row>
    <row r="1684" spans="2:16" ht="15.75" customHeight="1">
      <c r="B1684" s="562"/>
      <c r="H1684" s="563"/>
      <c r="I1684" s="563"/>
      <c r="J1684" s="581"/>
      <c r="N1684" s="563"/>
      <c r="O1684" s="563"/>
      <c r="P1684" s="563"/>
    </row>
    <row r="1685" spans="2:16" ht="15.75" customHeight="1">
      <c r="B1685" s="562"/>
      <c r="H1685" s="563"/>
      <c r="I1685" s="563"/>
      <c r="J1685" s="581"/>
      <c r="N1685" s="563"/>
      <c r="O1685" s="563"/>
      <c r="P1685" s="563"/>
    </row>
    <row r="1686" spans="2:16" ht="15.75" customHeight="1">
      <c r="B1686" s="562"/>
      <c r="H1686" s="563"/>
      <c r="I1686" s="563"/>
      <c r="J1686" s="581"/>
      <c r="N1686" s="563"/>
      <c r="O1686" s="563"/>
      <c r="P1686" s="563"/>
    </row>
    <row r="1687" spans="2:16" ht="15.75" customHeight="1">
      <c r="B1687" s="562"/>
      <c r="H1687" s="563"/>
      <c r="I1687" s="563"/>
      <c r="J1687" s="581"/>
      <c r="N1687" s="563"/>
      <c r="O1687" s="563"/>
      <c r="P1687" s="563"/>
    </row>
    <row r="1688" spans="2:16" ht="15.75" customHeight="1">
      <c r="B1688" s="562"/>
      <c r="H1688" s="563"/>
      <c r="I1688" s="563"/>
      <c r="J1688" s="581"/>
      <c r="N1688" s="563"/>
      <c r="O1688" s="563"/>
      <c r="P1688" s="563"/>
    </row>
    <row r="1689" spans="2:16" ht="15.75" customHeight="1">
      <c r="B1689" s="562"/>
      <c r="H1689" s="563"/>
      <c r="I1689" s="563"/>
      <c r="J1689" s="581"/>
      <c r="N1689" s="563"/>
      <c r="O1689" s="563"/>
      <c r="P1689" s="563"/>
    </row>
    <row r="1690" spans="2:16" ht="15.75" customHeight="1">
      <c r="B1690" s="562"/>
      <c r="H1690" s="563"/>
      <c r="I1690" s="563"/>
      <c r="J1690" s="581"/>
      <c r="N1690" s="563"/>
      <c r="O1690" s="563"/>
      <c r="P1690" s="563"/>
    </row>
    <row r="1691" spans="2:16" ht="15.75" customHeight="1">
      <c r="B1691" s="562"/>
      <c r="H1691" s="563"/>
      <c r="I1691" s="563"/>
      <c r="J1691" s="581"/>
      <c r="N1691" s="563"/>
      <c r="O1691" s="563"/>
      <c r="P1691" s="563"/>
    </row>
    <row r="1692" spans="2:16" ht="15.75" customHeight="1">
      <c r="B1692" s="562"/>
      <c r="H1692" s="563"/>
      <c r="I1692" s="563"/>
      <c r="J1692" s="581"/>
      <c r="N1692" s="563"/>
      <c r="O1692" s="563"/>
      <c r="P1692" s="563"/>
    </row>
    <row r="1693" spans="2:16" ht="15.75" customHeight="1">
      <c r="B1693" s="562"/>
      <c r="H1693" s="563"/>
      <c r="I1693" s="563"/>
      <c r="J1693" s="581"/>
      <c r="N1693" s="563"/>
      <c r="O1693" s="563"/>
      <c r="P1693" s="563"/>
    </row>
    <row r="1694" spans="2:16" ht="15.75" customHeight="1">
      <c r="B1694" s="562"/>
      <c r="H1694" s="563"/>
      <c r="I1694" s="563"/>
      <c r="J1694" s="581"/>
      <c r="N1694" s="563"/>
      <c r="O1694" s="563"/>
      <c r="P1694" s="563"/>
    </row>
    <row r="1695" spans="2:16" ht="15.75" customHeight="1">
      <c r="B1695" s="562"/>
      <c r="H1695" s="563"/>
      <c r="I1695" s="563"/>
      <c r="J1695" s="581"/>
      <c r="N1695" s="563"/>
      <c r="O1695" s="563"/>
      <c r="P1695" s="563"/>
    </row>
    <row r="1696" spans="2:16" ht="15.75" customHeight="1">
      <c r="B1696" s="562"/>
      <c r="H1696" s="563"/>
      <c r="I1696" s="563"/>
      <c r="J1696" s="581"/>
      <c r="N1696" s="563"/>
      <c r="O1696" s="563"/>
      <c r="P1696" s="563"/>
    </row>
    <row r="1697" spans="2:16" ht="15.75" customHeight="1">
      <c r="B1697" s="562"/>
      <c r="H1697" s="563"/>
      <c r="I1697" s="563"/>
      <c r="J1697" s="581"/>
      <c r="N1697" s="563"/>
      <c r="O1697" s="563"/>
      <c r="P1697" s="563"/>
    </row>
    <row r="1698" spans="2:16" ht="15.75" customHeight="1">
      <c r="B1698" s="562"/>
      <c r="H1698" s="563"/>
      <c r="I1698" s="563"/>
      <c r="J1698" s="581"/>
      <c r="N1698" s="563"/>
      <c r="P1698" s="563"/>
    </row>
    <row r="1699" spans="2:16" ht="15.75" customHeight="1">
      <c r="B1699" s="562"/>
      <c r="H1699" s="563"/>
      <c r="I1699" s="563"/>
      <c r="J1699" s="581"/>
      <c r="N1699" s="563"/>
      <c r="P1699" s="563"/>
    </row>
    <row r="1700" spans="2:16" ht="15.75" customHeight="1">
      <c r="B1700" s="562"/>
      <c r="H1700" s="563"/>
      <c r="I1700" s="563"/>
      <c r="J1700" s="581"/>
      <c r="N1700" s="563"/>
      <c r="O1700" s="563"/>
      <c r="P1700" s="563"/>
    </row>
    <row r="1701" spans="2:16" ht="15.75" customHeight="1">
      <c r="B1701" s="562"/>
      <c r="H1701" s="563"/>
      <c r="I1701" s="563"/>
      <c r="J1701" s="581"/>
      <c r="N1701" s="563"/>
      <c r="O1701" s="563"/>
      <c r="P1701" s="563"/>
    </row>
    <row r="1702" spans="2:16" ht="15.75" customHeight="1">
      <c r="B1702" s="562"/>
      <c r="H1702" s="563"/>
      <c r="I1702" s="563"/>
      <c r="J1702" s="581"/>
      <c r="N1702" s="563"/>
      <c r="O1702" s="563"/>
      <c r="P1702" s="563"/>
    </row>
    <row r="1703" spans="2:16" ht="15.75" customHeight="1">
      <c r="B1703" s="562"/>
      <c r="H1703" s="563"/>
      <c r="I1703" s="563"/>
      <c r="J1703" s="581"/>
      <c r="N1703" s="563"/>
      <c r="O1703" s="563"/>
      <c r="P1703" s="563"/>
    </row>
    <row r="1704" spans="2:16" ht="15.75" customHeight="1">
      <c r="B1704" s="562"/>
      <c r="H1704" s="563"/>
      <c r="I1704" s="563"/>
      <c r="J1704" s="581"/>
      <c r="N1704" s="563"/>
      <c r="O1704" s="563"/>
      <c r="P1704" s="563"/>
    </row>
    <row r="1705" spans="2:16" ht="15.75" customHeight="1">
      <c r="B1705" s="562"/>
      <c r="H1705" s="563"/>
      <c r="I1705" s="563"/>
      <c r="J1705" s="581"/>
      <c r="N1705" s="563"/>
      <c r="O1705" s="563"/>
      <c r="P1705" s="563"/>
    </row>
    <row r="1706" spans="2:16" ht="15.75" customHeight="1">
      <c r="B1706" s="562"/>
      <c r="N1706" s="563"/>
      <c r="O1706" s="563"/>
      <c r="P1706" s="563"/>
    </row>
    <row r="1707" spans="2:16" ht="15.75" customHeight="1">
      <c r="B1707" s="562"/>
      <c r="N1707" s="563"/>
      <c r="O1707" s="563"/>
      <c r="P1707" s="563"/>
    </row>
    <row r="1708" spans="2:16" ht="15.75" customHeight="1">
      <c r="B1708" s="562"/>
      <c r="H1708" s="563"/>
      <c r="I1708" s="563"/>
      <c r="J1708" s="581"/>
      <c r="N1708" s="563"/>
      <c r="O1708" s="563"/>
      <c r="P1708" s="563"/>
    </row>
    <row r="1709" spans="2:16" ht="15.75" customHeight="1">
      <c r="B1709" s="562"/>
      <c r="H1709" s="563"/>
      <c r="I1709" s="538"/>
      <c r="J1709" s="581"/>
      <c r="N1709" s="563"/>
      <c r="O1709" s="563"/>
      <c r="P1709" s="563"/>
    </row>
    <row r="1710" spans="2:16" ht="15.75" customHeight="1">
      <c r="B1710" s="562"/>
      <c r="H1710" s="563"/>
      <c r="I1710" s="563"/>
      <c r="J1710" s="581"/>
      <c r="N1710" s="563"/>
      <c r="O1710" s="563"/>
      <c r="P1710" s="563"/>
    </row>
    <row r="1711" spans="2:16" ht="15.75" customHeight="1">
      <c r="B1711" s="562"/>
      <c r="H1711" s="563"/>
      <c r="I1711" s="538"/>
      <c r="J1711" s="581"/>
      <c r="N1711" s="563"/>
      <c r="O1711" s="563"/>
      <c r="P1711" s="563"/>
    </row>
    <row r="1712" spans="2:16" ht="15.75" customHeight="1">
      <c r="B1712" s="562"/>
      <c r="H1712" s="563"/>
      <c r="I1712" s="563"/>
      <c r="J1712" s="581"/>
      <c r="N1712" s="563"/>
      <c r="O1712" s="563"/>
      <c r="P1712" s="563"/>
    </row>
    <row r="1713" spans="2:16" ht="15.75" customHeight="1">
      <c r="B1713" s="562"/>
      <c r="H1713" s="563"/>
      <c r="I1713" s="563"/>
      <c r="J1713" s="581"/>
      <c r="N1713" s="563"/>
      <c r="O1713" s="563"/>
      <c r="P1713" s="563"/>
    </row>
    <row r="1714" spans="2:16" ht="15.75" customHeight="1">
      <c r="B1714" s="562"/>
      <c r="H1714" s="563"/>
      <c r="I1714" s="563"/>
      <c r="J1714" s="581"/>
      <c r="N1714" s="563"/>
      <c r="O1714" s="563"/>
      <c r="P1714" s="563"/>
    </row>
    <row r="1715" spans="2:16" ht="15.75" customHeight="1">
      <c r="B1715" s="562"/>
      <c r="H1715" s="563"/>
      <c r="I1715" s="563"/>
      <c r="J1715" s="581"/>
      <c r="N1715" s="563"/>
      <c r="O1715" s="563"/>
      <c r="P1715" s="563"/>
    </row>
    <row r="1716" spans="2:16" ht="15.75" customHeight="1">
      <c r="B1716" s="562"/>
      <c r="H1716" s="563"/>
      <c r="I1716" s="563"/>
      <c r="J1716" s="581"/>
      <c r="N1716" s="563"/>
      <c r="O1716" s="563"/>
      <c r="P1716" s="563"/>
    </row>
    <row r="1717" spans="2:16" ht="15.75" customHeight="1">
      <c r="B1717" s="562"/>
      <c r="H1717" s="563"/>
      <c r="I1717" s="563"/>
      <c r="J1717" s="581"/>
      <c r="N1717" s="563"/>
      <c r="O1717" s="563"/>
      <c r="P1717" s="563"/>
    </row>
    <row r="1718" spans="2:16" ht="15.75" customHeight="1">
      <c r="B1718" s="562"/>
      <c r="H1718" s="563"/>
      <c r="I1718" s="563"/>
      <c r="J1718" s="581"/>
      <c r="N1718" s="563"/>
      <c r="O1718" s="563"/>
      <c r="P1718" s="563"/>
    </row>
    <row r="1719" spans="2:16" ht="15.75" customHeight="1">
      <c r="B1719" s="562"/>
      <c r="H1719" s="563"/>
      <c r="I1719" s="563"/>
      <c r="J1719" s="581"/>
      <c r="N1719" s="563"/>
      <c r="O1719" s="563"/>
      <c r="P1719" s="563"/>
    </row>
    <row r="1720" spans="2:16" ht="15.75" customHeight="1">
      <c r="B1720" s="562"/>
      <c r="H1720" s="563"/>
      <c r="I1720" s="563"/>
      <c r="J1720" s="581"/>
      <c r="N1720" s="563"/>
      <c r="O1720" s="563"/>
      <c r="P1720" s="563"/>
    </row>
    <row r="1721" spans="2:16" ht="15.75" customHeight="1">
      <c r="B1721" s="562"/>
      <c r="H1721" s="563"/>
      <c r="I1721" s="563"/>
      <c r="J1721" s="581"/>
      <c r="N1721" s="563"/>
      <c r="O1721" s="563"/>
      <c r="P1721" s="563"/>
    </row>
    <row r="1722" spans="2:16" ht="15.75" customHeight="1">
      <c r="B1722" s="562"/>
      <c r="H1722" s="563"/>
      <c r="I1722" s="563"/>
      <c r="J1722" s="581"/>
      <c r="N1722" s="563"/>
      <c r="O1722" s="563"/>
      <c r="P1722" s="563"/>
    </row>
    <row r="1723" spans="2:16" ht="15.75" customHeight="1">
      <c r="B1723" s="562"/>
      <c r="H1723" s="563"/>
      <c r="I1723" s="563"/>
      <c r="J1723" s="581"/>
      <c r="N1723" s="563"/>
      <c r="O1723" s="563"/>
      <c r="P1723" s="563"/>
    </row>
    <row r="1724" spans="2:16" ht="15.75" customHeight="1">
      <c r="B1724" s="562"/>
      <c r="H1724" s="563"/>
      <c r="I1724" s="563"/>
      <c r="J1724" s="581"/>
      <c r="N1724" s="563"/>
      <c r="O1724" s="563"/>
      <c r="P1724" s="563"/>
    </row>
    <row r="1725" spans="2:16" ht="15.75" customHeight="1">
      <c r="B1725" s="562"/>
      <c r="H1725" s="563"/>
      <c r="I1725" s="563"/>
      <c r="J1725" s="581"/>
      <c r="N1725" s="563"/>
      <c r="O1725" s="563"/>
      <c r="P1725" s="563"/>
    </row>
    <row r="1726" spans="2:16" ht="15.75" customHeight="1">
      <c r="B1726" s="562"/>
      <c r="H1726" s="563"/>
      <c r="I1726" s="563"/>
      <c r="J1726" s="581"/>
      <c r="N1726" s="563"/>
      <c r="O1726" s="563"/>
      <c r="P1726" s="563"/>
    </row>
    <row r="1727" spans="2:16" ht="15.75" customHeight="1">
      <c r="B1727" s="562"/>
      <c r="H1727" s="563"/>
      <c r="I1727" s="563"/>
      <c r="J1727" s="581"/>
      <c r="N1727" s="563"/>
      <c r="O1727" s="563"/>
      <c r="P1727" s="563"/>
    </row>
    <row r="1728" spans="2:16" ht="15.75" customHeight="1">
      <c r="B1728" s="562"/>
      <c r="H1728" s="563"/>
      <c r="I1728" s="563"/>
      <c r="J1728" s="581"/>
      <c r="N1728" s="563"/>
      <c r="O1728" s="563"/>
      <c r="P1728" s="563"/>
    </row>
    <row r="1729" spans="2:16" ht="15.75" customHeight="1">
      <c r="B1729" s="562"/>
      <c r="H1729" s="563"/>
      <c r="I1729" s="563"/>
      <c r="J1729" s="581"/>
      <c r="N1729" s="563"/>
      <c r="O1729" s="563"/>
      <c r="P1729" s="563"/>
    </row>
    <row r="1730" spans="2:16" ht="15.75" customHeight="1">
      <c r="B1730" s="562"/>
      <c r="H1730" s="563"/>
      <c r="I1730" s="563"/>
      <c r="J1730" s="581"/>
      <c r="N1730" s="563"/>
      <c r="O1730" s="563"/>
      <c r="P1730" s="563"/>
    </row>
    <row r="1731" spans="2:16" ht="15.75" customHeight="1">
      <c r="B1731" s="562"/>
      <c r="H1731" s="563"/>
      <c r="I1731" s="563"/>
      <c r="J1731" s="581"/>
      <c r="N1731" s="563"/>
      <c r="O1731" s="563"/>
      <c r="P1731" s="563"/>
    </row>
    <row r="1732" spans="2:16" ht="15.75" customHeight="1">
      <c r="B1732" s="562"/>
      <c r="H1732" s="563"/>
      <c r="I1732" s="563"/>
      <c r="J1732" s="581"/>
      <c r="N1732" s="563"/>
      <c r="O1732" s="563"/>
      <c r="P1732" s="563"/>
    </row>
    <row r="1733" spans="2:16" ht="15.75" customHeight="1">
      <c r="B1733" s="562"/>
      <c r="H1733" s="563"/>
      <c r="I1733" s="563"/>
      <c r="J1733" s="581"/>
      <c r="N1733" s="563"/>
      <c r="O1733" s="563"/>
      <c r="P1733" s="563"/>
    </row>
    <row r="1734" spans="2:16" ht="15.75" customHeight="1">
      <c r="B1734" s="562"/>
      <c r="H1734" s="563"/>
      <c r="I1734" s="563"/>
      <c r="J1734" s="581"/>
      <c r="N1734" s="563"/>
      <c r="O1734" s="563"/>
      <c r="P1734" s="563"/>
    </row>
    <row r="1735" spans="2:16" ht="15.75" customHeight="1">
      <c r="B1735" s="562"/>
      <c r="H1735" s="563"/>
      <c r="I1735" s="563"/>
      <c r="J1735" s="581"/>
      <c r="N1735" s="563"/>
      <c r="O1735" s="563"/>
      <c r="P1735" s="563"/>
    </row>
    <row r="1736" spans="2:16" ht="15.75" customHeight="1">
      <c r="B1736" s="562"/>
      <c r="H1736" s="563"/>
      <c r="I1736" s="563"/>
      <c r="J1736" s="581"/>
      <c r="N1736" s="563"/>
      <c r="O1736" s="563"/>
      <c r="P1736" s="563"/>
    </row>
    <row r="1737" spans="2:16" ht="15.75" customHeight="1">
      <c r="B1737" s="562"/>
      <c r="H1737" s="563"/>
      <c r="I1737" s="563"/>
      <c r="J1737" s="581"/>
      <c r="N1737" s="563"/>
      <c r="O1737" s="563"/>
      <c r="P1737" s="563"/>
    </row>
    <row r="1738" spans="2:16" ht="15.75" customHeight="1">
      <c r="B1738" s="562"/>
      <c r="H1738" s="563"/>
      <c r="I1738" s="563"/>
      <c r="J1738" s="581"/>
      <c r="N1738" s="563"/>
      <c r="O1738" s="563"/>
      <c r="P1738" s="563"/>
    </row>
    <row r="1739" spans="2:16" ht="15.75" customHeight="1">
      <c r="B1739" s="562"/>
      <c r="H1739" s="563"/>
      <c r="I1739" s="563"/>
      <c r="J1739" s="581"/>
      <c r="N1739" s="563"/>
      <c r="O1739" s="563"/>
      <c r="P1739" s="563"/>
    </row>
    <row r="1740" spans="2:16" ht="15.75" customHeight="1">
      <c r="B1740" s="562"/>
      <c r="H1740" s="563"/>
      <c r="I1740" s="563"/>
      <c r="J1740" s="581"/>
      <c r="N1740" s="563"/>
      <c r="O1740" s="563"/>
      <c r="P1740" s="563"/>
    </row>
    <row r="1741" spans="2:16" ht="15.75" customHeight="1">
      <c r="B1741" s="562"/>
      <c r="H1741" s="563"/>
      <c r="I1741" s="538"/>
      <c r="J1741" s="581"/>
      <c r="N1741" s="563"/>
      <c r="O1741" s="563"/>
      <c r="P1741" s="563"/>
    </row>
    <row r="1742" spans="2:16" ht="15.75" customHeight="1">
      <c r="B1742" s="562"/>
      <c r="H1742" s="563"/>
      <c r="I1742" s="563"/>
      <c r="J1742" s="581"/>
      <c r="N1742" s="563"/>
      <c r="O1742" s="563"/>
      <c r="P1742" s="563"/>
    </row>
    <row r="1743" spans="2:16" ht="15.75" customHeight="1">
      <c r="B1743" s="562"/>
      <c r="H1743" s="563"/>
      <c r="I1743" s="538"/>
      <c r="J1743" s="581"/>
      <c r="N1743" s="563"/>
      <c r="O1743" s="563"/>
      <c r="P1743" s="563"/>
    </row>
    <row r="1744" spans="2:16" ht="15.75" customHeight="1">
      <c r="B1744" s="562"/>
      <c r="H1744" s="563"/>
      <c r="I1744" s="563"/>
      <c r="J1744" s="581"/>
      <c r="N1744" s="563"/>
      <c r="O1744" s="563"/>
      <c r="P1744" s="563"/>
    </row>
    <row r="1745" spans="2:16" ht="15.75" customHeight="1">
      <c r="B1745" s="562"/>
      <c r="H1745" s="563"/>
      <c r="I1745" s="563"/>
      <c r="J1745" s="581"/>
      <c r="N1745" s="563"/>
      <c r="O1745" s="563"/>
      <c r="P1745" s="563"/>
    </row>
    <row r="1746" spans="2:16" ht="15.75" customHeight="1">
      <c r="B1746" s="562"/>
      <c r="H1746" s="563"/>
      <c r="I1746" s="563"/>
      <c r="J1746" s="581"/>
      <c r="N1746" s="563"/>
      <c r="O1746" s="563"/>
      <c r="P1746" s="563"/>
    </row>
    <row r="1747" spans="2:16" ht="15.75" customHeight="1">
      <c r="B1747" s="562"/>
      <c r="H1747" s="563"/>
      <c r="I1747" s="563"/>
      <c r="J1747" s="581"/>
      <c r="N1747" s="563"/>
      <c r="O1747" s="563"/>
      <c r="P1747" s="563"/>
    </row>
    <row r="1748" spans="2:16" ht="15.75" customHeight="1">
      <c r="B1748" s="562"/>
      <c r="H1748" s="563"/>
      <c r="I1748" s="563"/>
      <c r="J1748" s="581"/>
      <c r="N1748" s="563"/>
      <c r="O1748" s="563"/>
      <c r="P1748" s="563"/>
    </row>
    <row r="1749" spans="2:16" ht="15.75" customHeight="1">
      <c r="B1749" s="562"/>
      <c r="H1749" s="563"/>
      <c r="I1749" s="563"/>
      <c r="J1749" s="581"/>
      <c r="N1749" s="563"/>
      <c r="O1749" s="563"/>
      <c r="P1749" s="563"/>
    </row>
    <row r="1750" spans="2:16" ht="15.75" customHeight="1">
      <c r="B1750" s="562"/>
      <c r="H1750" s="563"/>
      <c r="I1750" s="563"/>
      <c r="J1750" s="581"/>
      <c r="N1750" s="563"/>
      <c r="O1750" s="563"/>
      <c r="P1750" s="563"/>
    </row>
    <row r="1751" spans="2:16" ht="15.75" customHeight="1">
      <c r="B1751" s="562"/>
      <c r="H1751" s="563"/>
      <c r="I1751" s="563"/>
      <c r="J1751" s="581"/>
      <c r="N1751" s="563"/>
      <c r="O1751" s="563"/>
      <c r="P1751" s="563"/>
    </row>
    <row r="1752" spans="2:16" ht="15.75" customHeight="1">
      <c r="B1752" s="562"/>
      <c r="H1752" s="563"/>
      <c r="I1752" s="563"/>
      <c r="J1752" s="581"/>
      <c r="N1752" s="563"/>
      <c r="O1752" s="563"/>
      <c r="P1752" s="563"/>
    </row>
    <row r="1753" spans="2:16" ht="15.75" customHeight="1">
      <c r="B1753" s="562"/>
      <c r="H1753" s="563"/>
      <c r="I1753" s="563"/>
      <c r="J1753" s="581"/>
      <c r="N1753" s="563"/>
      <c r="O1753" s="563"/>
      <c r="P1753" s="563"/>
    </row>
    <row r="1754" spans="2:16" ht="15.75" customHeight="1">
      <c r="B1754" s="562"/>
      <c r="H1754" s="563"/>
      <c r="I1754" s="563"/>
      <c r="J1754" s="581"/>
      <c r="N1754" s="563"/>
      <c r="O1754" s="563"/>
      <c r="P1754" s="563"/>
    </row>
    <row r="1755" spans="2:16" ht="15.75" customHeight="1">
      <c r="B1755" s="562"/>
      <c r="H1755" s="563"/>
      <c r="I1755" s="563"/>
      <c r="J1755" s="581"/>
      <c r="N1755" s="563"/>
      <c r="O1755" s="563"/>
      <c r="P1755" s="563"/>
    </row>
    <row r="1756" spans="2:16" ht="15.75" customHeight="1">
      <c r="B1756" s="562"/>
      <c r="H1756" s="563"/>
      <c r="I1756" s="563"/>
      <c r="J1756" s="581"/>
      <c r="N1756" s="563"/>
      <c r="O1756" s="563"/>
      <c r="P1756" s="563"/>
    </row>
    <row r="1757" spans="2:16" ht="15.75" customHeight="1">
      <c r="B1757" s="562"/>
      <c r="H1757" s="563"/>
      <c r="I1757" s="563"/>
      <c r="J1757" s="581"/>
      <c r="N1757" s="563"/>
      <c r="O1757" s="563"/>
      <c r="P1757" s="563"/>
    </row>
    <row r="1758" spans="2:16" ht="15.75" customHeight="1">
      <c r="B1758" s="562"/>
      <c r="H1758" s="563"/>
      <c r="I1758" s="563"/>
      <c r="J1758" s="581"/>
      <c r="N1758" s="563"/>
      <c r="O1758" s="563"/>
      <c r="P1758" s="563"/>
    </row>
    <row r="1759" spans="2:16" ht="15.75" customHeight="1">
      <c r="B1759" s="562"/>
      <c r="H1759" s="563"/>
      <c r="I1759" s="563"/>
      <c r="J1759" s="581"/>
      <c r="N1759" s="563"/>
      <c r="O1759" s="563"/>
      <c r="P1759" s="563"/>
    </row>
    <row r="1760" spans="2:16" ht="15.75" customHeight="1">
      <c r="B1760" s="562"/>
      <c r="H1760" s="563"/>
      <c r="I1760" s="563"/>
      <c r="J1760" s="581"/>
      <c r="N1760" s="563"/>
      <c r="O1760" s="563"/>
      <c r="P1760" s="563"/>
    </row>
    <row r="1761" spans="2:16" ht="15.75" customHeight="1">
      <c r="B1761" s="562"/>
      <c r="H1761" s="563"/>
      <c r="I1761" s="563"/>
      <c r="J1761" s="581"/>
      <c r="N1761" s="563"/>
      <c r="O1761" s="563"/>
      <c r="P1761" s="563"/>
    </row>
    <row r="1762" spans="2:16" ht="15.75" customHeight="1">
      <c r="B1762" s="562"/>
      <c r="H1762" s="563"/>
      <c r="I1762" s="563"/>
      <c r="J1762" s="581"/>
      <c r="N1762" s="563"/>
      <c r="O1762" s="563"/>
      <c r="P1762" s="563"/>
    </row>
    <row r="1763" spans="2:16" ht="15.75" customHeight="1">
      <c r="B1763" s="562"/>
      <c r="H1763" s="563"/>
      <c r="I1763" s="563"/>
      <c r="J1763" s="581"/>
      <c r="N1763" s="563"/>
      <c r="O1763" s="563"/>
      <c r="P1763" s="563"/>
    </row>
    <row r="1764" spans="2:16" ht="15.75" customHeight="1">
      <c r="B1764" s="562"/>
      <c r="H1764" s="563"/>
      <c r="I1764" s="563"/>
      <c r="J1764" s="581"/>
      <c r="N1764" s="563"/>
      <c r="O1764" s="563"/>
      <c r="P1764" s="563"/>
    </row>
    <row r="1765" spans="2:16" ht="15.75" customHeight="1">
      <c r="B1765" s="562"/>
      <c r="H1765" s="563"/>
      <c r="I1765" s="563"/>
      <c r="J1765" s="581"/>
      <c r="N1765" s="563"/>
      <c r="O1765" s="563"/>
      <c r="P1765" s="563"/>
    </row>
    <row r="1766" spans="2:16" ht="15.75" customHeight="1">
      <c r="B1766" s="562"/>
      <c r="H1766" s="563"/>
      <c r="I1766" s="563"/>
      <c r="J1766" s="581"/>
      <c r="N1766" s="563"/>
      <c r="O1766" s="563"/>
      <c r="P1766" s="563"/>
    </row>
    <row r="1767" spans="2:16" ht="15.75" customHeight="1">
      <c r="B1767" s="562"/>
      <c r="H1767" s="563"/>
      <c r="I1767" s="563"/>
      <c r="J1767" s="581"/>
      <c r="N1767" s="563"/>
      <c r="O1767" s="563"/>
      <c r="P1767" s="563"/>
    </row>
    <row r="1768" spans="2:16" ht="15.75" customHeight="1">
      <c r="B1768" s="562"/>
      <c r="H1768" s="563"/>
      <c r="I1768" s="563"/>
      <c r="J1768" s="581"/>
      <c r="N1768" s="563"/>
      <c r="O1768" s="563"/>
      <c r="P1768" s="563"/>
    </row>
    <row r="1769" spans="2:16" ht="15.75" customHeight="1">
      <c r="B1769" s="562"/>
      <c r="H1769" s="563"/>
      <c r="I1769" s="563"/>
      <c r="J1769" s="581"/>
      <c r="N1769" s="563"/>
      <c r="O1769" s="563"/>
      <c r="P1769" s="563"/>
    </row>
    <row r="1770" spans="2:16" ht="15.75" customHeight="1">
      <c r="B1770" s="562"/>
      <c r="H1770" s="563"/>
      <c r="I1770" s="563"/>
      <c r="J1770" s="581"/>
      <c r="N1770" s="563"/>
      <c r="O1770" s="563"/>
      <c r="P1770" s="563"/>
    </row>
    <row r="1771" spans="2:16" ht="15.75" customHeight="1">
      <c r="B1771" s="562"/>
      <c r="H1771" s="563"/>
      <c r="I1771" s="563"/>
      <c r="J1771" s="581"/>
      <c r="N1771" s="563"/>
      <c r="O1771" s="563"/>
      <c r="P1771" s="563"/>
    </row>
    <row r="1772" spans="2:16" ht="15.75" customHeight="1">
      <c r="B1772" s="562"/>
      <c r="H1772" s="563"/>
      <c r="I1772" s="563"/>
      <c r="J1772" s="581"/>
      <c r="N1772" s="563"/>
      <c r="O1772" s="563"/>
      <c r="P1772" s="563"/>
    </row>
    <row r="1773" spans="2:16" ht="15.75" customHeight="1">
      <c r="B1773" s="562"/>
      <c r="H1773" s="563"/>
      <c r="I1773" s="563"/>
      <c r="J1773" s="581"/>
      <c r="N1773" s="563"/>
      <c r="O1773" s="563"/>
      <c r="P1773" s="563"/>
    </row>
    <row r="1774" spans="2:16" ht="15.75" customHeight="1">
      <c r="B1774" s="562"/>
      <c r="H1774" s="563"/>
      <c r="I1774" s="563"/>
      <c r="J1774" s="581"/>
      <c r="N1774" s="563"/>
      <c r="O1774" s="563"/>
      <c r="P1774" s="563"/>
    </row>
    <row r="1775" spans="2:16" ht="15.75" customHeight="1">
      <c r="B1775" s="562"/>
      <c r="H1775" s="563"/>
      <c r="I1775" s="563"/>
      <c r="J1775" s="581"/>
      <c r="N1775" s="563"/>
      <c r="O1775" s="563"/>
      <c r="P1775" s="563"/>
    </row>
    <row r="1776" spans="2:16" ht="15.75" customHeight="1">
      <c r="B1776" s="562"/>
      <c r="H1776" s="563"/>
      <c r="I1776" s="563"/>
      <c r="J1776" s="581"/>
      <c r="N1776" s="563"/>
      <c r="O1776" s="563"/>
      <c r="P1776" s="563"/>
    </row>
    <row r="1777" spans="2:16" ht="15.75" customHeight="1">
      <c r="B1777" s="562"/>
      <c r="H1777" s="563"/>
      <c r="I1777" s="563"/>
      <c r="J1777" s="581"/>
      <c r="N1777" s="563"/>
      <c r="O1777" s="563"/>
      <c r="P1777" s="563"/>
    </row>
    <row r="1778" spans="2:16" ht="15.75" customHeight="1">
      <c r="B1778" s="562"/>
      <c r="H1778" s="563"/>
      <c r="I1778" s="563"/>
      <c r="J1778" s="581"/>
      <c r="N1778" s="563"/>
      <c r="O1778" s="563"/>
      <c r="P1778" s="563"/>
    </row>
    <row r="1779" spans="2:16" ht="15.75" customHeight="1">
      <c r="B1779" s="562"/>
      <c r="H1779" s="563"/>
      <c r="I1779" s="563"/>
      <c r="J1779" s="581"/>
      <c r="N1779" s="563"/>
      <c r="O1779" s="563"/>
      <c r="P1779" s="563"/>
    </row>
    <row r="1780" spans="2:16" ht="15.75" customHeight="1">
      <c r="B1780" s="562"/>
      <c r="H1780" s="563"/>
      <c r="I1780" s="563"/>
      <c r="J1780" s="581"/>
      <c r="N1780" s="563"/>
      <c r="O1780" s="563"/>
      <c r="P1780" s="563"/>
    </row>
    <row r="1781" spans="2:16" ht="15.75" customHeight="1">
      <c r="B1781" s="562"/>
      <c r="H1781" s="563"/>
      <c r="I1781" s="563"/>
      <c r="J1781" s="581"/>
      <c r="N1781" s="563"/>
      <c r="O1781" s="563"/>
      <c r="P1781" s="563"/>
    </row>
    <row r="1782" spans="2:16" ht="15.75" customHeight="1">
      <c r="B1782" s="562"/>
      <c r="H1782" s="563"/>
      <c r="I1782" s="563"/>
      <c r="J1782" s="581"/>
      <c r="N1782" s="563"/>
      <c r="O1782" s="563"/>
      <c r="P1782" s="563"/>
    </row>
    <row r="1783" spans="2:16" ht="15.75" customHeight="1">
      <c r="B1783" s="562"/>
      <c r="H1783" s="563"/>
      <c r="I1783" s="563"/>
      <c r="J1783" s="581"/>
      <c r="N1783" s="563"/>
      <c r="O1783" s="563"/>
      <c r="P1783" s="563"/>
    </row>
    <row r="1784" spans="2:16" ht="15.75" customHeight="1">
      <c r="B1784" s="562"/>
      <c r="H1784" s="563"/>
      <c r="I1784" s="563"/>
      <c r="J1784" s="581"/>
      <c r="N1784" s="563"/>
      <c r="O1784" s="563"/>
      <c r="P1784" s="563"/>
    </row>
    <row r="1785" spans="2:16" ht="15.75" customHeight="1">
      <c r="B1785" s="562"/>
      <c r="H1785" s="563"/>
      <c r="I1785" s="563"/>
      <c r="J1785" s="581"/>
      <c r="N1785" s="563"/>
      <c r="O1785" s="563"/>
      <c r="P1785" s="563"/>
    </row>
    <row r="1786" spans="2:16" ht="15.75" customHeight="1">
      <c r="B1786" s="562"/>
      <c r="H1786" s="563"/>
      <c r="I1786" s="563"/>
      <c r="J1786" s="581"/>
      <c r="N1786" s="563"/>
      <c r="O1786" s="563"/>
      <c r="P1786" s="563"/>
    </row>
    <row r="1787" spans="2:16" ht="15.75" customHeight="1">
      <c r="B1787" s="562"/>
      <c r="H1787" s="563"/>
      <c r="I1787" s="563"/>
      <c r="J1787" s="581"/>
      <c r="N1787" s="563"/>
      <c r="O1787" s="563"/>
      <c r="P1787" s="563"/>
    </row>
    <row r="1788" spans="2:16" ht="15.75" customHeight="1">
      <c r="B1788" s="562"/>
      <c r="H1788" s="563"/>
      <c r="I1788" s="563"/>
      <c r="J1788" s="581"/>
      <c r="N1788" s="563"/>
      <c r="O1788" s="563"/>
      <c r="P1788" s="563"/>
    </row>
    <row r="1789" spans="2:16" ht="15.75" customHeight="1">
      <c r="B1789" s="562"/>
      <c r="H1789" s="563"/>
      <c r="I1789" s="563"/>
      <c r="J1789" s="581"/>
      <c r="N1789" s="563"/>
      <c r="O1789" s="563"/>
      <c r="P1789" s="563"/>
    </row>
    <row r="1790" spans="2:16" ht="15.75" customHeight="1">
      <c r="B1790" s="562"/>
      <c r="H1790" s="563"/>
      <c r="I1790" s="563"/>
      <c r="J1790" s="581"/>
      <c r="N1790" s="563"/>
      <c r="O1790" s="563"/>
      <c r="P1790" s="563"/>
    </row>
    <row r="1791" spans="2:16" ht="15.75" customHeight="1">
      <c r="B1791" s="562"/>
      <c r="H1791" s="563"/>
      <c r="I1791" s="563"/>
      <c r="J1791" s="581"/>
      <c r="N1791" s="563"/>
      <c r="O1791" s="563"/>
      <c r="P1791" s="563"/>
    </row>
    <row r="1792" spans="2:16" ht="15.75" customHeight="1">
      <c r="B1792" s="562"/>
      <c r="H1792" s="563"/>
      <c r="I1792" s="563"/>
      <c r="J1792" s="581"/>
      <c r="N1792" s="563"/>
      <c r="O1792" s="563"/>
      <c r="P1792" s="563"/>
    </row>
    <row r="1793" spans="2:16" ht="15.75" customHeight="1">
      <c r="B1793" s="562"/>
      <c r="H1793" s="563"/>
      <c r="I1793" s="563"/>
      <c r="J1793" s="581"/>
      <c r="N1793" s="563"/>
      <c r="O1793" s="563"/>
      <c r="P1793" s="563"/>
    </row>
    <row r="1794" spans="2:16" ht="15.75" customHeight="1">
      <c r="B1794" s="562"/>
      <c r="H1794" s="563"/>
      <c r="I1794" s="563"/>
      <c r="J1794" s="581"/>
      <c r="N1794" s="563"/>
      <c r="O1794" s="563"/>
      <c r="P1794" s="563"/>
    </row>
    <row r="1795" spans="2:16" ht="15.75" customHeight="1">
      <c r="B1795" s="562"/>
      <c r="H1795" s="563"/>
      <c r="I1795" s="563"/>
      <c r="J1795" s="581"/>
      <c r="N1795" s="563"/>
      <c r="O1795" s="563"/>
      <c r="P1795" s="563"/>
    </row>
    <row r="1796" spans="2:16" ht="15.75" customHeight="1">
      <c r="B1796" s="562"/>
      <c r="H1796" s="563"/>
      <c r="I1796" s="563"/>
      <c r="J1796" s="581"/>
      <c r="N1796" s="563"/>
      <c r="O1796" s="563"/>
      <c r="P1796" s="563"/>
    </row>
    <row r="1797" spans="2:16" ht="15.75" customHeight="1">
      <c r="B1797" s="562"/>
      <c r="H1797" s="563"/>
      <c r="I1797" s="563"/>
      <c r="J1797" s="581"/>
      <c r="N1797" s="563"/>
      <c r="O1797" s="563"/>
      <c r="P1797" s="563"/>
    </row>
    <row r="1798" spans="2:16" ht="15.75" customHeight="1">
      <c r="B1798" s="562"/>
      <c r="H1798" s="563"/>
      <c r="I1798" s="563"/>
      <c r="J1798" s="581"/>
      <c r="N1798" s="563"/>
      <c r="O1798" s="563"/>
      <c r="P1798" s="563"/>
    </row>
    <row r="1799" spans="2:16" ht="15.75" customHeight="1">
      <c r="B1799" s="562"/>
      <c r="H1799" s="563"/>
      <c r="I1799" s="563"/>
      <c r="J1799" s="581"/>
      <c r="N1799" s="563"/>
      <c r="O1799" s="563"/>
      <c r="P1799" s="563"/>
    </row>
    <row r="1800" spans="2:16" ht="15.75" customHeight="1">
      <c r="B1800" s="562"/>
      <c r="H1800" s="563"/>
      <c r="I1800" s="563"/>
      <c r="J1800" s="581"/>
      <c r="N1800" s="563"/>
      <c r="O1800" s="563"/>
      <c r="P1800" s="563"/>
    </row>
    <row r="1801" spans="2:16" ht="15.75" customHeight="1">
      <c r="B1801" s="562"/>
      <c r="H1801" s="563"/>
      <c r="I1801" s="563"/>
      <c r="J1801" s="581"/>
      <c r="N1801" s="563"/>
      <c r="O1801" s="563"/>
      <c r="P1801" s="563"/>
    </row>
    <row r="1802" spans="2:16" ht="15.75" customHeight="1">
      <c r="B1802" s="562"/>
      <c r="H1802" s="563"/>
      <c r="I1802" s="563"/>
      <c r="J1802" s="581"/>
      <c r="N1802" s="563"/>
      <c r="O1802" s="563"/>
      <c r="P1802" s="563"/>
    </row>
    <row r="1803" spans="2:16" ht="15.75" customHeight="1">
      <c r="B1803" s="562"/>
      <c r="H1803" s="563"/>
      <c r="I1803" s="563"/>
      <c r="J1803" s="581"/>
      <c r="N1803" s="563"/>
      <c r="O1803" s="563"/>
      <c r="P1803" s="563"/>
    </row>
    <row r="1804" spans="2:16" ht="15.75" customHeight="1">
      <c r="B1804" s="562"/>
      <c r="H1804" s="563"/>
      <c r="I1804" s="563"/>
      <c r="J1804" s="581"/>
      <c r="N1804" s="563"/>
      <c r="O1804" s="563"/>
      <c r="P1804" s="563"/>
    </row>
    <row r="1805" spans="2:16" ht="15.75" customHeight="1">
      <c r="B1805" s="562"/>
      <c r="H1805" s="563"/>
      <c r="I1805" s="563"/>
      <c r="J1805" s="581"/>
      <c r="N1805" s="563"/>
      <c r="O1805" s="563"/>
      <c r="P1805" s="563"/>
    </row>
    <row r="1806" spans="2:16" ht="15.75" customHeight="1">
      <c r="B1806" s="562"/>
      <c r="H1806" s="563"/>
      <c r="I1806" s="563"/>
      <c r="J1806" s="581"/>
      <c r="N1806" s="563"/>
      <c r="O1806" s="563"/>
      <c r="P1806" s="563"/>
    </row>
    <row r="1807" spans="2:16" ht="15.75" customHeight="1">
      <c r="B1807" s="562"/>
      <c r="H1807" s="563"/>
      <c r="I1807" s="563"/>
      <c r="J1807" s="581"/>
      <c r="N1807" s="563"/>
      <c r="O1807" s="563"/>
      <c r="P1807" s="563"/>
    </row>
    <row r="1808" spans="2:16" ht="15.75" customHeight="1">
      <c r="B1808" s="562"/>
      <c r="H1808" s="563"/>
      <c r="I1808" s="563"/>
      <c r="J1808" s="581"/>
      <c r="N1808" s="563"/>
      <c r="O1808" s="563"/>
      <c r="P1808" s="563"/>
    </row>
    <row r="1809" spans="2:16" ht="15.75" customHeight="1">
      <c r="B1809" s="562"/>
      <c r="H1809" s="563"/>
      <c r="I1809" s="563"/>
      <c r="J1809" s="581"/>
      <c r="N1809" s="563"/>
      <c r="O1809" s="563"/>
      <c r="P1809" s="563"/>
    </row>
    <row r="1810" spans="2:16" ht="15.75" customHeight="1">
      <c r="B1810" s="562"/>
      <c r="H1810" s="563"/>
      <c r="I1810" s="563"/>
      <c r="J1810" s="581"/>
      <c r="N1810" s="563"/>
      <c r="P1810" s="563"/>
    </row>
    <row r="1811" spans="2:16" ht="15.75" customHeight="1">
      <c r="B1811" s="562"/>
      <c r="N1811" s="563"/>
      <c r="P1811" s="563"/>
    </row>
    <row r="1812" spans="2:16" ht="15.75" customHeight="1">
      <c r="B1812" s="562"/>
      <c r="N1812" s="563"/>
      <c r="P1812" s="563"/>
    </row>
    <row r="1813" spans="2:16" ht="15.75" customHeight="1">
      <c r="B1813" s="562"/>
      <c r="N1813" s="563"/>
      <c r="O1813" s="563"/>
      <c r="P1813" s="563"/>
    </row>
    <row r="1814" spans="2:16" ht="15.75" customHeight="1">
      <c r="B1814" s="562"/>
      <c r="H1814" s="563"/>
      <c r="I1814" s="563"/>
      <c r="J1814" s="581"/>
      <c r="N1814" s="563"/>
      <c r="O1814" s="563"/>
      <c r="P1814" s="563"/>
    </row>
    <row r="1815" spans="2:16" ht="15.75" customHeight="1">
      <c r="B1815" s="562"/>
      <c r="H1815" s="563"/>
      <c r="I1815" s="563"/>
      <c r="J1815" s="581"/>
      <c r="N1815" s="563"/>
      <c r="O1815" s="563"/>
      <c r="P1815" s="563"/>
    </row>
    <row r="1816" spans="2:16" ht="15.75" customHeight="1">
      <c r="B1816" s="562"/>
      <c r="H1816" s="563"/>
      <c r="I1816" s="563"/>
      <c r="J1816" s="581"/>
      <c r="N1816" s="563"/>
      <c r="O1816" s="563"/>
      <c r="P1816" s="563"/>
    </row>
    <row r="1817" spans="2:16" ht="15.75" customHeight="1">
      <c r="B1817" s="562"/>
      <c r="H1817" s="563"/>
      <c r="I1817" s="563"/>
      <c r="J1817" s="581"/>
      <c r="N1817" s="563"/>
      <c r="O1817" s="563"/>
      <c r="P1817" s="563"/>
    </row>
    <row r="1818" spans="2:16" ht="15.75" customHeight="1">
      <c r="B1818" s="562"/>
      <c r="H1818" s="563"/>
      <c r="I1818" s="563"/>
      <c r="J1818" s="581"/>
      <c r="N1818" s="563"/>
      <c r="O1818" s="563"/>
      <c r="P1818" s="563"/>
    </row>
    <row r="1819" spans="2:16" ht="15.75" customHeight="1">
      <c r="B1819" s="562"/>
      <c r="H1819" s="563"/>
      <c r="I1819" s="563"/>
      <c r="J1819" s="581"/>
      <c r="N1819" s="563"/>
      <c r="O1819" s="563"/>
      <c r="P1819" s="563"/>
    </row>
    <row r="1820" spans="2:16" ht="15.75" customHeight="1">
      <c r="B1820" s="562"/>
      <c r="H1820" s="563"/>
      <c r="I1820" s="563"/>
      <c r="J1820" s="581"/>
      <c r="N1820" s="563"/>
      <c r="O1820" s="563"/>
      <c r="P1820" s="563"/>
    </row>
    <row r="1821" spans="2:16" ht="15.75" customHeight="1">
      <c r="B1821" s="562"/>
      <c r="H1821" s="563"/>
      <c r="I1821" s="563"/>
      <c r="J1821" s="581"/>
      <c r="N1821" s="563"/>
      <c r="O1821" s="563"/>
      <c r="P1821" s="563"/>
    </row>
    <row r="1822" spans="2:16" ht="15.75" customHeight="1">
      <c r="B1822" s="562"/>
      <c r="H1822" s="563"/>
      <c r="I1822" s="563"/>
      <c r="J1822" s="581"/>
      <c r="N1822" s="563"/>
      <c r="O1822" s="563"/>
      <c r="P1822" s="563"/>
    </row>
    <row r="1823" spans="2:16" ht="15.75" customHeight="1">
      <c r="B1823" s="562"/>
      <c r="H1823" s="563"/>
      <c r="I1823" s="563"/>
      <c r="J1823" s="581"/>
      <c r="N1823" s="563"/>
      <c r="O1823" s="563"/>
      <c r="P1823" s="563"/>
    </row>
    <row r="1824" spans="2:16" ht="15.75" customHeight="1">
      <c r="B1824" s="562"/>
      <c r="H1824" s="563"/>
      <c r="I1824" s="563"/>
      <c r="J1824" s="581"/>
      <c r="N1824" s="563"/>
      <c r="O1824" s="563"/>
      <c r="P1824" s="563"/>
    </row>
    <row r="1825" spans="2:16" ht="15.75" customHeight="1">
      <c r="B1825" s="562"/>
      <c r="H1825" s="563"/>
      <c r="I1825" s="563"/>
      <c r="J1825" s="581"/>
      <c r="N1825" s="563"/>
      <c r="O1825" s="563"/>
      <c r="P1825" s="563"/>
    </row>
    <row r="1826" spans="2:16" ht="15.75" customHeight="1">
      <c r="B1826" s="562"/>
      <c r="H1826" s="563"/>
      <c r="I1826" s="563"/>
      <c r="J1826" s="581"/>
      <c r="N1826" s="563"/>
      <c r="O1826" s="563"/>
      <c r="P1826" s="563"/>
    </row>
    <row r="1827" spans="2:16" ht="15.75" customHeight="1">
      <c r="B1827" s="562"/>
      <c r="H1827" s="563"/>
      <c r="I1827" s="563"/>
      <c r="J1827" s="581"/>
      <c r="N1827" s="563"/>
      <c r="O1827" s="563"/>
      <c r="P1827" s="563"/>
    </row>
    <row r="1828" spans="2:16" ht="15.75" customHeight="1">
      <c r="B1828" s="562"/>
      <c r="H1828" s="563"/>
      <c r="I1828" s="563"/>
      <c r="J1828" s="581"/>
      <c r="N1828" s="563"/>
      <c r="O1828" s="563"/>
      <c r="P1828" s="563"/>
    </row>
    <row r="1829" spans="2:16" ht="15.75" customHeight="1">
      <c r="B1829" s="562"/>
      <c r="H1829" s="563"/>
      <c r="I1829" s="563"/>
      <c r="J1829" s="581"/>
      <c r="N1829" s="563"/>
      <c r="O1829" s="563"/>
      <c r="P1829" s="563"/>
    </row>
    <row r="1830" spans="2:16" ht="15.75" customHeight="1">
      <c r="B1830" s="562"/>
      <c r="N1830" s="563"/>
      <c r="O1830" s="563"/>
      <c r="P1830" s="563"/>
    </row>
    <row r="1831" spans="2:16" ht="15.75" customHeight="1">
      <c r="B1831" s="566"/>
      <c r="N1831" s="563"/>
      <c r="O1831" s="563"/>
      <c r="P1831" s="563"/>
    </row>
    <row r="1832" spans="2:16" ht="15.75" customHeight="1">
      <c r="B1832" s="562"/>
      <c r="N1832" s="563"/>
      <c r="O1832" s="563"/>
      <c r="P1832" s="563"/>
    </row>
    <row r="1833" spans="2:16" ht="15.75" customHeight="1">
      <c r="B1833" s="562"/>
      <c r="N1833" s="563"/>
      <c r="O1833" s="563"/>
      <c r="P1833" s="563"/>
    </row>
    <row r="1834" spans="2:16" ht="15.75" customHeight="1">
      <c r="B1834" s="562"/>
      <c r="N1834" s="563"/>
      <c r="O1834" s="563"/>
      <c r="P1834" s="563"/>
    </row>
    <row r="1835" spans="2:16" ht="15.75" customHeight="1">
      <c r="B1835" s="562"/>
      <c r="N1835" s="563"/>
      <c r="O1835" s="563"/>
      <c r="P1835" s="563"/>
    </row>
    <row r="1836" spans="2:16" ht="15.75" customHeight="1">
      <c r="B1836" s="562"/>
      <c r="H1836" s="563"/>
      <c r="I1836" s="563"/>
      <c r="J1836" s="581"/>
      <c r="N1836" s="563"/>
      <c r="O1836" s="563"/>
      <c r="P1836" s="563"/>
    </row>
    <row r="1837" spans="2:16" ht="15.75" customHeight="1">
      <c r="B1837" s="562"/>
      <c r="H1837" s="563"/>
      <c r="I1837" s="563"/>
      <c r="J1837" s="581"/>
      <c r="N1837" s="563"/>
      <c r="O1837" s="563"/>
      <c r="P1837" s="563"/>
    </row>
    <row r="1838" spans="2:16" ht="15.75" customHeight="1">
      <c r="B1838" s="562"/>
      <c r="H1838" s="563"/>
      <c r="I1838" s="563"/>
      <c r="J1838" s="581"/>
      <c r="N1838" s="563"/>
      <c r="O1838" s="563"/>
      <c r="P1838" s="563"/>
    </row>
    <row r="1839" spans="2:16" ht="15.75" customHeight="1">
      <c r="B1839" s="562"/>
      <c r="H1839" s="563"/>
      <c r="I1839" s="563"/>
      <c r="J1839" s="581"/>
      <c r="N1839" s="563"/>
      <c r="O1839" s="563"/>
      <c r="P1839" s="563"/>
    </row>
    <row r="1840" spans="2:16" ht="15.75" customHeight="1">
      <c r="B1840" s="562"/>
      <c r="H1840" s="563"/>
      <c r="I1840" s="563"/>
      <c r="J1840" s="581"/>
      <c r="N1840" s="563"/>
      <c r="O1840" s="563"/>
      <c r="P1840" s="563"/>
    </row>
    <row r="1841" spans="2:16" ht="15.75" customHeight="1">
      <c r="B1841" s="562"/>
      <c r="H1841" s="563"/>
      <c r="I1841" s="563"/>
      <c r="J1841" s="581"/>
      <c r="N1841" s="563"/>
      <c r="O1841" s="563"/>
      <c r="P1841" s="563"/>
    </row>
    <row r="1842" spans="2:16" ht="15.75" customHeight="1">
      <c r="B1842" s="562"/>
      <c r="H1842" s="563"/>
      <c r="I1842" s="563"/>
      <c r="J1842" s="581"/>
      <c r="N1842" s="563"/>
      <c r="O1842" s="563"/>
      <c r="P1842" s="563"/>
    </row>
    <row r="1843" spans="2:16" ht="15.75" customHeight="1">
      <c r="B1843" s="562"/>
      <c r="H1843" s="563"/>
      <c r="I1843" s="563"/>
      <c r="J1843" s="581"/>
      <c r="N1843" s="563"/>
      <c r="O1843" s="563"/>
      <c r="P1843" s="563"/>
    </row>
    <row r="1844" spans="2:16" ht="15.75" customHeight="1">
      <c r="B1844" s="562"/>
      <c r="H1844" s="563"/>
      <c r="I1844" s="563"/>
      <c r="J1844" s="581"/>
      <c r="N1844" s="563"/>
      <c r="O1844" s="563"/>
      <c r="P1844" s="563"/>
    </row>
    <row r="1845" spans="2:16" ht="15.75" customHeight="1">
      <c r="B1845" s="562"/>
      <c r="H1845" s="563"/>
      <c r="I1845" s="563"/>
      <c r="J1845" s="581"/>
      <c r="N1845" s="563"/>
      <c r="O1845" s="563"/>
      <c r="P1845" s="563"/>
    </row>
    <row r="1846" spans="2:16" ht="15.75" customHeight="1">
      <c r="B1846" s="562"/>
      <c r="H1846" s="563"/>
      <c r="I1846" s="563"/>
      <c r="J1846" s="581"/>
      <c r="N1846" s="563"/>
      <c r="O1846" s="563"/>
      <c r="P1846" s="563"/>
    </row>
    <row r="1847" spans="2:16" ht="15.75" customHeight="1">
      <c r="B1847" s="562"/>
      <c r="H1847" s="563"/>
      <c r="I1847" s="563"/>
      <c r="J1847" s="581"/>
      <c r="N1847" s="563"/>
      <c r="O1847" s="563"/>
      <c r="P1847" s="563"/>
    </row>
    <row r="1848" spans="2:16" ht="15.75" customHeight="1">
      <c r="B1848" s="562"/>
      <c r="H1848" s="563"/>
      <c r="I1848" s="563"/>
      <c r="J1848" s="581"/>
      <c r="N1848" s="563"/>
      <c r="P1848" s="563"/>
    </row>
    <row r="1849" spans="2:16" ht="15.75" customHeight="1">
      <c r="B1849" s="562"/>
      <c r="H1849" s="563"/>
      <c r="I1849" s="563"/>
      <c r="J1849" s="581"/>
      <c r="N1849" s="563"/>
      <c r="P1849" s="563"/>
    </row>
    <row r="1850" spans="2:16" ht="15.75" customHeight="1">
      <c r="B1850" s="562"/>
      <c r="H1850" s="563"/>
      <c r="I1850" s="563"/>
      <c r="J1850" s="581"/>
      <c r="N1850" s="563"/>
      <c r="O1850" s="563"/>
      <c r="P1850" s="563"/>
    </row>
    <row r="1851" spans="2:16" ht="15.75" customHeight="1">
      <c r="B1851" s="562"/>
      <c r="H1851" s="563"/>
      <c r="I1851" s="563"/>
      <c r="J1851" s="581"/>
      <c r="N1851" s="563"/>
      <c r="O1851" s="563"/>
      <c r="P1851" s="563"/>
    </row>
    <row r="1852" spans="2:16" ht="15.75" customHeight="1">
      <c r="B1852" s="562"/>
      <c r="H1852" s="563"/>
      <c r="I1852" s="563"/>
      <c r="J1852" s="581"/>
      <c r="N1852" s="563"/>
      <c r="O1852" s="563"/>
      <c r="P1852" s="563"/>
    </row>
    <row r="1853" spans="2:16" ht="15.75" customHeight="1">
      <c r="B1853" s="562"/>
      <c r="H1853" s="563"/>
      <c r="I1853" s="563"/>
      <c r="J1853" s="581"/>
      <c r="N1853" s="563"/>
      <c r="O1853" s="563"/>
      <c r="P1853" s="563"/>
    </row>
    <row r="1854" spans="2:16" ht="15.75" customHeight="1">
      <c r="B1854" s="562"/>
      <c r="H1854" s="563"/>
      <c r="I1854" s="563"/>
      <c r="J1854" s="581"/>
      <c r="N1854" s="563"/>
      <c r="O1854" s="563"/>
      <c r="P1854" s="563"/>
    </row>
    <row r="1855" spans="2:16" ht="15.75" customHeight="1">
      <c r="B1855" s="562"/>
      <c r="H1855" s="563"/>
      <c r="I1855" s="563"/>
      <c r="J1855" s="581"/>
      <c r="N1855" s="563"/>
      <c r="O1855" s="563"/>
      <c r="P1855" s="563"/>
    </row>
    <row r="1856" spans="2:16" ht="15.75" customHeight="1">
      <c r="B1856" s="562"/>
      <c r="H1856" s="563"/>
      <c r="I1856" s="563"/>
      <c r="J1856" s="581"/>
      <c r="N1856" s="563"/>
      <c r="O1856" s="563"/>
      <c r="P1856" s="563"/>
    </row>
    <row r="1857" spans="2:16" ht="15.75" customHeight="1">
      <c r="B1857" s="562"/>
      <c r="H1857" s="563"/>
      <c r="I1857" s="563"/>
      <c r="J1857" s="581"/>
      <c r="N1857" s="563"/>
      <c r="O1857" s="563"/>
      <c r="P1857" s="563"/>
    </row>
    <row r="1858" spans="2:16" ht="15.75" customHeight="1">
      <c r="B1858" s="562"/>
      <c r="H1858" s="563"/>
      <c r="I1858" s="563"/>
      <c r="J1858" s="581"/>
      <c r="N1858" s="563"/>
      <c r="O1858" s="563"/>
      <c r="P1858" s="563"/>
    </row>
    <row r="1859" spans="2:16" ht="15.75" customHeight="1">
      <c r="B1859" s="562"/>
      <c r="H1859" s="563"/>
      <c r="I1859" s="563"/>
      <c r="J1859" s="581"/>
      <c r="N1859" s="563"/>
      <c r="O1859" s="563"/>
      <c r="P1859" s="563"/>
    </row>
    <row r="1860" spans="2:16" ht="15.75" customHeight="1">
      <c r="B1860" s="562"/>
      <c r="H1860" s="563"/>
      <c r="I1860" s="563"/>
      <c r="J1860" s="581"/>
      <c r="N1860" s="563"/>
      <c r="O1860" s="563"/>
      <c r="P1860" s="563"/>
    </row>
    <row r="1861" spans="2:16" ht="15.75" customHeight="1">
      <c r="B1861" s="562"/>
      <c r="H1861" s="563"/>
      <c r="I1861" s="563"/>
      <c r="J1861" s="581"/>
      <c r="N1861" s="563"/>
      <c r="O1861" s="563"/>
      <c r="P1861" s="563"/>
    </row>
    <row r="1862" spans="2:16" ht="15.75" customHeight="1">
      <c r="B1862" s="562"/>
      <c r="H1862" s="563"/>
      <c r="I1862" s="563"/>
      <c r="J1862" s="581"/>
      <c r="N1862" s="563"/>
      <c r="O1862" s="563"/>
      <c r="P1862" s="563"/>
    </row>
    <row r="1863" spans="2:16" ht="15.75" customHeight="1">
      <c r="B1863" s="562"/>
      <c r="H1863" s="563"/>
      <c r="I1863" s="563"/>
      <c r="J1863" s="581"/>
      <c r="N1863" s="563"/>
      <c r="O1863" s="563"/>
      <c r="P1863" s="563"/>
    </row>
    <row r="1864" spans="2:16" ht="15.75" customHeight="1">
      <c r="B1864" s="562"/>
      <c r="H1864" s="563"/>
      <c r="I1864" s="563"/>
      <c r="J1864" s="581"/>
      <c r="N1864" s="563"/>
      <c r="O1864" s="563"/>
      <c r="P1864" s="563"/>
    </row>
    <row r="1865" spans="2:16" ht="15.75" customHeight="1">
      <c r="B1865" s="562"/>
      <c r="H1865" s="563"/>
      <c r="I1865" s="563"/>
      <c r="J1865" s="581"/>
      <c r="N1865" s="563"/>
      <c r="O1865" s="563"/>
      <c r="P1865" s="563"/>
    </row>
    <row r="1866" spans="2:16" ht="15.75" customHeight="1">
      <c r="B1866" s="562"/>
      <c r="H1866" s="563"/>
      <c r="I1866" s="563"/>
      <c r="J1866" s="581"/>
      <c r="N1866" s="563"/>
      <c r="O1866" s="563"/>
      <c r="P1866" s="563"/>
    </row>
    <row r="1867" spans="2:16" ht="15.75" customHeight="1">
      <c r="B1867" s="562"/>
      <c r="H1867" s="563"/>
      <c r="I1867" s="563"/>
      <c r="J1867" s="581"/>
      <c r="N1867" s="563"/>
      <c r="O1867" s="563"/>
      <c r="P1867" s="563"/>
    </row>
    <row r="1868" spans="2:16" ht="15.75" customHeight="1">
      <c r="B1868" s="562"/>
      <c r="H1868" s="563"/>
      <c r="I1868" s="563"/>
      <c r="J1868" s="581"/>
      <c r="N1868" s="563"/>
      <c r="O1868" s="563"/>
      <c r="P1868" s="563"/>
    </row>
    <row r="1869" spans="2:16" ht="15.75" customHeight="1">
      <c r="B1869" s="562"/>
      <c r="H1869" s="563"/>
      <c r="I1869" s="563"/>
      <c r="J1869" s="581"/>
      <c r="N1869" s="563"/>
      <c r="O1869" s="563"/>
      <c r="P1869" s="563"/>
    </row>
    <row r="1870" spans="2:16" ht="15.75" customHeight="1">
      <c r="B1870" s="562"/>
      <c r="H1870" s="563"/>
      <c r="I1870" s="563"/>
      <c r="J1870" s="581"/>
      <c r="N1870" s="563"/>
      <c r="O1870" s="563"/>
      <c r="P1870" s="563"/>
    </row>
    <row r="1871" spans="2:16" ht="15.75" customHeight="1">
      <c r="B1871" s="562"/>
      <c r="H1871" s="563"/>
      <c r="I1871" s="563"/>
      <c r="J1871" s="581"/>
      <c r="N1871" s="563"/>
      <c r="O1871" s="563"/>
      <c r="P1871" s="563"/>
    </row>
    <row r="1872" spans="2:16" ht="15.75" customHeight="1">
      <c r="B1872" s="562"/>
      <c r="H1872" s="563"/>
      <c r="I1872" s="563"/>
      <c r="J1872" s="581"/>
      <c r="N1872" s="563"/>
      <c r="O1872" s="563"/>
      <c r="P1872" s="563"/>
    </row>
    <row r="1873" spans="2:16" ht="15.75" customHeight="1">
      <c r="B1873" s="562"/>
      <c r="H1873" s="563"/>
      <c r="I1873" s="563"/>
      <c r="J1873" s="581"/>
      <c r="N1873" s="563"/>
      <c r="O1873" s="563"/>
      <c r="P1873" s="563"/>
    </row>
    <row r="1874" spans="2:16" ht="15.75" customHeight="1">
      <c r="B1874" s="562"/>
      <c r="H1874" s="563"/>
      <c r="I1874" s="563"/>
      <c r="J1874" s="581"/>
      <c r="N1874" s="563"/>
      <c r="O1874" s="563"/>
      <c r="P1874" s="563"/>
    </row>
    <row r="1875" spans="2:16" ht="15.75" customHeight="1">
      <c r="B1875" s="562"/>
      <c r="H1875" s="563"/>
      <c r="I1875" s="563"/>
      <c r="J1875" s="581"/>
      <c r="N1875" s="563"/>
      <c r="O1875" s="563"/>
      <c r="P1875" s="563"/>
    </row>
    <row r="1876" spans="2:16" ht="15.75" customHeight="1">
      <c r="B1876" s="562"/>
      <c r="H1876" s="563"/>
      <c r="I1876" s="563"/>
      <c r="J1876" s="581"/>
      <c r="N1876" s="563"/>
      <c r="O1876" s="563"/>
      <c r="P1876" s="563"/>
    </row>
    <row r="1877" spans="2:16" ht="15.75" customHeight="1">
      <c r="B1877" s="562"/>
      <c r="H1877" s="563"/>
      <c r="I1877" s="563"/>
      <c r="J1877" s="581"/>
      <c r="N1877" s="563"/>
      <c r="O1877" s="563"/>
      <c r="P1877" s="563"/>
    </row>
    <row r="1878" spans="2:16" ht="15.75" customHeight="1">
      <c r="B1878" s="562"/>
      <c r="H1878" s="563"/>
      <c r="I1878" s="563"/>
      <c r="J1878" s="581"/>
      <c r="N1878" s="563"/>
      <c r="O1878" s="563"/>
      <c r="P1878" s="563"/>
    </row>
    <row r="1879" spans="2:16" ht="15.75" customHeight="1">
      <c r="B1879" s="562"/>
      <c r="H1879" s="563"/>
      <c r="I1879" s="563"/>
      <c r="J1879" s="581"/>
      <c r="N1879" s="563"/>
      <c r="O1879" s="563"/>
      <c r="P1879" s="563"/>
    </row>
    <row r="1880" spans="2:16" ht="15.75" customHeight="1">
      <c r="B1880" s="562"/>
      <c r="H1880" s="563"/>
      <c r="I1880" s="563"/>
      <c r="J1880" s="581"/>
      <c r="N1880" s="563"/>
      <c r="O1880" s="563"/>
      <c r="P1880" s="563"/>
    </row>
    <row r="1881" spans="2:16" ht="15.75" customHeight="1">
      <c r="B1881" s="562"/>
      <c r="H1881" s="563"/>
      <c r="I1881" s="563"/>
      <c r="J1881" s="581"/>
      <c r="N1881" s="563"/>
      <c r="O1881" s="563"/>
      <c r="P1881" s="563"/>
    </row>
    <row r="1882" spans="2:16" ht="15.75" customHeight="1">
      <c r="B1882" s="562"/>
      <c r="H1882" s="563"/>
      <c r="I1882" s="563"/>
      <c r="J1882" s="581"/>
      <c r="N1882" s="563"/>
      <c r="O1882" s="563"/>
      <c r="P1882" s="563"/>
    </row>
    <row r="1883" spans="2:16" ht="15.75" customHeight="1">
      <c r="B1883" s="562"/>
      <c r="H1883" s="563"/>
      <c r="I1883" s="563"/>
      <c r="J1883" s="581"/>
      <c r="N1883" s="563"/>
      <c r="O1883" s="563"/>
      <c r="P1883" s="563"/>
    </row>
    <row r="1884" spans="2:16" ht="15.75" customHeight="1">
      <c r="B1884" s="562"/>
      <c r="H1884" s="563"/>
      <c r="I1884" s="563"/>
      <c r="J1884" s="581"/>
      <c r="N1884" s="563"/>
      <c r="O1884" s="563"/>
      <c r="P1884" s="563"/>
    </row>
    <row r="1885" spans="2:16" ht="15.75" customHeight="1">
      <c r="B1885" s="562"/>
      <c r="H1885" s="563"/>
      <c r="I1885" s="563"/>
      <c r="J1885" s="581"/>
      <c r="N1885" s="563"/>
      <c r="O1885" s="563"/>
      <c r="P1885" s="563"/>
    </row>
    <row r="1886" spans="2:16" ht="15.75" customHeight="1">
      <c r="B1886" s="562"/>
      <c r="H1886" s="563"/>
      <c r="I1886" s="563"/>
      <c r="J1886" s="581"/>
      <c r="N1886" s="563"/>
      <c r="O1886" s="563"/>
      <c r="P1886" s="563"/>
    </row>
    <row r="1887" spans="2:16" ht="15.75" customHeight="1">
      <c r="B1887" s="562"/>
      <c r="H1887" s="563"/>
      <c r="I1887" s="563"/>
      <c r="J1887" s="581"/>
      <c r="N1887" s="563"/>
      <c r="O1887" s="563"/>
      <c r="P1887" s="563"/>
    </row>
    <row r="1888" spans="2:16" ht="15.75" customHeight="1">
      <c r="B1888" s="562"/>
      <c r="H1888" s="563"/>
      <c r="N1888" s="563"/>
      <c r="O1888" s="563"/>
      <c r="P1888" s="563"/>
    </row>
    <row r="1889" spans="2:16" ht="15.75" customHeight="1">
      <c r="B1889" s="562"/>
      <c r="H1889" s="563"/>
      <c r="I1889" s="563"/>
      <c r="J1889" s="581"/>
      <c r="N1889" s="563"/>
      <c r="O1889" s="563"/>
      <c r="P1889" s="563"/>
    </row>
    <row r="1890" spans="2:16" ht="15.75" customHeight="1">
      <c r="B1890" s="562"/>
      <c r="N1890" s="563"/>
      <c r="O1890" s="563"/>
      <c r="P1890" s="563"/>
    </row>
    <row r="1891" spans="2:16" ht="15.75" customHeight="1">
      <c r="B1891" s="562"/>
      <c r="N1891" s="563"/>
      <c r="O1891" s="563"/>
      <c r="P1891" s="563"/>
    </row>
    <row r="1892" spans="2:16" ht="15.75" customHeight="1">
      <c r="B1892" s="562"/>
      <c r="N1892" s="563"/>
      <c r="O1892" s="563"/>
      <c r="P1892" s="563"/>
    </row>
    <row r="1893" spans="2:16" ht="15.75" customHeight="1">
      <c r="B1893" s="562"/>
      <c r="N1893" s="563"/>
      <c r="O1893" s="563"/>
      <c r="P1893" s="563"/>
    </row>
    <row r="1894" spans="2:16" ht="15.75" customHeight="1">
      <c r="B1894" s="562"/>
      <c r="N1894" s="563"/>
      <c r="O1894" s="563"/>
      <c r="P1894" s="563"/>
    </row>
    <row r="1895" spans="2:16" ht="15.75" customHeight="1">
      <c r="B1895" s="562"/>
      <c r="N1895" s="563"/>
      <c r="O1895" s="563"/>
      <c r="P1895" s="563"/>
    </row>
    <row r="1896" spans="2:16" ht="15.75" customHeight="1">
      <c r="B1896" s="562"/>
      <c r="N1896" s="563"/>
      <c r="O1896" s="563"/>
      <c r="P1896" s="563"/>
    </row>
    <row r="1897" spans="2:16" ht="15.75" customHeight="1">
      <c r="B1897" s="562"/>
      <c r="H1897" s="563"/>
      <c r="I1897" s="563"/>
      <c r="J1897" s="581"/>
      <c r="N1897" s="563"/>
      <c r="O1897" s="563"/>
      <c r="P1897" s="563"/>
    </row>
    <row r="1898" spans="2:16" ht="15.75" customHeight="1">
      <c r="B1898" s="562"/>
      <c r="H1898" s="563"/>
      <c r="I1898" s="563"/>
      <c r="J1898" s="581"/>
      <c r="N1898" s="563"/>
      <c r="O1898" s="563"/>
      <c r="P1898" s="563"/>
    </row>
    <row r="1899" spans="2:16" ht="15.75" customHeight="1">
      <c r="B1899" s="562"/>
      <c r="H1899" s="563"/>
      <c r="I1899" s="563"/>
      <c r="J1899" s="581"/>
      <c r="N1899" s="563"/>
      <c r="O1899" s="563"/>
      <c r="P1899" s="563"/>
    </row>
    <row r="1900" spans="2:16" ht="15.75" customHeight="1">
      <c r="B1900" s="562"/>
      <c r="H1900" s="563"/>
      <c r="I1900" s="563"/>
      <c r="J1900" s="581"/>
      <c r="N1900" s="563"/>
      <c r="O1900" s="563"/>
      <c r="P1900" s="563"/>
    </row>
    <row r="1901" spans="2:16" ht="15.75" customHeight="1">
      <c r="B1901" s="562"/>
      <c r="H1901" s="563"/>
      <c r="I1901" s="563"/>
      <c r="J1901" s="581"/>
      <c r="N1901" s="563"/>
      <c r="O1901" s="563"/>
      <c r="P1901" s="563"/>
    </row>
    <row r="1902" spans="2:16" ht="15.75" customHeight="1">
      <c r="B1902" s="562"/>
      <c r="H1902" s="563"/>
      <c r="I1902" s="563"/>
      <c r="J1902" s="581"/>
      <c r="N1902" s="563"/>
      <c r="O1902" s="563"/>
      <c r="P1902" s="563"/>
    </row>
    <row r="1903" spans="2:16" ht="15.75" customHeight="1">
      <c r="B1903" s="562"/>
      <c r="H1903" s="563"/>
      <c r="I1903" s="563"/>
      <c r="J1903" s="581"/>
      <c r="N1903" s="563"/>
      <c r="O1903" s="563"/>
      <c r="P1903" s="563"/>
    </row>
    <row r="1904" spans="2:16" ht="15.75" customHeight="1">
      <c r="B1904" s="562"/>
      <c r="H1904" s="563"/>
      <c r="I1904" s="563"/>
      <c r="J1904" s="581"/>
      <c r="N1904" s="563"/>
      <c r="O1904" s="563"/>
      <c r="P1904" s="563"/>
    </row>
    <row r="1905" spans="2:16" ht="15.75" customHeight="1">
      <c r="B1905" s="562"/>
      <c r="H1905" s="563"/>
      <c r="I1905" s="563"/>
      <c r="J1905" s="581"/>
      <c r="N1905" s="563"/>
      <c r="O1905" s="563"/>
      <c r="P1905" s="563"/>
    </row>
    <row r="1906" spans="2:16" ht="15.75" customHeight="1">
      <c r="B1906" s="562"/>
      <c r="N1906" s="563"/>
      <c r="O1906" s="563"/>
      <c r="P1906" s="563"/>
    </row>
    <row r="1907" spans="2:16" ht="15.75" customHeight="1">
      <c r="B1907" s="562"/>
      <c r="N1907" s="563"/>
      <c r="O1907" s="563"/>
      <c r="P1907" s="563"/>
    </row>
    <row r="1908" spans="2:16" ht="15.75" customHeight="1">
      <c r="B1908" s="562"/>
      <c r="H1908" s="563"/>
      <c r="N1908" s="563"/>
      <c r="O1908" s="563"/>
      <c r="P1908" s="563"/>
    </row>
    <row r="1909" spans="2:16" ht="15.75" customHeight="1">
      <c r="B1909" s="562"/>
      <c r="H1909" s="563"/>
      <c r="I1909" s="563"/>
      <c r="J1909" s="581"/>
      <c r="N1909" s="563"/>
      <c r="O1909" s="563"/>
      <c r="P1909" s="563"/>
    </row>
    <row r="1910" spans="2:16" ht="15.75" customHeight="1">
      <c r="B1910" s="562"/>
      <c r="H1910" s="563"/>
      <c r="I1910" s="563"/>
      <c r="J1910" s="581"/>
      <c r="N1910" s="563"/>
      <c r="O1910" s="563"/>
      <c r="P1910" s="563"/>
    </row>
    <row r="1911" spans="2:16" ht="15.75" customHeight="1">
      <c r="B1911" s="562"/>
      <c r="H1911" s="563"/>
      <c r="I1911" s="563"/>
      <c r="J1911" s="581"/>
      <c r="N1911" s="563"/>
      <c r="O1911" s="563"/>
      <c r="P1911" s="563"/>
    </row>
    <row r="1912" spans="2:16" ht="15.75" customHeight="1">
      <c r="B1912" s="562"/>
      <c r="H1912" s="563"/>
      <c r="I1912" s="563"/>
      <c r="J1912" s="581"/>
      <c r="N1912" s="563"/>
      <c r="O1912" s="563"/>
      <c r="P1912" s="563"/>
    </row>
    <row r="1913" spans="2:16" ht="15.75" customHeight="1">
      <c r="B1913" s="562"/>
      <c r="H1913" s="563"/>
      <c r="I1913" s="563"/>
      <c r="J1913" s="581"/>
      <c r="N1913" s="563"/>
      <c r="O1913" s="563"/>
      <c r="P1913" s="563"/>
    </row>
    <row r="1914" spans="2:16" ht="15.75" customHeight="1">
      <c r="B1914" s="562"/>
      <c r="H1914" s="563"/>
      <c r="I1914" s="563"/>
      <c r="J1914" s="581"/>
      <c r="N1914" s="563"/>
      <c r="O1914" s="563"/>
      <c r="P1914" s="563"/>
    </row>
    <row r="1915" spans="2:16" ht="15.75" customHeight="1">
      <c r="B1915" s="562"/>
      <c r="H1915" s="563"/>
      <c r="I1915" s="563"/>
      <c r="J1915" s="581"/>
      <c r="N1915" s="563"/>
      <c r="O1915" s="563"/>
      <c r="P1915" s="563"/>
    </row>
    <row r="1916" spans="2:16" ht="15.75" customHeight="1">
      <c r="B1916" s="562"/>
      <c r="H1916" s="563"/>
      <c r="I1916" s="563"/>
      <c r="J1916" s="581"/>
      <c r="N1916" s="563"/>
      <c r="O1916" s="563"/>
      <c r="P1916" s="563"/>
    </row>
    <row r="1917" spans="2:16" ht="15.75" customHeight="1">
      <c r="B1917" s="562"/>
      <c r="H1917" s="563"/>
      <c r="I1917" s="563"/>
      <c r="J1917" s="581"/>
      <c r="N1917" s="563"/>
      <c r="O1917" s="563"/>
      <c r="P1917" s="563"/>
    </row>
    <row r="1918" spans="2:16" ht="15.75" customHeight="1">
      <c r="B1918" s="562"/>
      <c r="H1918" s="563"/>
      <c r="I1918" s="563"/>
      <c r="J1918" s="581"/>
      <c r="N1918" s="563"/>
      <c r="O1918" s="563"/>
      <c r="P1918" s="563"/>
    </row>
    <row r="1919" spans="2:16" ht="15.75" customHeight="1">
      <c r="B1919" s="562"/>
      <c r="H1919" s="563"/>
      <c r="I1919" s="563"/>
      <c r="J1919" s="581"/>
      <c r="N1919" s="563"/>
      <c r="O1919" s="563"/>
      <c r="P1919" s="563"/>
    </row>
    <row r="1920" spans="2:16" ht="15.75" customHeight="1">
      <c r="B1920" s="562"/>
      <c r="H1920" s="563"/>
      <c r="I1920" s="563"/>
      <c r="J1920" s="581"/>
      <c r="N1920" s="563"/>
      <c r="O1920" s="563"/>
      <c r="P1920" s="563"/>
    </row>
    <row r="1921" spans="2:16" ht="15.75" customHeight="1">
      <c r="B1921" s="562"/>
      <c r="H1921" s="563"/>
      <c r="I1921" s="563"/>
      <c r="J1921" s="581"/>
      <c r="N1921" s="563"/>
      <c r="O1921" s="563"/>
      <c r="P1921" s="563"/>
    </row>
    <row r="1922" spans="2:16" ht="15.75" customHeight="1">
      <c r="B1922" s="562"/>
      <c r="H1922" s="563"/>
      <c r="I1922" s="563"/>
      <c r="J1922" s="581"/>
      <c r="N1922" s="563"/>
      <c r="O1922" s="563"/>
      <c r="P1922" s="563"/>
    </row>
    <row r="1923" spans="2:16" ht="15.75" customHeight="1">
      <c r="B1923" s="562"/>
      <c r="H1923" s="563"/>
      <c r="I1923" s="563"/>
      <c r="J1923" s="581"/>
      <c r="N1923" s="563"/>
      <c r="O1923" s="563"/>
      <c r="P1923" s="563"/>
    </row>
    <row r="1924" spans="2:16" ht="15.75" customHeight="1">
      <c r="B1924" s="562"/>
      <c r="H1924" s="563"/>
      <c r="I1924" s="563"/>
      <c r="J1924" s="581"/>
      <c r="N1924" s="563"/>
      <c r="O1924" s="563"/>
      <c r="P1924" s="563"/>
    </row>
    <row r="1925" spans="2:16" ht="15.75" customHeight="1">
      <c r="B1925" s="562"/>
      <c r="H1925" s="563"/>
      <c r="I1925" s="563"/>
      <c r="J1925" s="581"/>
      <c r="N1925" s="563"/>
      <c r="O1925" s="563"/>
      <c r="P1925" s="563"/>
    </row>
    <row r="1926" spans="2:16" ht="15.75" customHeight="1">
      <c r="B1926" s="562"/>
      <c r="H1926" s="563"/>
      <c r="I1926" s="563"/>
      <c r="J1926" s="581"/>
      <c r="N1926" s="563"/>
      <c r="O1926" s="563"/>
      <c r="P1926" s="563"/>
    </row>
    <row r="1927" spans="2:16" ht="15.75" customHeight="1">
      <c r="B1927" s="562"/>
      <c r="H1927" s="563"/>
      <c r="I1927" s="563"/>
      <c r="J1927" s="581"/>
      <c r="N1927" s="563"/>
      <c r="O1927" s="563"/>
      <c r="P1927" s="563"/>
    </row>
    <row r="1928" spans="2:16" ht="15.75" customHeight="1">
      <c r="B1928" s="562"/>
      <c r="H1928" s="563"/>
      <c r="I1928" s="563"/>
      <c r="J1928" s="581"/>
      <c r="N1928" s="563"/>
      <c r="O1928" s="563"/>
      <c r="P1928" s="563"/>
    </row>
    <row r="1929" spans="2:16" ht="15.75" customHeight="1">
      <c r="B1929" s="562"/>
      <c r="H1929" s="563"/>
      <c r="I1929" s="563"/>
      <c r="J1929" s="581"/>
      <c r="N1929" s="563"/>
      <c r="O1929" s="563"/>
      <c r="P1929" s="563"/>
    </row>
    <row r="1930" spans="2:16" ht="15.75" customHeight="1">
      <c r="B1930" s="562"/>
      <c r="H1930" s="563"/>
      <c r="I1930" s="563"/>
      <c r="J1930" s="581"/>
      <c r="N1930" s="563"/>
      <c r="O1930" s="563"/>
      <c r="P1930" s="563"/>
    </row>
    <row r="1931" spans="2:16" ht="15.75" customHeight="1">
      <c r="B1931" s="562"/>
      <c r="H1931" s="563"/>
      <c r="I1931" s="563"/>
      <c r="J1931" s="581"/>
      <c r="N1931" s="563"/>
      <c r="O1931" s="563"/>
      <c r="P1931" s="563"/>
    </row>
    <row r="1932" spans="2:16" ht="15.75" customHeight="1">
      <c r="B1932" s="562"/>
      <c r="H1932" s="563"/>
      <c r="I1932" s="563"/>
      <c r="J1932" s="581"/>
      <c r="N1932" s="563"/>
      <c r="O1932" s="563"/>
      <c r="P1932" s="563"/>
    </row>
    <row r="1933" spans="2:16" ht="15.75" customHeight="1">
      <c r="B1933" s="562"/>
      <c r="H1933" s="563"/>
      <c r="I1933" s="563"/>
      <c r="J1933" s="581"/>
      <c r="N1933" s="563"/>
      <c r="O1933" s="563"/>
      <c r="P1933" s="563"/>
    </row>
    <row r="1934" spans="2:16" ht="15.75" customHeight="1">
      <c r="B1934" s="562"/>
      <c r="H1934" s="563"/>
      <c r="I1934" s="563"/>
      <c r="J1934" s="581"/>
      <c r="N1934" s="563"/>
      <c r="O1934" s="563"/>
      <c r="P1934" s="563"/>
    </row>
    <row r="1935" spans="2:16" ht="15.75" customHeight="1">
      <c r="B1935" s="562"/>
      <c r="H1935" s="563"/>
      <c r="I1935" s="563"/>
      <c r="J1935" s="581"/>
      <c r="N1935" s="563"/>
      <c r="O1935" s="563"/>
      <c r="P1935" s="563"/>
    </row>
    <row r="1936" spans="2:16" ht="15.75" customHeight="1">
      <c r="B1936" s="562"/>
      <c r="H1936" s="563"/>
      <c r="I1936" s="563"/>
      <c r="J1936" s="581"/>
      <c r="N1936" s="563"/>
      <c r="O1936" s="563"/>
      <c r="P1936" s="563"/>
    </row>
    <row r="1937" spans="2:16" ht="15.75" customHeight="1">
      <c r="B1937" s="562"/>
      <c r="H1937" s="563"/>
      <c r="I1937" s="563"/>
      <c r="J1937" s="581"/>
      <c r="N1937" s="563"/>
      <c r="O1937" s="563"/>
      <c r="P1937" s="563"/>
    </row>
    <row r="1938" spans="2:16" ht="15.75" customHeight="1">
      <c r="B1938" s="562"/>
      <c r="H1938" s="563"/>
      <c r="I1938" s="563"/>
      <c r="J1938" s="581"/>
      <c r="N1938" s="563"/>
      <c r="O1938" s="563"/>
      <c r="P1938" s="563"/>
    </row>
    <row r="1939" spans="2:16" ht="15.75" customHeight="1">
      <c r="B1939" s="562"/>
      <c r="H1939" s="563"/>
      <c r="I1939" s="563"/>
      <c r="J1939" s="581"/>
      <c r="N1939" s="563"/>
      <c r="O1939" s="563"/>
      <c r="P1939" s="563"/>
    </row>
    <row r="1940" spans="2:16" ht="15.75" customHeight="1">
      <c r="B1940" s="562"/>
      <c r="H1940" s="563"/>
      <c r="I1940" s="563"/>
      <c r="J1940" s="581"/>
      <c r="N1940" s="563"/>
      <c r="O1940" s="563"/>
      <c r="P1940" s="563"/>
    </row>
    <row r="1941" spans="2:16" ht="15.75" customHeight="1">
      <c r="B1941" s="562"/>
      <c r="H1941" s="563"/>
      <c r="I1941" s="563"/>
      <c r="J1941" s="581"/>
      <c r="N1941" s="563"/>
      <c r="O1941" s="563"/>
      <c r="P1941" s="563"/>
    </row>
    <row r="1942" spans="2:16" ht="15.75" customHeight="1">
      <c r="B1942" s="562"/>
      <c r="H1942" s="563"/>
      <c r="I1942" s="563"/>
      <c r="J1942" s="581"/>
      <c r="N1942" s="563"/>
      <c r="O1942" s="563"/>
      <c r="P1942" s="563"/>
    </row>
    <row r="1943" spans="2:16" ht="15.75" customHeight="1">
      <c r="B1943" s="562"/>
      <c r="H1943" s="563"/>
      <c r="I1943" s="563"/>
      <c r="J1943" s="581"/>
      <c r="N1943" s="563"/>
      <c r="O1943" s="563"/>
      <c r="P1943" s="563"/>
    </row>
    <row r="1944" spans="2:16" ht="15.75" customHeight="1">
      <c r="B1944" s="562"/>
      <c r="H1944" s="563"/>
      <c r="I1944" s="563"/>
      <c r="J1944" s="581"/>
      <c r="N1944" s="563"/>
      <c r="O1944" s="563"/>
      <c r="P1944" s="563"/>
    </row>
    <row r="1945" spans="2:16" ht="15.75" customHeight="1">
      <c r="B1945" s="562"/>
      <c r="H1945" s="563"/>
      <c r="I1945" s="563"/>
      <c r="J1945" s="581"/>
      <c r="N1945" s="563"/>
      <c r="O1945" s="563"/>
      <c r="P1945" s="563"/>
    </row>
    <row r="1946" spans="2:16" ht="15.75" customHeight="1">
      <c r="B1946" s="562"/>
      <c r="H1946" s="563"/>
      <c r="I1946" s="563"/>
      <c r="J1946" s="581"/>
      <c r="N1946" s="563"/>
      <c r="O1946" s="563"/>
      <c r="P1946" s="563"/>
    </row>
    <row r="1947" spans="2:16" ht="15.75" customHeight="1">
      <c r="B1947" s="562"/>
      <c r="H1947" s="563"/>
      <c r="I1947" s="563"/>
      <c r="J1947" s="581"/>
      <c r="N1947" s="563"/>
      <c r="O1947" s="563"/>
      <c r="P1947" s="563"/>
    </row>
    <row r="1948" spans="2:16" ht="15.75" customHeight="1">
      <c r="B1948" s="562"/>
      <c r="H1948" s="563"/>
      <c r="I1948" s="563"/>
      <c r="J1948" s="581"/>
      <c r="N1948" s="563"/>
      <c r="O1948" s="563"/>
      <c r="P1948" s="563"/>
    </row>
    <row r="1949" spans="2:16" ht="15.75" customHeight="1">
      <c r="B1949" s="562"/>
      <c r="H1949" s="563"/>
      <c r="I1949" s="563"/>
      <c r="J1949" s="581"/>
      <c r="N1949" s="563"/>
      <c r="O1949" s="563"/>
      <c r="P1949" s="563"/>
    </row>
    <row r="1950" spans="2:16" ht="15.75" customHeight="1">
      <c r="B1950" s="562"/>
      <c r="H1950" s="563"/>
      <c r="I1950" s="563"/>
      <c r="J1950" s="581"/>
      <c r="N1950" s="563"/>
      <c r="O1950" s="563"/>
      <c r="P1950" s="563"/>
    </row>
    <row r="1951" spans="2:16" ht="15.75" customHeight="1">
      <c r="B1951" s="562"/>
      <c r="H1951" s="563"/>
      <c r="I1951" s="563"/>
      <c r="J1951" s="581"/>
      <c r="N1951" s="563"/>
      <c r="O1951" s="563"/>
      <c r="P1951" s="563"/>
    </row>
    <row r="1952" spans="2:16" ht="15.75" customHeight="1">
      <c r="B1952" s="562"/>
      <c r="H1952" s="563"/>
      <c r="I1952" s="563"/>
      <c r="J1952" s="581"/>
      <c r="N1952" s="563"/>
      <c r="O1952" s="563"/>
      <c r="P1952" s="563"/>
    </row>
    <row r="1953" spans="2:16" ht="15.75" customHeight="1">
      <c r="B1953" s="562"/>
      <c r="H1953" s="563"/>
      <c r="I1953" s="563"/>
      <c r="J1953" s="581"/>
      <c r="N1953" s="563"/>
      <c r="O1953" s="563"/>
      <c r="P1953" s="563"/>
    </row>
    <row r="1954" spans="2:16" ht="15.75" customHeight="1">
      <c r="B1954" s="562"/>
      <c r="N1954" s="563"/>
      <c r="O1954" s="563"/>
      <c r="P1954" s="563"/>
    </row>
    <row r="1955" spans="2:16" ht="15.75" customHeight="1">
      <c r="B1955" s="562"/>
      <c r="N1955" s="563"/>
      <c r="O1955" s="563"/>
      <c r="P1955" s="563"/>
    </row>
    <row r="1956" spans="2:16" ht="15.75" customHeight="1">
      <c r="B1956" s="562"/>
      <c r="N1956" s="563"/>
      <c r="O1956" s="563"/>
      <c r="P1956" s="563"/>
    </row>
    <row r="1957" spans="2:16" ht="15.75" customHeight="1">
      <c r="B1957" s="562"/>
      <c r="N1957" s="563"/>
      <c r="O1957" s="563"/>
      <c r="P1957" s="563"/>
    </row>
    <row r="1958" spans="2:16" ht="15.75" customHeight="1">
      <c r="B1958" s="562"/>
      <c r="H1958" s="563"/>
      <c r="I1958" s="563"/>
      <c r="J1958" s="581"/>
      <c r="N1958" s="563"/>
      <c r="O1958" s="563"/>
      <c r="P1958" s="563"/>
    </row>
    <row r="1959" spans="2:16" ht="15.75" customHeight="1">
      <c r="B1959" s="562"/>
      <c r="H1959" s="563"/>
      <c r="I1959" s="563"/>
      <c r="J1959" s="581"/>
      <c r="N1959" s="563"/>
      <c r="O1959" s="563"/>
      <c r="P1959" s="563"/>
    </row>
    <row r="1960" spans="2:16" ht="15.75" customHeight="1">
      <c r="B1960" s="562"/>
      <c r="H1960" s="563"/>
      <c r="I1960" s="563"/>
      <c r="J1960" s="581"/>
      <c r="N1960" s="563"/>
      <c r="O1960" s="563"/>
      <c r="P1960" s="563"/>
    </row>
    <row r="1961" spans="2:16" ht="15.75" customHeight="1">
      <c r="B1961" s="562"/>
      <c r="H1961" s="563"/>
      <c r="I1961" s="563"/>
      <c r="J1961" s="581"/>
      <c r="N1961" s="563"/>
      <c r="O1961" s="563"/>
      <c r="P1961" s="563"/>
    </row>
    <row r="1962" spans="2:16" ht="15.75" customHeight="1">
      <c r="B1962" s="562"/>
      <c r="H1962" s="563"/>
      <c r="I1962" s="563"/>
      <c r="J1962" s="581"/>
      <c r="N1962" s="563"/>
      <c r="O1962" s="563"/>
      <c r="P1962" s="563"/>
    </row>
    <row r="1963" spans="2:16" ht="15.75" customHeight="1">
      <c r="B1963" s="562"/>
      <c r="N1963" s="563"/>
      <c r="O1963" s="563"/>
      <c r="P1963" s="563"/>
    </row>
    <row r="1964" spans="2:16" ht="15.75" customHeight="1">
      <c r="B1964" s="562"/>
      <c r="N1964" s="563"/>
      <c r="O1964" s="563"/>
      <c r="P1964" s="563"/>
    </row>
    <row r="1965" spans="2:16" ht="15.75" customHeight="1">
      <c r="B1965" s="562"/>
      <c r="H1965" s="563"/>
      <c r="I1965" s="563"/>
      <c r="J1965" s="581"/>
      <c r="N1965" s="563"/>
      <c r="O1965" s="563"/>
      <c r="P1965" s="563"/>
    </row>
    <row r="1966" spans="2:16" ht="15.75" customHeight="1">
      <c r="B1966" s="562"/>
      <c r="H1966" s="563"/>
      <c r="I1966" s="563"/>
      <c r="J1966" s="581"/>
      <c r="N1966" s="563"/>
      <c r="O1966" s="563"/>
      <c r="P1966" s="563"/>
    </row>
    <row r="1967" spans="2:16" ht="15.75" customHeight="1">
      <c r="B1967" s="562"/>
      <c r="N1967" s="563"/>
      <c r="O1967" s="563"/>
      <c r="P1967" s="563"/>
    </row>
    <row r="1968" spans="2:16" ht="15.75" customHeight="1">
      <c r="B1968" s="562"/>
      <c r="N1968" s="563"/>
      <c r="O1968" s="563"/>
      <c r="P1968" s="563"/>
    </row>
    <row r="1969" spans="2:16" ht="15.75" customHeight="1">
      <c r="B1969" s="562"/>
      <c r="N1969" s="563"/>
      <c r="O1969" s="563"/>
      <c r="P1969" s="563"/>
    </row>
    <row r="1970" spans="2:16" ht="15.75" customHeight="1">
      <c r="B1970" s="562"/>
      <c r="N1970" s="563"/>
      <c r="O1970" s="563"/>
      <c r="P1970" s="563"/>
    </row>
    <row r="1971" spans="2:16" ht="15.75" customHeight="1">
      <c r="B1971" s="562"/>
      <c r="N1971" s="563"/>
      <c r="O1971" s="563"/>
      <c r="P1971" s="563"/>
    </row>
    <row r="1972" spans="2:16" ht="15.75" customHeight="1">
      <c r="B1972" s="562"/>
      <c r="N1972" s="563"/>
      <c r="O1972" s="563"/>
      <c r="P1972" s="563"/>
    </row>
    <row r="1973" spans="2:16" ht="15.75" customHeight="1">
      <c r="B1973" s="562"/>
      <c r="N1973" s="563"/>
      <c r="O1973" s="563"/>
      <c r="P1973" s="563"/>
    </row>
    <row r="1974" spans="2:16" ht="15.75" customHeight="1">
      <c r="B1974" s="562"/>
      <c r="N1974" s="563"/>
      <c r="O1974" s="563"/>
      <c r="P1974" s="563"/>
    </row>
    <row r="1975" spans="2:16" ht="15.75" customHeight="1">
      <c r="B1975" s="562"/>
      <c r="H1975" s="563"/>
      <c r="I1975" s="563"/>
      <c r="J1975" s="581"/>
      <c r="N1975" s="563"/>
      <c r="O1975" s="563"/>
      <c r="P1975" s="563"/>
    </row>
    <row r="1976" spans="2:16" ht="15.75" customHeight="1">
      <c r="B1976" s="562"/>
      <c r="H1976" s="563"/>
      <c r="I1976" s="563"/>
      <c r="J1976" s="581"/>
      <c r="N1976" s="563"/>
      <c r="O1976" s="563"/>
      <c r="P1976" s="563"/>
    </row>
    <row r="1977" spans="2:16" ht="15.75" customHeight="1">
      <c r="B1977" s="562"/>
      <c r="H1977" s="563"/>
      <c r="I1977" s="563"/>
      <c r="J1977" s="581"/>
      <c r="N1977" s="563"/>
      <c r="O1977" s="563"/>
      <c r="P1977" s="563"/>
    </row>
    <row r="1978" spans="2:16" ht="15.75" customHeight="1">
      <c r="B1978" s="562"/>
      <c r="H1978" s="563"/>
      <c r="I1978" s="563"/>
      <c r="J1978" s="581"/>
      <c r="N1978" s="563"/>
      <c r="O1978" s="563"/>
      <c r="P1978" s="563"/>
    </row>
    <row r="1979" spans="2:16" ht="15.75" customHeight="1">
      <c r="B1979" s="562"/>
      <c r="H1979" s="563"/>
      <c r="I1979" s="563"/>
      <c r="J1979" s="581"/>
      <c r="N1979" s="563"/>
      <c r="O1979" s="563"/>
      <c r="P1979" s="563"/>
    </row>
    <row r="1980" spans="2:16" ht="15.75" customHeight="1">
      <c r="B1980" s="562"/>
      <c r="H1980" s="563"/>
      <c r="I1980" s="563"/>
      <c r="J1980" s="581"/>
      <c r="N1980" s="563"/>
      <c r="O1980" s="563"/>
      <c r="P1980" s="563"/>
    </row>
    <row r="1981" spans="2:16" ht="15.75" customHeight="1">
      <c r="B1981" s="562"/>
      <c r="H1981" s="563"/>
      <c r="I1981" s="563"/>
      <c r="J1981" s="581"/>
      <c r="N1981" s="563"/>
      <c r="O1981" s="563"/>
      <c r="P1981" s="563"/>
    </row>
    <row r="1982" spans="2:16" ht="15.75" customHeight="1">
      <c r="B1982" s="562"/>
      <c r="H1982" s="563"/>
      <c r="I1982" s="563"/>
      <c r="J1982" s="581"/>
      <c r="N1982" s="563"/>
      <c r="O1982" s="563"/>
      <c r="P1982" s="563"/>
    </row>
    <row r="1983" spans="2:16" ht="15.75" customHeight="1">
      <c r="B1983" s="562"/>
      <c r="H1983" s="563"/>
      <c r="I1983" s="563"/>
      <c r="J1983" s="581"/>
      <c r="N1983" s="563"/>
      <c r="O1983" s="563"/>
      <c r="P1983" s="563"/>
    </row>
    <row r="1984" spans="2:16" ht="15.75" customHeight="1">
      <c r="B1984" s="562"/>
      <c r="N1984" s="563"/>
      <c r="O1984" s="563"/>
      <c r="P1984" s="563"/>
    </row>
    <row r="1985" spans="2:16" ht="15.75" customHeight="1">
      <c r="B1985" s="562"/>
      <c r="N1985" s="563"/>
      <c r="O1985" s="563"/>
      <c r="P1985" s="563"/>
    </row>
    <row r="1986" spans="2:16" ht="15.75" customHeight="1">
      <c r="B1986" s="562"/>
      <c r="H1986" s="563"/>
      <c r="I1986" s="563"/>
      <c r="J1986" s="581"/>
      <c r="N1986" s="563"/>
      <c r="O1986" s="563"/>
      <c r="P1986" s="563"/>
    </row>
    <row r="1987" spans="2:16" ht="15.75" customHeight="1">
      <c r="B1987" s="562"/>
      <c r="H1987" s="563"/>
      <c r="I1987" s="563"/>
      <c r="J1987" s="581"/>
      <c r="N1987" s="563"/>
      <c r="O1987" s="563"/>
      <c r="P1987" s="563"/>
    </row>
    <row r="1988" spans="2:16" ht="15.75" customHeight="1">
      <c r="B1988" s="562"/>
      <c r="H1988" s="563"/>
      <c r="I1988" s="563"/>
      <c r="J1988" s="581"/>
      <c r="N1988" s="563"/>
      <c r="O1988" s="563"/>
      <c r="P1988" s="563"/>
    </row>
    <row r="1989" spans="2:16" ht="15.75" customHeight="1">
      <c r="B1989" s="562"/>
      <c r="H1989" s="563"/>
      <c r="I1989" s="563"/>
      <c r="J1989" s="581"/>
      <c r="N1989" s="563"/>
      <c r="O1989" s="563"/>
      <c r="P1989" s="563"/>
    </row>
    <row r="1990" spans="2:16" ht="15.75" customHeight="1">
      <c r="B1990" s="562"/>
      <c r="H1990" s="563"/>
      <c r="I1990" s="563"/>
      <c r="J1990" s="581"/>
      <c r="N1990" s="563"/>
      <c r="O1990" s="563"/>
      <c r="P1990" s="563"/>
    </row>
    <row r="1991" spans="2:16" ht="15.75" customHeight="1">
      <c r="B1991" s="562"/>
      <c r="H1991" s="563"/>
      <c r="I1991" s="563"/>
      <c r="J1991" s="581"/>
      <c r="N1991" s="563"/>
      <c r="O1991" s="563"/>
      <c r="P1991" s="563"/>
    </row>
    <row r="1992" spans="2:16" ht="15.75" customHeight="1">
      <c r="B1992" s="562"/>
      <c r="H1992" s="563"/>
      <c r="I1992" s="563"/>
      <c r="J1992" s="581"/>
      <c r="N1992" s="563"/>
      <c r="O1992" s="563"/>
      <c r="P1992" s="563"/>
    </row>
    <row r="1993" spans="2:16" ht="15.75" customHeight="1">
      <c r="B1993" s="562"/>
      <c r="H1993" s="563"/>
      <c r="I1993" s="563"/>
      <c r="J1993" s="581"/>
      <c r="N1993" s="563"/>
      <c r="O1993" s="563"/>
      <c r="P1993" s="563"/>
    </row>
    <row r="1994" spans="2:16" ht="15.75" customHeight="1">
      <c r="B1994" s="562"/>
      <c r="H1994" s="563"/>
      <c r="I1994" s="563"/>
      <c r="J1994" s="581"/>
      <c r="N1994" s="563"/>
      <c r="O1994" s="563"/>
      <c r="P1994" s="563"/>
    </row>
    <row r="1995" spans="2:16" ht="15.75" customHeight="1">
      <c r="B1995" s="562"/>
      <c r="H1995" s="563"/>
      <c r="I1995" s="563"/>
      <c r="J1995" s="581"/>
      <c r="N1995" s="563"/>
      <c r="O1995" s="563"/>
      <c r="P1995" s="563"/>
    </row>
    <row r="1996" spans="2:16" ht="15.75" customHeight="1">
      <c r="B1996" s="562"/>
      <c r="N1996" s="563"/>
      <c r="O1996" s="563"/>
      <c r="P1996" s="563"/>
    </row>
    <row r="1997" spans="2:16" ht="15.75" customHeight="1">
      <c r="B1997" s="562"/>
      <c r="H1997" s="563"/>
      <c r="I1997" s="563"/>
      <c r="J1997" s="581"/>
      <c r="N1997" s="563"/>
      <c r="O1997" s="563"/>
      <c r="P1997" s="563"/>
    </row>
    <row r="1998" spans="2:16" ht="15.75" customHeight="1">
      <c r="B1998" s="562"/>
      <c r="H1998" s="563"/>
      <c r="I1998" s="563"/>
      <c r="J1998" s="581"/>
      <c r="N1998" s="563"/>
      <c r="O1998" s="563"/>
      <c r="P1998" s="563"/>
    </row>
    <row r="1999" spans="2:16" ht="15.75" customHeight="1">
      <c r="B1999" s="562"/>
      <c r="H1999" s="563"/>
      <c r="I1999" s="563"/>
      <c r="J1999" s="581"/>
      <c r="N1999" s="563"/>
      <c r="O1999" s="563"/>
      <c r="P1999" s="563"/>
    </row>
    <row r="2000" spans="2:16" ht="15.75" customHeight="1">
      <c r="B2000" s="562"/>
      <c r="H2000" s="563"/>
      <c r="I2000" s="563"/>
      <c r="J2000" s="581"/>
      <c r="N2000" s="563"/>
      <c r="O2000" s="563"/>
      <c r="P2000" s="563"/>
    </row>
    <row r="2001" spans="2:16" ht="15.75" customHeight="1">
      <c r="B2001" s="562"/>
      <c r="H2001" s="563"/>
      <c r="I2001" s="563"/>
      <c r="J2001" s="581"/>
      <c r="N2001" s="563"/>
      <c r="O2001" s="563"/>
      <c r="P2001" s="563"/>
    </row>
    <row r="2002" spans="2:16" ht="15.75" customHeight="1">
      <c r="B2002" s="562"/>
      <c r="H2002" s="563"/>
      <c r="I2002" s="563"/>
      <c r="J2002" s="581"/>
      <c r="N2002" s="563"/>
      <c r="O2002" s="563"/>
      <c r="P2002" s="563"/>
    </row>
    <row r="2003" spans="2:16" ht="15.75" customHeight="1">
      <c r="B2003" s="562"/>
      <c r="H2003" s="563"/>
      <c r="I2003" s="563"/>
      <c r="J2003" s="581"/>
      <c r="N2003" s="563"/>
      <c r="O2003" s="563"/>
      <c r="P2003" s="563"/>
    </row>
    <row r="2004" spans="2:16" ht="15.75" customHeight="1">
      <c r="B2004" s="562"/>
      <c r="H2004" s="563"/>
      <c r="I2004" s="563"/>
      <c r="J2004" s="581"/>
      <c r="N2004" s="563"/>
      <c r="O2004" s="563"/>
      <c r="P2004" s="563"/>
    </row>
    <row r="2005" spans="2:16" ht="15.75" customHeight="1">
      <c r="B2005" s="562"/>
      <c r="H2005" s="563"/>
      <c r="I2005" s="563"/>
      <c r="J2005" s="581"/>
      <c r="N2005" s="563"/>
      <c r="O2005" s="563"/>
      <c r="P2005" s="563"/>
    </row>
    <row r="2006" spans="2:16" ht="15.75" customHeight="1">
      <c r="B2006" s="562"/>
      <c r="H2006" s="563"/>
      <c r="I2006" s="563"/>
      <c r="J2006" s="581"/>
      <c r="N2006" s="563"/>
      <c r="O2006" s="563"/>
      <c r="P2006" s="563"/>
    </row>
    <row r="2007" spans="2:16" ht="15.75" customHeight="1">
      <c r="B2007" s="562"/>
      <c r="H2007" s="563"/>
      <c r="I2007" s="563"/>
      <c r="J2007" s="581"/>
      <c r="N2007" s="563"/>
      <c r="O2007" s="563"/>
      <c r="P2007" s="563"/>
    </row>
    <row r="2008" spans="2:16" ht="15.75" customHeight="1">
      <c r="B2008" s="562"/>
      <c r="H2008" s="563"/>
      <c r="I2008" s="563"/>
      <c r="J2008" s="581"/>
      <c r="N2008" s="563"/>
      <c r="O2008" s="563"/>
      <c r="P2008" s="563"/>
    </row>
    <row r="2009" spans="2:16" ht="15.75" customHeight="1">
      <c r="B2009" s="562"/>
      <c r="H2009" s="563"/>
      <c r="I2009" s="563"/>
      <c r="J2009" s="581"/>
      <c r="N2009" s="563"/>
      <c r="O2009" s="563"/>
      <c r="P2009" s="563"/>
    </row>
    <row r="2010" spans="2:16" ht="15.75" customHeight="1">
      <c r="B2010" s="562"/>
      <c r="H2010" s="563"/>
      <c r="I2010" s="563"/>
      <c r="J2010" s="581"/>
      <c r="N2010" s="563"/>
      <c r="O2010" s="563"/>
      <c r="P2010" s="563"/>
    </row>
    <row r="2011" spans="2:16" ht="15.75" customHeight="1">
      <c r="B2011" s="562"/>
      <c r="H2011" s="563"/>
      <c r="I2011" s="563"/>
      <c r="J2011" s="581"/>
      <c r="N2011" s="563"/>
      <c r="O2011" s="563"/>
      <c r="P2011" s="563"/>
    </row>
    <row r="2012" spans="2:16" ht="15.75" customHeight="1">
      <c r="B2012" s="562"/>
      <c r="H2012" s="563"/>
      <c r="I2012" s="563"/>
      <c r="J2012" s="581"/>
      <c r="N2012" s="563"/>
      <c r="O2012" s="563"/>
      <c r="P2012" s="563"/>
    </row>
    <row r="2013" spans="2:16" ht="15.75" customHeight="1">
      <c r="B2013" s="562"/>
      <c r="H2013" s="563"/>
      <c r="I2013" s="563"/>
      <c r="J2013" s="581"/>
      <c r="N2013" s="563"/>
      <c r="O2013" s="563"/>
      <c r="P2013" s="563"/>
    </row>
    <row r="2014" spans="2:16" ht="15.75" customHeight="1">
      <c r="B2014" s="562"/>
      <c r="H2014" s="563"/>
      <c r="I2014" s="563"/>
      <c r="J2014" s="581"/>
      <c r="N2014" s="563"/>
      <c r="O2014" s="563"/>
      <c r="P2014" s="563"/>
    </row>
    <row r="2015" spans="2:16" ht="15.75" customHeight="1">
      <c r="B2015" s="562"/>
      <c r="H2015" s="563"/>
      <c r="I2015" s="563"/>
      <c r="J2015" s="581"/>
      <c r="N2015" s="563"/>
      <c r="O2015" s="563"/>
      <c r="P2015" s="563"/>
    </row>
    <row r="2016" spans="2:16" ht="15.75" customHeight="1">
      <c r="B2016" s="562"/>
      <c r="H2016" s="563"/>
      <c r="I2016" s="563"/>
      <c r="J2016" s="581"/>
      <c r="N2016" s="563"/>
      <c r="O2016" s="563"/>
      <c r="P2016" s="563"/>
    </row>
    <row r="2017" spans="2:16" ht="15.75" customHeight="1">
      <c r="B2017" s="562"/>
      <c r="H2017" s="563"/>
      <c r="I2017" s="563"/>
      <c r="J2017" s="581"/>
      <c r="N2017" s="563"/>
      <c r="O2017" s="563"/>
      <c r="P2017" s="563"/>
    </row>
    <row r="2018" spans="2:16" ht="15.75" customHeight="1">
      <c r="B2018" s="562"/>
      <c r="H2018" s="563"/>
      <c r="I2018" s="563"/>
      <c r="J2018" s="581"/>
      <c r="N2018" s="563"/>
      <c r="O2018" s="563"/>
      <c r="P2018" s="563"/>
    </row>
    <row r="2019" spans="2:16" ht="15.75" customHeight="1">
      <c r="B2019" s="562"/>
      <c r="H2019" s="563"/>
      <c r="I2019" s="563"/>
      <c r="J2019" s="581"/>
      <c r="N2019" s="563"/>
      <c r="O2019" s="563"/>
      <c r="P2019" s="563"/>
    </row>
    <row r="2020" spans="2:16" ht="15.75" customHeight="1">
      <c r="B2020" s="562"/>
      <c r="H2020" s="563"/>
      <c r="I2020" s="563"/>
      <c r="J2020" s="581"/>
      <c r="N2020" s="563"/>
      <c r="O2020" s="563"/>
      <c r="P2020" s="563"/>
    </row>
    <row r="2021" spans="2:16" ht="15.75" customHeight="1">
      <c r="B2021" s="562"/>
      <c r="H2021" s="563"/>
      <c r="I2021" s="563"/>
      <c r="J2021" s="581"/>
      <c r="N2021" s="563"/>
      <c r="O2021" s="563"/>
      <c r="P2021" s="563"/>
    </row>
    <row r="2022" spans="2:16" ht="15.75" customHeight="1">
      <c r="B2022" s="562"/>
      <c r="H2022" s="563"/>
      <c r="I2022" s="563"/>
      <c r="J2022" s="581"/>
      <c r="N2022" s="563"/>
      <c r="O2022" s="563"/>
      <c r="P2022" s="563"/>
    </row>
    <row r="2023" spans="2:16" ht="15.75" customHeight="1">
      <c r="B2023" s="562"/>
      <c r="H2023" s="563"/>
      <c r="I2023" s="563"/>
      <c r="J2023" s="581"/>
      <c r="N2023" s="563"/>
      <c r="O2023" s="563"/>
      <c r="P2023" s="563"/>
    </row>
    <row r="2024" spans="2:16" ht="15.75" customHeight="1">
      <c r="B2024" s="562"/>
      <c r="H2024" s="563"/>
      <c r="I2024" s="563"/>
      <c r="J2024" s="581"/>
      <c r="N2024" s="563"/>
      <c r="O2024" s="563"/>
      <c r="P2024" s="563"/>
    </row>
    <row r="2025" spans="2:16" ht="15.75" customHeight="1">
      <c r="B2025" s="562"/>
      <c r="H2025" s="563"/>
      <c r="I2025" s="563"/>
      <c r="J2025" s="581"/>
      <c r="N2025" s="563"/>
      <c r="O2025" s="563"/>
      <c r="P2025" s="563"/>
    </row>
    <row r="2026" spans="2:16" ht="15.75" customHeight="1">
      <c r="B2026" s="562"/>
      <c r="H2026" s="563"/>
      <c r="I2026" s="563"/>
      <c r="J2026" s="581"/>
      <c r="N2026" s="563"/>
      <c r="O2026" s="563"/>
      <c r="P2026" s="563"/>
    </row>
    <row r="2027" spans="2:16" ht="15.75" customHeight="1">
      <c r="B2027" s="562"/>
      <c r="H2027" s="563"/>
      <c r="I2027" s="563"/>
      <c r="J2027" s="581"/>
      <c r="N2027" s="563"/>
      <c r="O2027" s="563"/>
      <c r="P2027" s="563"/>
    </row>
    <row r="2028" spans="2:16" ht="15.75" customHeight="1">
      <c r="B2028" s="562"/>
      <c r="H2028" s="563"/>
      <c r="I2028" s="563"/>
      <c r="J2028" s="581"/>
      <c r="N2028" s="563"/>
      <c r="O2028" s="563"/>
      <c r="P2028" s="563"/>
    </row>
    <row r="2029" spans="2:16" ht="15.75" customHeight="1">
      <c r="B2029" s="562"/>
      <c r="H2029" s="563"/>
      <c r="I2029" s="563"/>
      <c r="J2029" s="581"/>
      <c r="N2029" s="563"/>
      <c r="O2029" s="563"/>
      <c r="P2029" s="563"/>
    </row>
    <row r="2030" spans="2:16" ht="15.75" customHeight="1">
      <c r="B2030" s="562"/>
      <c r="H2030" s="563"/>
      <c r="I2030" s="563"/>
      <c r="J2030" s="581"/>
      <c r="N2030" s="563"/>
      <c r="O2030" s="563"/>
      <c r="P2030" s="563"/>
    </row>
    <row r="2031" spans="2:16" ht="15.75" customHeight="1">
      <c r="B2031" s="562"/>
      <c r="H2031" s="563"/>
      <c r="I2031" s="563"/>
      <c r="J2031" s="581"/>
      <c r="N2031" s="563"/>
      <c r="O2031" s="563"/>
      <c r="P2031" s="563"/>
    </row>
    <row r="2032" spans="2:16" ht="15.75" customHeight="1">
      <c r="B2032" s="562"/>
      <c r="H2032" s="563"/>
      <c r="I2032" s="563"/>
      <c r="J2032" s="581"/>
      <c r="N2032" s="563"/>
      <c r="O2032" s="563"/>
      <c r="P2032" s="563"/>
    </row>
    <row r="2033" spans="2:16" ht="15.75" customHeight="1">
      <c r="B2033" s="562"/>
      <c r="H2033" s="563"/>
      <c r="I2033" s="563"/>
      <c r="J2033" s="581"/>
      <c r="N2033" s="563"/>
      <c r="O2033" s="563"/>
      <c r="P2033" s="563"/>
    </row>
    <row r="2034" spans="2:16" ht="15.75" customHeight="1">
      <c r="B2034" s="562"/>
      <c r="H2034" s="563"/>
      <c r="I2034" s="563"/>
      <c r="J2034" s="581"/>
      <c r="N2034" s="563"/>
      <c r="O2034" s="563"/>
      <c r="P2034" s="563"/>
    </row>
    <row r="2035" spans="2:16" ht="15.75" customHeight="1">
      <c r="B2035" s="562"/>
      <c r="H2035" s="563"/>
      <c r="I2035" s="563"/>
      <c r="J2035" s="581"/>
      <c r="N2035" s="563"/>
      <c r="O2035" s="563"/>
      <c r="P2035" s="563"/>
    </row>
    <row r="2036" spans="2:16" ht="15.75" customHeight="1">
      <c r="B2036" s="562"/>
      <c r="H2036" s="563"/>
      <c r="I2036" s="563"/>
      <c r="J2036" s="581"/>
      <c r="N2036" s="563"/>
      <c r="O2036" s="563"/>
      <c r="P2036" s="563"/>
    </row>
    <row r="2037" spans="2:16" ht="15.75" customHeight="1">
      <c r="B2037" s="562"/>
      <c r="H2037" s="550"/>
      <c r="I2037" s="550"/>
      <c r="J2037" s="581"/>
      <c r="N2037" s="563"/>
      <c r="O2037" s="550"/>
      <c r="P2037" s="563"/>
    </row>
    <row r="2038" spans="2:16" ht="15.75" customHeight="1">
      <c r="B2038" s="562"/>
      <c r="H2038" s="550"/>
      <c r="I2038" s="550"/>
      <c r="J2038" s="581"/>
      <c r="N2038" s="563"/>
      <c r="O2038" s="550"/>
      <c r="P2038" s="563"/>
    </row>
    <row r="2039" spans="2:16" ht="15.75" customHeight="1">
      <c r="B2039" s="562"/>
      <c r="H2039" s="563"/>
      <c r="I2039" s="563"/>
      <c r="J2039" s="581"/>
      <c r="N2039" s="563"/>
      <c r="O2039" s="563"/>
      <c r="P2039" s="563"/>
    </row>
    <row r="2040" spans="2:16" ht="15.75" customHeight="1">
      <c r="B2040" s="562"/>
      <c r="H2040" s="563"/>
      <c r="I2040" s="563"/>
      <c r="J2040" s="581"/>
      <c r="N2040" s="563"/>
      <c r="O2040" s="563"/>
      <c r="P2040" s="563"/>
    </row>
    <row r="2041" spans="2:16" ht="15.75" customHeight="1">
      <c r="B2041" s="562"/>
      <c r="H2041" s="563"/>
      <c r="I2041" s="563"/>
      <c r="J2041" s="581"/>
      <c r="N2041" s="563"/>
      <c r="O2041" s="563"/>
      <c r="P2041" s="563"/>
    </row>
    <row r="2042" spans="2:16" ht="15.75" customHeight="1">
      <c r="B2042" s="562"/>
      <c r="H2042" s="563"/>
      <c r="I2042" s="563"/>
      <c r="J2042" s="581"/>
      <c r="N2042" s="563"/>
      <c r="O2042" s="563"/>
      <c r="P2042" s="563"/>
    </row>
    <row r="2043" spans="2:16" ht="15.75" customHeight="1">
      <c r="B2043" s="562"/>
      <c r="H2043" s="563"/>
      <c r="I2043" s="563"/>
      <c r="J2043" s="581"/>
      <c r="N2043" s="563"/>
      <c r="O2043" s="563"/>
      <c r="P2043" s="563"/>
    </row>
    <row r="2044" spans="2:16" ht="15.75" customHeight="1">
      <c r="B2044" s="562"/>
      <c r="H2044" s="563"/>
      <c r="I2044" s="563"/>
      <c r="J2044" s="581"/>
      <c r="N2044" s="563"/>
      <c r="O2044" s="563"/>
      <c r="P2044" s="563"/>
    </row>
    <row r="2045" spans="2:16" ht="15.75" customHeight="1">
      <c r="B2045" s="562"/>
      <c r="H2045" s="563"/>
      <c r="I2045" s="563"/>
      <c r="J2045" s="581"/>
      <c r="N2045" s="563"/>
      <c r="O2045" s="563"/>
      <c r="P2045" s="563"/>
    </row>
    <row r="2046" spans="2:16" ht="15.75" customHeight="1">
      <c r="B2046" s="562"/>
      <c r="H2046" s="563"/>
      <c r="I2046" s="563"/>
      <c r="J2046" s="581"/>
      <c r="N2046" s="563"/>
      <c r="O2046" s="563"/>
      <c r="P2046" s="563"/>
    </row>
    <row r="2047" spans="2:16" ht="15.75" customHeight="1">
      <c r="B2047" s="562"/>
      <c r="H2047" s="563"/>
      <c r="I2047" s="563"/>
      <c r="J2047" s="581"/>
      <c r="N2047" s="563"/>
      <c r="O2047" s="563"/>
      <c r="P2047" s="563"/>
    </row>
    <row r="2048" spans="2:16" ht="15.75" customHeight="1">
      <c r="B2048" s="562"/>
      <c r="H2048" s="563"/>
      <c r="I2048" s="563"/>
      <c r="J2048" s="581"/>
      <c r="N2048" s="563"/>
      <c r="O2048" s="563"/>
      <c r="P2048" s="563"/>
    </row>
    <row r="2049" spans="2:16" ht="15.75" customHeight="1">
      <c r="B2049" s="562"/>
      <c r="H2049" s="563"/>
      <c r="I2049" s="563"/>
      <c r="J2049" s="581"/>
      <c r="N2049" s="563"/>
      <c r="O2049" s="563"/>
      <c r="P2049" s="563"/>
    </row>
    <row r="2050" spans="2:16" ht="15.75" customHeight="1">
      <c r="B2050" s="562"/>
      <c r="H2050" s="563"/>
      <c r="I2050" s="563"/>
      <c r="J2050" s="581"/>
      <c r="N2050" s="563"/>
      <c r="O2050" s="563"/>
      <c r="P2050" s="550"/>
    </row>
    <row r="2051" spans="2:16" ht="15.75" customHeight="1">
      <c r="B2051" s="562"/>
      <c r="H2051" s="563"/>
      <c r="I2051" s="563"/>
      <c r="J2051" s="581"/>
      <c r="N2051" s="563"/>
      <c r="O2051" s="563"/>
      <c r="P2051" s="550"/>
    </row>
    <row r="2052" spans="2:16" ht="15.75" customHeight="1">
      <c r="B2052" s="562"/>
      <c r="H2052" s="563"/>
      <c r="I2052" s="563"/>
      <c r="J2052" s="581"/>
      <c r="N2052" s="563"/>
      <c r="O2052" s="563"/>
      <c r="P2052" s="563"/>
    </row>
    <row r="2053" spans="2:16" ht="15.75" customHeight="1">
      <c r="B2053" s="562"/>
      <c r="H2053" s="563"/>
      <c r="I2053" s="563"/>
      <c r="J2053" s="581"/>
      <c r="N2053" s="563"/>
      <c r="O2053" s="563"/>
      <c r="P2053" s="563"/>
    </row>
    <row r="2054" spans="2:16" ht="15.75" customHeight="1">
      <c r="B2054" s="562"/>
      <c r="H2054" s="563"/>
      <c r="I2054" s="563"/>
      <c r="J2054" s="581"/>
      <c r="N2054" s="563"/>
      <c r="O2054" s="563"/>
      <c r="P2054" s="563"/>
    </row>
    <row r="2055" spans="2:16" ht="15.75" customHeight="1">
      <c r="B2055" s="562"/>
      <c r="H2055" s="563"/>
      <c r="I2055" s="563"/>
      <c r="J2055" s="581"/>
      <c r="N2055" s="563"/>
      <c r="O2055" s="563"/>
      <c r="P2055" s="563"/>
    </row>
    <row r="2056" spans="2:16" ht="15.75" customHeight="1">
      <c r="B2056" s="562"/>
      <c r="H2056" s="563"/>
      <c r="I2056" s="563"/>
      <c r="J2056" s="581"/>
      <c r="N2056" s="563"/>
      <c r="O2056" s="563"/>
      <c r="P2056" s="563"/>
    </row>
    <row r="2057" spans="2:16" ht="15.75" customHeight="1">
      <c r="B2057" s="562"/>
      <c r="H2057" s="563"/>
      <c r="I2057" s="563"/>
      <c r="J2057" s="581"/>
      <c r="N2057" s="563"/>
      <c r="O2057" s="563"/>
      <c r="P2057" s="563"/>
    </row>
    <row r="2058" spans="2:16" ht="15.75" customHeight="1">
      <c r="B2058" s="562"/>
      <c r="H2058" s="563"/>
      <c r="I2058" s="563"/>
      <c r="J2058" s="581"/>
      <c r="N2058" s="563"/>
      <c r="O2058" s="563"/>
      <c r="P2058" s="563"/>
    </row>
    <row r="2059" spans="2:16" ht="15.75" customHeight="1">
      <c r="B2059" s="562"/>
      <c r="H2059" s="563"/>
      <c r="I2059" s="563"/>
      <c r="J2059" s="581"/>
      <c r="N2059" s="563"/>
      <c r="O2059" s="563"/>
      <c r="P2059" s="563"/>
    </row>
    <row r="2060" spans="2:16" ht="15.75" customHeight="1">
      <c r="B2060" s="562"/>
      <c r="H2060" s="563"/>
      <c r="I2060" s="563"/>
      <c r="J2060" s="581"/>
      <c r="N2060" s="563"/>
      <c r="O2060" s="563"/>
      <c r="P2060" s="563"/>
    </row>
    <row r="2061" spans="2:16" ht="15.75" customHeight="1">
      <c r="B2061" s="562"/>
      <c r="H2061" s="563"/>
      <c r="I2061" s="563"/>
      <c r="J2061" s="581"/>
      <c r="N2061" s="563"/>
      <c r="O2061" s="563"/>
      <c r="P2061" s="563"/>
    </row>
    <row r="2062" spans="2:16" ht="15.75" customHeight="1">
      <c r="B2062" s="562"/>
      <c r="H2062" s="563"/>
      <c r="I2062" s="563"/>
      <c r="J2062" s="581"/>
      <c r="N2062" s="563"/>
      <c r="O2062" s="563"/>
      <c r="P2062" s="563"/>
    </row>
    <row r="2063" spans="2:16" ht="15.75" customHeight="1">
      <c r="B2063" s="562"/>
      <c r="H2063" s="563"/>
      <c r="I2063" s="563"/>
      <c r="J2063" s="581"/>
      <c r="N2063" s="563"/>
      <c r="O2063" s="563"/>
      <c r="P2063" s="563"/>
    </row>
    <row r="2064" spans="2:16" ht="15.75" customHeight="1">
      <c r="B2064" s="562"/>
      <c r="H2064" s="563"/>
      <c r="I2064" s="563"/>
      <c r="J2064" s="581"/>
      <c r="N2064" s="563"/>
      <c r="O2064" s="563"/>
      <c r="P2064" s="563"/>
    </row>
    <row r="2065" spans="2:16" ht="15.75" customHeight="1">
      <c r="B2065" s="562"/>
      <c r="H2065" s="563"/>
      <c r="I2065" s="563"/>
      <c r="J2065" s="581"/>
      <c r="N2065" s="563"/>
      <c r="O2065" s="563"/>
      <c r="P2065" s="563"/>
    </row>
    <row r="2066" spans="2:16" ht="15.75" customHeight="1">
      <c r="B2066" s="562"/>
      <c r="H2066" s="563"/>
      <c r="I2066" s="563"/>
      <c r="J2066" s="581"/>
      <c r="N2066" s="563"/>
      <c r="O2066" s="563"/>
      <c r="P2066" s="563"/>
    </row>
    <row r="2067" spans="2:16" ht="15.75" customHeight="1">
      <c r="B2067" s="562"/>
      <c r="H2067" s="563"/>
      <c r="I2067" s="563"/>
      <c r="J2067" s="581"/>
      <c r="N2067" s="563"/>
      <c r="O2067" s="563"/>
      <c r="P2067" s="563"/>
    </row>
    <row r="2068" spans="2:16" ht="15.75" customHeight="1">
      <c r="B2068" s="562"/>
      <c r="H2068" s="563"/>
      <c r="I2068" s="563"/>
      <c r="J2068" s="581"/>
      <c r="N2068" s="563"/>
      <c r="O2068" s="563"/>
      <c r="P2068" s="563"/>
    </row>
    <row r="2069" spans="2:16" ht="15.75" customHeight="1">
      <c r="B2069" s="562"/>
      <c r="H2069" s="563"/>
      <c r="I2069" s="563"/>
      <c r="J2069" s="581"/>
      <c r="N2069" s="563"/>
      <c r="O2069" s="563"/>
      <c r="P2069" s="563"/>
    </row>
    <row r="2070" spans="2:16" ht="15.75" customHeight="1">
      <c r="B2070" s="562"/>
      <c r="H2070" s="563"/>
      <c r="I2070" s="563"/>
      <c r="J2070" s="581"/>
      <c r="N2070" s="563"/>
      <c r="O2070" s="563"/>
      <c r="P2070" s="563"/>
    </row>
    <row r="2071" spans="2:16" ht="15.75" customHeight="1">
      <c r="B2071" s="562"/>
      <c r="H2071" s="563"/>
      <c r="I2071" s="563"/>
      <c r="J2071" s="581"/>
      <c r="N2071" s="563"/>
      <c r="O2071" s="563"/>
      <c r="P2071" s="563"/>
    </row>
    <row r="2072" spans="2:16" ht="15.75" customHeight="1">
      <c r="B2072" s="562"/>
      <c r="H2072" s="563"/>
      <c r="I2072" s="563"/>
      <c r="J2072" s="581"/>
      <c r="N2072" s="563"/>
      <c r="O2072" s="563"/>
      <c r="P2072" s="563"/>
    </row>
    <row r="2073" spans="2:16" ht="15.75" customHeight="1">
      <c r="B2073" s="562"/>
      <c r="H2073" s="563"/>
      <c r="I2073" s="563"/>
      <c r="J2073" s="581"/>
      <c r="N2073" s="563"/>
      <c r="O2073" s="563"/>
      <c r="P2073" s="563"/>
    </row>
    <row r="2074" spans="2:16" ht="15.75" customHeight="1">
      <c r="B2074" s="562"/>
      <c r="H2074" s="563"/>
      <c r="I2074" s="563"/>
      <c r="J2074" s="581"/>
      <c r="N2074" s="563"/>
      <c r="O2074" s="563"/>
      <c r="P2074" s="563"/>
    </row>
    <row r="2075" spans="2:16" ht="15.75" customHeight="1">
      <c r="B2075" s="562"/>
      <c r="H2075" s="563"/>
      <c r="I2075" s="563"/>
      <c r="J2075" s="581"/>
      <c r="N2075" s="563"/>
      <c r="O2075" s="563"/>
      <c r="P2075" s="563"/>
    </row>
    <row r="2076" spans="2:16" ht="15.75" customHeight="1">
      <c r="B2076" s="562"/>
      <c r="H2076" s="563"/>
      <c r="I2076" s="563"/>
      <c r="J2076" s="581"/>
      <c r="N2076" s="563"/>
      <c r="O2076" s="563"/>
      <c r="P2076" s="563"/>
    </row>
    <row r="2077" spans="2:16" ht="15.75" customHeight="1">
      <c r="B2077" s="562"/>
      <c r="H2077" s="563"/>
      <c r="I2077" s="563"/>
      <c r="J2077" s="581"/>
      <c r="N2077" s="563"/>
      <c r="O2077" s="563"/>
      <c r="P2077" s="563"/>
    </row>
    <row r="2078" spans="2:16" ht="15.75" customHeight="1">
      <c r="B2078" s="562"/>
      <c r="H2078" s="563"/>
      <c r="I2078" s="563"/>
      <c r="J2078" s="581"/>
      <c r="N2078" s="563"/>
      <c r="O2078" s="563"/>
      <c r="P2078" s="563"/>
    </row>
    <row r="2079" spans="2:16" ht="15.75" customHeight="1">
      <c r="B2079" s="566"/>
      <c r="H2079" s="563"/>
      <c r="I2079" s="563"/>
      <c r="J2079" s="581"/>
      <c r="N2079" s="563"/>
      <c r="O2079" s="563"/>
      <c r="P2079" s="563"/>
    </row>
    <row r="2080" spans="2:16" ht="15.75" customHeight="1">
      <c r="B2080" s="562"/>
      <c r="H2080" s="563"/>
      <c r="I2080" s="563"/>
      <c r="J2080" s="581"/>
      <c r="N2080" s="563"/>
      <c r="O2080" s="563"/>
      <c r="P2080" s="563"/>
    </row>
    <row r="2081" spans="2:16" ht="15.75" customHeight="1">
      <c r="B2081" s="562"/>
      <c r="H2081" s="563"/>
      <c r="I2081" s="563"/>
      <c r="J2081" s="581"/>
      <c r="N2081" s="563"/>
      <c r="O2081" s="563"/>
      <c r="P2081" s="563"/>
    </row>
    <row r="2082" spans="2:16" ht="15.75" customHeight="1">
      <c r="B2082" s="562"/>
      <c r="H2082" s="563"/>
      <c r="I2082" s="563"/>
      <c r="J2082" s="581"/>
      <c r="N2082" s="563"/>
      <c r="O2082" s="563"/>
      <c r="P2082" s="563"/>
    </row>
    <row r="2083" spans="2:16" ht="15.75" customHeight="1">
      <c r="B2083" s="562"/>
      <c r="H2083" s="563"/>
      <c r="I2083" s="563"/>
      <c r="J2083" s="581"/>
      <c r="N2083" s="563"/>
      <c r="O2083" s="563"/>
      <c r="P2083" s="563"/>
    </row>
    <row r="2084" spans="2:16" ht="15.75" customHeight="1">
      <c r="B2084" s="562"/>
      <c r="H2084" s="563"/>
      <c r="I2084" s="563"/>
      <c r="J2084" s="581"/>
      <c r="N2084" s="563"/>
      <c r="O2084" s="563"/>
      <c r="P2084" s="563"/>
    </row>
    <row r="2085" spans="2:16" ht="15.75" customHeight="1">
      <c r="B2085" s="562"/>
      <c r="H2085" s="563"/>
      <c r="I2085" s="563"/>
      <c r="J2085" s="581"/>
      <c r="N2085" s="563"/>
      <c r="O2085" s="563"/>
      <c r="P2085" s="563"/>
    </row>
    <row r="2086" spans="2:16" ht="15.75" customHeight="1">
      <c r="B2086" s="562"/>
      <c r="N2086" s="563"/>
      <c r="P2086" s="563"/>
    </row>
    <row r="2087" spans="2:16" ht="15.75" customHeight="1">
      <c r="B2087" s="562"/>
      <c r="N2087" s="563"/>
      <c r="P2087" s="563"/>
    </row>
    <row r="2088" spans="2:16" ht="15.75" customHeight="1">
      <c r="B2088" s="562"/>
      <c r="N2088" s="563"/>
      <c r="P2088" s="563"/>
    </row>
    <row r="2089" spans="2:16" ht="15.75" customHeight="1">
      <c r="B2089" s="562"/>
      <c r="N2089" s="563"/>
      <c r="P2089" s="563"/>
    </row>
    <row r="2090" spans="2:16" ht="15.75" customHeight="1">
      <c r="B2090" s="562"/>
      <c r="N2090" s="563"/>
      <c r="P2090" s="563"/>
    </row>
    <row r="2091" spans="2:16" ht="15.75" customHeight="1">
      <c r="B2091" s="562"/>
      <c r="P2091" s="563"/>
    </row>
    <row r="2092" spans="2:16" ht="15.75" customHeight="1">
      <c r="B2092" s="562"/>
      <c r="H2092" s="563"/>
      <c r="I2092" s="563"/>
      <c r="J2092" s="581"/>
      <c r="N2092" s="563"/>
      <c r="O2092" s="563"/>
      <c r="P2092" s="563"/>
    </row>
    <row r="2093" spans="2:16" ht="15.75" customHeight="1">
      <c r="B2093" s="562"/>
      <c r="H2093" s="563"/>
      <c r="I2093" s="563"/>
      <c r="J2093" s="581"/>
      <c r="N2093" s="563"/>
      <c r="O2093" s="563"/>
      <c r="P2093" s="563"/>
    </row>
    <row r="2094" spans="2:16" ht="15.75" customHeight="1">
      <c r="B2094" s="562"/>
      <c r="H2094" s="563"/>
      <c r="I2094" s="563"/>
      <c r="J2094" s="581"/>
      <c r="N2094" s="563"/>
      <c r="O2094" s="563"/>
      <c r="P2094" s="563"/>
    </row>
    <row r="2095" spans="2:16" ht="15.75" customHeight="1">
      <c r="B2095" s="562"/>
      <c r="H2095" s="563"/>
      <c r="I2095" s="563"/>
      <c r="J2095" s="581"/>
      <c r="N2095" s="563"/>
      <c r="O2095" s="563"/>
      <c r="P2095" s="563"/>
    </row>
    <row r="2096" spans="2:16" ht="15.75" customHeight="1">
      <c r="B2096" s="562"/>
      <c r="H2096" s="563"/>
      <c r="I2096" s="563"/>
      <c r="J2096" s="581"/>
      <c r="N2096" s="563"/>
      <c r="O2096" s="563"/>
      <c r="P2096" s="563"/>
    </row>
    <row r="2097" spans="2:16" ht="15.75" customHeight="1">
      <c r="B2097" s="562"/>
      <c r="H2097" s="563"/>
      <c r="I2097" s="563"/>
      <c r="J2097" s="581"/>
      <c r="N2097" s="563"/>
      <c r="O2097" s="563"/>
      <c r="P2097" s="563"/>
    </row>
    <row r="2098" spans="2:16" ht="15.75" customHeight="1">
      <c r="B2098" s="562"/>
      <c r="H2098" s="563"/>
      <c r="I2098" s="563"/>
      <c r="J2098" s="581"/>
      <c r="N2098" s="563"/>
      <c r="O2098" s="563"/>
      <c r="P2098" s="563"/>
    </row>
    <row r="2099" spans="2:16" ht="15.75" customHeight="1">
      <c r="B2099" s="562"/>
      <c r="H2099" s="563"/>
      <c r="I2099" s="563"/>
      <c r="J2099" s="581"/>
      <c r="N2099" s="563"/>
      <c r="O2099" s="563"/>
      <c r="P2099" s="563"/>
    </row>
    <row r="2100" spans="2:16" ht="15.75" customHeight="1">
      <c r="B2100" s="562"/>
      <c r="H2100" s="563"/>
      <c r="I2100" s="563"/>
      <c r="J2100" s="581"/>
      <c r="N2100" s="563"/>
      <c r="O2100" s="563"/>
      <c r="P2100" s="563"/>
    </row>
    <row r="2101" spans="2:16" ht="15.75" customHeight="1">
      <c r="B2101" s="562"/>
      <c r="H2101" s="563"/>
      <c r="I2101" s="563"/>
      <c r="J2101" s="581"/>
      <c r="N2101" s="563"/>
      <c r="O2101" s="563"/>
      <c r="P2101" s="563"/>
    </row>
    <row r="2102" spans="2:16" ht="15.75" customHeight="1">
      <c r="B2102" s="562"/>
      <c r="H2102" s="563"/>
      <c r="I2102" s="563"/>
      <c r="J2102" s="581"/>
      <c r="N2102" s="563"/>
      <c r="O2102" s="563"/>
      <c r="P2102" s="563"/>
    </row>
    <row r="2103" spans="2:16" ht="15.75" customHeight="1">
      <c r="B2103" s="562"/>
      <c r="H2103" s="563"/>
      <c r="I2103" s="563"/>
      <c r="J2103" s="581"/>
      <c r="N2103" s="563"/>
      <c r="O2103" s="563"/>
      <c r="P2103" s="563"/>
    </row>
    <row r="2104" spans="2:16" ht="15.75" customHeight="1">
      <c r="B2104" s="562"/>
      <c r="H2104" s="563"/>
      <c r="I2104" s="563"/>
      <c r="J2104" s="581"/>
      <c r="N2104" s="563"/>
      <c r="O2104" s="563"/>
      <c r="P2104" s="563"/>
    </row>
    <row r="2105" spans="2:16" ht="15.75" customHeight="1">
      <c r="B2105" s="562"/>
      <c r="H2105" s="563"/>
      <c r="I2105" s="563"/>
      <c r="J2105" s="581"/>
      <c r="N2105" s="563"/>
      <c r="O2105" s="563"/>
      <c r="P2105" s="563"/>
    </row>
    <row r="2106" spans="2:16" ht="15.75" customHeight="1">
      <c r="B2106" s="562"/>
      <c r="H2106" s="563"/>
      <c r="I2106" s="563"/>
      <c r="J2106" s="581"/>
      <c r="N2106" s="563"/>
      <c r="O2106" s="563"/>
      <c r="P2106" s="563"/>
    </row>
    <row r="2107" spans="2:16" ht="15.75" customHeight="1">
      <c r="B2107" s="562"/>
      <c r="H2107" s="563"/>
      <c r="I2107" s="563"/>
      <c r="J2107" s="581"/>
      <c r="N2107" s="563"/>
      <c r="O2107" s="563"/>
      <c r="P2107" s="563"/>
    </row>
    <row r="2108" spans="2:16" ht="15.75" customHeight="1">
      <c r="B2108" s="562"/>
      <c r="H2108" s="563"/>
      <c r="I2108" s="563"/>
      <c r="J2108" s="581"/>
      <c r="N2108" s="563"/>
      <c r="O2108" s="563"/>
      <c r="P2108" s="563"/>
    </row>
    <row r="2109" spans="2:16" ht="15.75" customHeight="1">
      <c r="B2109" s="562"/>
      <c r="H2109" s="563"/>
      <c r="I2109" s="563"/>
      <c r="J2109" s="581"/>
      <c r="N2109" s="563"/>
      <c r="O2109" s="563"/>
      <c r="P2109" s="563"/>
    </row>
    <row r="2110" spans="2:16" ht="15.75" customHeight="1">
      <c r="B2110" s="562"/>
      <c r="H2110" s="563"/>
      <c r="I2110" s="563"/>
      <c r="J2110" s="581"/>
      <c r="N2110" s="563"/>
      <c r="O2110" s="563"/>
      <c r="P2110" s="563"/>
    </row>
    <row r="2111" spans="2:16" ht="15.75" customHeight="1">
      <c r="B2111" s="562"/>
      <c r="H2111" s="563"/>
      <c r="I2111" s="563"/>
      <c r="J2111" s="581"/>
      <c r="N2111" s="563"/>
      <c r="O2111" s="563"/>
      <c r="P2111" s="563"/>
    </row>
    <row r="2112" spans="2:16" ht="15.75" customHeight="1">
      <c r="B2112" s="562"/>
      <c r="H2112" s="563"/>
      <c r="I2112" s="563"/>
      <c r="J2112" s="581"/>
      <c r="N2112" s="563"/>
      <c r="O2112" s="563"/>
      <c r="P2112" s="563"/>
    </row>
    <row r="2113" spans="2:16" ht="15.75" customHeight="1">
      <c r="B2113" s="562"/>
      <c r="H2113" s="563"/>
      <c r="I2113" s="563"/>
      <c r="J2113" s="581"/>
      <c r="N2113" s="563"/>
      <c r="O2113" s="563"/>
      <c r="P2113" s="563"/>
    </row>
    <row r="2114" spans="2:16" ht="15.75" customHeight="1">
      <c r="B2114" s="562"/>
      <c r="H2114" s="563"/>
      <c r="I2114" s="563"/>
      <c r="J2114" s="581"/>
      <c r="N2114" s="563"/>
      <c r="O2114" s="563"/>
      <c r="P2114" s="563"/>
    </row>
    <row r="2115" spans="2:16" ht="15.75" customHeight="1">
      <c r="B2115" s="562"/>
      <c r="H2115" s="563"/>
      <c r="I2115" s="563"/>
      <c r="J2115" s="581"/>
      <c r="N2115" s="563"/>
      <c r="O2115" s="563"/>
      <c r="P2115" s="563"/>
    </row>
    <row r="2116" spans="2:16" ht="15.75" customHeight="1">
      <c r="B2116" s="562"/>
      <c r="H2116" s="563"/>
      <c r="I2116" s="563"/>
      <c r="J2116" s="581"/>
      <c r="N2116" s="563"/>
      <c r="O2116" s="563"/>
      <c r="P2116" s="563"/>
    </row>
    <row r="2117" spans="2:16" ht="15.75" customHeight="1">
      <c r="B2117" s="562"/>
      <c r="H2117" s="563"/>
      <c r="I2117" s="563"/>
      <c r="J2117" s="581"/>
      <c r="N2117" s="563"/>
      <c r="O2117" s="563"/>
      <c r="P2117" s="563"/>
    </row>
    <row r="2118" spans="2:16" ht="15.75" customHeight="1">
      <c r="B2118" s="562"/>
      <c r="H2118" s="563"/>
      <c r="I2118" s="563"/>
      <c r="J2118" s="581"/>
      <c r="N2118" s="563"/>
      <c r="O2118" s="563"/>
      <c r="P2118" s="563"/>
    </row>
    <row r="2119" spans="2:16" ht="15.75" customHeight="1">
      <c r="B2119" s="562"/>
      <c r="H2119" s="563"/>
      <c r="I2119" s="563"/>
      <c r="J2119" s="581"/>
      <c r="N2119" s="563"/>
      <c r="O2119" s="563"/>
      <c r="P2119" s="563"/>
    </row>
    <row r="2120" spans="2:16" ht="15.75" customHeight="1">
      <c r="B2120" s="562"/>
      <c r="H2120" s="563"/>
      <c r="I2120" s="563"/>
      <c r="J2120" s="581"/>
      <c r="N2120" s="563"/>
      <c r="O2120" s="563"/>
      <c r="P2120" s="563"/>
    </row>
    <row r="2121" spans="2:16" ht="15.75" customHeight="1">
      <c r="B2121" s="562"/>
      <c r="H2121" s="563"/>
      <c r="I2121" s="563"/>
      <c r="J2121" s="581"/>
      <c r="N2121" s="563"/>
      <c r="O2121" s="563"/>
      <c r="P2121" s="563"/>
    </row>
    <row r="2122" spans="2:16" ht="15.75" customHeight="1">
      <c r="B2122" s="562"/>
      <c r="H2122" s="563"/>
      <c r="I2122" s="563"/>
      <c r="J2122" s="581"/>
      <c r="N2122" s="563"/>
      <c r="O2122" s="563"/>
      <c r="P2122" s="563"/>
    </row>
    <row r="2123" spans="2:16" ht="15.75" customHeight="1">
      <c r="B2123" s="562"/>
      <c r="H2123" s="563"/>
      <c r="I2123" s="563"/>
      <c r="J2123" s="581"/>
      <c r="N2123" s="563"/>
      <c r="O2123" s="563"/>
      <c r="P2123" s="563"/>
    </row>
    <row r="2124" spans="2:16" ht="15.75" customHeight="1">
      <c r="B2124" s="562"/>
      <c r="H2124" s="563"/>
      <c r="I2124" s="563"/>
      <c r="J2124" s="581"/>
      <c r="N2124" s="563"/>
      <c r="O2124" s="563"/>
      <c r="P2124" s="563"/>
    </row>
    <row r="2125" spans="2:16" ht="15.75" customHeight="1">
      <c r="B2125" s="562"/>
      <c r="H2125" s="563"/>
      <c r="I2125" s="563"/>
      <c r="J2125" s="581"/>
      <c r="N2125" s="563"/>
      <c r="O2125" s="563"/>
      <c r="P2125" s="563"/>
    </row>
    <row r="2126" spans="2:16" ht="15.75" customHeight="1">
      <c r="B2126" s="562"/>
      <c r="H2126" s="563"/>
      <c r="I2126" s="563"/>
      <c r="J2126" s="581"/>
      <c r="N2126" s="563"/>
      <c r="O2126" s="563"/>
      <c r="P2126" s="563"/>
    </row>
    <row r="2127" spans="2:16" ht="15.75" customHeight="1">
      <c r="B2127" s="562"/>
      <c r="H2127" s="563"/>
      <c r="I2127" s="563"/>
      <c r="J2127" s="581"/>
      <c r="N2127" s="563"/>
      <c r="O2127" s="563"/>
      <c r="P2127" s="563"/>
    </row>
    <row r="2128" spans="2:16" ht="15.75" customHeight="1">
      <c r="B2128" s="562"/>
      <c r="H2128" s="563"/>
      <c r="I2128" s="563"/>
      <c r="J2128" s="581"/>
      <c r="N2128" s="563"/>
      <c r="O2128" s="563"/>
      <c r="P2128" s="563"/>
    </row>
    <row r="2129" spans="2:16" ht="15.75" customHeight="1">
      <c r="B2129" s="562"/>
      <c r="H2129" s="563"/>
      <c r="I2129" s="563"/>
      <c r="J2129" s="581"/>
      <c r="N2129" s="563"/>
      <c r="O2129" s="563"/>
      <c r="P2129" s="563"/>
    </row>
    <row r="2130" spans="2:16" ht="15.75" customHeight="1">
      <c r="B2130" s="562"/>
      <c r="H2130" s="563"/>
      <c r="I2130" s="563"/>
      <c r="J2130" s="581"/>
      <c r="N2130" s="563"/>
      <c r="O2130" s="563"/>
      <c r="P2130" s="563"/>
    </row>
    <row r="2131" spans="2:16" ht="15.75" customHeight="1">
      <c r="B2131" s="562"/>
      <c r="H2131" s="563"/>
      <c r="I2131" s="563"/>
      <c r="J2131" s="581"/>
      <c r="N2131" s="563"/>
      <c r="O2131" s="563"/>
      <c r="P2131" s="563"/>
    </row>
    <row r="2132" spans="2:16" ht="15.75" customHeight="1">
      <c r="B2132" s="562"/>
      <c r="H2132" s="563"/>
      <c r="I2132" s="563"/>
      <c r="J2132" s="581"/>
      <c r="N2132" s="563"/>
      <c r="O2132" s="563"/>
      <c r="P2132" s="563"/>
    </row>
    <row r="2133" spans="2:16" ht="15.75" customHeight="1">
      <c r="B2133" s="562"/>
      <c r="H2133" s="563"/>
      <c r="I2133" s="563"/>
      <c r="J2133" s="581"/>
      <c r="N2133" s="563"/>
      <c r="O2133" s="563"/>
      <c r="P2133" s="563"/>
    </row>
    <row r="2134" spans="2:16" ht="15.75" customHeight="1">
      <c r="B2134" s="562"/>
      <c r="H2134" s="563"/>
      <c r="I2134" s="563"/>
      <c r="J2134" s="581"/>
      <c r="N2134" s="563"/>
      <c r="O2134" s="563"/>
      <c r="P2134" s="563"/>
    </row>
    <row r="2135" spans="2:16" ht="15.75" customHeight="1">
      <c r="B2135" s="562"/>
      <c r="H2135" s="563"/>
      <c r="I2135" s="563"/>
      <c r="J2135" s="581"/>
      <c r="N2135" s="563"/>
      <c r="O2135" s="563"/>
      <c r="P2135" s="563"/>
    </row>
    <row r="2136" spans="2:16" ht="15.75" customHeight="1">
      <c r="B2136" s="562"/>
      <c r="N2136" s="563"/>
      <c r="O2136" s="563"/>
      <c r="P2136" s="563"/>
    </row>
    <row r="2137" spans="2:16" ht="15.75" customHeight="1">
      <c r="B2137" s="562"/>
      <c r="N2137" s="563"/>
      <c r="O2137" s="563"/>
      <c r="P2137" s="563"/>
    </row>
    <row r="2138" spans="2:16" ht="15.75" customHeight="1">
      <c r="B2138" s="562"/>
      <c r="N2138" s="563"/>
      <c r="O2138" s="563"/>
      <c r="P2138" s="563"/>
    </row>
    <row r="2139" spans="2:16" ht="15.75" customHeight="1">
      <c r="B2139" s="562"/>
      <c r="N2139" s="563"/>
      <c r="O2139" s="563"/>
      <c r="P2139" s="563"/>
    </row>
    <row r="2140" spans="2:16" ht="15.75" customHeight="1">
      <c r="B2140" s="562"/>
      <c r="H2140" s="563"/>
      <c r="I2140" s="563"/>
      <c r="J2140" s="581"/>
      <c r="N2140" s="563"/>
      <c r="O2140" s="563"/>
      <c r="P2140" s="563"/>
    </row>
    <row r="2141" spans="2:16" ht="15.75" customHeight="1">
      <c r="B2141" s="562"/>
      <c r="H2141" s="563"/>
      <c r="I2141" s="563"/>
      <c r="J2141" s="581"/>
      <c r="N2141" s="563"/>
      <c r="O2141" s="563"/>
      <c r="P2141" s="563"/>
    </row>
    <row r="2142" spans="2:16" ht="15.75" customHeight="1">
      <c r="B2142" s="562"/>
      <c r="H2142" s="563"/>
      <c r="I2142" s="563"/>
      <c r="J2142" s="581"/>
      <c r="N2142" s="563"/>
      <c r="O2142" s="563"/>
      <c r="P2142" s="563"/>
    </row>
    <row r="2143" spans="2:16" ht="15.75" customHeight="1">
      <c r="B2143" s="562"/>
      <c r="H2143" s="563"/>
      <c r="I2143" s="563"/>
      <c r="J2143" s="581"/>
      <c r="N2143" s="563"/>
      <c r="O2143" s="563"/>
      <c r="P2143" s="563"/>
    </row>
    <row r="2144" spans="2:16" ht="15.75" customHeight="1">
      <c r="B2144" s="562"/>
      <c r="H2144" s="563"/>
      <c r="I2144" s="563"/>
      <c r="J2144" s="581"/>
      <c r="N2144" s="563"/>
      <c r="O2144" s="563"/>
      <c r="P2144" s="563"/>
    </row>
    <row r="2145" spans="2:16" ht="15.75" customHeight="1">
      <c r="B2145" s="562"/>
      <c r="H2145" s="563"/>
      <c r="I2145" s="563"/>
      <c r="J2145" s="581"/>
      <c r="N2145" s="563"/>
      <c r="O2145" s="563"/>
      <c r="P2145" s="563"/>
    </row>
    <row r="2146" spans="2:16" ht="15.75" customHeight="1">
      <c r="B2146" s="562"/>
      <c r="H2146" s="563"/>
      <c r="I2146" s="563"/>
      <c r="J2146" s="581"/>
      <c r="N2146" s="563"/>
      <c r="O2146" s="563"/>
      <c r="P2146" s="563"/>
    </row>
    <row r="2147" spans="2:16" ht="15.75" customHeight="1">
      <c r="B2147" s="562"/>
      <c r="H2147" s="563"/>
      <c r="I2147" s="563"/>
      <c r="J2147" s="581"/>
      <c r="N2147" s="563"/>
      <c r="O2147" s="563"/>
      <c r="P2147" s="563"/>
    </row>
    <row r="2148" spans="2:16" ht="15.75" customHeight="1">
      <c r="B2148" s="562"/>
      <c r="H2148" s="563"/>
      <c r="I2148" s="563"/>
      <c r="J2148" s="581"/>
      <c r="N2148" s="563"/>
      <c r="O2148" s="563"/>
      <c r="P2148" s="563"/>
    </row>
    <row r="2149" spans="2:16" ht="15.75" customHeight="1">
      <c r="B2149" s="562"/>
      <c r="H2149" s="563"/>
      <c r="I2149" s="563"/>
      <c r="J2149" s="581"/>
      <c r="N2149" s="563"/>
      <c r="O2149" s="563"/>
      <c r="P2149" s="563"/>
    </row>
    <row r="2150" spans="2:16" ht="15.75" customHeight="1">
      <c r="B2150" s="562"/>
      <c r="H2150" s="563"/>
      <c r="I2150" s="563"/>
      <c r="J2150" s="581"/>
      <c r="N2150" s="563"/>
      <c r="O2150" s="563"/>
      <c r="P2150" s="563"/>
    </row>
    <row r="2151" spans="2:16" ht="15.75" customHeight="1">
      <c r="B2151" s="562"/>
      <c r="H2151" s="563"/>
      <c r="I2151" s="563"/>
      <c r="J2151" s="581"/>
      <c r="N2151" s="563"/>
      <c r="O2151" s="563"/>
      <c r="P2151" s="563"/>
    </row>
    <row r="2152" spans="2:16" ht="15.75" customHeight="1">
      <c r="B2152" s="562"/>
      <c r="H2152" s="563"/>
      <c r="I2152" s="563"/>
      <c r="J2152" s="581"/>
      <c r="N2152" s="563"/>
      <c r="O2152" s="563"/>
      <c r="P2152" s="563"/>
    </row>
    <row r="2153" spans="2:16" ht="15.75" customHeight="1">
      <c r="B2153" s="562"/>
      <c r="N2153" s="563"/>
      <c r="O2153" s="563"/>
      <c r="P2153" s="563"/>
    </row>
    <row r="2154" spans="2:16" ht="15.75" customHeight="1">
      <c r="B2154" s="562"/>
      <c r="N2154" s="563"/>
      <c r="P2154" s="563"/>
    </row>
    <row r="2155" spans="2:16" ht="15.75" customHeight="1">
      <c r="B2155" s="562"/>
      <c r="N2155" s="563"/>
      <c r="P2155" s="563"/>
    </row>
    <row r="2156" spans="2:16" ht="15.75" customHeight="1">
      <c r="B2156" s="562"/>
      <c r="N2156" s="563"/>
      <c r="P2156" s="563"/>
    </row>
    <row r="2157" spans="2:16" ht="15.75" customHeight="1">
      <c r="B2157" s="562"/>
      <c r="N2157" s="563"/>
      <c r="O2157" s="563"/>
      <c r="P2157" s="563"/>
    </row>
    <row r="2158" spans="2:16" ht="15.75" customHeight="1">
      <c r="B2158" s="562"/>
      <c r="N2158" s="563"/>
      <c r="O2158" s="563"/>
      <c r="P2158" s="563"/>
    </row>
    <row r="2159" spans="2:16" ht="15.75" customHeight="1">
      <c r="B2159" s="562"/>
      <c r="N2159" s="563"/>
      <c r="O2159" s="563"/>
      <c r="P2159" s="563"/>
    </row>
    <row r="2160" spans="2:16" ht="15.75" customHeight="1">
      <c r="B2160" s="562"/>
      <c r="N2160" s="563"/>
      <c r="O2160" s="563"/>
      <c r="P2160" s="563"/>
    </row>
    <row r="2161" spans="2:16" ht="15.75" customHeight="1">
      <c r="B2161" s="562"/>
      <c r="N2161" s="563"/>
      <c r="O2161" s="563"/>
      <c r="P2161" s="563"/>
    </row>
    <row r="2162" spans="2:16" ht="15.75" customHeight="1">
      <c r="B2162" s="562"/>
      <c r="N2162" s="563"/>
      <c r="O2162" s="563"/>
      <c r="P2162" s="563"/>
    </row>
    <row r="2163" spans="2:16" ht="15.75" customHeight="1">
      <c r="B2163" s="562"/>
      <c r="H2163" s="563"/>
      <c r="I2163" s="563"/>
      <c r="J2163" s="581"/>
      <c r="N2163" s="563"/>
      <c r="O2163" s="563"/>
      <c r="P2163" s="563"/>
    </row>
    <row r="2164" spans="2:16" ht="15.75" customHeight="1">
      <c r="B2164" s="562"/>
      <c r="H2164" s="563"/>
      <c r="I2164" s="563"/>
      <c r="J2164" s="581"/>
      <c r="N2164" s="563"/>
      <c r="O2164" s="563"/>
      <c r="P2164" s="563"/>
    </row>
    <row r="2165" spans="2:16" ht="15.75" customHeight="1">
      <c r="B2165" s="562"/>
      <c r="H2165" s="563"/>
      <c r="I2165" s="563"/>
      <c r="J2165" s="581"/>
      <c r="N2165" s="563"/>
      <c r="O2165" s="563"/>
      <c r="P2165" s="563"/>
    </row>
    <row r="2166" spans="2:16" ht="15.75" customHeight="1">
      <c r="B2166" s="562"/>
      <c r="H2166" s="563"/>
      <c r="I2166" s="563"/>
      <c r="J2166" s="581"/>
      <c r="N2166" s="563"/>
      <c r="O2166" s="563"/>
      <c r="P2166" s="563"/>
    </row>
    <row r="2167" spans="2:16" ht="15.75" customHeight="1">
      <c r="B2167" s="562"/>
      <c r="H2167" s="563"/>
      <c r="I2167" s="563"/>
      <c r="J2167" s="581"/>
      <c r="N2167" s="563"/>
      <c r="O2167" s="563"/>
      <c r="P2167" s="563"/>
    </row>
    <row r="2168" spans="2:16" ht="15.75" customHeight="1">
      <c r="B2168" s="562"/>
      <c r="H2168" s="563"/>
      <c r="I2168" s="563"/>
      <c r="J2168" s="581"/>
      <c r="N2168" s="563"/>
      <c r="O2168" s="563"/>
      <c r="P2168" s="563"/>
    </row>
    <row r="2169" spans="2:16" ht="15.75" customHeight="1">
      <c r="B2169" s="562"/>
      <c r="H2169" s="563"/>
      <c r="I2169" s="563"/>
      <c r="J2169" s="581"/>
      <c r="N2169" s="563"/>
      <c r="O2169" s="563"/>
      <c r="P2169" s="563"/>
    </row>
    <row r="2170" spans="2:16" ht="15.75" customHeight="1">
      <c r="B2170" s="562"/>
      <c r="H2170" s="563"/>
      <c r="I2170" s="563"/>
      <c r="J2170" s="581"/>
      <c r="N2170" s="563"/>
      <c r="O2170" s="563"/>
      <c r="P2170" s="563"/>
    </row>
    <row r="2171" spans="2:16" ht="15.75" customHeight="1">
      <c r="B2171" s="562"/>
      <c r="H2171" s="563"/>
      <c r="I2171" s="563"/>
      <c r="J2171" s="581"/>
      <c r="N2171" s="563"/>
      <c r="O2171" s="563"/>
      <c r="P2171" s="563"/>
    </row>
    <row r="2172" spans="2:16" ht="15.75" customHeight="1">
      <c r="B2172" s="562"/>
      <c r="H2172" s="563"/>
      <c r="I2172" s="563"/>
      <c r="J2172" s="581"/>
      <c r="N2172" s="563"/>
      <c r="O2172" s="563"/>
      <c r="P2172" s="563"/>
    </row>
    <row r="2173" spans="2:16" ht="15.75" customHeight="1">
      <c r="B2173" s="562"/>
      <c r="H2173" s="563"/>
      <c r="I2173" s="563"/>
      <c r="J2173" s="581"/>
      <c r="N2173" s="563"/>
      <c r="O2173" s="563"/>
      <c r="P2173" s="563"/>
    </row>
    <row r="2174" spans="2:16" ht="15.75" customHeight="1">
      <c r="B2174" s="562"/>
      <c r="H2174" s="563"/>
      <c r="I2174" s="563"/>
      <c r="J2174" s="581"/>
      <c r="N2174" s="563"/>
      <c r="O2174" s="563"/>
      <c r="P2174" s="563"/>
    </row>
    <row r="2175" spans="2:16" ht="15.75" customHeight="1">
      <c r="B2175" s="562"/>
      <c r="H2175" s="563"/>
      <c r="I2175" s="563"/>
      <c r="J2175" s="581"/>
      <c r="N2175" s="563"/>
      <c r="O2175" s="563"/>
      <c r="P2175" s="563"/>
    </row>
    <row r="2176" spans="2:16" ht="15.75" customHeight="1">
      <c r="B2176" s="562"/>
      <c r="H2176" s="563"/>
      <c r="I2176" s="563"/>
      <c r="J2176" s="581"/>
      <c r="N2176" s="563"/>
      <c r="O2176" s="563"/>
      <c r="P2176" s="563"/>
    </row>
    <row r="2177" spans="2:16" ht="15.75" customHeight="1">
      <c r="B2177" s="562"/>
      <c r="H2177" s="563"/>
      <c r="I2177" s="563"/>
      <c r="J2177" s="581"/>
      <c r="N2177" s="563"/>
      <c r="O2177" s="563"/>
      <c r="P2177" s="563"/>
    </row>
    <row r="2178" spans="2:16" ht="15.75" customHeight="1">
      <c r="B2178" s="562"/>
      <c r="H2178" s="563"/>
      <c r="I2178" s="563"/>
      <c r="J2178" s="581"/>
      <c r="N2178" s="563"/>
      <c r="O2178" s="563"/>
      <c r="P2178" s="563"/>
    </row>
    <row r="2179" spans="2:16" ht="15.75" customHeight="1">
      <c r="B2179" s="562"/>
      <c r="H2179" s="563"/>
      <c r="I2179" s="563"/>
      <c r="J2179" s="581"/>
      <c r="N2179" s="563"/>
      <c r="O2179" s="563"/>
      <c r="P2179" s="563"/>
    </row>
    <row r="2180" spans="2:16" ht="15.75" customHeight="1">
      <c r="B2180" s="562"/>
      <c r="H2180" s="563"/>
      <c r="I2180" s="563"/>
      <c r="J2180" s="581"/>
      <c r="N2180" s="563"/>
      <c r="O2180" s="563"/>
      <c r="P2180" s="563"/>
    </row>
    <row r="2181" spans="2:16" ht="15.75" customHeight="1">
      <c r="B2181" s="562"/>
      <c r="H2181" s="563"/>
      <c r="I2181" s="563"/>
      <c r="J2181" s="581"/>
      <c r="N2181" s="563"/>
      <c r="O2181" s="563"/>
      <c r="P2181" s="563"/>
    </row>
    <row r="2182" spans="2:16" ht="15.75" customHeight="1">
      <c r="B2182" s="562"/>
      <c r="H2182" s="563"/>
      <c r="I2182" s="563"/>
      <c r="J2182" s="581"/>
      <c r="N2182" s="563"/>
      <c r="O2182" s="563"/>
      <c r="P2182" s="563"/>
    </row>
    <row r="2183" spans="2:16" ht="15.75" customHeight="1">
      <c r="B2183" s="562"/>
      <c r="N2183" s="563"/>
    </row>
    <row r="2184" spans="2:16" ht="15.75" customHeight="1">
      <c r="B2184" s="562"/>
      <c r="H2184" s="563"/>
      <c r="I2184" s="563"/>
      <c r="J2184" s="581"/>
      <c r="N2184" s="563"/>
      <c r="O2184" s="563"/>
      <c r="P2184" s="563"/>
    </row>
    <row r="2185" spans="2:16" ht="15.75" customHeight="1">
      <c r="B2185" s="562"/>
      <c r="H2185" s="563"/>
      <c r="I2185" s="563"/>
      <c r="J2185" s="581"/>
      <c r="N2185" s="563"/>
      <c r="O2185" s="563"/>
      <c r="P2185" s="563"/>
    </row>
    <row r="2186" spans="2:16" ht="15.75" customHeight="1">
      <c r="B2186" s="562"/>
      <c r="H2186" s="563"/>
      <c r="I2186" s="563"/>
      <c r="J2186" s="581"/>
      <c r="N2186" s="563"/>
      <c r="O2186" s="563"/>
      <c r="P2186" s="563"/>
    </row>
    <row r="2187" spans="2:16" ht="15.75" customHeight="1">
      <c r="B2187" s="562"/>
      <c r="H2187" s="563"/>
      <c r="I2187" s="563"/>
      <c r="J2187" s="581"/>
      <c r="N2187" s="563"/>
      <c r="O2187" s="563"/>
      <c r="P2187" s="563"/>
    </row>
    <row r="2188" spans="2:16" ht="15.75" customHeight="1">
      <c r="B2188" s="562"/>
      <c r="H2188" s="563"/>
      <c r="I2188" s="563"/>
      <c r="J2188" s="581"/>
      <c r="N2188" s="563"/>
      <c r="O2188" s="563"/>
      <c r="P2188" s="563"/>
    </row>
    <row r="2189" spans="2:16" ht="15.75" customHeight="1">
      <c r="B2189" s="562"/>
      <c r="H2189" s="563"/>
      <c r="I2189" s="563"/>
      <c r="J2189" s="581"/>
      <c r="N2189" s="563"/>
      <c r="O2189" s="563"/>
      <c r="P2189" s="563"/>
    </row>
    <row r="2190" spans="2:16" ht="15.75" customHeight="1">
      <c r="B2190" s="562"/>
      <c r="H2190" s="563"/>
      <c r="I2190" s="563"/>
      <c r="J2190" s="581"/>
      <c r="N2190" s="563"/>
      <c r="O2190" s="563"/>
      <c r="P2190" s="563"/>
    </row>
    <row r="2191" spans="2:16" ht="15.75" customHeight="1">
      <c r="B2191" s="562"/>
      <c r="H2191" s="563"/>
      <c r="I2191" s="563"/>
      <c r="J2191" s="581"/>
      <c r="N2191" s="563"/>
      <c r="O2191" s="563"/>
      <c r="P2191" s="563"/>
    </row>
    <row r="2192" spans="2:16" ht="15.75" customHeight="1">
      <c r="B2192" s="562"/>
      <c r="H2192" s="563"/>
      <c r="I2192" s="563"/>
      <c r="J2192" s="581"/>
      <c r="N2192" s="563"/>
      <c r="O2192" s="563"/>
      <c r="P2192" s="563"/>
    </row>
    <row r="2193" spans="2:16" ht="15.75" customHeight="1">
      <c r="B2193" s="562"/>
      <c r="H2193" s="563"/>
      <c r="I2193" s="563"/>
      <c r="J2193" s="581"/>
      <c r="N2193" s="563"/>
      <c r="O2193" s="563"/>
      <c r="P2193" s="563"/>
    </row>
    <row r="2194" spans="2:16" ht="15.75" customHeight="1">
      <c r="B2194" s="562"/>
      <c r="H2194" s="563"/>
      <c r="I2194" s="563"/>
      <c r="J2194" s="581"/>
      <c r="N2194" s="563"/>
      <c r="O2194" s="563"/>
      <c r="P2194" s="563"/>
    </row>
    <row r="2195" spans="2:16" ht="15.75" customHeight="1">
      <c r="B2195" s="562"/>
      <c r="H2195" s="563"/>
      <c r="I2195" s="563"/>
      <c r="J2195" s="581"/>
      <c r="N2195" s="563"/>
      <c r="O2195" s="563"/>
      <c r="P2195" s="563"/>
    </row>
    <row r="2196" spans="2:16" ht="15.75" customHeight="1">
      <c r="B2196" s="562"/>
      <c r="N2196" s="563"/>
      <c r="O2196" s="563"/>
      <c r="P2196" s="563"/>
    </row>
    <row r="2197" spans="2:16" ht="15.75" customHeight="1">
      <c r="B2197" s="566"/>
      <c r="H2197" s="563"/>
      <c r="I2197" s="563"/>
      <c r="J2197" s="581"/>
      <c r="N2197" s="563"/>
      <c r="O2197" s="563"/>
      <c r="P2197" s="563"/>
    </row>
    <row r="2198" spans="2:16" ht="15.75" customHeight="1">
      <c r="B2198" s="562"/>
      <c r="H2198" s="563"/>
      <c r="I2198" s="563"/>
      <c r="J2198" s="581"/>
      <c r="N2198" s="563"/>
      <c r="O2198" s="563"/>
      <c r="P2198" s="563"/>
    </row>
    <row r="2199" spans="2:16" ht="15.75" customHeight="1">
      <c r="B2199" s="562"/>
      <c r="H2199" s="563"/>
      <c r="I2199" s="563"/>
      <c r="J2199" s="581"/>
      <c r="N2199" s="563"/>
      <c r="O2199" s="563"/>
      <c r="P2199" s="563"/>
    </row>
    <row r="2200" spans="2:16" ht="15.75" customHeight="1">
      <c r="B2200" s="562"/>
      <c r="H2200" s="563"/>
      <c r="I2200" s="563"/>
      <c r="J2200" s="581"/>
      <c r="N2200" s="563"/>
      <c r="O2200" s="563"/>
      <c r="P2200" s="563"/>
    </row>
    <row r="2201" spans="2:16" ht="15.75" customHeight="1">
      <c r="B2201" s="562"/>
      <c r="H2201" s="563"/>
      <c r="I2201" s="563"/>
      <c r="J2201" s="581"/>
      <c r="N2201" s="563"/>
      <c r="O2201" s="563"/>
      <c r="P2201" s="563"/>
    </row>
    <row r="2202" spans="2:16" ht="15.75" customHeight="1">
      <c r="B2202" s="562"/>
      <c r="H2202" s="563"/>
      <c r="I2202" s="563"/>
      <c r="J2202" s="581"/>
      <c r="N2202" s="563"/>
      <c r="O2202" s="563"/>
      <c r="P2202" s="563"/>
    </row>
    <row r="2203" spans="2:16" ht="15.75" customHeight="1">
      <c r="B2203" s="562"/>
      <c r="H2203" s="563"/>
      <c r="I2203" s="563"/>
      <c r="J2203" s="581"/>
      <c r="N2203" s="563"/>
      <c r="O2203" s="563"/>
      <c r="P2203" s="563"/>
    </row>
    <row r="2204" spans="2:16" ht="15.75" customHeight="1">
      <c r="B2204" s="562"/>
      <c r="H2204" s="563"/>
      <c r="I2204" s="563"/>
      <c r="J2204" s="581"/>
      <c r="N2204" s="563"/>
      <c r="O2204" s="563"/>
      <c r="P2204" s="563"/>
    </row>
    <row r="2205" spans="2:16" ht="15.75" customHeight="1">
      <c r="B2205" s="562"/>
      <c r="H2205" s="563"/>
      <c r="I2205" s="563"/>
      <c r="J2205" s="581"/>
      <c r="N2205" s="563"/>
      <c r="O2205" s="563"/>
      <c r="P2205" s="563"/>
    </row>
    <row r="2206" spans="2:16" ht="15.75" customHeight="1">
      <c r="B2206" s="562"/>
      <c r="H2206" s="563"/>
      <c r="I2206" s="563"/>
      <c r="J2206" s="581"/>
      <c r="N2206" s="563"/>
      <c r="O2206" s="563"/>
      <c r="P2206" s="563"/>
    </row>
    <row r="2207" spans="2:16" ht="15.75" customHeight="1">
      <c r="B2207" s="562"/>
      <c r="H2207" s="563"/>
      <c r="I2207" s="563"/>
      <c r="J2207" s="581"/>
      <c r="N2207" s="563"/>
      <c r="O2207" s="563"/>
      <c r="P2207" s="563"/>
    </row>
    <row r="2208" spans="2:16" ht="15.75" customHeight="1">
      <c r="B2208" s="562"/>
      <c r="H2208" s="563"/>
      <c r="I2208" s="563"/>
      <c r="J2208" s="581"/>
      <c r="N2208" s="563"/>
      <c r="O2208" s="563"/>
      <c r="P2208" s="563"/>
    </row>
    <row r="2209" spans="2:16" ht="15.75" customHeight="1">
      <c r="B2209" s="562"/>
      <c r="H2209" s="563"/>
      <c r="I2209" s="563"/>
      <c r="J2209" s="581"/>
      <c r="N2209" s="563"/>
      <c r="O2209" s="563"/>
      <c r="P2209" s="563"/>
    </row>
    <row r="2210" spans="2:16" ht="15.75" customHeight="1">
      <c r="B2210" s="562"/>
      <c r="H2210" s="563"/>
      <c r="I2210" s="563"/>
      <c r="J2210" s="581"/>
      <c r="N2210" s="563"/>
      <c r="O2210" s="563"/>
      <c r="P2210" s="563"/>
    </row>
    <row r="2212" spans="2:16" ht="15.75" customHeight="1">
      <c r="B2212" s="562"/>
      <c r="H2212" s="563"/>
      <c r="I2212" s="563"/>
      <c r="J2212" s="581"/>
      <c r="N2212" s="563"/>
      <c r="O2212" s="563"/>
      <c r="P2212" s="563"/>
    </row>
    <row r="2213" spans="2:16" ht="15.75" customHeight="1">
      <c r="B2213" s="562"/>
      <c r="H2213" s="563"/>
      <c r="I2213" s="563"/>
      <c r="J2213" s="581"/>
      <c r="N2213" s="563"/>
      <c r="O2213" s="563"/>
      <c r="P2213" s="563"/>
    </row>
    <row r="2214" spans="2:16" ht="15.75" customHeight="1">
      <c r="B2214" s="562"/>
      <c r="H2214" s="563"/>
      <c r="I2214" s="563"/>
      <c r="J2214" s="581"/>
      <c r="N2214" s="563"/>
      <c r="O2214" s="563"/>
      <c r="P2214" s="563"/>
    </row>
    <row r="2215" spans="2:16" ht="15.75" customHeight="1">
      <c r="B2215" s="562"/>
      <c r="H2215" s="563"/>
      <c r="I2215" s="563"/>
      <c r="J2215" s="581"/>
      <c r="N2215" s="563"/>
      <c r="O2215" s="563"/>
      <c r="P2215" s="563"/>
    </row>
    <row r="2216" spans="2:16" ht="15.75" customHeight="1">
      <c r="B2216" s="562"/>
      <c r="H2216" s="563"/>
      <c r="I2216" s="563"/>
      <c r="J2216" s="581"/>
      <c r="N2216" s="563"/>
      <c r="O2216" s="563"/>
      <c r="P2216" s="563"/>
    </row>
    <row r="2217" spans="2:16" ht="15.75" customHeight="1">
      <c r="B2217" s="562"/>
      <c r="H2217" s="563"/>
      <c r="I2217" s="563"/>
      <c r="J2217" s="581"/>
      <c r="N2217" s="563"/>
      <c r="O2217" s="563"/>
      <c r="P2217" s="563"/>
    </row>
    <row r="2218" spans="2:16" ht="15.75" customHeight="1">
      <c r="B2218" s="562"/>
      <c r="H2218" s="563"/>
      <c r="I2218" s="563"/>
      <c r="J2218" s="581"/>
      <c r="N2218" s="563"/>
      <c r="O2218" s="563"/>
      <c r="P2218" s="563"/>
    </row>
    <row r="2219" spans="2:16" ht="15.75" customHeight="1">
      <c r="B2219" s="562"/>
      <c r="H2219" s="563"/>
      <c r="I2219" s="563"/>
      <c r="J2219" s="581"/>
      <c r="N2219" s="563"/>
      <c r="O2219" s="563"/>
      <c r="P2219" s="563"/>
    </row>
    <row r="2220" spans="2:16" ht="15.75" customHeight="1">
      <c r="B2220" s="562"/>
      <c r="H2220" s="563"/>
      <c r="I2220" s="563"/>
      <c r="J2220" s="581"/>
      <c r="N2220" s="563"/>
      <c r="O2220" s="563"/>
      <c r="P2220" s="563"/>
    </row>
    <row r="2221" spans="2:16" ht="15.75" customHeight="1">
      <c r="B2221" s="562"/>
      <c r="H2221" s="563"/>
      <c r="I2221" s="563"/>
      <c r="J2221" s="581"/>
      <c r="N2221" s="563"/>
      <c r="O2221" s="563"/>
      <c r="P2221" s="563"/>
    </row>
    <row r="2222" spans="2:16" ht="15.75" customHeight="1">
      <c r="B2222" s="562"/>
      <c r="H2222" s="563"/>
      <c r="I2222" s="563"/>
      <c r="J2222" s="581"/>
      <c r="N2222" s="563"/>
      <c r="O2222" s="563"/>
      <c r="P2222" s="563"/>
    </row>
    <row r="2223" spans="2:16" ht="15.75" customHeight="1">
      <c r="B2223" s="562"/>
      <c r="H2223" s="563"/>
      <c r="I2223" s="563"/>
      <c r="J2223" s="581"/>
      <c r="N2223" s="563"/>
      <c r="O2223" s="563"/>
      <c r="P2223" s="563"/>
    </row>
    <row r="2224" spans="2:16" ht="15.75" customHeight="1">
      <c r="B2224" s="562"/>
      <c r="H2224" s="550"/>
      <c r="I2224" s="550"/>
      <c r="J2224" s="581"/>
      <c r="N2224" s="563"/>
      <c r="O2224" s="550"/>
      <c r="P2224" s="563"/>
    </row>
    <row r="2225" spans="2:16" ht="15.75" customHeight="1">
      <c r="B2225" s="562"/>
      <c r="H2225" s="563"/>
      <c r="I2225" s="563"/>
      <c r="J2225" s="581"/>
      <c r="N2225" s="563"/>
      <c r="O2225" s="563"/>
      <c r="P2225" s="563"/>
    </row>
    <row r="2226" spans="2:16" ht="15.75" customHeight="1">
      <c r="B2226" s="562"/>
      <c r="H2226" s="563"/>
      <c r="I2226" s="563"/>
      <c r="J2226" s="581"/>
      <c r="N2226" s="563"/>
      <c r="O2226" s="563"/>
      <c r="P2226" s="563"/>
    </row>
    <row r="2227" spans="2:16" ht="15.75" customHeight="1">
      <c r="B2227" s="562"/>
      <c r="H2227" s="563"/>
      <c r="I2227" s="563"/>
      <c r="J2227" s="581"/>
      <c r="N2227" s="563"/>
      <c r="O2227" s="563"/>
      <c r="P2227" s="563"/>
    </row>
    <row r="2228" spans="2:16" ht="15.75" customHeight="1">
      <c r="B2228" s="562"/>
      <c r="H2228" s="563"/>
      <c r="I2228" s="563"/>
      <c r="J2228" s="581"/>
      <c r="N2228" s="563"/>
      <c r="O2228" s="563"/>
      <c r="P2228" s="563"/>
    </row>
    <row r="2229" spans="2:16" ht="15.75" customHeight="1">
      <c r="B2229" s="562"/>
      <c r="H2229" s="563"/>
      <c r="I2229" s="563"/>
      <c r="J2229" s="581"/>
      <c r="N2229" s="563"/>
      <c r="O2229" s="563"/>
      <c r="P2229" s="563"/>
    </row>
    <row r="2230" spans="2:16" ht="15.75" customHeight="1">
      <c r="B2230" s="562"/>
      <c r="H2230" s="563"/>
      <c r="I2230" s="563"/>
      <c r="J2230" s="581"/>
      <c r="N2230" s="563"/>
      <c r="O2230" s="563"/>
      <c r="P2230" s="563"/>
    </row>
    <row r="2231" spans="2:16" ht="15.75" customHeight="1">
      <c r="B2231" s="562"/>
      <c r="H2231" s="563"/>
      <c r="I2231" s="563"/>
      <c r="J2231" s="581"/>
      <c r="N2231" s="563"/>
      <c r="O2231" s="563"/>
      <c r="P2231" s="563"/>
    </row>
    <row r="2232" spans="2:16" ht="15.75" customHeight="1">
      <c r="B2232" s="562"/>
      <c r="H2232" s="563"/>
      <c r="I2232" s="563"/>
      <c r="J2232" s="581"/>
      <c r="N2232" s="563"/>
      <c r="O2232" s="563"/>
      <c r="P2232" s="563"/>
    </row>
    <row r="2233" spans="2:16" ht="15.75" customHeight="1">
      <c r="B2233" s="562"/>
      <c r="H2233" s="563"/>
      <c r="I2233" s="563"/>
      <c r="J2233" s="581"/>
      <c r="N2233" s="563"/>
      <c r="O2233" s="563"/>
      <c r="P2233" s="563"/>
    </row>
    <row r="2234" spans="2:16" ht="15.75" customHeight="1">
      <c r="B2234" s="562"/>
      <c r="H2234" s="563"/>
      <c r="I2234" s="563"/>
      <c r="J2234" s="581"/>
      <c r="N2234" s="563"/>
      <c r="O2234" s="563"/>
      <c r="P2234" s="563"/>
    </row>
    <row r="2235" spans="2:16" ht="15.75" customHeight="1">
      <c r="B2235" s="562"/>
      <c r="H2235" s="563"/>
      <c r="I2235" s="563"/>
      <c r="J2235" s="581"/>
      <c r="N2235" s="563"/>
      <c r="O2235" s="563"/>
      <c r="P2235" s="563"/>
    </row>
    <row r="2236" spans="2:16" ht="15.75" customHeight="1">
      <c r="B2236" s="562"/>
      <c r="H2236" s="563"/>
      <c r="I2236" s="563"/>
      <c r="J2236" s="581"/>
      <c r="N2236" s="563"/>
      <c r="O2236" s="563"/>
      <c r="P2236" s="563"/>
    </row>
    <row r="2237" spans="2:16" ht="15.75" customHeight="1">
      <c r="B2237" s="562"/>
      <c r="H2237" s="563"/>
      <c r="I2237" s="563"/>
      <c r="J2237" s="581"/>
      <c r="N2237" s="563"/>
      <c r="O2237" s="563"/>
      <c r="P2237" s="550"/>
    </row>
    <row r="2238" spans="2:16" ht="15.75" customHeight="1">
      <c r="B2238" s="562"/>
      <c r="H2238" s="563"/>
      <c r="I2238" s="563"/>
      <c r="J2238" s="581"/>
      <c r="N2238" s="563"/>
      <c r="O2238" s="563"/>
      <c r="P2238" s="563"/>
    </row>
    <row r="2239" spans="2:16" ht="15.75" customHeight="1">
      <c r="B2239" s="562"/>
      <c r="H2239" s="563"/>
      <c r="I2239" s="563"/>
      <c r="J2239" s="581"/>
      <c r="N2239" s="563"/>
      <c r="O2239" s="563"/>
      <c r="P2239" s="563"/>
    </row>
    <row r="2240" spans="2:16" ht="15.75" customHeight="1">
      <c r="B2240" s="562"/>
      <c r="H2240" s="563"/>
      <c r="I2240" s="563"/>
      <c r="J2240" s="581"/>
      <c r="N2240" s="563"/>
      <c r="O2240" s="563"/>
      <c r="P2240" s="563"/>
    </row>
    <row r="2241" spans="2:16" ht="15.75" customHeight="1">
      <c r="B2241" s="562"/>
      <c r="H2241" s="563"/>
      <c r="I2241" s="563"/>
      <c r="J2241" s="581"/>
      <c r="N2241" s="563"/>
      <c r="O2241" s="563"/>
      <c r="P2241" s="563"/>
    </row>
    <row r="2242" spans="2:16" ht="15.75" customHeight="1">
      <c r="B2242" s="562"/>
      <c r="H2242" s="563"/>
      <c r="I2242" s="563"/>
      <c r="J2242" s="581"/>
      <c r="N2242" s="563"/>
      <c r="O2242" s="563"/>
      <c r="P2242" s="563"/>
    </row>
    <row r="2243" spans="2:16" ht="15.75" customHeight="1">
      <c r="B2243" s="562"/>
      <c r="H2243" s="563"/>
      <c r="I2243" s="563"/>
      <c r="J2243" s="581"/>
      <c r="N2243" s="563"/>
      <c r="O2243" s="563"/>
      <c r="P2243" s="563"/>
    </row>
    <row r="2244" spans="2:16" ht="15.75" customHeight="1">
      <c r="B2244" s="562"/>
      <c r="H2244" s="563"/>
      <c r="I2244" s="563"/>
      <c r="J2244" s="581"/>
      <c r="N2244" s="563"/>
      <c r="O2244" s="563"/>
      <c r="P2244" s="563"/>
    </row>
    <row r="2245" spans="2:16" ht="15.75" customHeight="1">
      <c r="B2245" s="562"/>
      <c r="H2245" s="563"/>
      <c r="I2245" s="563"/>
      <c r="J2245" s="581"/>
      <c r="N2245" s="563"/>
      <c r="O2245" s="563"/>
      <c r="P2245" s="563"/>
    </row>
    <row r="2246" spans="2:16" ht="15.75" customHeight="1">
      <c r="B2246" s="562"/>
      <c r="H2246" s="563"/>
      <c r="I2246" s="563"/>
      <c r="J2246" s="581"/>
      <c r="N2246" s="563"/>
      <c r="O2246" s="563"/>
      <c r="P2246" s="563"/>
    </row>
    <row r="2247" spans="2:16" ht="15.75" customHeight="1">
      <c r="B2247" s="562"/>
      <c r="H2247" s="563"/>
      <c r="I2247" s="563"/>
      <c r="J2247" s="581"/>
      <c r="N2247" s="563"/>
      <c r="O2247" s="563"/>
      <c r="P2247" s="563"/>
    </row>
    <row r="2248" spans="2:16" ht="15.75" customHeight="1">
      <c r="B2248" s="562"/>
      <c r="H2248" s="563"/>
      <c r="I2248" s="563"/>
      <c r="J2248" s="581"/>
      <c r="N2248" s="563"/>
      <c r="O2248" s="563"/>
      <c r="P2248" s="563"/>
    </row>
    <row r="2249" spans="2:16" ht="15.75" customHeight="1">
      <c r="B2249" s="562"/>
      <c r="H2249" s="563"/>
      <c r="I2249" s="563"/>
      <c r="J2249" s="581"/>
      <c r="N2249" s="563"/>
      <c r="O2249" s="563"/>
      <c r="P2249" s="563"/>
    </row>
    <row r="2250" spans="2:16" ht="15.75" customHeight="1">
      <c r="B2250" s="562"/>
      <c r="H2250" s="563"/>
      <c r="I2250" s="563"/>
      <c r="J2250" s="581"/>
      <c r="N2250" s="563"/>
      <c r="O2250" s="563"/>
      <c r="P2250" s="563"/>
    </row>
    <row r="2251" spans="2:16" ht="15.75" customHeight="1">
      <c r="B2251" s="562"/>
      <c r="H2251" s="563"/>
      <c r="I2251" s="563"/>
      <c r="J2251" s="581"/>
      <c r="N2251" s="563"/>
      <c r="O2251" s="563"/>
      <c r="P2251" s="563"/>
    </row>
    <row r="2252" spans="2:16" ht="15.75" customHeight="1">
      <c r="B2252" s="562"/>
      <c r="H2252" s="563"/>
      <c r="I2252" s="563"/>
      <c r="J2252" s="581"/>
      <c r="N2252" s="563"/>
      <c r="O2252" s="563"/>
      <c r="P2252" s="563"/>
    </row>
    <row r="2253" spans="2:16" ht="15.75" customHeight="1">
      <c r="B2253" s="562"/>
      <c r="H2253" s="563"/>
      <c r="I2253" s="563"/>
      <c r="J2253" s="581"/>
      <c r="N2253" s="563"/>
      <c r="O2253" s="563"/>
      <c r="P2253" s="563"/>
    </row>
    <row r="2254" spans="2:16" ht="15.75" customHeight="1">
      <c r="B2254" s="562"/>
      <c r="H2254" s="563"/>
      <c r="I2254" s="563"/>
      <c r="J2254" s="581"/>
      <c r="N2254" s="563"/>
      <c r="O2254" s="563"/>
      <c r="P2254" s="563"/>
    </row>
    <row r="2255" spans="2:16" ht="15.75" customHeight="1">
      <c r="B2255" s="562"/>
      <c r="H2255" s="563"/>
      <c r="I2255" s="563"/>
      <c r="J2255" s="581"/>
      <c r="N2255" s="563"/>
      <c r="O2255" s="563"/>
      <c r="P2255" s="563"/>
    </row>
    <row r="2256" spans="2:16" ht="15.75" customHeight="1">
      <c r="B2256" s="562"/>
      <c r="H2256" s="563"/>
      <c r="I2256" s="563"/>
      <c r="J2256" s="581"/>
      <c r="N2256" s="563"/>
      <c r="O2256" s="563"/>
      <c r="P2256" s="563"/>
    </row>
    <row r="2257" spans="2:16" ht="15.75" customHeight="1">
      <c r="B2257" s="562"/>
      <c r="H2257" s="563"/>
      <c r="I2257" s="563"/>
      <c r="J2257" s="581"/>
      <c r="N2257" s="563"/>
      <c r="O2257" s="563"/>
      <c r="P2257" s="563"/>
    </row>
    <row r="2258" spans="2:16" ht="15.75" customHeight="1">
      <c r="B2258" s="562"/>
      <c r="H2258" s="563"/>
      <c r="I2258" s="563"/>
      <c r="J2258" s="581"/>
      <c r="N2258" s="563"/>
      <c r="O2258" s="563"/>
      <c r="P2258" s="563"/>
    </row>
    <row r="2259" spans="2:16" ht="15.75" customHeight="1">
      <c r="B2259" s="562"/>
      <c r="H2259" s="563"/>
      <c r="I2259" s="563"/>
      <c r="J2259" s="581"/>
      <c r="N2259" s="563"/>
      <c r="O2259" s="563"/>
      <c r="P2259" s="563"/>
    </row>
    <row r="2260" spans="2:16" ht="15.75" customHeight="1">
      <c r="B2260" s="562"/>
      <c r="H2260" s="563"/>
      <c r="I2260" s="563"/>
      <c r="J2260" s="581"/>
      <c r="N2260" s="563"/>
      <c r="O2260" s="563"/>
      <c r="P2260" s="563"/>
    </row>
    <row r="2261" spans="2:16" ht="15.75" customHeight="1">
      <c r="B2261" s="562"/>
      <c r="H2261" s="563"/>
      <c r="I2261" s="563"/>
      <c r="J2261" s="581"/>
      <c r="N2261" s="563"/>
      <c r="O2261" s="563"/>
      <c r="P2261" s="563"/>
    </row>
    <row r="2262" spans="2:16" ht="15.75" customHeight="1">
      <c r="B2262" s="562"/>
      <c r="H2262" s="563"/>
      <c r="I2262" s="563"/>
      <c r="J2262" s="581"/>
      <c r="N2262" s="563"/>
      <c r="O2262" s="563"/>
      <c r="P2262" s="563"/>
    </row>
    <row r="2263" spans="2:16" ht="15.75" customHeight="1">
      <c r="B2263" s="562"/>
      <c r="H2263" s="563"/>
      <c r="I2263" s="563"/>
      <c r="J2263" s="581"/>
      <c r="N2263" s="563"/>
      <c r="O2263" s="563"/>
      <c r="P2263" s="563"/>
    </row>
    <row r="2264" spans="2:16" ht="15.75" customHeight="1">
      <c r="B2264" s="562"/>
      <c r="H2264" s="563"/>
      <c r="I2264" s="563"/>
      <c r="J2264" s="581"/>
      <c r="N2264" s="563"/>
      <c r="O2264" s="563"/>
      <c r="P2264" s="563"/>
    </row>
    <row r="2265" spans="2:16" ht="15.75" customHeight="1">
      <c r="B2265" s="562"/>
      <c r="H2265" s="563"/>
      <c r="I2265" s="563"/>
      <c r="J2265" s="581"/>
      <c r="N2265" s="563"/>
      <c r="O2265" s="563"/>
      <c r="P2265" s="563"/>
    </row>
    <row r="2266" spans="2:16" ht="15.75" customHeight="1">
      <c r="B2266" s="562"/>
      <c r="H2266" s="563"/>
      <c r="I2266" s="563"/>
      <c r="J2266" s="581"/>
      <c r="N2266" s="563"/>
      <c r="O2266" s="563"/>
      <c r="P2266" s="563"/>
    </row>
    <row r="2267" spans="2:16" ht="15.75" customHeight="1">
      <c r="B2267" s="562"/>
      <c r="H2267" s="563"/>
      <c r="I2267" s="563"/>
      <c r="J2267" s="581"/>
      <c r="N2267" s="563"/>
      <c r="O2267" s="563"/>
      <c r="P2267" s="563"/>
    </row>
    <row r="2268" spans="2:16" ht="15.75" customHeight="1">
      <c r="B2268" s="562"/>
      <c r="H2268" s="563"/>
      <c r="I2268" s="563"/>
      <c r="J2268" s="581"/>
      <c r="N2268" s="563"/>
      <c r="O2268" s="563"/>
      <c r="P2268" s="563"/>
    </row>
    <row r="2269" spans="2:16" ht="15.75" customHeight="1">
      <c r="B2269" s="562"/>
      <c r="H2269" s="563"/>
      <c r="I2269" s="563"/>
      <c r="J2269" s="581"/>
      <c r="N2269" s="563"/>
      <c r="O2269" s="563"/>
      <c r="P2269" s="563"/>
    </row>
    <row r="2270" spans="2:16" ht="15.75" customHeight="1">
      <c r="B2270" s="562"/>
      <c r="H2270" s="563"/>
      <c r="I2270" s="563"/>
      <c r="J2270" s="581"/>
      <c r="N2270" s="563"/>
      <c r="O2270" s="563"/>
      <c r="P2270" s="563"/>
    </row>
    <row r="2271" spans="2:16" ht="15.75" customHeight="1">
      <c r="B2271" s="562"/>
      <c r="H2271" s="563"/>
      <c r="I2271" s="563"/>
      <c r="J2271" s="581"/>
      <c r="N2271" s="563"/>
      <c r="O2271" s="563"/>
      <c r="P2271" s="563"/>
    </row>
    <row r="2272" spans="2:16" ht="15.75" customHeight="1">
      <c r="B2272" s="562"/>
      <c r="H2272" s="563"/>
      <c r="I2272" s="563"/>
      <c r="J2272" s="581"/>
      <c r="N2272" s="563"/>
      <c r="O2272" s="563"/>
      <c r="P2272" s="563"/>
    </row>
    <row r="2273" spans="2:16" ht="15.75" customHeight="1">
      <c r="B2273" s="562"/>
      <c r="H2273" s="563"/>
      <c r="I2273" s="563"/>
      <c r="J2273" s="581"/>
      <c r="N2273" s="563"/>
      <c r="O2273" s="563"/>
      <c r="P2273" s="563"/>
    </row>
    <row r="2274" spans="2:16" ht="15.75" customHeight="1">
      <c r="B2274" s="562"/>
      <c r="H2274" s="563"/>
      <c r="I2274" s="563"/>
      <c r="J2274" s="581"/>
      <c r="N2274" s="563"/>
      <c r="O2274" s="563"/>
      <c r="P2274" s="563"/>
    </row>
    <row r="2275" spans="2:16" ht="15.75" customHeight="1">
      <c r="B2275" s="562"/>
      <c r="H2275" s="563"/>
      <c r="I2275" s="563"/>
      <c r="J2275" s="581"/>
      <c r="N2275" s="563"/>
      <c r="O2275" s="563"/>
      <c r="P2275" s="563"/>
    </row>
    <row r="2276" spans="2:16" ht="15.75" customHeight="1">
      <c r="B2276" s="562"/>
      <c r="H2276" s="563"/>
      <c r="I2276" s="563"/>
      <c r="J2276" s="581"/>
      <c r="N2276" s="563"/>
      <c r="O2276" s="563"/>
      <c r="P2276" s="563"/>
    </row>
    <row r="2277" spans="2:16" ht="15.75" customHeight="1">
      <c r="B2277" s="562"/>
      <c r="H2277" s="563"/>
      <c r="I2277" s="563"/>
      <c r="J2277" s="581"/>
      <c r="N2277" s="563"/>
      <c r="O2277" s="563"/>
      <c r="P2277" s="563"/>
    </row>
    <row r="2278" spans="2:16" ht="15.75" customHeight="1">
      <c r="B2278" s="562"/>
      <c r="H2278" s="563"/>
      <c r="I2278" s="563"/>
      <c r="J2278" s="581"/>
      <c r="N2278" s="563"/>
      <c r="O2278" s="563"/>
      <c r="P2278" s="563"/>
    </row>
    <row r="2279" spans="2:16" ht="15.75" customHeight="1">
      <c r="B2279" s="562"/>
      <c r="H2279" s="563"/>
      <c r="I2279" s="563"/>
      <c r="J2279" s="581"/>
      <c r="N2279" s="563"/>
      <c r="O2279" s="563"/>
      <c r="P2279" s="563"/>
    </row>
    <row r="2280" spans="2:16" ht="15.75" customHeight="1">
      <c r="B2280" s="562"/>
      <c r="H2280" s="563"/>
      <c r="I2280" s="563"/>
      <c r="J2280" s="581"/>
      <c r="N2280" s="563"/>
      <c r="O2280" s="563"/>
      <c r="P2280" s="563"/>
    </row>
    <row r="2281" spans="2:16" ht="15.75" customHeight="1">
      <c r="B2281" s="562"/>
      <c r="H2281" s="563"/>
      <c r="I2281" s="563"/>
      <c r="J2281" s="581"/>
      <c r="N2281" s="563"/>
      <c r="O2281" s="563"/>
      <c r="P2281" s="563"/>
    </row>
    <row r="2282" spans="2:16" ht="15.75" customHeight="1">
      <c r="B2282" s="562"/>
      <c r="H2282" s="563"/>
      <c r="I2282" s="563"/>
      <c r="J2282" s="581"/>
      <c r="N2282" s="563"/>
      <c r="O2282" s="563"/>
      <c r="P2282" s="563"/>
    </row>
    <row r="2283" spans="2:16" ht="15.75" customHeight="1">
      <c r="B2283" s="562"/>
      <c r="H2283" s="563"/>
      <c r="I2283" s="563"/>
      <c r="J2283" s="581"/>
      <c r="N2283" s="563"/>
      <c r="O2283" s="563"/>
      <c r="P2283" s="563"/>
    </row>
    <row r="2284" spans="2:16" ht="15.75" customHeight="1">
      <c r="B2284" s="562"/>
      <c r="H2284" s="563"/>
      <c r="I2284" s="563"/>
      <c r="J2284" s="581"/>
      <c r="N2284" s="563"/>
      <c r="O2284" s="563"/>
      <c r="P2284" s="563"/>
    </row>
    <row r="2285" spans="2:16" ht="15.75" customHeight="1">
      <c r="B2285" s="562"/>
      <c r="H2285" s="563"/>
      <c r="I2285" s="563"/>
      <c r="J2285" s="581"/>
      <c r="N2285" s="563"/>
      <c r="O2285" s="563"/>
      <c r="P2285" s="563"/>
    </row>
    <row r="2286" spans="2:16" ht="15.75" customHeight="1">
      <c r="B2286" s="562"/>
      <c r="H2286" s="563"/>
      <c r="I2286" s="563"/>
      <c r="J2286" s="581"/>
      <c r="N2286" s="563"/>
      <c r="O2286" s="563"/>
      <c r="P2286" s="563"/>
    </row>
    <row r="2287" spans="2:16" ht="15.75" customHeight="1">
      <c r="B2287" s="562"/>
      <c r="H2287" s="563"/>
      <c r="I2287" s="563"/>
      <c r="J2287" s="581"/>
      <c r="N2287" s="563"/>
      <c r="O2287" s="563"/>
      <c r="P2287" s="563"/>
    </row>
    <row r="2288" spans="2:16" ht="15.75" customHeight="1">
      <c r="B2288" s="562"/>
      <c r="H2288" s="563"/>
      <c r="I2288" s="563"/>
      <c r="J2288" s="581"/>
      <c r="N2288" s="563"/>
      <c r="O2288" s="563"/>
      <c r="P2288" s="563"/>
    </row>
    <row r="2289" spans="2:16" ht="15.75" customHeight="1">
      <c r="B2289" s="562"/>
      <c r="H2289" s="563"/>
      <c r="I2289" s="563"/>
      <c r="J2289" s="581"/>
      <c r="N2289" s="563"/>
      <c r="O2289" s="563"/>
      <c r="P2289" s="563"/>
    </row>
    <row r="2290" spans="2:16" ht="15.75" customHeight="1">
      <c r="B2290" s="562"/>
      <c r="H2290" s="563"/>
      <c r="I2290" s="563"/>
      <c r="J2290" s="581"/>
      <c r="N2290" s="563"/>
      <c r="O2290" s="563"/>
      <c r="P2290" s="563"/>
    </row>
    <row r="2291" spans="2:16" ht="15.75" customHeight="1">
      <c r="B2291" s="562"/>
      <c r="H2291" s="563"/>
      <c r="I2291" s="563"/>
      <c r="J2291" s="581"/>
      <c r="N2291" s="563"/>
      <c r="O2291" s="563"/>
      <c r="P2291" s="563"/>
    </row>
    <row r="2292" spans="2:16" ht="15.75" customHeight="1">
      <c r="B2292" s="562"/>
      <c r="H2292" s="563"/>
      <c r="I2292" s="563"/>
      <c r="J2292" s="581"/>
      <c r="N2292" s="563"/>
      <c r="O2292" s="563"/>
      <c r="P2292" s="563"/>
    </row>
    <row r="2293" spans="2:16" ht="15.75" customHeight="1">
      <c r="B2293" s="562"/>
      <c r="H2293" s="563"/>
      <c r="I2293" s="563"/>
      <c r="J2293" s="581"/>
      <c r="N2293" s="563"/>
      <c r="O2293" s="563"/>
      <c r="P2293" s="563"/>
    </row>
    <row r="2294" spans="2:16" ht="15.75" customHeight="1">
      <c r="B2294" s="562"/>
      <c r="H2294" s="563"/>
      <c r="I2294" s="563"/>
      <c r="J2294" s="581"/>
      <c r="N2294" s="563"/>
      <c r="O2294" s="563"/>
      <c r="P2294" s="563"/>
    </row>
    <row r="2295" spans="2:16" ht="15.75" customHeight="1">
      <c r="B2295" s="562"/>
      <c r="H2295" s="563"/>
      <c r="I2295" s="563"/>
      <c r="J2295" s="581"/>
      <c r="N2295" s="563"/>
      <c r="O2295" s="563"/>
      <c r="P2295" s="563"/>
    </row>
    <row r="2296" spans="2:16" ht="15.75" customHeight="1">
      <c r="B2296" s="562"/>
      <c r="H2296" s="563"/>
      <c r="I2296" s="563"/>
      <c r="J2296" s="581"/>
      <c r="N2296" s="563"/>
      <c r="O2296" s="563"/>
      <c r="P2296" s="563"/>
    </row>
    <row r="2297" spans="2:16" ht="15.75" customHeight="1">
      <c r="B2297" s="562"/>
      <c r="H2297" s="563"/>
      <c r="I2297" s="563"/>
      <c r="J2297" s="581"/>
      <c r="N2297" s="563"/>
      <c r="O2297" s="563"/>
      <c r="P2297" s="563"/>
    </row>
    <row r="2298" spans="2:16" ht="15.75" customHeight="1">
      <c r="B2298" s="562"/>
      <c r="H2298" s="563"/>
      <c r="I2298" s="563"/>
      <c r="J2298" s="581"/>
      <c r="N2298" s="563"/>
      <c r="O2298" s="563"/>
      <c r="P2298" s="563"/>
    </row>
    <row r="2299" spans="2:16" ht="15.75" customHeight="1">
      <c r="B2299" s="562"/>
      <c r="H2299" s="563"/>
      <c r="I2299" s="563"/>
      <c r="J2299" s="581"/>
      <c r="N2299" s="563"/>
      <c r="O2299" s="563"/>
      <c r="P2299" s="563"/>
    </row>
    <row r="2300" spans="2:16" ht="15.75" customHeight="1">
      <c r="B2300" s="562"/>
      <c r="H2300" s="563"/>
      <c r="I2300" s="563"/>
      <c r="J2300" s="581"/>
      <c r="N2300" s="563"/>
      <c r="O2300" s="563"/>
      <c r="P2300" s="563"/>
    </row>
    <row r="2301" spans="2:16" ht="15.75" customHeight="1">
      <c r="B2301" s="562"/>
      <c r="H2301" s="563"/>
      <c r="I2301" s="563"/>
      <c r="J2301" s="581"/>
      <c r="N2301" s="563"/>
      <c r="O2301" s="563"/>
      <c r="P2301" s="563"/>
    </row>
    <row r="2302" spans="2:16" ht="15.75" customHeight="1">
      <c r="B2302" s="562"/>
      <c r="H2302" s="563"/>
      <c r="I2302" s="563"/>
      <c r="J2302" s="581"/>
      <c r="N2302" s="563"/>
      <c r="O2302" s="563"/>
      <c r="P2302" s="563"/>
    </row>
    <row r="2303" spans="2:16" ht="15.75" customHeight="1">
      <c r="B2303" s="562"/>
      <c r="H2303" s="563"/>
      <c r="I2303" s="563"/>
      <c r="J2303" s="581"/>
      <c r="N2303" s="563"/>
      <c r="O2303" s="563"/>
      <c r="P2303" s="563"/>
    </row>
    <row r="2304" spans="2:16" ht="15.75" customHeight="1">
      <c r="B2304" s="562"/>
      <c r="H2304" s="563"/>
      <c r="I2304" s="563"/>
      <c r="J2304" s="581"/>
      <c r="N2304" s="563"/>
      <c r="O2304" s="563"/>
      <c r="P2304" s="563"/>
    </row>
    <row r="2305" spans="2:16" ht="15.75" customHeight="1">
      <c r="B2305" s="562"/>
      <c r="H2305" s="563"/>
      <c r="I2305" s="563"/>
      <c r="J2305" s="581"/>
      <c r="N2305" s="563"/>
      <c r="O2305" s="563"/>
      <c r="P2305" s="563"/>
    </row>
    <row r="2306" spans="2:16" ht="15.75" customHeight="1">
      <c r="B2306" s="562"/>
      <c r="H2306" s="563"/>
      <c r="I2306" s="563"/>
      <c r="J2306" s="581"/>
      <c r="N2306" s="563"/>
      <c r="O2306" s="563"/>
      <c r="P2306" s="563"/>
    </row>
    <row r="2307" spans="2:16" ht="15.75" customHeight="1">
      <c r="B2307" s="562"/>
      <c r="H2307" s="563"/>
      <c r="I2307" s="563"/>
      <c r="J2307" s="581"/>
      <c r="N2307" s="563"/>
      <c r="O2307" s="563"/>
      <c r="P2307" s="563"/>
    </row>
    <row r="2308" spans="2:16" ht="15.75" customHeight="1">
      <c r="B2308" s="562"/>
      <c r="H2308" s="563"/>
      <c r="I2308" s="563"/>
      <c r="J2308" s="581"/>
      <c r="N2308" s="563"/>
      <c r="O2308" s="563"/>
      <c r="P2308" s="563"/>
    </row>
    <row r="2309" spans="2:16" ht="15.75" customHeight="1">
      <c r="B2309" s="562"/>
      <c r="H2309" s="563"/>
      <c r="I2309" s="563"/>
      <c r="J2309" s="581"/>
      <c r="N2309" s="563"/>
      <c r="O2309" s="563"/>
      <c r="P2309" s="563"/>
    </row>
    <row r="2310" spans="2:16" ht="15.75" customHeight="1">
      <c r="B2310" s="562"/>
      <c r="H2310" s="563"/>
      <c r="I2310" s="563"/>
      <c r="J2310" s="581"/>
      <c r="N2310" s="563"/>
      <c r="O2310" s="563"/>
      <c r="P2310" s="563"/>
    </row>
    <row r="2311" spans="2:16" ht="15.75" customHeight="1">
      <c r="B2311" s="562"/>
      <c r="H2311" s="563"/>
      <c r="I2311" s="563"/>
      <c r="J2311" s="581"/>
      <c r="N2311" s="563"/>
      <c r="O2311" s="563"/>
      <c r="P2311" s="563"/>
    </row>
    <row r="2312" spans="2:16" ht="15.75" customHeight="1">
      <c r="B2312" s="562"/>
      <c r="H2312" s="563"/>
      <c r="I2312" s="563"/>
      <c r="J2312" s="581"/>
      <c r="N2312" s="563"/>
      <c r="O2312" s="563"/>
      <c r="P2312" s="563"/>
    </row>
    <row r="2313" spans="2:16" ht="15.75" customHeight="1">
      <c r="B2313" s="562"/>
      <c r="H2313" s="563"/>
      <c r="I2313" s="563"/>
      <c r="J2313" s="581"/>
      <c r="N2313" s="563"/>
      <c r="O2313" s="563"/>
      <c r="P2313" s="563"/>
    </row>
    <row r="2314" spans="2:16" ht="15.75" customHeight="1">
      <c r="B2314" s="562"/>
      <c r="H2314" s="563"/>
      <c r="I2314" s="563"/>
      <c r="J2314" s="581"/>
      <c r="N2314" s="563"/>
      <c r="O2314" s="563"/>
      <c r="P2314" s="563"/>
    </row>
    <row r="2315" spans="2:16" ht="15.75" customHeight="1">
      <c r="B2315" s="562"/>
      <c r="H2315" s="563"/>
      <c r="I2315" s="563"/>
      <c r="J2315" s="581"/>
      <c r="N2315" s="563"/>
      <c r="O2315" s="563"/>
      <c r="P2315" s="563"/>
    </row>
    <row r="2316" spans="2:16" ht="15.75" customHeight="1">
      <c r="B2316" s="562"/>
      <c r="H2316" s="563"/>
      <c r="I2316" s="563"/>
      <c r="J2316" s="581"/>
      <c r="N2316" s="563"/>
      <c r="O2316" s="563"/>
      <c r="P2316" s="563"/>
    </row>
    <row r="2317" spans="2:16" ht="15.75" customHeight="1">
      <c r="B2317" s="562"/>
      <c r="H2317" s="563"/>
      <c r="I2317" s="563"/>
      <c r="J2317" s="581"/>
      <c r="N2317" s="563"/>
      <c r="O2317" s="563"/>
      <c r="P2317" s="563"/>
    </row>
    <row r="2318" spans="2:16" ht="15.75" customHeight="1">
      <c r="B2318" s="562"/>
      <c r="H2318" s="563"/>
      <c r="I2318" s="563"/>
      <c r="J2318" s="581"/>
      <c r="N2318" s="563"/>
      <c r="O2318" s="563"/>
      <c r="P2318" s="563"/>
    </row>
    <row r="2319" spans="2:16" ht="15.75" customHeight="1">
      <c r="B2319" s="562"/>
      <c r="H2319" s="563"/>
      <c r="I2319" s="563"/>
      <c r="J2319" s="581"/>
      <c r="N2319" s="563"/>
      <c r="O2319" s="563"/>
      <c r="P2319" s="563"/>
    </row>
    <row r="2320" spans="2:16" ht="15.75" customHeight="1">
      <c r="B2320" s="562"/>
      <c r="H2320" s="563"/>
      <c r="I2320" s="563"/>
      <c r="J2320" s="581"/>
      <c r="N2320" s="563"/>
      <c r="O2320" s="563"/>
      <c r="P2320" s="563"/>
    </row>
    <row r="2321" spans="2:16" ht="15.75" customHeight="1">
      <c r="B2321" s="562"/>
      <c r="H2321" s="563"/>
      <c r="I2321" s="563"/>
      <c r="J2321" s="581"/>
      <c r="N2321" s="563"/>
      <c r="O2321" s="563"/>
      <c r="P2321" s="563"/>
    </row>
    <row r="2322" spans="2:16" ht="15.75" customHeight="1">
      <c r="B2322" s="562"/>
      <c r="H2322" s="563"/>
      <c r="I2322" s="563"/>
      <c r="J2322" s="581"/>
      <c r="N2322" s="563"/>
      <c r="O2322" s="563"/>
      <c r="P2322" s="563"/>
    </row>
    <row r="2323" spans="2:16" ht="15.75" customHeight="1">
      <c r="B2323" s="562"/>
      <c r="H2323" s="563"/>
      <c r="I2323" s="563"/>
      <c r="J2323" s="581"/>
      <c r="N2323" s="563"/>
      <c r="O2323" s="563"/>
      <c r="P2323" s="563"/>
    </row>
    <row r="2324" spans="2:16" ht="15.75" customHeight="1">
      <c r="B2324" s="562"/>
      <c r="H2324" s="563"/>
      <c r="I2324" s="563"/>
      <c r="J2324" s="581"/>
      <c r="N2324" s="563"/>
      <c r="O2324" s="563"/>
      <c r="P2324" s="563"/>
    </row>
    <row r="2325" spans="2:16" ht="15.75" customHeight="1">
      <c r="B2325" s="562"/>
      <c r="H2325" s="563"/>
      <c r="I2325" s="563"/>
      <c r="J2325" s="581"/>
      <c r="N2325" s="563"/>
      <c r="O2325" s="563"/>
      <c r="P2325" s="563"/>
    </row>
    <row r="2326" spans="2:16" ht="15.75" customHeight="1">
      <c r="B2326" s="562"/>
      <c r="H2326" s="563"/>
      <c r="I2326" s="563"/>
      <c r="J2326" s="581"/>
      <c r="N2326" s="563"/>
      <c r="O2326" s="563"/>
      <c r="P2326" s="563"/>
    </row>
    <row r="2327" spans="2:16" ht="15.75" customHeight="1">
      <c r="B2327" s="562"/>
      <c r="H2327" s="563"/>
      <c r="I2327" s="563"/>
      <c r="J2327" s="581"/>
      <c r="N2327" s="563"/>
      <c r="O2327" s="563"/>
      <c r="P2327" s="563"/>
    </row>
    <row r="2328" spans="2:16" ht="15.75" customHeight="1">
      <c r="B2328" s="567"/>
      <c r="H2328" s="563"/>
      <c r="I2328" s="563"/>
      <c r="J2328" s="581"/>
      <c r="N2328" s="563"/>
      <c r="O2328" s="563"/>
      <c r="P2328" s="563"/>
    </row>
    <row r="2329" spans="2:16" ht="15.75" customHeight="1">
      <c r="B2329" s="567"/>
      <c r="H2329" s="563"/>
      <c r="I2329" s="563"/>
      <c r="J2329" s="581"/>
      <c r="N2329" s="563"/>
      <c r="O2329" s="563"/>
      <c r="P2329" s="563"/>
    </row>
    <row r="2330" spans="2:16" ht="15.75" customHeight="1">
      <c r="B2330" s="567"/>
      <c r="H2330" s="563"/>
      <c r="I2330" s="563"/>
      <c r="J2330" s="581"/>
      <c r="N2330" s="563"/>
      <c r="O2330" s="563"/>
      <c r="P2330" s="563"/>
    </row>
    <row r="2331" spans="2:16" ht="15.75" customHeight="1">
      <c r="B2331" s="567"/>
      <c r="H2331" s="563"/>
      <c r="I2331" s="563"/>
      <c r="J2331" s="581"/>
      <c r="N2331" s="563"/>
      <c r="O2331" s="563"/>
      <c r="P2331" s="563"/>
    </row>
    <row r="2332" spans="2:16" ht="15.75" customHeight="1">
      <c r="B2332" s="567"/>
      <c r="H2332" s="563"/>
      <c r="I2332" s="563"/>
      <c r="J2332" s="581"/>
      <c r="N2332" s="563"/>
      <c r="O2332" s="563"/>
      <c r="P2332" s="563"/>
    </row>
    <row r="2333" spans="2:16" ht="15.75" customHeight="1">
      <c r="B2333" s="567"/>
      <c r="H2333" s="563"/>
      <c r="I2333" s="563"/>
      <c r="J2333" s="581"/>
      <c r="N2333" s="563"/>
      <c r="O2333" s="563"/>
      <c r="P2333" s="563"/>
    </row>
    <row r="2334" spans="2:16" ht="15.75" customHeight="1">
      <c r="B2334" s="567"/>
      <c r="H2334" s="563"/>
      <c r="I2334" s="563"/>
      <c r="J2334" s="581"/>
      <c r="N2334" s="563"/>
      <c r="O2334" s="563"/>
      <c r="P2334" s="563"/>
    </row>
    <row r="2335" spans="2:16" ht="15.75" customHeight="1">
      <c r="B2335" s="567"/>
      <c r="H2335" s="563"/>
      <c r="I2335" s="563"/>
      <c r="J2335" s="581"/>
      <c r="N2335" s="563"/>
      <c r="O2335" s="563"/>
      <c r="P2335" s="563"/>
    </row>
    <row r="2336" spans="2:16" ht="15.75" customHeight="1">
      <c r="B2336" s="567"/>
      <c r="H2336" s="563"/>
      <c r="I2336" s="563"/>
      <c r="J2336" s="581"/>
      <c r="N2336" s="563"/>
      <c r="O2336" s="563"/>
      <c r="P2336" s="563"/>
    </row>
    <row r="2337" spans="2:16" ht="15.75" customHeight="1">
      <c r="B2337" s="567"/>
      <c r="H2337" s="563"/>
      <c r="I2337" s="563"/>
      <c r="J2337" s="581"/>
      <c r="N2337" s="563"/>
      <c r="O2337" s="563"/>
      <c r="P2337" s="563"/>
    </row>
    <row r="2338" spans="2:16" ht="15.75" customHeight="1">
      <c r="B2338" s="567"/>
      <c r="H2338" s="563"/>
      <c r="I2338" s="563"/>
      <c r="J2338" s="581"/>
      <c r="N2338" s="563"/>
      <c r="O2338" s="563"/>
      <c r="P2338" s="563"/>
    </row>
    <row r="2339" spans="2:16" ht="15.75" customHeight="1">
      <c r="B2339" s="567"/>
      <c r="H2339" s="563"/>
      <c r="I2339" s="563"/>
      <c r="J2339" s="581"/>
      <c r="N2339" s="563"/>
      <c r="O2339" s="563"/>
      <c r="P2339" s="563"/>
    </row>
    <row r="2340" spans="2:16" ht="15.75" customHeight="1">
      <c r="B2340" s="567"/>
      <c r="H2340" s="563"/>
      <c r="I2340" s="563"/>
      <c r="J2340" s="581"/>
      <c r="N2340" s="563"/>
      <c r="O2340" s="563"/>
      <c r="P2340" s="563"/>
    </row>
    <row r="2341" spans="2:16" ht="15.75" customHeight="1">
      <c r="B2341" s="567"/>
      <c r="H2341" s="563"/>
      <c r="I2341" s="563"/>
      <c r="J2341" s="581"/>
      <c r="N2341" s="563"/>
      <c r="O2341" s="563"/>
      <c r="P2341" s="563"/>
    </row>
    <row r="2342" spans="2:16" ht="15.75" customHeight="1">
      <c r="B2342" s="567"/>
      <c r="H2342" s="563"/>
      <c r="I2342" s="563"/>
      <c r="J2342" s="581"/>
      <c r="N2342" s="563"/>
      <c r="O2342" s="563"/>
      <c r="P2342" s="563"/>
    </row>
    <row r="2343" spans="2:16" ht="15.75" customHeight="1">
      <c r="B2343" s="567"/>
      <c r="H2343" s="563"/>
      <c r="I2343" s="563"/>
      <c r="J2343" s="581"/>
      <c r="N2343" s="563"/>
      <c r="O2343" s="563"/>
      <c r="P2343" s="563"/>
    </row>
    <row r="2344" spans="2:16" ht="15.75" customHeight="1">
      <c r="B2344" s="567"/>
      <c r="H2344" s="563"/>
      <c r="I2344" s="563"/>
      <c r="J2344" s="581"/>
      <c r="N2344" s="563"/>
      <c r="O2344" s="563"/>
      <c r="P2344" s="563"/>
    </row>
    <row r="2345" spans="2:16" ht="15.75" customHeight="1">
      <c r="B2345" s="567"/>
      <c r="H2345" s="563"/>
      <c r="I2345" s="563"/>
      <c r="J2345" s="581"/>
      <c r="N2345" s="563"/>
      <c r="O2345" s="563"/>
      <c r="P2345" s="563"/>
    </row>
    <row r="2346" spans="2:16" ht="15.75" customHeight="1">
      <c r="B2346" s="567"/>
      <c r="H2346" s="563"/>
      <c r="I2346" s="563"/>
      <c r="J2346" s="581"/>
      <c r="N2346" s="563"/>
      <c r="O2346" s="563"/>
      <c r="P2346" s="563"/>
    </row>
    <row r="2347" spans="2:16" ht="15.75" customHeight="1">
      <c r="B2347" s="567"/>
      <c r="H2347" s="563"/>
      <c r="I2347" s="563"/>
      <c r="J2347" s="581"/>
      <c r="N2347" s="563"/>
      <c r="O2347" s="563"/>
      <c r="P2347" s="563"/>
    </row>
    <row r="2348" spans="2:16" ht="15.75" customHeight="1">
      <c r="B2348" s="567"/>
      <c r="H2348" s="563"/>
      <c r="I2348" s="563"/>
      <c r="J2348" s="581"/>
      <c r="N2348" s="563"/>
      <c r="O2348" s="563"/>
      <c r="P2348" s="563"/>
    </row>
    <row r="2349" spans="2:16" ht="15.75" customHeight="1">
      <c r="B2349" s="567"/>
      <c r="H2349" s="563"/>
      <c r="I2349" s="563"/>
      <c r="J2349" s="581"/>
      <c r="N2349" s="563"/>
      <c r="O2349" s="563"/>
      <c r="P2349" s="563"/>
    </row>
    <row r="2350" spans="2:16" ht="15.75" customHeight="1">
      <c r="B2350" s="567"/>
      <c r="H2350" s="563"/>
      <c r="I2350" s="563"/>
      <c r="J2350" s="581"/>
      <c r="N2350" s="563"/>
      <c r="O2350" s="563"/>
      <c r="P2350" s="563"/>
    </row>
    <row r="2351" spans="2:16" ht="15.75" customHeight="1">
      <c r="B2351" s="567"/>
      <c r="H2351" s="563"/>
      <c r="I2351" s="563"/>
      <c r="J2351" s="581"/>
      <c r="N2351" s="563"/>
      <c r="O2351" s="563"/>
      <c r="P2351" s="563"/>
    </row>
    <row r="2352" spans="2:16" ht="15.75" customHeight="1">
      <c r="B2352" s="567"/>
      <c r="H2352" s="563"/>
      <c r="I2352" s="563"/>
      <c r="J2352" s="581"/>
      <c r="N2352" s="563"/>
      <c r="O2352" s="563"/>
      <c r="P2352" s="563"/>
    </row>
    <row r="2353" spans="2:16" ht="15.75" customHeight="1">
      <c r="B2353" s="567"/>
      <c r="H2353" s="563"/>
      <c r="I2353" s="563"/>
      <c r="J2353" s="581"/>
      <c r="N2353" s="563"/>
      <c r="O2353" s="563"/>
      <c r="P2353" s="563"/>
    </row>
    <row r="2354" spans="2:16" ht="15.75" customHeight="1">
      <c r="B2354" s="567"/>
      <c r="H2354" s="563"/>
      <c r="I2354" s="563"/>
      <c r="J2354" s="581"/>
      <c r="N2354" s="563"/>
      <c r="O2354" s="563"/>
      <c r="P2354" s="563"/>
    </row>
    <row r="2355" spans="2:16" ht="15.75" customHeight="1">
      <c r="B2355" s="567"/>
      <c r="H2355" s="563"/>
      <c r="I2355" s="563"/>
      <c r="J2355" s="581"/>
      <c r="N2355" s="563"/>
      <c r="O2355" s="563"/>
      <c r="P2355" s="563"/>
    </row>
    <row r="2356" spans="2:16" ht="15.75" customHeight="1">
      <c r="B2356" s="567"/>
      <c r="H2356" s="563"/>
      <c r="I2356" s="563"/>
      <c r="J2356" s="581"/>
      <c r="N2356" s="563"/>
      <c r="O2356" s="563"/>
      <c r="P2356" s="563"/>
    </row>
    <row r="2357" spans="2:16" ht="15.75" customHeight="1">
      <c r="B2357" s="567"/>
      <c r="H2357" s="563"/>
      <c r="I2357" s="563"/>
      <c r="J2357" s="581"/>
      <c r="N2357" s="563"/>
      <c r="O2357" s="563"/>
      <c r="P2357" s="563"/>
    </row>
    <row r="2358" spans="2:16" ht="15.75" customHeight="1">
      <c r="B2358" s="567"/>
      <c r="H2358" s="563"/>
      <c r="I2358" s="563"/>
      <c r="J2358" s="581"/>
      <c r="N2358" s="563"/>
      <c r="O2358" s="563"/>
      <c r="P2358" s="563"/>
    </row>
    <row r="2359" spans="2:16" ht="15.75" customHeight="1">
      <c r="B2359" s="567"/>
      <c r="H2359" s="563"/>
      <c r="I2359" s="563"/>
      <c r="J2359" s="581"/>
      <c r="N2359" s="563"/>
      <c r="O2359" s="563"/>
      <c r="P2359" s="563"/>
    </row>
    <row r="2360" spans="2:16" ht="15.75" customHeight="1">
      <c r="B2360" s="567"/>
      <c r="H2360" s="563"/>
      <c r="I2360" s="563"/>
      <c r="J2360" s="581"/>
      <c r="N2360" s="563"/>
      <c r="O2360" s="563"/>
      <c r="P2360" s="563"/>
    </row>
    <row r="2361" spans="2:16" ht="15.75" customHeight="1">
      <c r="B2361" s="567"/>
      <c r="H2361" s="563"/>
      <c r="I2361" s="563"/>
      <c r="J2361" s="581"/>
      <c r="N2361" s="563"/>
      <c r="O2361" s="563"/>
      <c r="P2361" s="563"/>
    </row>
    <row r="2362" spans="2:16" ht="15.75" customHeight="1">
      <c r="B2362" s="567"/>
      <c r="H2362" s="563"/>
      <c r="I2362" s="563"/>
      <c r="J2362" s="581"/>
      <c r="N2362" s="563"/>
      <c r="O2362" s="563"/>
      <c r="P2362" s="563"/>
    </row>
    <row r="2363" spans="2:16" ht="15.75" customHeight="1">
      <c r="B2363" s="567"/>
      <c r="H2363" s="563"/>
      <c r="I2363" s="563"/>
      <c r="J2363" s="581"/>
      <c r="N2363" s="563"/>
      <c r="O2363" s="563"/>
      <c r="P2363" s="563"/>
    </row>
    <row r="2364" spans="2:16" ht="15.75" customHeight="1">
      <c r="B2364" s="567"/>
      <c r="H2364" s="563"/>
      <c r="I2364" s="563"/>
      <c r="J2364" s="581"/>
      <c r="N2364" s="563"/>
      <c r="O2364" s="563"/>
      <c r="P2364" s="563"/>
    </row>
    <row r="2365" spans="2:16" ht="15.75" customHeight="1">
      <c r="B2365" s="567"/>
      <c r="H2365" s="563"/>
      <c r="I2365" s="563"/>
      <c r="J2365" s="581"/>
      <c r="N2365" s="563"/>
      <c r="O2365" s="563"/>
      <c r="P2365" s="563"/>
    </row>
    <row r="2366" spans="2:16" ht="15.75" customHeight="1">
      <c r="B2366" s="567"/>
      <c r="H2366" s="563"/>
      <c r="I2366" s="563"/>
      <c r="J2366" s="581"/>
      <c r="N2366" s="563"/>
      <c r="O2366" s="563"/>
      <c r="P2366" s="563"/>
    </row>
    <row r="2367" spans="2:16" ht="15.75" customHeight="1">
      <c r="B2367" s="567"/>
      <c r="H2367" s="563"/>
      <c r="I2367" s="563"/>
      <c r="J2367" s="581"/>
      <c r="N2367" s="563"/>
      <c r="O2367" s="563"/>
      <c r="P2367" s="563"/>
    </row>
    <row r="2368" spans="2:16" ht="15.75" customHeight="1">
      <c r="B2368" s="567"/>
      <c r="H2368" s="563"/>
      <c r="I2368" s="563"/>
      <c r="J2368" s="581"/>
      <c r="N2368" s="563"/>
      <c r="O2368" s="563"/>
      <c r="P2368" s="563"/>
    </row>
    <row r="2369" spans="2:16" ht="15.75" customHeight="1">
      <c r="B2369" s="567"/>
      <c r="H2369" s="563"/>
      <c r="I2369" s="563"/>
      <c r="J2369" s="581"/>
      <c r="N2369" s="563"/>
      <c r="O2369" s="563"/>
      <c r="P2369" s="563"/>
    </row>
    <row r="2370" spans="2:16" ht="15.75" customHeight="1">
      <c r="B2370" s="567"/>
      <c r="H2370" s="563"/>
      <c r="I2370" s="563"/>
      <c r="J2370" s="581"/>
      <c r="N2370" s="563"/>
      <c r="O2370" s="563"/>
      <c r="P2370" s="563"/>
    </row>
    <row r="2371" spans="2:16" ht="15.75" customHeight="1">
      <c r="B2371" s="567"/>
      <c r="H2371" s="563"/>
      <c r="I2371" s="563"/>
      <c r="J2371" s="581"/>
      <c r="N2371" s="563"/>
      <c r="O2371" s="563"/>
      <c r="P2371" s="563"/>
    </row>
    <row r="2372" spans="2:16" ht="15.75" customHeight="1">
      <c r="B2372" s="567"/>
      <c r="H2372" s="563"/>
      <c r="I2372" s="563"/>
      <c r="J2372" s="581"/>
      <c r="N2372" s="563"/>
      <c r="O2372" s="563"/>
      <c r="P2372" s="563"/>
    </row>
    <row r="2373" spans="2:16" ht="15.75" customHeight="1">
      <c r="B2373" s="567"/>
      <c r="H2373" s="563"/>
      <c r="I2373" s="563"/>
      <c r="J2373" s="581"/>
      <c r="N2373" s="563"/>
      <c r="O2373" s="563"/>
      <c r="P2373" s="563"/>
    </row>
    <row r="2374" spans="2:16" ht="15.75" customHeight="1">
      <c r="B2374" s="567"/>
      <c r="H2374" s="563"/>
      <c r="I2374" s="563"/>
      <c r="J2374" s="581"/>
      <c r="N2374" s="563"/>
      <c r="O2374" s="563"/>
      <c r="P2374" s="563"/>
    </row>
    <row r="2375" spans="2:16" ht="15.75" customHeight="1">
      <c r="B2375" s="567"/>
      <c r="H2375" s="563"/>
      <c r="I2375" s="563"/>
      <c r="J2375" s="581"/>
      <c r="N2375" s="563"/>
      <c r="O2375" s="563"/>
      <c r="P2375" s="563"/>
    </row>
    <row r="2376" spans="2:16" ht="15.75" customHeight="1">
      <c r="B2376" s="567"/>
      <c r="H2376" s="563"/>
      <c r="I2376" s="563"/>
      <c r="J2376" s="581"/>
      <c r="N2376" s="563"/>
      <c r="O2376" s="563"/>
      <c r="P2376" s="563"/>
    </row>
    <row r="2377" spans="2:16" ht="15.75" customHeight="1">
      <c r="B2377" s="567"/>
      <c r="H2377" s="563"/>
      <c r="I2377" s="563"/>
      <c r="J2377" s="581"/>
      <c r="N2377" s="563"/>
      <c r="O2377" s="563"/>
      <c r="P2377" s="563"/>
    </row>
    <row r="2378" spans="2:16" ht="15.75" customHeight="1">
      <c r="B2378" s="567"/>
      <c r="H2378" s="563"/>
      <c r="I2378" s="563"/>
      <c r="J2378" s="581"/>
      <c r="N2378" s="563"/>
      <c r="O2378" s="563"/>
      <c r="P2378" s="563"/>
    </row>
    <row r="2379" spans="2:16" ht="15.75" customHeight="1">
      <c r="B2379" s="567"/>
      <c r="H2379" s="563"/>
      <c r="I2379" s="563"/>
      <c r="J2379" s="581"/>
      <c r="N2379" s="563"/>
      <c r="O2379" s="563"/>
      <c r="P2379" s="563"/>
    </row>
    <row r="2380" spans="2:16" ht="15.75" customHeight="1">
      <c r="B2380" s="567"/>
      <c r="H2380" s="563"/>
      <c r="I2380" s="563"/>
      <c r="J2380" s="581"/>
      <c r="N2380" s="563"/>
      <c r="O2380" s="563"/>
      <c r="P2380" s="563"/>
    </row>
    <row r="2381" spans="2:16" ht="15.75" customHeight="1">
      <c r="B2381" s="567"/>
      <c r="H2381" s="563"/>
      <c r="I2381" s="563"/>
      <c r="J2381" s="581"/>
      <c r="N2381" s="563"/>
      <c r="O2381" s="563"/>
      <c r="P2381" s="563"/>
    </row>
    <row r="2382" spans="2:16" ht="15.75" customHeight="1">
      <c r="B2382" s="567"/>
      <c r="H2382" s="563"/>
      <c r="I2382" s="563"/>
      <c r="J2382" s="581"/>
      <c r="N2382" s="563"/>
      <c r="O2382" s="563"/>
      <c r="P2382" s="563"/>
    </row>
    <row r="2383" spans="2:16" ht="15.75" customHeight="1">
      <c r="B2383" s="567"/>
      <c r="H2383" s="563"/>
      <c r="I2383" s="563"/>
      <c r="J2383" s="581"/>
      <c r="N2383" s="563"/>
      <c r="O2383" s="563"/>
      <c r="P2383" s="563"/>
    </row>
    <row r="2384" spans="2:16" ht="15.75" customHeight="1">
      <c r="B2384" s="567"/>
      <c r="H2384" s="563"/>
      <c r="I2384" s="563"/>
      <c r="J2384" s="581"/>
      <c r="N2384" s="563"/>
      <c r="O2384" s="563"/>
      <c r="P2384" s="563"/>
    </row>
    <row r="2385" spans="2:16" ht="15.75" customHeight="1">
      <c r="B2385" s="567"/>
      <c r="H2385" s="563"/>
      <c r="I2385" s="563"/>
      <c r="J2385" s="581"/>
      <c r="N2385" s="563"/>
      <c r="O2385" s="563"/>
      <c r="P2385" s="563"/>
    </row>
    <row r="2386" spans="2:16" ht="15.75" customHeight="1">
      <c r="B2386" s="567"/>
      <c r="H2386" s="563"/>
      <c r="I2386" s="563"/>
      <c r="J2386" s="581"/>
      <c r="N2386" s="563"/>
      <c r="O2386" s="563"/>
      <c r="P2386" s="563"/>
    </row>
    <row r="2387" spans="2:16" ht="15.75" customHeight="1">
      <c r="B2387" s="567"/>
      <c r="H2387" s="563"/>
      <c r="I2387" s="563"/>
      <c r="J2387" s="581"/>
      <c r="N2387" s="563"/>
      <c r="O2387" s="563"/>
      <c r="P2387" s="563"/>
    </row>
    <row r="2388" spans="2:16" ht="15.75" customHeight="1">
      <c r="B2388" s="567"/>
      <c r="H2388" s="563"/>
      <c r="I2388" s="563"/>
      <c r="J2388" s="581"/>
      <c r="N2388" s="563"/>
      <c r="O2388" s="563"/>
      <c r="P2388" s="563"/>
    </row>
    <row r="2389" spans="2:16" ht="15.75" customHeight="1">
      <c r="B2389" s="567"/>
      <c r="H2389" s="563"/>
      <c r="I2389" s="563"/>
      <c r="J2389" s="581"/>
      <c r="N2389" s="563"/>
      <c r="O2389" s="563"/>
      <c r="P2389" s="563"/>
    </row>
    <row r="2390" spans="2:16" ht="15.75" customHeight="1">
      <c r="B2390" s="567"/>
      <c r="H2390" s="563"/>
      <c r="I2390" s="563"/>
      <c r="J2390" s="581"/>
      <c r="N2390" s="563"/>
      <c r="O2390" s="563"/>
      <c r="P2390" s="563"/>
    </row>
    <row r="2391" spans="2:16" ht="15.75" customHeight="1">
      <c r="B2391" s="567"/>
      <c r="H2391" s="563"/>
      <c r="I2391" s="563"/>
      <c r="J2391" s="581"/>
      <c r="N2391" s="563"/>
      <c r="O2391" s="563"/>
      <c r="P2391" s="563"/>
    </row>
    <row r="2392" spans="2:16" ht="15.75" customHeight="1">
      <c r="B2392" s="567"/>
      <c r="H2392" s="563"/>
      <c r="I2392" s="563"/>
      <c r="J2392" s="581"/>
      <c r="N2392" s="563"/>
      <c r="O2392" s="563"/>
      <c r="P2392" s="563"/>
    </row>
    <row r="2393" spans="2:16" ht="15.75" customHeight="1">
      <c r="B2393" s="567"/>
      <c r="H2393" s="563"/>
      <c r="I2393" s="563"/>
      <c r="J2393" s="581"/>
      <c r="N2393" s="563"/>
      <c r="O2393" s="563"/>
      <c r="P2393" s="563"/>
    </row>
    <row r="2394" spans="2:16" ht="15.75" customHeight="1">
      <c r="B2394" s="567"/>
      <c r="H2394" s="563"/>
      <c r="I2394" s="563"/>
      <c r="J2394" s="581"/>
      <c r="N2394" s="563"/>
      <c r="O2394" s="563"/>
      <c r="P2394" s="563"/>
    </row>
    <row r="2395" spans="2:16" ht="15.75" customHeight="1">
      <c r="B2395" s="567"/>
      <c r="H2395" s="563"/>
      <c r="I2395" s="563"/>
      <c r="J2395" s="581"/>
      <c r="N2395" s="563"/>
      <c r="O2395" s="563"/>
      <c r="P2395" s="563"/>
    </row>
    <row r="2396" spans="2:16" ht="15.75" customHeight="1">
      <c r="B2396" s="567"/>
      <c r="H2396" s="563"/>
      <c r="I2396" s="563"/>
      <c r="J2396" s="581"/>
      <c r="N2396" s="563"/>
      <c r="O2396" s="563"/>
      <c r="P2396" s="563"/>
    </row>
    <row r="2397" spans="2:16" ht="15.75" customHeight="1">
      <c r="B2397" s="567"/>
      <c r="G2397" s="552"/>
      <c r="H2397" s="563"/>
      <c r="I2397" s="563"/>
      <c r="J2397" s="581"/>
      <c r="N2397" s="563"/>
      <c r="O2397" s="563"/>
      <c r="P2397" s="563"/>
    </row>
    <row r="2398" spans="2:16" ht="15.75" customHeight="1">
      <c r="B2398" s="567"/>
      <c r="H2398" s="563"/>
      <c r="I2398" s="563"/>
      <c r="J2398" s="581"/>
      <c r="N2398" s="563"/>
      <c r="O2398" s="563"/>
      <c r="P2398" s="563"/>
    </row>
    <row r="2399" spans="2:16" ht="15.75" customHeight="1">
      <c r="B2399" s="567"/>
      <c r="H2399" s="563"/>
      <c r="I2399" s="563"/>
      <c r="J2399" s="581"/>
      <c r="N2399" s="563"/>
      <c r="O2399" s="563"/>
      <c r="P2399" s="563"/>
    </row>
    <row r="2400" spans="2:16" ht="15.75" customHeight="1">
      <c r="B2400" s="567"/>
      <c r="H2400" s="563"/>
      <c r="I2400" s="563"/>
      <c r="J2400" s="581"/>
      <c r="N2400" s="563"/>
      <c r="O2400" s="563"/>
      <c r="P2400" s="563"/>
    </row>
    <row r="2401" spans="2:52" ht="15.75" customHeight="1">
      <c r="B2401" s="567"/>
      <c r="H2401" s="563"/>
      <c r="I2401" s="563"/>
      <c r="J2401" s="581"/>
      <c r="N2401" s="563"/>
      <c r="O2401" s="563"/>
      <c r="P2401" s="563"/>
    </row>
    <row r="2402" spans="2:52" ht="15.75" customHeight="1">
      <c r="B2402" s="567"/>
      <c r="H2402" s="563"/>
      <c r="I2402" s="563"/>
      <c r="J2402" s="581"/>
      <c r="N2402" s="563"/>
      <c r="O2402" s="563"/>
      <c r="P2402" s="563"/>
    </row>
    <row r="2403" spans="2:52" ht="15.75" customHeight="1">
      <c r="B2403" s="567"/>
      <c r="H2403" s="563"/>
      <c r="I2403" s="563"/>
      <c r="J2403" s="581"/>
      <c r="N2403" s="563"/>
      <c r="O2403" s="563"/>
      <c r="P2403" s="563"/>
    </row>
    <row r="2404" spans="2:52" ht="15.75" customHeight="1">
      <c r="B2404" s="567"/>
      <c r="H2404" s="563"/>
      <c r="I2404" s="563"/>
      <c r="J2404" s="581"/>
      <c r="N2404" s="563"/>
      <c r="O2404" s="563"/>
      <c r="P2404" s="563"/>
    </row>
    <row r="2405" spans="2:52" ht="15.75" customHeight="1">
      <c r="B2405" s="567"/>
      <c r="H2405" s="563"/>
      <c r="I2405" s="563"/>
      <c r="J2405" s="581"/>
      <c r="N2405" s="563"/>
      <c r="O2405" s="563"/>
      <c r="P2405" s="563"/>
    </row>
    <row r="2406" spans="2:52" ht="15.75" customHeight="1">
      <c r="B2406" s="567"/>
      <c r="H2406" s="563"/>
      <c r="I2406" s="563"/>
      <c r="J2406" s="581"/>
      <c r="N2406" s="563"/>
      <c r="O2406" s="563"/>
      <c r="P2406" s="563"/>
      <c r="AG2406" s="552"/>
      <c r="AZ2406" s="569"/>
    </row>
    <row r="2407" spans="2:52" ht="15.75" customHeight="1">
      <c r="B2407" s="567"/>
      <c r="H2407" s="563"/>
      <c r="I2407" s="563"/>
      <c r="J2407" s="581"/>
      <c r="N2407" s="563"/>
      <c r="O2407" s="563"/>
      <c r="P2407" s="563"/>
    </row>
    <row r="2408" spans="2:52" ht="15.75" customHeight="1">
      <c r="B2408" s="567"/>
      <c r="H2408" s="563"/>
      <c r="I2408" s="563"/>
      <c r="J2408" s="581"/>
      <c r="N2408" s="563"/>
      <c r="O2408" s="563"/>
      <c r="P2408" s="563"/>
    </row>
    <row r="2409" spans="2:52" ht="15.75" customHeight="1">
      <c r="B2409" s="567"/>
      <c r="H2409" s="563"/>
      <c r="I2409" s="563"/>
      <c r="J2409" s="581"/>
      <c r="N2409" s="563"/>
      <c r="O2409" s="563"/>
      <c r="P2409" s="563"/>
    </row>
    <row r="2410" spans="2:52" ht="15.75" customHeight="1">
      <c r="B2410" s="567"/>
      <c r="H2410" s="563"/>
      <c r="I2410" s="563"/>
      <c r="J2410" s="581"/>
      <c r="N2410" s="563"/>
      <c r="O2410" s="563"/>
      <c r="P2410" s="563"/>
    </row>
    <row r="2411" spans="2:52" ht="15.75" customHeight="1">
      <c r="B2411" s="567"/>
      <c r="H2411" s="563"/>
      <c r="I2411" s="563"/>
      <c r="J2411" s="581"/>
      <c r="N2411" s="563"/>
      <c r="O2411" s="563"/>
      <c r="P2411" s="563"/>
    </row>
    <row r="2412" spans="2:52" ht="15.75" customHeight="1">
      <c r="B2412" s="567"/>
      <c r="H2412" s="563"/>
      <c r="I2412" s="563"/>
      <c r="J2412" s="582"/>
      <c r="N2412" s="563"/>
      <c r="O2412" s="563"/>
      <c r="P2412" s="563"/>
    </row>
    <row r="2413" spans="2:52" ht="15.75" customHeight="1">
      <c r="B2413" s="567"/>
      <c r="H2413" s="563"/>
      <c r="I2413" s="563"/>
      <c r="J2413" s="581"/>
      <c r="N2413" s="563"/>
      <c r="O2413" s="563"/>
      <c r="P2413" s="563"/>
    </row>
    <row r="2414" spans="2:52" ht="15.75" customHeight="1">
      <c r="B2414" s="567"/>
      <c r="H2414" s="563"/>
      <c r="I2414" s="563"/>
      <c r="J2414" s="581"/>
      <c r="N2414" s="563"/>
      <c r="O2414" s="563"/>
      <c r="P2414" s="563"/>
    </row>
    <row r="2415" spans="2:52" ht="15.75" customHeight="1">
      <c r="B2415" s="567"/>
      <c r="H2415" s="563"/>
      <c r="I2415" s="563"/>
      <c r="J2415" s="581"/>
      <c r="N2415" s="563"/>
      <c r="O2415" s="563"/>
      <c r="P2415" s="563"/>
    </row>
    <row r="2416" spans="2:52" ht="15.75" customHeight="1">
      <c r="B2416" s="567"/>
      <c r="H2416" s="563"/>
      <c r="I2416" s="563"/>
      <c r="J2416" s="581"/>
      <c r="N2416" s="563"/>
      <c r="O2416" s="563"/>
      <c r="P2416" s="563"/>
    </row>
    <row r="2417" spans="2:16" ht="15.75" customHeight="1">
      <c r="B2417" s="567"/>
      <c r="H2417" s="563"/>
      <c r="I2417" s="563"/>
      <c r="J2417" s="581"/>
      <c r="N2417" s="563"/>
      <c r="O2417" s="563"/>
      <c r="P2417" s="563"/>
    </row>
    <row r="2418" spans="2:16" ht="15.75" customHeight="1">
      <c r="B2418" s="567"/>
      <c r="H2418" s="563"/>
      <c r="I2418" s="563"/>
      <c r="J2418" s="581"/>
      <c r="N2418" s="563"/>
      <c r="O2418" s="563"/>
      <c r="P2418" s="563"/>
    </row>
    <row r="2419" spans="2:16" ht="15.75" customHeight="1">
      <c r="B2419" s="567"/>
      <c r="H2419" s="563"/>
      <c r="I2419" s="563"/>
      <c r="J2419" s="581"/>
      <c r="N2419" s="563"/>
      <c r="O2419" s="563"/>
      <c r="P2419" s="563"/>
    </row>
    <row r="2420" spans="2:16" ht="15.75" customHeight="1">
      <c r="B2420" s="567"/>
      <c r="H2420" s="563"/>
      <c r="I2420" s="563"/>
      <c r="J2420" s="581"/>
      <c r="N2420" s="563"/>
      <c r="O2420" s="563"/>
      <c r="P2420" s="563"/>
    </row>
    <row r="2421" spans="2:16" ht="15.75" customHeight="1">
      <c r="B2421" s="567"/>
      <c r="H2421" s="563"/>
      <c r="I2421" s="563"/>
      <c r="J2421" s="581"/>
      <c r="N2421" s="563"/>
      <c r="O2421" s="563"/>
      <c r="P2421" s="563"/>
    </row>
    <row r="2422" spans="2:16" ht="15.75" customHeight="1">
      <c r="B2422" s="567"/>
      <c r="H2422" s="563"/>
      <c r="I2422" s="563"/>
      <c r="J2422" s="581"/>
      <c r="N2422" s="563"/>
      <c r="O2422" s="563"/>
      <c r="P2422" s="563"/>
    </row>
    <row r="2423" spans="2:16" ht="15.75" customHeight="1">
      <c r="B2423" s="567"/>
      <c r="H2423" s="563"/>
      <c r="I2423" s="563"/>
      <c r="J2423" s="581"/>
      <c r="N2423" s="563"/>
      <c r="O2423" s="563"/>
      <c r="P2423" s="563"/>
    </row>
    <row r="2424" spans="2:16" ht="15.75" customHeight="1">
      <c r="B2424" s="567"/>
      <c r="H2424" s="563"/>
      <c r="I2424" s="563"/>
      <c r="J2424" s="581"/>
      <c r="N2424" s="563"/>
      <c r="O2424" s="563"/>
      <c r="P2424" s="563"/>
    </row>
    <row r="2425" spans="2:16" ht="15.75" customHeight="1">
      <c r="B2425" s="567"/>
      <c r="H2425" s="563"/>
      <c r="I2425" s="563"/>
      <c r="J2425" s="581"/>
      <c r="N2425" s="563"/>
      <c r="O2425" s="563"/>
      <c r="P2425" s="563"/>
    </row>
    <row r="2426" spans="2:16" ht="15.75" customHeight="1">
      <c r="B2426" s="567"/>
      <c r="H2426" s="563"/>
      <c r="I2426" s="563"/>
      <c r="J2426" s="581"/>
      <c r="N2426" s="563"/>
      <c r="O2426" s="563"/>
      <c r="P2426" s="563"/>
    </row>
    <row r="2427" spans="2:16" ht="15.75" customHeight="1">
      <c r="B2427" s="567"/>
      <c r="H2427" s="563"/>
      <c r="I2427" s="563"/>
      <c r="J2427" s="581"/>
      <c r="N2427" s="563"/>
      <c r="O2427" s="563"/>
      <c r="P2427" s="563"/>
    </row>
    <row r="2428" spans="2:16" ht="15.75" customHeight="1">
      <c r="B2428" s="567"/>
      <c r="H2428" s="563"/>
      <c r="I2428" s="563"/>
      <c r="J2428" s="581"/>
      <c r="N2428" s="563"/>
      <c r="O2428" s="563"/>
      <c r="P2428" s="563"/>
    </row>
    <row r="2429" spans="2:16" ht="15.75" customHeight="1">
      <c r="B2429" s="567"/>
      <c r="H2429" s="563"/>
      <c r="I2429" s="563"/>
      <c r="J2429" s="581"/>
      <c r="N2429" s="563"/>
      <c r="O2429" s="563"/>
      <c r="P2429" s="563"/>
    </row>
    <row r="2430" spans="2:16" ht="15.75" customHeight="1">
      <c r="B2430" s="567"/>
      <c r="H2430" s="563"/>
      <c r="I2430" s="563"/>
      <c r="J2430" s="581"/>
      <c r="N2430" s="563"/>
      <c r="O2430" s="563"/>
      <c r="P2430" s="563"/>
    </row>
    <row r="2431" spans="2:16" ht="15.75" customHeight="1">
      <c r="B2431" s="567"/>
      <c r="H2431" s="563"/>
      <c r="I2431" s="563"/>
      <c r="J2431" s="581"/>
      <c r="N2431" s="563"/>
      <c r="O2431" s="563"/>
      <c r="P2431" s="563"/>
    </row>
    <row r="2432" spans="2:16" ht="15.75" customHeight="1">
      <c r="B2432" s="567"/>
      <c r="H2432" s="563"/>
      <c r="I2432" s="563"/>
      <c r="J2432" s="581"/>
      <c r="N2432" s="563"/>
      <c r="O2432" s="563"/>
      <c r="P2432" s="563"/>
    </row>
    <row r="2433" spans="2:16" ht="15.75" customHeight="1">
      <c r="B2433" s="567"/>
      <c r="H2433" s="563"/>
      <c r="I2433" s="563"/>
      <c r="J2433" s="581"/>
      <c r="N2433" s="563"/>
      <c r="O2433" s="563"/>
      <c r="P2433" s="563"/>
    </row>
    <row r="2434" spans="2:16" ht="15.75" customHeight="1">
      <c r="B2434" s="567"/>
      <c r="H2434" s="563"/>
      <c r="I2434" s="563"/>
      <c r="J2434" s="581"/>
      <c r="N2434" s="563"/>
      <c r="O2434" s="563"/>
      <c r="P2434" s="563"/>
    </row>
    <row r="2435" spans="2:16" ht="15.75" customHeight="1">
      <c r="B2435" s="567"/>
      <c r="H2435" s="563"/>
      <c r="I2435" s="563"/>
      <c r="J2435" s="581"/>
      <c r="N2435" s="563"/>
      <c r="O2435" s="563"/>
      <c r="P2435" s="563"/>
    </row>
    <row r="2436" spans="2:16" ht="15.75" customHeight="1">
      <c r="B2436" s="567"/>
      <c r="H2436" s="563"/>
      <c r="I2436" s="563"/>
      <c r="J2436" s="581"/>
      <c r="N2436" s="563"/>
      <c r="O2436" s="563"/>
      <c r="P2436" s="563"/>
    </row>
    <row r="2437" spans="2:16" ht="15.75" customHeight="1">
      <c r="B2437" s="567"/>
      <c r="H2437" s="563"/>
      <c r="I2437" s="563"/>
      <c r="J2437" s="581"/>
      <c r="N2437" s="563"/>
      <c r="O2437" s="563"/>
      <c r="P2437" s="563"/>
    </row>
    <row r="2438" spans="2:16" ht="15.75" customHeight="1">
      <c r="B2438" s="567"/>
      <c r="H2438" s="563"/>
      <c r="I2438" s="563"/>
      <c r="J2438" s="581"/>
      <c r="N2438" s="563"/>
      <c r="O2438" s="563"/>
      <c r="P2438" s="563"/>
    </row>
    <row r="2439" spans="2:16" ht="15.75" customHeight="1">
      <c r="B2439" s="567"/>
      <c r="H2439" s="563"/>
      <c r="I2439" s="563"/>
      <c r="J2439" s="581"/>
      <c r="N2439" s="563"/>
      <c r="O2439" s="563"/>
      <c r="P2439" s="563"/>
    </row>
    <row r="2440" spans="2:16" ht="15.75" customHeight="1">
      <c r="B2440" s="567"/>
      <c r="H2440" s="563"/>
      <c r="I2440" s="563"/>
      <c r="J2440" s="581"/>
      <c r="N2440" s="563"/>
      <c r="O2440" s="563"/>
      <c r="P2440" s="563"/>
    </row>
    <row r="2441" spans="2:16" ht="15.75" customHeight="1">
      <c r="B2441" s="567"/>
      <c r="H2441" s="563"/>
      <c r="I2441" s="563"/>
      <c r="J2441" s="581"/>
      <c r="N2441" s="563"/>
      <c r="O2441" s="563"/>
      <c r="P2441" s="563"/>
    </row>
    <row r="2442" spans="2:16" ht="15.75" customHeight="1">
      <c r="B2442" s="567"/>
      <c r="H2442" s="563"/>
      <c r="I2442" s="563"/>
      <c r="J2442" s="581"/>
      <c r="N2442" s="563"/>
      <c r="O2442" s="563"/>
      <c r="P2442" s="563"/>
    </row>
    <row r="2443" spans="2:16" ht="15.75" customHeight="1">
      <c r="B2443" s="567"/>
      <c r="H2443" s="563"/>
      <c r="I2443" s="563"/>
      <c r="J2443" s="581"/>
      <c r="N2443" s="563"/>
      <c r="O2443" s="563"/>
      <c r="P2443" s="563"/>
    </row>
    <row r="2444" spans="2:16" ht="15.75" customHeight="1">
      <c r="B2444" s="567"/>
      <c r="H2444" s="563"/>
      <c r="I2444" s="563"/>
      <c r="J2444" s="581"/>
      <c r="N2444" s="563"/>
      <c r="O2444" s="563"/>
      <c r="P2444" s="563"/>
    </row>
    <row r="2445" spans="2:16" ht="15.75" customHeight="1">
      <c r="B2445" s="567"/>
      <c r="H2445" s="563"/>
      <c r="I2445" s="563"/>
      <c r="J2445" s="581"/>
      <c r="N2445" s="563"/>
      <c r="O2445" s="563"/>
      <c r="P2445" s="563"/>
    </row>
    <row r="2446" spans="2:16" ht="15.75" customHeight="1">
      <c r="B2446" s="567"/>
      <c r="H2446" s="563"/>
      <c r="I2446" s="563"/>
      <c r="J2446" s="581"/>
      <c r="N2446" s="563"/>
      <c r="O2446" s="563"/>
      <c r="P2446" s="563"/>
    </row>
    <row r="2447" spans="2:16" ht="15.75" customHeight="1">
      <c r="B2447" s="567"/>
      <c r="H2447" s="563"/>
      <c r="I2447" s="563"/>
      <c r="J2447" s="581"/>
      <c r="N2447" s="563"/>
      <c r="O2447" s="563"/>
      <c r="P2447" s="563"/>
    </row>
    <row r="2448" spans="2:16" ht="15.75" customHeight="1">
      <c r="B2448" s="567"/>
      <c r="H2448" s="563"/>
      <c r="I2448" s="563"/>
      <c r="J2448" s="581"/>
      <c r="N2448" s="563"/>
      <c r="O2448" s="563"/>
      <c r="P2448" s="563"/>
    </row>
    <row r="2449" spans="2:16" ht="15.75" customHeight="1">
      <c r="B2449" s="567"/>
      <c r="H2449" s="563"/>
      <c r="I2449" s="563"/>
      <c r="J2449" s="581"/>
      <c r="N2449" s="563"/>
      <c r="O2449" s="563"/>
      <c r="P2449" s="563"/>
    </row>
    <row r="2450" spans="2:16" ht="15.75" customHeight="1">
      <c r="B2450" s="567"/>
      <c r="H2450" s="563"/>
      <c r="I2450" s="563"/>
      <c r="J2450" s="581"/>
      <c r="N2450" s="563"/>
      <c r="O2450" s="563"/>
      <c r="P2450" s="563"/>
    </row>
    <row r="2451" spans="2:16" ht="15.75" customHeight="1">
      <c r="B2451" s="567"/>
      <c r="H2451" s="563"/>
      <c r="I2451" s="563"/>
      <c r="J2451" s="581"/>
      <c r="N2451" s="563"/>
      <c r="O2451" s="563"/>
      <c r="P2451" s="563"/>
    </row>
    <row r="2452" spans="2:16" ht="15.75" customHeight="1">
      <c r="B2452" s="567"/>
      <c r="H2452" s="563"/>
      <c r="I2452" s="563"/>
      <c r="J2452" s="581"/>
      <c r="N2452" s="563"/>
      <c r="O2452" s="563"/>
      <c r="P2452" s="563"/>
    </row>
    <row r="2453" spans="2:16" ht="15.75" customHeight="1">
      <c r="B2453" s="567"/>
      <c r="H2453" s="563"/>
      <c r="I2453" s="563"/>
      <c r="J2453" s="581"/>
      <c r="N2453" s="563"/>
      <c r="O2453" s="563"/>
      <c r="P2453" s="563"/>
    </row>
    <row r="2454" spans="2:16" ht="15.75" customHeight="1">
      <c r="B2454" s="567"/>
      <c r="H2454" s="563"/>
      <c r="I2454" s="563"/>
      <c r="J2454" s="581"/>
      <c r="N2454" s="563"/>
      <c r="O2454" s="563"/>
      <c r="P2454" s="563"/>
    </row>
    <row r="2455" spans="2:16" ht="15.75" customHeight="1">
      <c r="B2455" s="567"/>
      <c r="H2455" s="563"/>
      <c r="I2455" s="563"/>
      <c r="J2455" s="581"/>
      <c r="N2455" s="563"/>
      <c r="O2455" s="563"/>
      <c r="P2455" s="563"/>
    </row>
    <row r="2456" spans="2:16" ht="15.75" customHeight="1">
      <c r="B2456" s="567"/>
      <c r="H2456" s="563"/>
      <c r="I2456" s="563"/>
      <c r="J2456" s="581"/>
      <c r="N2456" s="563"/>
      <c r="O2456" s="563"/>
      <c r="P2456" s="563"/>
    </row>
    <row r="2457" spans="2:16" ht="15.75" customHeight="1">
      <c r="B2457" s="567"/>
      <c r="H2457" s="563"/>
      <c r="I2457" s="563"/>
      <c r="J2457" s="581"/>
      <c r="N2457" s="563"/>
      <c r="O2457" s="563"/>
      <c r="P2457" s="563"/>
    </row>
    <row r="2458" spans="2:16" ht="15.75" customHeight="1">
      <c r="B2458" s="567"/>
      <c r="H2458" s="563"/>
      <c r="I2458" s="563"/>
      <c r="J2458" s="581"/>
      <c r="N2458" s="563"/>
      <c r="O2458" s="563"/>
      <c r="P2458" s="563"/>
    </row>
    <row r="2459" spans="2:16" ht="15.75" customHeight="1">
      <c r="B2459" s="567"/>
      <c r="H2459" s="563"/>
      <c r="I2459" s="563"/>
      <c r="J2459" s="581"/>
      <c r="N2459" s="563"/>
      <c r="O2459" s="563"/>
      <c r="P2459" s="563"/>
    </row>
    <row r="2460" spans="2:16" ht="15.75" customHeight="1">
      <c r="B2460" s="567"/>
      <c r="H2460" s="563"/>
      <c r="I2460" s="563"/>
      <c r="J2460" s="581"/>
      <c r="N2460" s="563"/>
      <c r="O2460" s="563"/>
      <c r="P2460" s="563"/>
    </row>
    <row r="2461" spans="2:16" ht="15.75" customHeight="1">
      <c r="B2461" s="567"/>
      <c r="H2461" s="563"/>
      <c r="I2461" s="563"/>
      <c r="J2461" s="581"/>
      <c r="N2461" s="563"/>
      <c r="O2461" s="563"/>
      <c r="P2461" s="563"/>
    </row>
    <row r="2462" spans="2:16" ht="15.75" customHeight="1">
      <c r="B2462" s="567"/>
      <c r="H2462" s="563"/>
      <c r="I2462" s="563"/>
      <c r="J2462" s="581"/>
      <c r="N2462" s="563"/>
      <c r="O2462" s="563"/>
      <c r="P2462" s="563"/>
    </row>
    <row r="2463" spans="2:16" ht="15.75" customHeight="1">
      <c r="B2463" s="567"/>
      <c r="H2463" s="563"/>
      <c r="I2463" s="563"/>
      <c r="J2463" s="581"/>
      <c r="N2463" s="563"/>
      <c r="O2463" s="563"/>
      <c r="P2463" s="563"/>
    </row>
    <row r="2464" spans="2:16" ht="15.75" customHeight="1">
      <c r="B2464" s="567"/>
      <c r="H2464" s="563"/>
      <c r="I2464" s="563"/>
      <c r="J2464" s="581"/>
      <c r="N2464" s="563"/>
      <c r="O2464" s="563"/>
      <c r="P2464" s="563"/>
    </row>
    <row r="2465" spans="2:16" ht="15.75" customHeight="1">
      <c r="B2465" s="567"/>
      <c r="H2465" s="563"/>
      <c r="I2465" s="563"/>
      <c r="J2465" s="581"/>
      <c r="N2465" s="563"/>
      <c r="O2465" s="563"/>
      <c r="P2465" s="563"/>
    </row>
    <row r="2466" spans="2:16" ht="15.75" customHeight="1">
      <c r="B2466" s="567"/>
      <c r="H2466" s="563"/>
      <c r="I2466" s="563"/>
      <c r="J2466" s="581"/>
      <c r="N2466" s="563"/>
      <c r="O2466" s="563"/>
      <c r="P2466" s="563"/>
    </row>
    <row r="2467" spans="2:16" ht="15.75" customHeight="1">
      <c r="B2467" s="567"/>
      <c r="H2467" s="563"/>
      <c r="I2467" s="563"/>
      <c r="J2467" s="581"/>
      <c r="N2467" s="563"/>
      <c r="O2467" s="563"/>
      <c r="P2467" s="563"/>
    </row>
    <row r="2468" spans="2:16" ht="15.75" customHeight="1">
      <c r="B2468" s="567"/>
      <c r="H2468" s="563"/>
      <c r="I2468" s="563"/>
      <c r="J2468" s="581"/>
      <c r="N2468" s="563"/>
      <c r="O2468" s="563"/>
      <c r="P2468" s="563"/>
    </row>
    <row r="2469" spans="2:16" ht="15.75" customHeight="1">
      <c r="B2469" s="567"/>
      <c r="H2469" s="563"/>
      <c r="I2469" s="563"/>
      <c r="J2469" s="581"/>
      <c r="N2469" s="563"/>
      <c r="O2469" s="563"/>
      <c r="P2469" s="563"/>
    </row>
    <row r="2470" spans="2:16" ht="15.75" customHeight="1">
      <c r="B2470" s="567"/>
      <c r="H2470" s="563"/>
      <c r="I2470" s="563"/>
      <c r="J2470" s="581"/>
      <c r="N2470" s="563"/>
      <c r="O2470" s="563"/>
      <c r="P2470" s="563"/>
    </row>
    <row r="2471" spans="2:16" ht="15.75" customHeight="1">
      <c r="B2471" s="567"/>
      <c r="H2471" s="563"/>
      <c r="I2471" s="563"/>
      <c r="J2471" s="581"/>
      <c r="N2471" s="563"/>
      <c r="O2471" s="563"/>
      <c r="P2471" s="563"/>
    </row>
    <row r="2472" spans="2:16" ht="15.75" customHeight="1">
      <c r="B2472" s="567"/>
      <c r="H2472" s="563"/>
      <c r="I2472" s="563"/>
      <c r="J2472" s="581"/>
      <c r="N2472" s="563"/>
      <c r="O2472" s="563"/>
      <c r="P2472" s="563"/>
    </row>
    <row r="2473" spans="2:16" ht="15.75" customHeight="1">
      <c r="B2473" s="567"/>
      <c r="H2473" s="563"/>
      <c r="I2473" s="563"/>
      <c r="J2473" s="581"/>
      <c r="N2473" s="563"/>
      <c r="O2473" s="563"/>
      <c r="P2473" s="563"/>
    </row>
    <row r="2474" spans="2:16" ht="15.75" customHeight="1">
      <c r="B2474" s="567"/>
      <c r="H2474" s="563"/>
      <c r="I2474" s="563"/>
      <c r="J2474" s="581"/>
      <c r="N2474" s="563"/>
      <c r="O2474" s="563"/>
      <c r="P2474" s="563"/>
    </row>
    <row r="2475" spans="2:16" ht="15.75" customHeight="1">
      <c r="B2475" s="567"/>
      <c r="H2475" s="563"/>
      <c r="I2475" s="563"/>
      <c r="J2475" s="581"/>
      <c r="N2475" s="563"/>
      <c r="O2475" s="563"/>
      <c r="P2475" s="563"/>
    </row>
    <row r="2476" spans="2:16" ht="15.75" customHeight="1">
      <c r="B2476" s="567"/>
      <c r="H2476" s="563"/>
      <c r="I2476" s="563"/>
      <c r="J2476" s="581"/>
      <c r="N2476" s="563"/>
      <c r="O2476" s="563"/>
      <c r="P2476" s="563"/>
    </row>
    <row r="2477" spans="2:16" ht="15.75" customHeight="1">
      <c r="B2477" s="567"/>
      <c r="H2477" s="563"/>
      <c r="I2477" s="563"/>
      <c r="J2477" s="581"/>
      <c r="N2477" s="563"/>
      <c r="O2477" s="563"/>
      <c r="P2477" s="563"/>
    </row>
    <row r="2478" spans="2:16" ht="15.75" customHeight="1">
      <c r="B2478" s="567"/>
      <c r="H2478" s="563"/>
      <c r="I2478" s="563"/>
      <c r="J2478" s="581"/>
      <c r="N2478" s="563"/>
      <c r="O2478" s="563"/>
      <c r="P2478" s="563"/>
    </row>
    <row r="2479" spans="2:16" ht="15.75" customHeight="1">
      <c r="B2479" s="567"/>
      <c r="H2479" s="563"/>
      <c r="I2479" s="563"/>
      <c r="J2479" s="581"/>
      <c r="N2479" s="563"/>
      <c r="O2479" s="563"/>
      <c r="P2479" s="563"/>
    </row>
    <row r="2480" spans="2:16" ht="15.75" customHeight="1">
      <c r="B2480" s="567"/>
      <c r="H2480" s="563"/>
      <c r="I2480" s="563"/>
      <c r="J2480" s="581"/>
      <c r="N2480" s="563"/>
      <c r="O2480" s="563"/>
      <c r="P2480" s="563"/>
    </row>
    <row r="2481" spans="2:16" ht="15.75" customHeight="1">
      <c r="B2481" s="567"/>
      <c r="H2481" s="563"/>
      <c r="I2481" s="563"/>
      <c r="J2481" s="581"/>
      <c r="N2481" s="563"/>
      <c r="O2481" s="563"/>
      <c r="P2481" s="563"/>
    </row>
    <row r="2482" spans="2:16" ht="15.75" customHeight="1">
      <c r="B2482" s="567"/>
      <c r="H2482" s="563"/>
      <c r="I2482" s="563"/>
      <c r="J2482" s="581"/>
      <c r="N2482" s="563"/>
      <c r="O2482" s="563"/>
      <c r="P2482" s="563"/>
    </row>
    <row r="2483" spans="2:16" ht="15.75" customHeight="1">
      <c r="B2483" s="567"/>
      <c r="H2483" s="563"/>
      <c r="I2483" s="563"/>
      <c r="J2483" s="581"/>
      <c r="N2483" s="563"/>
      <c r="O2483" s="563"/>
      <c r="P2483" s="563"/>
    </row>
    <row r="2484" spans="2:16" ht="15.75" customHeight="1">
      <c r="B2484" s="567"/>
      <c r="H2484" s="563"/>
      <c r="I2484" s="563"/>
      <c r="J2484" s="581"/>
      <c r="N2484" s="563"/>
      <c r="O2484" s="563"/>
      <c r="P2484" s="563"/>
    </row>
    <row r="2485" spans="2:16" ht="15.75" customHeight="1">
      <c r="B2485" s="567"/>
      <c r="H2485" s="563"/>
      <c r="I2485" s="563"/>
      <c r="J2485" s="581"/>
      <c r="N2485" s="563"/>
      <c r="O2485" s="563"/>
      <c r="P2485" s="563"/>
    </row>
    <row r="2486" spans="2:16" ht="15.75" customHeight="1">
      <c r="B2486" s="567"/>
      <c r="H2486" s="563"/>
      <c r="I2486" s="563"/>
      <c r="J2486" s="581"/>
      <c r="N2486" s="563"/>
      <c r="O2486" s="563"/>
      <c r="P2486" s="563"/>
    </row>
    <row r="2487" spans="2:16" ht="15.75" customHeight="1">
      <c r="B2487" s="567"/>
      <c r="H2487" s="563"/>
      <c r="I2487" s="563"/>
      <c r="J2487" s="581"/>
      <c r="N2487" s="563"/>
      <c r="O2487" s="563"/>
      <c r="P2487" s="563"/>
    </row>
    <row r="2488" spans="2:16" ht="15.75" customHeight="1">
      <c r="B2488" s="567"/>
      <c r="H2488" s="563"/>
      <c r="I2488" s="563"/>
      <c r="J2488" s="581"/>
      <c r="N2488" s="563"/>
      <c r="O2488" s="563"/>
      <c r="P2488" s="563"/>
    </row>
    <row r="2489" spans="2:16" ht="15.75" customHeight="1">
      <c r="B2489" s="567"/>
      <c r="H2489" s="563"/>
      <c r="I2489" s="563"/>
      <c r="J2489" s="581"/>
      <c r="N2489" s="563"/>
      <c r="O2489" s="563"/>
      <c r="P2489" s="563"/>
    </row>
    <row r="2490" spans="2:16" ht="15.75" customHeight="1">
      <c r="B2490" s="567"/>
      <c r="H2490" s="563"/>
      <c r="I2490" s="563"/>
      <c r="J2490" s="581"/>
      <c r="N2490" s="563"/>
      <c r="O2490" s="563"/>
      <c r="P2490" s="563"/>
    </row>
    <row r="2491" spans="2:16" ht="15.75" customHeight="1">
      <c r="B2491" s="567"/>
      <c r="H2491" s="563"/>
      <c r="I2491" s="563"/>
      <c r="J2491" s="581"/>
      <c r="N2491" s="563"/>
      <c r="O2491" s="563"/>
      <c r="P2491" s="563"/>
    </row>
    <row r="2492" spans="2:16" ht="15.75" customHeight="1">
      <c r="B2492" s="567"/>
      <c r="H2492" s="563"/>
      <c r="I2492" s="563"/>
      <c r="J2492" s="581"/>
      <c r="N2492" s="563"/>
      <c r="O2492" s="563"/>
      <c r="P2492" s="563"/>
    </row>
    <row r="2493" spans="2:16" ht="15.75" customHeight="1">
      <c r="B2493" s="567"/>
      <c r="H2493" s="563"/>
      <c r="I2493" s="563"/>
      <c r="J2493" s="581"/>
      <c r="N2493" s="563"/>
      <c r="O2493" s="563"/>
      <c r="P2493" s="563"/>
    </row>
    <row r="2494" spans="2:16" ht="15.75" customHeight="1">
      <c r="B2494" s="567"/>
      <c r="H2494" s="563"/>
      <c r="I2494" s="563"/>
      <c r="J2494" s="581"/>
      <c r="N2494" s="563"/>
      <c r="O2494" s="563"/>
      <c r="P2494" s="563"/>
    </row>
    <row r="2495" spans="2:16" ht="15.75" customHeight="1">
      <c r="B2495" s="567"/>
      <c r="H2495" s="563"/>
      <c r="I2495" s="563"/>
      <c r="J2495" s="581"/>
      <c r="N2495" s="563"/>
      <c r="O2495" s="563"/>
      <c r="P2495" s="563"/>
    </row>
    <row r="2496" spans="2:16" ht="15.75" customHeight="1">
      <c r="B2496" s="567"/>
      <c r="H2496" s="563"/>
      <c r="I2496" s="563"/>
      <c r="J2496" s="581"/>
      <c r="N2496" s="563"/>
      <c r="O2496" s="563"/>
      <c r="P2496" s="563"/>
    </row>
    <row r="2497" spans="2:16" ht="15.75" customHeight="1">
      <c r="B2497" s="567"/>
      <c r="H2497" s="563"/>
      <c r="I2497" s="563"/>
      <c r="J2497" s="581"/>
      <c r="N2497" s="563"/>
      <c r="O2497" s="563"/>
      <c r="P2497" s="563"/>
    </row>
    <row r="2498" spans="2:16" ht="15.75" customHeight="1">
      <c r="B2498" s="567"/>
      <c r="H2498" s="563"/>
      <c r="I2498" s="563"/>
      <c r="J2498" s="581"/>
      <c r="N2498" s="563"/>
      <c r="O2498" s="563"/>
      <c r="P2498" s="563"/>
    </row>
    <row r="2499" spans="2:16" ht="15.75" customHeight="1">
      <c r="B2499" s="567"/>
      <c r="H2499" s="563"/>
      <c r="I2499" s="563"/>
      <c r="J2499" s="581"/>
      <c r="N2499" s="563"/>
      <c r="O2499" s="563"/>
      <c r="P2499" s="563"/>
    </row>
    <row r="2500" spans="2:16" ht="15.75" customHeight="1">
      <c r="B2500" s="567"/>
      <c r="H2500" s="563"/>
      <c r="I2500" s="563"/>
      <c r="J2500" s="581"/>
      <c r="N2500" s="563"/>
      <c r="O2500" s="563"/>
      <c r="P2500" s="563"/>
    </row>
    <row r="2501" spans="2:16" ht="15.75" customHeight="1">
      <c r="B2501" s="567"/>
      <c r="H2501" s="563"/>
      <c r="I2501" s="563"/>
      <c r="J2501" s="581"/>
      <c r="N2501" s="563"/>
      <c r="O2501" s="563"/>
      <c r="P2501" s="563"/>
    </row>
    <row r="2502" spans="2:16" ht="15.75" customHeight="1">
      <c r="B2502" s="567"/>
      <c r="H2502" s="563"/>
      <c r="I2502" s="563"/>
      <c r="J2502" s="581"/>
      <c r="N2502" s="563"/>
      <c r="O2502" s="563"/>
      <c r="P2502" s="563"/>
    </row>
    <row r="2503" spans="2:16" ht="15.75" customHeight="1">
      <c r="B2503" s="567"/>
      <c r="H2503" s="563"/>
      <c r="I2503" s="563"/>
      <c r="J2503" s="581"/>
      <c r="N2503" s="563"/>
      <c r="O2503" s="563"/>
      <c r="P2503" s="563"/>
    </row>
    <row r="2504" spans="2:16" ht="15.75" customHeight="1">
      <c r="B2504" s="567"/>
      <c r="H2504" s="563"/>
      <c r="I2504" s="563"/>
      <c r="J2504" s="581"/>
      <c r="N2504" s="563"/>
      <c r="O2504" s="563"/>
      <c r="P2504" s="563"/>
    </row>
    <row r="2505" spans="2:16" ht="15.75" customHeight="1">
      <c r="B2505" s="567"/>
      <c r="H2505" s="563"/>
      <c r="I2505" s="563"/>
      <c r="J2505" s="581"/>
      <c r="N2505" s="563"/>
      <c r="O2505" s="563"/>
      <c r="P2505" s="563"/>
    </row>
    <row r="2506" spans="2:16" ht="15.75" customHeight="1">
      <c r="B2506" s="567"/>
      <c r="H2506" s="563"/>
      <c r="I2506" s="563"/>
      <c r="J2506" s="581"/>
      <c r="N2506" s="563"/>
      <c r="O2506" s="563"/>
      <c r="P2506" s="563"/>
    </row>
    <row r="2507" spans="2:16" ht="15.75" customHeight="1">
      <c r="B2507" s="567"/>
      <c r="H2507" s="563"/>
      <c r="I2507" s="563"/>
      <c r="J2507" s="581"/>
      <c r="N2507" s="563"/>
      <c r="O2507" s="563"/>
      <c r="P2507" s="563"/>
    </row>
    <row r="2508" spans="2:16" ht="15.75" customHeight="1">
      <c r="B2508" s="567"/>
      <c r="H2508" s="563"/>
      <c r="I2508" s="563"/>
      <c r="J2508" s="581"/>
      <c r="N2508" s="563"/>
      <c r="O2508" s="563"/>
      <c r="P2508" s="563"/>
    </row>
    <row r="2509" spans="2:16" ht="15.75" customHeight="1">
      <c r="B2509" s="567"/>
      <c r="H2509" s="563"/>
      <c r="I2509" s="563"/>
      <c r="J2509" s="581"/>
      <c r="N2509" s="563"/>
      <c r="O2509" s="563"/>
      <c r="P2509" s="563"/>
    </row>
    <row r="2510" spans="2:16" ht="15.75" customHeight="1">
      <c r="B2510" s="567"/>
      <c r="H2510" s="563"/>
      <c r="I2510" s="563"/>
      <c r="J2510" s="581"/>
      <c r="N2510" s="563"/>
      <c r="O2510" s="563"/>
      <c r="P2510" s="563"/>
    </row>
    <row r="2511" spans="2:16" ht="15.75" customHeight="1">
      <c r="B2511" s="567"/>
      <c r="H2511" s="563"/>
      <c r="I2511" s="563"/>
      <c r="J2511" s="581"/>
      <c r="N2511" s="563"/>
      <c r="O2511" s="563"/>
      <c r="P2511" s="563"/>
    </row>
    <row r="2512" spans="2:16" ht="15.75" customHeight="1">
      <c r="B2512" s="567"/>
      <c r="H2512" s="563"/>
      <c r="I2512" s="563"/>
      <c r="J2512" s="581"/>
      <c r="N2512" s="563"/>
      <c r="O2512" s="563"/>
      <c r="P2512" s="563"/>
    </row>
    <row r="2513" spans="2:16" ht="15.75" customHeight="1">
      <c r="B2513" s="567"/>
      <c r="H2513" s="563"/>
      <c r="I2513" s="563"/>
      <c r="J2513" s="581"/>
      <c r="N2513" s="563"/>
      <c r="O2513" s="563"/>
      <c r="P2513" s="563"/>
    </row>
    <row r="2514" spans="2:16" ht="15.75" customHeight="1">
      <c r="B2514" s="567"/>
      <c r="H2514" s="563"/>
      <c r="I2514" s="563"/>
      <c r="J2514" s="581"/>
      <c r="N2514" s="563"/>
      <c r="O2514" s="563"/>
      <c r="P2514" s="563"/>
    </row>
    <row r="2515" spans="2:16" ht="15.75" customHeight="1">
      <c r="B2515" s="567"/>
      <c r="H2515" s="563"/>
      <c r="I2515" s="563"/>
      <c r="J2515" s="581"/>
      <c r="N2515" s="563"/>
      <c r="O2515" s="563"/>
      <c r="P2515" s="563"/>
    </row>
    <row r="2516" spans="2:16" ht="15.75" customHeight="1">
      <c r="B2516" s="567"/>
      <c r="H2516" s="563"/>
      <c r="I2516" s="563"/>
      <c r="J2516" s="581"/>
      <c r="N2516" s="563"/>
      <c r="O2516" s="563"/>
      <c r="P2516" s="563"/>
    </row>
    <row r="2517" spans="2:16" ht="15.75" customHeight="1">
      <c r="B2517" s="567"/>
      <c r="H2517" s="563"/>
      <c r="I2517" s="563"/>
      <c r="J2517" s="581"/>
      <c r="N2517" s="563"/>
      <c r="O2517" s="563"/>
      <c r="P2517" s="563"/>
    </row>
    <row r="2518" spans="2:16" ht="15.75" customHeight="1">
      <c r="B2518" s="567"/>
      <c r="H2518" s="563"/>
      <c r="I2518" s="563"/>
      <c r="J2518" s="581"/>
      <c r="N2518" s="563"/>
      <c r="O2518" s="563"/>
      <c r="P2518" s="563"/>
    </row>
    <row r="2519" spans="2:16" ht="15.75" customHeight="1">
      <c r="B2519" s="567"/>
      <c r="H2519" s="563"/>
      <c r="I2519" s="563"/>
      <c r="J2519" s="581"/>
      <c r="N2519" s="563"/>
      <c r="O2519" s="563"/>
      <c r="P2519" s="563"/>
    </row>
    <row r="2520" spans="2:16" ht="15.75" customHeight="1">
      <c r="B2520" s="567"/>
      <c r="H2520" s="563"/>
      <c r="I2520" s="563"/>
      <c r="J2520" s="581"/>
      <c r="N2520" s="563"/>
      <c r="O2520" s="563"/>
      <c r="P2520" s="563"/>
    </row>
    <row r="2521" spans="2:16" ht="15.75" customHeight="1">
      <c r="B2521" s="567"/>
      <c r="H2521" s="563"/>
      <c r="I2521" s="563"/>
      <c r="J2521" s="581"/>
      <c r="N2521" s="563"/>
      <c r="O2521" s="563"/>
      <c r="P2521" s="563"/>
    </row>
    <row r="2522" spans="2:16" ht="15.75" customHeight="1">
      <c r="B2522" s="567"/>
      <c r="H2522" s="563"/>
      <c r="I2522" s="563"/>
      <c r="J2522" s="581"/>
      <c r="N2522" s="563"/>
      <c r="O2522" s="563"/>
      <c r="P2522" s="563"/>
    </row>
    <row r="2523" spans="2:16" ht="15.75" customHeight="1">
      <c r="B2523" s="567"/>
      <c r="H2523" s="563"/>
      <c r="I2523" s="563"/>
      <c r="J2523" s="581"/>
      <c r="N2523" s="563"/>
      <c r="O2523" s="563"/>
      <c r="P2523" s="563"/>
    </row>
    <row r="2524" spans="2:16" ht="15.75" customHeight="1">
      <c r="B2524" s="567"/>
      <c r="H2524" s="563"/>
      <c r="I2524" s="563"/>
      <c r="J2524" s="581"/>
      <c r="N2524" s="563"/>
      <c r="O2524" s="563"/>
      <c r="P2524" s="563"/>
    </row>
    <row r="2525" spans="2:16" ht="15.75" customHeight="1">
      <c r="B2525" s="567"/>
      <c r="H2525" s="563"/>
      <c r="I2525" s="563"/>
      <c r="J2525" s="581"/>
      <c r="N2525" s="563"/>
      <c r="O2525" s="563"/>
      <c r="P2525" s="563"/>
    </row>
    <row r="2526" spans="2:16" ht="15.75" customHeight="1">
      <c r="B2526" s="567"/>
      <c r="H2526" s="563"/>
      <c r="I2526" s="563"/>
      <c r="J2526" s="581"/>
      <c r="N2526" s="563"/>
      <c r="O2526" s="563"/>
      <c r="P2526" s="563"/>
    </row>
    <row r="2527" spans="2:16" ht="15.75" customHeight="1">
      <c r="B2527" s="567"/>
      <c r="H2527" s="563"/>
      <c r="I2527" s="563"/>
      <c r="J2527" s="581"/>
      <c r="N2527" s="563"/>
      <c r="O2527" s="563"/>
      <c r="P2527" s="563"/>
    </row>
    <row r="2528" spans="2:16" ht="15.75" customHeight="1">
      <c r="B2528" s="567"/>
      <c r="H2528" s="563"/>
      <c r="I2528" s="563"/>
      <c r="J2528" s="581"/>
      <c r="N2528" s="563"/>
      <c r="O2528" s="563"/>
      <c r="P2528" s="563"/>
    </row>
    <row r="2529" spans="2:16" ht="15.75" customHeight="1">
      <c r="B2529" s="567"/>
      <c r="H2529" s="563"/>
      <c r="I2529" s="563"/>
      <c r="J2529" s="581"/>
      <c r="N2529" s="563"/>
      <c r="O2529" s="563"/>
      <c r="P2529" s="563"/>
    </row>
    <row r="2530" spans="2:16" ht="15.75" customHeight="1">
      <c r="B2530" s="567"/>
      <c r="H2530" s="563"/>
      <c r="I2530" s="563"/>
      <c r="J2530" s="581"/>
      <c r="N2530" s="563"/>
      <c r="O2530" s="563"/>
      <c r="P2530" s="563"/>
    </row>
    <row r="2531" spans="2:16" ht="15.75" customHeight="1">
      <c r="B2531" s="567"/>
      <c r="H2531" s="563"/>
      <c r="I2531" s="563"/>
      <c r="J2531" s="581"/>
      <c r="N2531" s="563"/>
      <c r="O2531" s="563"/>
      <c r="P2531" s="563"/>
    </row>
    <row r="2532" spans="2:16" ht="15.75" customHeight="1">
      <c r="B2532" s="567"/>
      <c r="H2532" s="563"/>
      <c r="I2532" s="563"/>
      <c r="J2532" s="581"/>
      <c r="N2532" s="563"/>
      <c r="O2532" s="563"/>
      <c r="P2532" s="563"/>
    </row>
    <row r="2533" spans="2:16" ht="15.75" customHeight="1">
      <c r="B2533" s="567"/>
      <c r="H2533" s="563"/>
      <c r="I2533" s="563"/>
      <c r="J2533" s="581"/>
      <c r="N2533" s="563"/>
      <c r="O2533" s="563"/>
      <c r="P2533" s="563"/>
    </row>
    <row r="2534" spans="2:16" ht="15.75" customHeight="1">
      <c r="B2534" s="567"/>
      <c r="H2534" s="563"/>
      <c r="I2534" s="563"/>
      <c r="J2534" s="581"/>
      <c r="N2534" s="563"/>
      <c r="O2534" s="563"/>
      <c r="P2534" s="563"/>
    </row>
    <row r="2535" spans="2:16" ht="15.75" customHeight="1">
      <c r="B2535" s="567"/>
      <c r="H2535" s="563"/>
      <c r="I2535" s="563"/>
      <c r="J2535" s="581"/>
      <c r="N2535" s="563"/>
      <c r="O2535" s="563"/>
      <c r="P2535" s="563"/>
    </row>
    <row r="2536" spans="2:16" ht="15.75" customHeight="1">
      <c r="B2536" s="567"/>
      <c r="H2536" s="563"/>
      <c r="I2536" s="563"/>
      <c r="J2536" s="581"/>
      <c r="N2536" s="563"/>
      <c r="O2536" s="563"/>
      <c r="P2536" s="563"/>
    </row>
    <row r="2537" spans="2:16" ht="15.75" customHeight="1">
      <c r="B2537" s="567"/>
      <c r="H2537" s="563"/>
      <c r="I2537" s="563"/>
      <c r="J2537" s="581"/>
      <c r="N2537" s="563"/>
      <c r="O2537" s="563"/>
      <c r="P2537" s="563"/>
    </row>
    <row r="2538" spans="2:16" ht="15.75" customHeight="1">
      <c r="B2538" s="567"/>
      <c r="H2538" s="563"/>
      <c r="I2538" s="563"/>
      <c r="J2538" s="581"/>
      <c r="N2538" s="563"/>
      <c r="O2538" s="563"/>
      <c r="P2538" s="563"/>
    </row>
    <row r="2539" spans="2:16" ht="15.75" customHeight="1">
      <c r="B2539" s="567"/>
      <c r="H2539" s="563"/>
      <c r="I2539" s="563"/>
      <c r="J2539" s="581"/>
      <c r="N2539" s="563"/>
      <c r="O2539" s="563"/>
      <c r="P2539" s="563"/>
    </row>
    <row r="2540" spans="2:16" ht="15.75" customHeight="1">
      <c r="B2540" s="567"/>
      <c r="H2540" s="563"/>
      <c r="I2540" s="563"/>
      <c r="J2540" s="581"/>
      <c r="N2540" s="563"/>
      <c r="O2540" s="563"/>
      <c r="P2540" s="563"/>
    </row>
    <row r="2541" spans="2:16" ht="15.75" customHeight="1">
      <c r="B2541" s="567"/>
      <c r="H2541" s="563"/>
      <c r="I2541" s="563"/>
      <c r="J2541" s="581"/>
      <c r="N2541" s="563"/>
      <c r="O2541" s="563"/>
      <c r="P2541" s="563"/>
    </row>
    <row r="2542" spans="2:16" ht="15.75" customHeight="1">
      <c r="B2542" s="567"/>
      <c r="H2542" s="563"/>
      <c r="I2542" s="563"/>
      <c r="J2542" s="581"/>
      <c r="N2542" s="563"/>
      <c r="O2542" s="563"/>
      <c r="P2542" s="563"/>
    </row>
    <row r="2543" spans="2:16" ht="15.75" customHeight="1">
      <c r="B2543" s="567"/>
      <c r="H2543" s="563"/>
      <c r="I2543" s="563"/>
      <c r="J2543" s="581"/>
      <c r="N2543" s="563"/>
      <c r="O2543" s="563"/>
      <c r="P2543" s="563"/>
    </row>
    <row r="2544" spans="2:16" ht="15.75" customHeight="1">
      <c r="B2544" s="567"/>
      <c r="H2544" s="563"/>
      <c r="I2544" s="563"/>
      <c r="J2544" s="581"/>
      <c r="N2544" s="563"/>
      <c r="O2544" s="563"/>
      <c r="P2544" s="563"/>
    </row>
    <row r="2545" spans="2:16" ht="15.75" customHeight="1">
      <c r="B2545" s="567"/>
      <c r="H2545" s="563"/>
      <c r="I2545" s="563"/>
      <c r="J2545" s="581"/>
      <c r="N2545" s="563"/>
      <c r="O2545" s="563"/>
      <c r="P2545" s="563"/>
    </row>
    <row r="2546" spans="2:16" ht="15.75" customHeight="1">
      <c r="B2546" s="567"/>
      <c r="H2546" s="563"/>
      <c r="I2546" s="563"/>
      <c r="J2546" s="581"/>
      <c r="N2546" s="563"/>
      <c r="O2546" s="563"/>
      <c r="P2546" s="563"/>
    </row>
    <row r="2547" spans="2:16" ht="15.75" customHeight="1">
      <c r="B2547" s="567"/>
      <c r="H2547" s="563"/>
      <c r="I2547" s="563"/>
      <c r="J2547" s="581"/>
      <c r="N2547" s="563"/>
      <c r="O2547" s="563"/>
      <c r="P2547" s="563"/>
    </row>
    <row r="2548" spans="2:16" ht="15.75" customHeight="1">
      <c r="B2548" s="567"/>
      <c r="H2548" s="563"/>
      <c r="I2548" s="563"/>
      <c r="J2548" s="581"/>
      <c r="N2548" s="563"/>
      <c r="O2548" s="563"/>
      <c r="P2548" s="563"/>
    </row>
    <row r="2549" spans="2:16" ht="15.75" customHeight="1">
      <c r="B2549" s="567"/>
      <c r="H2549" s="563"/>
      <c r="I2549" s="563"/>
      <c r="J2549" s="581"/>
      <c r="N2549" s="563"/>
      <c r="O2549" s="563"/>
      <c r="P2549" s="563"/>
    </row>
    <row r="2550" spans="2:16" ht="15.75" customHeight="1">
      <c r="B2550" s="567"/>
      <c r="H2550" s="563"/>
      <c r="I2550" s="563"/>
      <c r="J2550" s="581"/>
      <c r="N2550" s="563"/>
      <c r="O2550" s="563"/>
      <c r="P2550" s="563"/>
    </row>
    <row r="2551" spans="2:16" ht="15.75" customHeight="1">
      <c r="B2551" s="567"/>
      <c r="H2551" s="563"/>
      <c r="I2551" s="563"/>
      <c r="J2551" s="581"/>
      <c r="N2551" s="563"/>
      <c r="O2551" s="563"/>
      <c r="P2551" s="563"/>
    </row>
    <row r="2552" spans="2:16" ht="15.75" customHeight="1">
      <c r="B2552" s="567"/>
      <c r="H2552" s="563"/>
      <c r="I2552" s="563"/>
      <c r="J2552" s="581"/>
      <c r="N2552" s="563"/>
      <c r="O2552" s="563"/>
      <c r="P2552" s="563"/>
    </row>
    <row r="2553" spans="2:16" ht="15.75" customHeight="1">
      <c r="B2553" s="567"/>
      <c r="H2553" s="563"/>
      <c r="I2553" s="563"/>
      <c r="J2553" s="581"/>
      <c r="N2553" s="563"/>
      <c r="O2553" s="563"/>
      <c r="P2553" s="563"/>
    </row>
    <row r="2554" spans="2:16" ht="15.75" customHeight="1">
      <c r="B2554" s="567"/>
      <c r="H2554" s="563"/>
      <c r="I2554" s="563"/>
      <c r="J2554" s="581"/>
      <c r="N2554" s="563"/>
      <c r="O2554" s="563"/>
      <c r="P2554" s="563"/>
    </row>
    <row r="2555" spans="2:16" ht="15.75" customHeight="1">
      <c r="B2555" s="567"/>
      <c r="H2555" s="563"/>
      <c r="I2555" s="563"/>
      <c r="J2555" s="581"/>
      <c r="N2555" s="563"/>
      <c r="O2555" s="563"/>
      <c r="P2555" s="563"/>
    </row>
    <row r="2556" spans="2:16" ht="15.75" customHeight="1">
      <c r="B2556" s="567"/>
      <c r="H2556" s="563"/>
      <c r="I2556" s="563"/>
      <c r="J2556" s="581"/>
      <c r="N2556" s="563"/>
      <c r="O2556" s="563"/>
      <c r="P2556" s="563"/>
    </row>
    <row r="2557" spans="2:16" ht="15.75" customHeight="1">
      <c r="B2557" s="567"/>
      <c r="H2557" s="563"/>
      <c r="I2557" s="563"/>
      <c r="J2557" s="581"/>
      <c r="N2557" s="563"/>
      <c r="O2557" s="563"/>
      <c r="P2557" s="563"/>
    </row>
    <row r="2558" spans="2:16" ht="15.75" customHeight="1">
      <c r="B2558" s="567"/>
      <c r="H2558" s="563"/>
      <c r="I2558" s="563"/>
      <c r="J2558" s="581"/>
      <c r="N2558" s="563"/>
      <c r="O2558" s="563"/>
      <c r="P2558" s="563"/>
    </row>
    <row r="2559" spans="2:16" ht="15.75" customHeight="1">
      <c r="B2559" s="567"/>
      <c r="H2559" s="563"/>
      <c r="I2559" s="563"/>
      <c r="J2559" s="581"/>
      <c r="N2559" s="563"/>
      <c r="O2559" s="563"/>
      <c r="P2559" s="563"/>
    </row>
    <row r="2560" spans="2:16" ht="15.75" customHeight="1">
      <c r="B2560" s="567"/>
      <c r="H2560" s="563"/>
      <c r="I2560" s="563"/>
      <c r="J2560" s="581"/>
      <c r="N2560" s="563"/>
      <c r="O2560" s="563"/>
      <c r="P2560" s="563"/>
    </row>
    <row r="2561" spans="2:16" ht="15.75" customHeight="1">
      <c r="B2561" s="567"/>
      <c r="H2561" s="563"/>
      <c r="I2561" s="563"/>
      <c r="J2561" s="581"/>
      <c r="N2561" s="563"/>
      <c r="O2561" s="563"/>
      <c r="P2561" s="563"/>
    </row>
    <row r="2562" spans="2:16" ht="15.75" customHeight="1">
      <c r="B2562" s="567"/>
      <c r="H2562" s="563"/>
      <c r="I2562" s="563"/>
      <c r="J2562" s="581"/>
      <c r="N2562" s="563"/>
      <c r="O2562" s="563"/>
      <c r="P2562" s="563"/>
    </row>
    <row r="2563" spans="2:16" ht="15.75" customHeight="1">
      <c r="B2563" s="567"/>
      <c r="H2563" s="563"/>
      <c r="I2563" s="563"/>
      <c r="J2563" s="581"/>
      <c r="N2563" s="563"/>
      <c r="O2563" s="563"/>
      <c r="P2563" s="563"/>
    </row>
    <row r="2564" spans="2:16" ht="15.75" customHeight="1">
      <c r="B2564" s="567"/>
      <c r="H2564" s="563"/>
      <c r="I2564" s="563"/>
      <c r="J2564" s="581"/>
      <c r="N2564" s="563"/>
      <c r="O2564" s="563"/>
      <c r="P2564" s="563"/>
    </row>
    <row r="2565" spans="2:16" ht="15.75" customHeight="1">
      <c r="B2565" s="567"/>
      <c r="H2565" s="563"/>
      <c r="I2565" s="563"/>
      <c r="J2565" s="581"/>
      <c r="N2565" s="563"/>
      <c r="O2565" s="563"/>
      <c r="P2565" s="563"/>
    </row>
    <row r="2566" spans="2:16" ht="15.75" customHeight="1">
      <c r="B2566" s="567"/>
      <c r="H2566" s="563"/>
      <c r="I2566" s="563"/>
      <c r="J2566" s="581"/>
      <c r="N2566" s="563"/>
      <c r="O2566" s="563"/>
      <c r="P2566" s="563"/>
    </row>
    <row r="2567" spans="2:16" ht="15.75" customHeight="1">
      <c r="B2567" s="567"/>
      <c r="H2567" s="563"/>
      <c r="I2567" s="563"/>
      <c r="J2567" s="581"/>
      <c r="N2567" s="563"/>
      <c r="O2567" s="563"/>
      <c r="P2567" s="563"/>
    </row>
    <row r="2568" spans="2:16" ht="15.75" customHeight="1">
      <c r="B2568" s="567"/>
      <c r="H2568" s="563"/>
      <c r="I2568" s="563"/>
      <c r="J2568" s="581"/>
      <c r="N2568" s="563"/>
      <c r="O2568" s="563"/>
      <c r="P2568" s="563"/>
    </row>
    <row r="2569" spans="2:16" ht="15.75" customHeight="1">
      <c r="B2569" s="567"/>
      <c r="H2569" s="563"/>
      <c r="I2569" s="563"/>
      <c r="J2569" s="581"/>
      <c r="N2569" s="563"/>
      <c r="O2569" s="563"/>
      <c r="P2569" s="563"/>
    </row>
    <row r="2570" spans="2:16" ht="15.75" customHeight="1">
      <c r="B2570" s="567"/>
      <c r="H2570" s="563"/>
      <c r="I2570" s="563"/>
      <c r="J2570" s="581"/>
      <c r="N2570" s="563"/>
      <c r="O2570" s="563"/>
      <c r="P2570" s="563"/>
    </row>
    <row r="2571" spans="2:16" ht="15.75" customHeight="1">
      <c r="B2571" s="567"/>
      <c r="H2571" s="563"/>
      <c r="I2571" s="563"/>
      <c r="J2571" s="581"/>
      <c r="N2571" s="563"/>
      <c r="O2571" s="563"/>
      <c r="P2571" s="563"/>
    </row>
    <row r="2572" spans="2:16" ht="15.75" customHeight="1">
      <c r="B2572" s="567"/>
      <c r="H2572" s="563"/>
      <c r="I2572" s="563"/>
      <c r="J2572" s="581"/>
      <c r="N2572" s="563"/>
      <c r="O2572" s="563"/>
      <c r="P2572" s="563"/>
    </row>
    <row r="2573" spans="2:16" ht="15.75" customHeight="1">
      <c r="B2573" s="567"/>
      <c r="H2573" s="563"/>
      <c r="I2573" s="563"/>
      <c r="J2573" s="581"/>
      <c r="N2573" s="563"/>
      <c r="O2573" s="563"/>
      <c r="P2573" s="563"/>
    </row>
    <row r="2574" spans="2:16" ht="15.75" customHeight="1">
      <c r="B2574" s="567"/>
      <c r="H2574" s="563"/>
      <c r="I2574" s="563"/>
      <c r="J2574" s="581"/>
      <c r="N2574" s="563"/>
      <c r="O2574" s="563"/>
      <c r="P2574" s="563"/>
    </row>
    <row r="2575" spans="2:16" ht="15.75" customHeight="1">
      <c r="B2575" s="567"/>
      <c r="H2575" s="563"/>
      <c r="I2575" s="563"/>
      <c r="J2575" s="581"/>
      <c r="N2575" s="563"/>
      <c r="O2575" s="563"/>
      <c r="P2575" s="563"/>
    </row>
    <row r="2576" spans="2:16" ht="15.75" customHeight="1">
      <c r="B2576" s="567"/>
      <c r="H2576" s="563"/>
      <c r="I2576" s="563"/>
      <c r="J2576" s="581"/>
      <c r="N2576" s="563"/>
      <c r="O2576" s="563"/>
      <c r="P2576" s="563"/>
    </row>
    <row r="2577" spans="2:16" ht="15.75" customHeight="1">
      <c r="B2577" s="567"/>
      <c r="H2577" s="563"/>
      <c r="I2577" s="563"/>
      <c r="J2577" s="581"/>
      <c r="N2577" s="563"/>
      <c r="O2577" s="563"/>
      <c r="P2577" s="563"/>
    </row>
    <row r="2578" spans="2:16" ht="15.75" customHeight="1">
      <c r="B2578" s="567"/>
      <c r="H2578" s="563"/>
      <c r="I2578" s="563"/>
      <c r="J2578" s="581"/>
      <c r="N2578" s="563"/>
      <c r="O2578" s="563"/>
      <c r="P2578" s="563"/>
    </row>
    <row r="2579" spans="2:16" ht="15.75" customHeight="1">
      <c r="B2579" s="567"/>
      <c r="H2579" s="563"/>
      <c r="I2579" s="563"/>
      <c r="J2579" s="581"/>
      <c r="N2579" s="563"/>
      <c r="O2579" s="563"/>
      <c r="P2579" s="563"/>
    </row>
    <row r="2580" spans="2:16" ht="15.75" customHeight="1">
      <c r="B2580" s="567"/>
      <c r="H2580" s="563"/>
      <c r="I2580" s="563"/>
      <c r="J2580" s="581"/>
      <c r="N2580" s="563"/>
      <c r="O2580" s="563"/>
      <c r="P2580" s="563"/>
    </row>
    <row r="2581" spans="2:16" ht="15.75" customHeight="1">
      <c r="B2581" s="567"/>
      <c r="H2581" s="563"/>
      <c r="I2581" s="563"/>
      <c r="J2581" s="581"/>
      <c r="N2581" s="563"/>
      <c r="O2581" s="563"/>
      <c r="P2581" s="563"/>
    </row>
    <row r="2582" spans="2:16" ht="15.75" customHeight="1">
      <c r="B2582" s="567"/>
      <c r="H2582" s="563"/>
      <c r="I2582" s="563"/>
      <c r="J2582" s="581"/>
      <c r="N2582" s="563"/>
      <c r="O2582" s="563"/>
      <c r="P2582" s="563"/>
    </row>
    <row r="2583" spans="2:16" ht="15.75" customHeight="1">
      <c r="B2583" s="567"/>
      <c r="H2583" s="563"/>
      <c r="I2583" s="563"/>
      <c r="J2583" s="581"/>
      <c r="N2583" s="563"/>
      <c r="O2583" s="563"/>
      <c r="P2583" s="563"/>
    </row>
    <row r="2584" spans="2:16" ht="15.75" customHeight="1">
      <c r="B2584" s="567"/>
      <c r="H2584" s="563"/>
      <c r="I2584" s="563"/>
      <c r="J2584" s="581"/>
      <c r="N2584" s="563"/>
      <c r="O2584" s="563"/>
      <c r="P2584" s="563"/>
    </row>
    <row r="2585" spans="2:16" ht="15.75" customHeight="1">
      <c r="B2585" s="567"/>
      <c r="H2585" s="563"/>
      <c r="I2585" s="563"/>
      <c r="J2585" s="581"/>
      <c r="N2585" s="563"/>
      <c r="O2585" s="563"/>
      <c r="P2585" s="563"/>
    </row>
    <row r="2586" spans="2:16" ht="15.75" customHeight="1">
      <c r="B2586" s="567"/>
      <c r="H2586" s="563"/>
      <c r="I2586" s="563"/>
      <c r="J2586" s="581"/>
      <c r="N2586" s="563"/>
      <c r="O2586" s="563"/>
      <c r="P2586" s="563"/>
    </row>
    <row r="2587" spans="2:16" ht="15.75" customHeight="1">
      <c r="B2587" s="567"/>
      <c r="H2587" s="563"/>
      <c r="I2587" s="563"/>
      <c r="J2587" s="581"/>
      <c r="N2587" s="563"/>
      <c r="O2587" s="563"/>
      <c r="P2587" s="563"/>
    </row>
    <row r="2588" spans="2:16" ht="15.75" customHeight="1">
      <c r="B2588" s="567"/>
      <c r="H2588" s="563"/>
      <c r="I2588" s="563"/>
      <c r="J2588" s="581"/>
      <c r="N2588" s="563"/>
      <c r="O2588" s="563"/>
      <c r="P2588" s="563"/>
    </row>
    <row r="2589" spans="2:16" ht="15.75" customHeight="1">
      <c r="B2589" s="567"/>
      <c r="H2589" s="563"/>
      <c r="I2589" s="563"/>
      <c r="J2589" s="581"/>
      <c r="N2589" s="563"/>
      <c r="O2589" s="563"/>
      <c r="P2589" s="563"/>
    </row>
    <row r="2590" spans="2:16" ht="15.75" customHeight="1">
      <c r="B2590" s="567"/>
      <c r="H2590" s="563"/>
      <c r="I2590" s="563"/>
      <c r="J2590" s="581"/>
      <c r="N2590" s="563"/>
      <c r="O2590" s="563"/>
      <c r="P2590" s="563"/>
    </row>
    <row r="2591" spans="2:16" ht="15.75" customHeight="1">
      <c r="B2591" s="567"/>
      <c r="H2591" s="563"/>
      <c r="I2591" s="563"/>
      <c r="J2591" s="581"/>
      <c r="N2591" s="563"/>
      <c r="O2591" s="563"/>
      <c r="P2591" s="563"/>
    </row>
    <row r="2592" spans="2:16" ht="15.75" customHeight="1">
      <c r="B2592" s="567"/>
      <c r="H2592" s="563"/>
      <c r="I2592" s="563"/>
      <c r="J2592" s="581"/>
      <c r="N2592" s="563"/>
      <c r="O2592" s="563"/>
      <c r="P2592" s="563"/>
    </row>
    <row r="2593" spans="2:16" ht="15.75" customHeight="1">
      <c r="B2593" s="567"/>
      <c r="H2593" s="563"/>
      <c r="I2593" s="563"/>
      <c r="J2593" s="581"/>
      <c r="N2593" s="563"/>
      <c r="O2593" s="563"/>
      <c r="P2593" s="563"/>
    </row>
    <row r="2594" spans="2:16" ht="15.75" customHeight="1">
      <c r="B2594" s="567"/>
      <c r="H2594" s="563"/>
      <c r="I2594" s="563"/>
      <c r="J2594" s="581"/>
      <c r="N2594" s="563"/>
      <c r="O2594" s="563"/>
      <c r="P2594" s="563"/>
    </row>
    <row r="2595" spans="2:16" ht="15.75" customHeight="1">
      <c r="B2595" s="567"/>
      <c r="H2595" s="563"/>
      <c r="I2595" s="563"/>
      <c r="J2595" s="581"/>
      <c r="N2595" s="563"/>
      <c r="O2595" s="563"/>
      <c r="P2595" s="563"/>
    </row>
    <row r="2596" spans="2:16" ht="15.75" customHeight="1">
      <c r="B2596" s="567"/>
      <c r="H2596" s="563"/>
      <c r="I2596" s="563"/>
      <c r="J2596" s="581"/>
      <c r="N2596" s="563"/>
      <c r="O2596" s="563"/>
      <c r="P2596" s="563"/>
    </row>
    <row r="2597" spans="2:16" ht="15.75" customHeight="1">
      <c r="B2597" s="567"/>
      <c r="H2597" s="563"/>
      <c r="I2597" s="563"/>
      <c r="J2597" s="581"/>
      <c r="N2597" s="563"/>
      <c r="O2597" s="563"/>
      <c r="P2597" s="563"/>
    </row>
    <row r="2598" spans="2:16" ht="15.75" customHeight="1">
      <c r="B2598" s="567"/>
      <c r="H2598" s="563"/>
      <c r="I2598" s="563"/>
      <c r="J2598" s="581"/>
      <c r="N2598" s="563"/>
      <c r="O2598" s="563"/>
      <c r="P2598" s="563"/>
    </row>
    <row r="2599" spans="2:16" ht="15.75" customHeight="1">
      <c r="B2599" s="567"/>
      <c r="H2599" s="563"/>
      <c r="I2599" s="563"/>
      <c r="J2599" s="581"/>
      <c r="N2599" s="563"/>
      <c r="O2599" s="563"/>
      <c r="P2599" s="563"/>
    </row>
    <row r="2600" spans="2:16" ht="15.75" customHeight="1">
      <c r="B2600" s="567"/>
      <c r="H2600" s="563"/>
      <c r="I2600" s="563"/>
      <c r="J2600" s="581"/>
      <c r="N2600" s="563"/>
      <c r="O2600" s="563"/>
      <c r="P2600" s="563"/>
    </row>
    <row r="2601" spans="2:16" ht="15.75" customHeight="1">
      <c r="B2601" s="567"/>
      <c r="H2601" s="563"/>
      <c r="I2601" s="563"/>
      <c r="J2601" s="581"/>
      <c r="N2601" s="563"/>
      <c r="O2601" s="563"/>
      <c r="P2601" s="563"/>
    </row>
    <row r="2602" spans="2:16" ht="15.75" customHeight="1">
      <c r="B2602" s="567"/>
      <c r="H2602" s="563"/>
      <c r="I2602" s="563"/>
      <c r="J2602" s="581"/>
      <c r="N2602" s="563"/>
      <c r="O2602" s="563"/>
      <c r="P2602" s="563"/>
    </row>
    <row r="2603" spans="2:16" ht="15.75" customHeight="1">
      <c r="B2603" s="567"/>
      <c r="H2603" s="563"/>
      <c r="I2603" s="563"/>
      <c r="J2603" s="581"/>
      <c r="N2603" s="563"/>
      <c r="O2603" s="563"/>
      <c r="P2603" s="563"/>
    </row>
    <row r="2604" spans="2:16" ht="15.75" customHeight="1">
      <c r="B2604" s="567"/>
      <c r="H2604" s="563"/>
      <c r="I2604" s="563"/>
      <c r="J2604" s="581"/>
      <c r="N2604" s="563"/>
      <c r="O2604" s="563"/>
      <c r="P2604" s="563"/>
    </row>
    <row r="2605" spans="2:16" ht="15.75" customHeight="1">
      <c r="B2605" s="567"/>
      <c r="H2605" s="563"/>
      <c r="I2605" s="563"/>
      <c r="J2605" s="581"/>
      <c r="N2605" s="563"/>
      <c r="O2605" s="563"/>
      <c r="P2605" s="563"/>
    </row>
    <row r="2606" spans="2:16" ht="15.75" customHeight="1">
      <c r="B2606" s="567"/>
      <c r="H2606" s="563"/>
      <c r="I2606" s="563"/>
      <c r="J2606" s="581"/>
      <c r="N2606" s="563"/>
      <c r="O2606" s="563"/>
      <c r="P2606" s="563"/>
    </row>
    <row r="2607" spans="2:16" ht="15.75" customHeight="1">
      <c r="B2607" s="567"/>
      <c r="H2607" s="563"/>
      <c r="I2607" s="563"/>
      <c r="J2607" s="581"/>
      <c r="N2607" s="563"/>
      <c r="O2607" s="563"/>
      <c r="P2607" s="563"/>
    </row>
    <row r="2608" spans="2:16" ht="15.75" customHeight="1">
      <c r="B2608" s="567"/>
      <c r="H2608" s="563"/>
      <c r="I2608" s="563"/>
      <c r="J2608" s="581"/>
      <c r="N2608" s="563"/>
      <c r="O2608" s="563"/>
      <c r="P2608" s="563"/>
    </row>
    <row r="2609" spans="2:16" ht="15.75" customHeight="1">
      <c r="B2609" s="567"/>
      <c r="H2609" s="563"/>
      <c r="I2609" s="563"/>
      <c r="J2609" s="581"/>
      <c r="N2609" s="563"/>
      <c r="O2609" s="563"/>
      <c r="P2609" s="563"/>
    </row>
    <row r="2610" spans="2:16" ht="15.75" customHeight="1">
      <c r="B2610" s="567"/>
      <c r="H2610" s="563"/>
      <c r="I2610" s="563"/>
      <c r="J2610" s="581"/>
      <c r="N2610" s="563"/>
      <c r="O2610" s="563"/>
      <c r="P2610" s="563"/>
    </row>
    <row r="2611" spans="2:16" ht="15.75" customHeight="1">
      <c r="B2611" s="567"/>
      <c r="H2611" s="563"/>
      <c r="I2611" s="563"/>
      <c r="J2611" s="581"/>
      <c r="N2611" s="563"/>
      <c r="O2611" s="563"/>
      <c r="P2611" s="563"/>
    </row>
    <row r="2612" spans="2:16" ht="15.75" customHeight="1">
      <c r="B2612" s="567"/>
      <c r="H2612" s="563"/>
      <c r="I2612" s="563"/>
      <c r="J2612" s="581"/>
      <c r="N2612" s="563"/>
      <c r="O2612" s="563"/>
      <c r="P2612" s="563"/>
    </row>
    <row r="2613" spans="2:16" ht="15.75" customHeight="1">
      <c r="B2613" s="567"/>
      <c r="H2613" s="563"/>
      <c r="I2613" s="563"/>
      <c r="J2613" s="581"/>
      <c r="N2613" s="563"/>
      <c r="O2613" s="563"/>
      <c r="P2613" s="563"/>
    </row>
    <row r="2614" spans="2:16" ht="15.75" customHeight="1">
      <c r="B2614" s="567"/>
      <c r="H2614" s="563"/>
      <c r="I2614" s="563"/>
      <c r="J2614" s="581"/>
      <c r="N2614" s="563"/>
      <c r="O2614" s="563"/>
      <c r="P2614" s="563"/>
    </row>
    <row r="2615" spans="2:16" ht="15.75" customHeight="1">
      <c r="B2615" s="567"/>
      <c r="H2615" s="563"/>
      <c r="I2615" s="563"/>
      <c r="J2615" s="581"/>
      <c r="N2615" s="563"/>
      <c r="O2615" s="563"/>
      <c r="P2615" s="563"/>
    </row>
    <row r="2616" spans="2:16" ht="15.75" customHeight="1">
      <c r="B2616" s="567"/>
      <c r="H2616" s="563"/>
      <c r="I2616" s="563"/>
      <c r="J2616" s="581"/>
      <c r="N2616" s="563"/>
      <c r="O2616" s="563"/>
      <c r="P2616" s="563"/>
    </row>
    <row r="2617" spans="2:16" ht="15.75" customHeight="1">
      <c r="B2617" s="567"/>
      <c r="H2617" s="563"/>
      <c r="I2617" s="563"/>
      <c r="J2617" s="581"/>
      <c r="N2617" s="563"/>
      <c r="O2617" s="563"/>
      <c r="P2617" s="563"/>
    </row>
    <row r="2618" spans="2:16" ht="15.75" customHeight="1">
      <c r="B2618" s="567"/>
      <c r="H2618" s="563"/>
      <c r="I2618" s="563"/>
      <c r="J2618" s="581"/>
      <c r="N2618" s="563"/>
      <c r="O2618" s="563"/>
      <c r="P2618" s="563"/>
    </row>
    <row r="2619" spans="2:16" ht="15.75" customHeight="1">
      <c r="B2619" s="567"/>
      <c r="H2619" s="563"/>
      <c r="I2619" s="563"/>
      <c r="J2619" s="581"/>
      <c r="N2619" s="563"/>
      <c r="O2619" s="563"/>
      <c r="P2619" s="563"/>
    </row>
    <row r="2620" spans="2:16" ht="15.75" customHeight="1">
      <c r="B2620" s="567"/>
      <c r="H2620" s="563"/>
      <c r="I2620" s="563"/>
      <c r="J2620" s="581"/>
      <c r="N2620" s="563"/>
      <c r="O2620" s="563"/>
      <c r="P2620" s="563"/>
    </row>
    <row r="2621" spans="2:16" ht="15.75" customHeight="1">
      <c r="B2621" s="567"/>
      <c r="H2621" s="563"/>
      <c r="I2621" s="563"/>
      <c r="J2621" s="581"/>
      <c r="N2621" s="563"/>
      <c r="O2621" s="563"/>
      <c r="P2621" s="563"/>
    </row>
    <row r="2622" spans="2:16" ht="15.75" customHeight="1">
      <c r="B2622" s="567"/>
      <c r="H2622" s="563"/>
      <c r="I2622" s="563"/>
      <c r="J2622" s="581"/>
      <c r="N2622" s="563"/>
      <c r="O2622" s="563"/>
      <c r="P2622" s="563"/>
    </row>
    <row r="2623" spans="2:16" ht="15.75" customHeight="1">
      <c r="B2623" s="567"/>
      <c r="H2623" s="563"/>
      <c r="I2623" s="563"/>
      <c r="J2623" s="581"/>
      <c r="N2623" s="563"/>
      <c r="O2623" s="563"/>
      <c r="P2623" s="563"/>
    </row>
    <row r="2624" spans="2:16" ht="15.75" customHeight="1">
      <c r="B2624" s="567"/>
      <c r="H2624" s="563"/>
      <c r="I2624" s="563"/>
      <c r="J2624" s="581"/>
      <c r="N2624" s="563"/>
      <c r="O2624" s="563"/>
      <c r="P2624" s="563"/>
    </row>
    <row r="2625" spans="2:16" ht="15.75" customHeight="1">
      <c r="B2625" s="567"/>
      <c r="H2625" s="563"/>
      <c r="I2625" s="563"/>
      <c r="J2625" s="581"/>
      <c r="N2625" s="563"/>
      <c r="O2625" s="563"/>
      <c r="P2625" s="563"/>
    </row>
    <row r="2626" spans="2:16" ht="15.75" customHeight="1">
      <c r="B2626" s="567"/>
      <c r="H2626" s="563"/>
      <c r="I2626" s="563"/>
      <c r="J2626" s="581"/>
      <c r="N2626" s="563"/>
      <c r="O2626" s="563"/>
      <c r="P2626" s="563"/>
    </row>
    <row r="2627" spans="2:16" ht="15.75" customHeight="1">
      <c r="B2627" s="567"/>
      <c r="H2627" s="563"/>
      <c r="I2627" s="563"/>
      <c r="J2627" s="581"/>
      <c r="N2627" s="563"/>
      <c r="O2627" s="563"/>
      <c r="P2627" s="563"/>
    </row>
    <row r="2628" spans="2:16" ht="15.75" customHeight="1">
      <c r="B2628" s="567"/>
      <c r="H2628" s="563"/>
      <c r="I2628" s="563"/>
      <c r="J2628" s="581"/>
      <c r="N2628" s="563"/>
      <c r="O2628" s="563"/>
      <c r="P2628" s="563"/>
    </row>
    <row r="2629" spans="2:16" ht="15.75" customHeight="1">
      <c r="B2629" s="567"/>
      <c r="H2629" s="563"/>
      <c r="I2629" s="563"/>
      <c r="J2629" s="581"/>
      <c r="N2629" s="563"/>
      <c r="O2629" s="563"/>
      <c r="P2629" s="563"/>
    </row>
    <row r="2630" spans="2:16" ht="15.75" customHeight="1">
      <c r="B2630" s="567"/>
      <c r="H2630" s="563"/>
      <c r="I2630" s="563"/>
      <c r="J2630" s="581"/>
      <c r="N2630" s="563"/>
      <c r="O2630" s="563"/>
      <c r="P2630" s="563"/>
    </row>
    <row r="2631" spans="2:16" ht="15.75" customHeight="1">
      <c r="B2631" s="567"/>
      <c r="H2631" s="563"/>
      <c r="I2631" s="563"/>
      <c r="J2631" s="581"/>
      <c r="N2631" s="563"/>
      <c r="O2631" s="563"/>
      <c r="P2631" s="563"/>
    </row>
    <row r="2632" spans="2:16" ht="15.75" customHeight="1">
      <c r="B2632" s="567"/>
      <c r="H2632" s="563"/>
      <c r="I2632" s="563"/>
      <c r="J2632" s="581"/>
      <c r="N2632" s="563"/>
      <c r="O2632" s="563"/>
      <c r="P2632" s="563"/>
    </row>
    <row r="2633" spans="2:16" ht="15.75" customHeight="1">
      <c r="B2633" s="567"/>
      <c r="H2633" s="563"/>
      <c r="I2633" s="563"/>
      <c r="J2633" s="581"/>
      <c r="N2633" s="563"/>
      <c r="O2633" s="563"/>
      <c r="P2633" s="563"/>
    </row>
    <row r="2634" spans="2:16" ht="15.75" customHeight="1">
      <c r="B2634" s="567"/>
      <c r="H2634" s="563"/>
      <c r="I2634" s="563"/>
      <c r="J2634" s="581"/>
      <c r="N2634" s="563"/>
      <c r="O2634" s="563"/>
      <c r="P2634" s="563"/>
    </row>
    <row r="2635" spans="2:16" ht="15.75" customHeight="1">
      <c r="B2635" s="567"/>
      <c r="H2635" s="563"/>
      <c r="I2635" s="563"/>
      <c r="J2635" s="581"/>
      <c r="N2635" s="563"/>
      <c r="O2635" s="563"/>
      <c r="P2635" s="563"/>
    </row>
    <row r="2636" spans="2:16" ht="15.75" customHeight="1">
      <c r="B2636" s="567"/>
      <c r="H2636" s="563"/>
      <c r="I2636" s="563"/>
      <c r="J2636" s="581"/>
      <c r="N2636" s="563"/>
      <c r="O2636" s="563"/>
      <c r="P2636" s="563"/>
    </row>
    <row r="2637" spans="2:16" ht="15.75" customHeight="1">
      <c r="B2637" s="567"/>
      <c r="H2637" s="563"/>
      <c r="I2637" s="563"/>
      <c r="J2637" s="581"/>
      <c r="N2637" s="563"/>
      <c r="O2637" s="563"/>
      <c r="P2637" s="563"/>
    </row>
    <row r="2638" spans="2:16" ht="15.75" customHeight="1">
      <c r="B2638" s="567"/>
      <c r="H2638" s="563"/>
      <c r="I2638" s="563"/>
      <c r="J2638" s="581"/>
      <c r="N2638" s="563"/>
      <c r="O2638" s="563"/>
      <c r="P2638" s="563"/>
    </row>
    <row r="2639" spans="2:16" ht="15.75" customHeight="1">
      <c r="B2639" s="567"/>
      <c r="H2639" s="563"/>
      <c r="I2639" s="563"/>
      <c r="J2639" s="581"/>
      <c r="N2639" s="563"/>
      <c r="O2639" s="563"/>
      <c r="P2639" s="563"/>
    </row>
    <row r="2640" spans="2:16" ht="15.75" customHeight="1">
      <c r="B2640" s="567"/>
      <c r="H2640" s="563"/>
      <c r="I2640" s="563"/>
      <c r="J2640" s="581"/>
      <c r="N2640" s="563"/>
      <c r="O2640" s="563"/>
      <c r="P2640" s="563"/>
    </row>
    <row r="2641" spans="2:16" ht="15.75" customHeight="1">
      <c r="B2641" s="567"/>
      <c r="H2641" s="563"/>
      <c r="I2641" s="563"/>
      <c r="J2641" s="581"/>
      <c r="N2641" s="563"/>
      <c r="O2641" s="563"/>
      <c r="P2641" s="563"/>
    </row>
    <row r="2642" spans="2:16" ht="15.75" customHeight="1">
      <c r="B2642" s="567"/>
      <c r="H2642" s="563"/>
      <c r="I2642" s="563"/>
      <c r="J2642" s="581"/>
      <c r="N2642" s="563"/>
      <c r="O2642" s="563"/>
      <c r="P2642" s="563"/>
    </row>
    <row r="2643" spans="2:16" ht="15.75" customHeight="1">
      <c r="B2643" s="567"/>
      <c r="H2643" s="563"/>
      <c r="I2643" s="563"/>
      <c r="J2643" s="581"/>
      <c r="N2643" s="563"/>
      <c r="O2643" s="563"/>
      <c r="P2643" s="563"/>
    </row>
    <row r="2644" spans="2:16" ht="15.75" customHeight="1">
      <c r="B2644" s="567"/>
      <c r="H2644" s="563"/>
      <c r="I2644" s="563"/>
      <c r="J2644" s="581"/>
      <c r="N2644" s="563"/>
      <c r="O2644" s="563"/>
      <c r="P2644" s="563"/>
    </row>
    <row r="2645" spans="2:16" ht="15.75" customHeight="1">
      <c r="B2645" s="567"/>
      <c r="H2645" s="563"/>
      <c r="I2645" s="563"/>
      <c r="J2645" s="581"/>
      <c r="N2645" s="563"/>
      <c r="O2645" s="563"/>
      <c r="P2645" s="563"/>
    </row>
    <row r="2646" spans="2:16" ht="15.75" customHeight="1">
      <c r="B2646" s="567"/>
      <c r="H2646" s="563"/>
      <c r="I2646" s="563"/>
      <c r="J2646" s="581"/>
      <c r="N2646" s="563"/>
      <c r="O2646" s="563"/>
      <c r="P2646" s="563"/>
    </row>
    <row r="2647" spans="2:16" ht="15.75" customHeight="1">
      <c r="B2647" s="567"/>
      <c r="H2647" s="563"/>
      <c r="I2647" s="563"/>
      <c r="J2647" s="581"/>
      <c r="N2647" s="563"/>
      <c r="O2647" s="563"/>
      <c r="P2647" s="563"/>
    </row>
    <row r="2648" spans="2:16" ht="15.75" customHeight="1">
      <c r="B2648" s="567"/>
      <c r="H2648" s="563"/>
      <c r="I2648" s="563"/>
      <c r="J2648" s="581"/>
      <c r="N2648" s="563"/>
      <c r="O2648" s="563"/>
      <c r="P2648" s="563"/>
    </row>
    <row r="2649" spans="2:16" ht="15.75" customHeight="1">
      <c r="B2649" s="567"/>
      <c r="H2649" s="563"/>
      <c r="I2649" s="563"/>
      <c r="J2649" s="581"/>
      <c r="N2649" s="563"/>
      <c r="O2649" s="563"/>
      <c r="P2649" s="563"/>
    </row>
    <row r="2650" spans="2:16" ht="15.75" customHeight="1">
      <c r="B2650" s="567"/>
      <c r="H2650" s="563"/>
      <c r="I2650" s="563"/>
      <c r="J2650" s="581"/>
      <c r="N2650" s="563"/>
      <c r="O2650" s="563"/>
      <c r="P2650" s="563"/>
    </row>
    <row r="2651" spans="2:16" ht="15.75" customHeight="1">
      <c r="B2651" s="567"/>
      <c r="H2651" s="563"/>
      <c r="I2651" s="563"/>
      <c r="J2651" s="581"/>
      <c r="N2651" s="563"/>
      <c r="O2651" s="563"/>
      <c r="P2651" s="563"/>
    </row>
    <row r="2652" spans="2:16" ht="15.75" customHeight="1">
      <c r="B2652" s="567"/>
      <c r="H2652" s="563"/>
      <c r="I2652" s="563"/>
      <c r="J2652" s="581"/>
      <c r="N2652" s="563"/>
      <c r="O2652" s="563"/>
      <c r="P2652" s="563"/>
    </row>
    <row r="2653" spans="2:16" ht="15.75" customHeight="1">
      <c r="B2653" s="567"/>
      <c r="H2653" s="563"/>
      <c r="I2653" s="563"/>
      <c r="J2653" s="581"/>
      <c r="N2653" s="563"/>
      <c r="O2653" s="563"/>
      <c r="P2653" s="563"/>
    </row>
    <row r="2654" spans="2:16" ht="15.75" customHeight="1">
      <c r="B2654" s="567"/>
      <c r="H2654" s="563"/>
      <c r="I2654" s="563"/>
      <c r="J2654" s="581"/>
      <c r="N2654" s="563"/>
      <c r="O2654" s="563"/>
      <c r="P2654" s="563"/>
    </row>
    <row r="2655" spans="2:16" ht="15.75" customHeight="1">
      <c r="B2655" s="567"/>
      <c r="H2655" s="563"/>
      <c r="I2655" s="563"/>
      <c r="J2655" s="581"/>
      <c r="N2655" s="563"/>
      <c r="O2655" s="563"/>
      <c r="P2655" s="563"/>
    </row>
    <row r="2656" spans="2:16" ht="15.75" customHeight="1">
      <c r="B2656" s="567"/>
      <c r="H2656" s="563"/>
      <c r="I2656" s="563"/>
      <c r="J2656" s="581"/>
      <c r="N2656" s="563"/>
      <c r="O2656" s="563"/>
      <c r="P2656" s="563"/>
    </row>
    <row r="2657" spans="2:16" ht="15.75" customHeight="1">
      <c r="B2657" s="567"/>
      <c r="H2657" s="563"/>
      <c r="I2657" s="563"/>
      <c r="J2657" s="581"/>
      <c r="N2657" s="563"/>
      <c r="O2657" s="563"/>
      <c r="P2657" s="563"/>
    </row>
    <row r="2658" spans="2:16" ht="15.75" customHeight="1">
      <c r="B2658" s="567"/>
      <c r="H2658" s="563"/>
      <c r="I2658" s="563"/>
      <c r="J2658" s="581"/>
      <c r="N2658" s="563"/>
      <c r="O2658" s="563"/>
      <c r="P2658" s="563"/>
    </row>
    <row r="2659" spans="2:16" ht="15.75" customHeight="1">
      <c r="B2659" s="567"/>
      <c r="H2659" s="563"/>
      <c r="I2659" s="563"/>
      <c r="J2659" s="581"/>
      <c r="N2659" s="563"/>
      <c r="O2659" s="563"/>
      <c r="P2659" s="563"/>
    </row>
    <row r="2660" spans="2:16" ht="15.75" customHeight="1">
      <c r="B2660" s="567"/>
      <c r="H2660" s="563"/>
      <c r="I2660" s="563"/>
      <c r="J2660" s="581"/>
      <c r="N2660" s="563"/>
      <c r="O2660" s="563"/>
      <c r="P2660" s="563"/>
    </row>
    <row r="2661" spans="2:16" ht="15.75" customHeight="1">
      <c r="B2661" s="567"/>
      <c r="H2661" s="563"/>
      <c r="I2661" s="563"/>
      <c r="J2661" s="581"/>
      <c r="N2661" s="563"/>
      <c r="O2661" s="563"/>
      <c r="P2661" s="563"/>
    </row>
    <row r="2662" spans="2:16" ht="15.75" customHeight="1">
      <c r="B2662" s="567"/>
      <c r="H2662" s="563"/>
      <c r="I2662" s="563"/>
      <c r="J2662" s="581"/>
      <c r="N2662" s="563"/>
      <c r="O2662" s="563"/>
      <c r="P2662" s="563"/>
    </row>
    <row r="2663" spans="2:16" ht="15.75" customHeight="1">
      <c r="B2663" s="567"/>
      <c r="H2663" s="563"/>
      <c r="I2663" s="563"/>
      <c r="J2663" s="581"/>
      <c r="N2663" s="563"/>
      <c r="O2663" s="563"/>
      <c r="P2663" s="563"/>
    </row>
    <row r="2664" spans="2:16" ht="15.75" customHeight="1">
      <c r="B2664" s="567"/>
      <c r="H2664" s="563"/>
      <c r="I2664" s="563"/>
      <c r="J2664" s="581"/>
      <c r="N2664" s="563"/>
      <c r="O2664" s="563"/>
      <c r="P2664" s="563"/>
    </row>
    <row r="2665" spans="2:16" ht="15.75" customHeight="1">
      <c r="B2665" s="567"/>
      <c r="H2665" s="563"/>
      <c r="I2665" s="563"/>
      <c r="J2665" s="581"/>
      <c r="N2665" s="563"/>
      <c r="O2665" s="563"/>
      <c r="P2665" s="563"/>
    </row>
    <row r="2666" spans="2:16" ht="15.75" customHeight="1">
      <c r="B2666" s="567"/>
      <c r="H2666" s="563"/>
      <c r="I2666" s="563"/>
      <c r="J2666" s="581"/>
      <c r="N2666" s="563"/>
      <c r="O2666" s="563"/>
      <c r="P2666" s="563"/>
    </row>
    <row r="2667" spans="2:16" ht="15.75" customHeight="1">
      <c r="B2667" s="567"/>
      <c r="H2667" s="563"/>
      <c r="I2667" s="563"/>
      <c r="J2667" s="581"/>
      <c r="N2667" s="563"/>
      <c r="O2667" s="563"/>
      <c r="P2667" s="563"/>
    </row>
    <row r="2668" spans="2:16" ht="15.75" customHeight="1">
      <c r="B2668" s="567"/>
      <c r="H2668" s="563"/>
      <c r="I2668" s="563"/>
      <c r="J2668" s="581"/>
      <c r="N2668" s="563"/>
      <c r="O2668" s="563"/>
      <c r="P2668" s="563"/>
    </row>
    <row r="2669" spans="2:16" ht="15.75" customHeight="1">
      <c r="B2669" s="567"/>
      <c r="H2669" s="563"/>
      <c r="I2669" s="563"/>
      <c r="J2669" s="581"/>
      <c r="N2669" s="563"/>
      <c r="O2669" s="563"/>
      <c r="P2669" s="563"/>
    </row>
    <row r="2670" spans="2:16" ht="15.75" customHeight="1">
      <c r="B2670" s="567"/>
      <c r="H2670" s="563"/>
      <c r="I2670" s="563"/>
      <c r="J2670" s="581"/>
      <c r="N2670" s="563"/>
      <c r="O2670" s="563"/>
      <c r="P2670" s="563"/>
    </row>
    <row r="2671" spans="2:16" ht="15.75" customHeight="1">
      <c r="B2671" s="567"/>
      <c r="H2671" s="563"/>
      <c r="I2671" s="563"/>
      <c r="J2671" s="581"/>
      <c r="N2671" s="563"/>
      <c r="O2671" s="563"/>
      <c r="P2671" s="563"/>
    </row>
    <row r="2672" spans="2:16" ht="15.75" customHeight="1">
      <c r="B2672" s="567"/>
      <c r="H2672" s="563"/>
      <c r="I2672" s="563"/>
      <c r="J2672" s="581"/>
      <c r="N2672" s="563"/>
      <c r="O2672" s="563"/>
      <c r="P2672" s="563"/>
    </row>
    <row r="2673" spans="2:16" ht="15.75" customHeight="1">
      <c r="B2673" s="567"/>
      <c r="H2673" s="563"/>
      <c r="I2673" s="563"/>
      <c r="J2673" s="581"/>
      <c r="N2673" s="563"/>
      <c r="O2673" s="563"/>
      <c r="P2673" s="563"/>
    </row>
    <row r="2674" spans="2:16" ht="15.75" customHeight="1">
      <c r="B2674" s="567"/>
      <c r="H2674" s="563"/>
      <c r="I2674" s="563"/>
      <c r="J2674" s="581"/>
      <c r="N2674" s="563"/>
      <c r="O2674" s="563"/>
      <c r="P2674" s="563"/>
    </row>
    <row r="2675" spans="2:16" ht="15.75" customHeight="1">
      <c r="B2675" s="567"/>
      <c r="H2675" s="563"/>
      <c r="I2675" s="563"/>
      <c r="J2675" s="581"/>
      <c r="N2675" s="563"/>
      <c r="O2675" s="563"/>
      <c r="P2675" s="563"/>
    </row>
    <row r="2676" spans="2:16" ht="15.75" customHeight="1">
      <c r="B2676" s="567"/>
      <c r="H2676" s="563"/>
      <c r="I2676" s="563"/>
      <c r="J2676" s="581"/>
      <c r="N2676" s="563"/>
      <c r="O2676" s="563"/>
      <c r="P2676" s="563"/>
    </row>
    <row r="2677" spans="2:16" ht="15.75" customHeight="1">
      <c r="B2677" s="567"/>
      <c r="H2677" s="563"/>
      <c r="I2677" s="563"/>
      <c r="J2677" s="581"/>
      <c r="N2677" s="563"/>
      <c r="O2677" s="563"/>
      <c r="P2677" s="563"/>
    </row>
    <row r="2678" spans="2:16" ht="15.75" customHeight="1">
      <c r="B2678" s="567"/>
      <c r="H2678" s="563"/>
      <c r="I2678" s="563"/>
      <c r="J2678" s="581"/>
      <c r="N2678" s="563"/>
      <c r="O2678" s="563"/>
      <c r="P2678" s="563"/>
    </row>
    <row r="2679" spans="2:16" ht="15.75" customHeight="1">
      <c r="B2679" s="567"/>
      <c r="H2679" s="563"/>
      <c r="I2679" s="563"/>
      <c r="J2679" s="581"/>
      <c r="N2679" s="563"/>
      <c r="O2679" s="563"/>
      <c r="P2679" s="563"/>
    </row>
    <row r="2680" spans="2:16" ht="15.75" customHeight="1">
      <c r="B2680" s="567"/>
      <c r="H2680" s="563"/>
      <c r="I2680" s="563"/>
      <c r="J2680" s="581"/>
      <c r="N2680" s="563"/>
      <c r="O2680" s="563"/>
      <c r="P2680" s="563"/>
    </row>
    <row r="2681" spans="2:16" ht="15.75" customHeight="1">
      <c r="B2681" s="567"/>
      <c r="H2681" s="563"/>
      <c r="I2681" s="563"/>
      <c r="J2681" s="581"/>
      <c r="N2681" s="563"/>
      <c r="O2681" s="563"/>
      <c r="P2681" s="563"/>
    </row>
    <row r="2682" spans="2:16" ht="15.75" customHeight="1">
      <c r="B2682" s="567"/>
      <c r="H2682" s="563"/>
      <c r="I2682" s="563"/>
      <c r="J2682" s="581"/>
      <c r="N2682" s="563"/>
      <c r="O2682" s="563"/>
      <c r="P2682" s="563"/>
    </row>
    <row r="2683" spans="2:16" ht="15.75" customHeight="1">
      <c r="B2683" s="567"/>
      <c r="H2683" s="563"/>
      <c r="I2683" s="563"/>
      <c r="J2683" s="581"/>
      <c r="N2683" s="563"/>
      <c r="O2683" s="563"/>
      <c r="P2683" s="563"/>
    </row>
    <row r="2684" spans="2:16" ht="15.75" customHeight="1">
      <c r="B2684" s="567"/>
      <c r="H2684" s="563"/>
      <c r="I2684" s="563"/>
      <c r="J2684" s="581"/>
      <c r="N2684" s="563"/>
      <c r="O2684" s="563"/>
      <c r="P2684" s="563"/>
    </row>
    <row r="2685" spans="2:16" ht="15.75" customHeight="1">
      <c r="B2685" s="567"/>
      <c r="H2685" s="563"/>
      <c r="I2685" s="563"/>
      <c r="J2685" s="581"/>
      <c r="N2685" s="563"/>
      <c r="O2685" s="563"/>
      <c r="P2685" s="563"/>
    </row>
    <row r="2686" spans="2:16" ht="15.75" customHeight="1">
      <c r="B2686" s="567"/>
      <c r="H2686" s="563"/>
      <c r="I2686" s="563"/>
      <c r="J2686" s="581"/>
      <c r="N2686" s="563"/>
      <c r="O2686" s="563"/>
      <c r="P2686" s="563"/>
    </row>
    <row r="2687" spans="2:16" ht="15.75" customHeight="1">
      <c r="B2687" s="567"/>
      <c r="H2687" s="563"/>
      <c r="I2687" s="563"/>
      <c r="J2687" s="581"/>
      <c r="N2687" s="563"/>
      <c r="O2687" s="563"/>
      <c r="P2687" s="563"/>
    </row>
    <row r="2688" spans="2:16" ht="15.75" customHeight="1">
      <c r="B2688" s="567"/>
      <c r="H2688" s="563"/>
      <c r="I2688" s="563"/>
      <c r="J2688" s="581"/>
      <c r="N2688" s="563"/>
      <c r="O2688" s="563"/>
      <c r="P2688" s="563"/>
    </row>
    <row r="2689" spans="2:16" ht="15.75" customHeight="1">
      <c r="B2689" s="567"/>
      <c r="H2689" s="563"/>
      <c r="I2689" s="563"/>
      <c r="J2689" s="581"/>
      <c r="N2689" s="563"/>
      <c r="O2689" s="563"/>
      <c r="P2689" s="563"/>
    </row>
    <row r="2690" spans="2:16" ht="15.75" customHeight="1">
      <c r="B2690" s="567"/>
      <c r="H2690" s="563"/>
      <c r="I2690" s="563"/>
      <c r="J2690" s="581"/>
      <c r="N2690" s="563"/>
      <c r="O2690" s="563"/>
      <c r="P2690" s="563"/>
    </row>
    <row r="2691" spans="2:16" ht="15.75" customHeight="1">
      <c r="B2691" s="567"/>
      <c r="H2691" s="563"/>
      <c r="I2691" s="563"/>
      <c r="J2691" s="581"/>
      <c r="N2691" s="563"/>
      <c r="O2691" s="563"/>
      <c r="P2691" s="563"/>
    </row>
    <row r="2692" spans="2:16" ht="15.75" customHeight="1">
      <c r="B2692" s="567"/>
      <c r="H2692" s="563"/>
      <c r="I2692" s="563"/>
      <c r="J2692" s="581"/>
      <c r="N2692" s="563"/>
      <c r="O2692" s="563"/>
      <c r="P2692" s="563"/>
    </row>
    <row r="2693" spans="2:16" ht="15.75" customHeight="1">
      <c r="B2693" s="567"/>
      <c r="H2693" s="563"/>
      <c r="I2693" s="563"/>
      <c r="J2693" s="581"/>
      <c r="N2693" s="563"/>
      <c r="O2693" s="563"/>
      <c r="P2693" s="563"/>
    </row>
    <row r="2694" spans="2:16" ht="15.75" customHeight="1">
      <c r="B2694" s="567"/>
      <c r="H2694" s="563"/>
      <c r="I2694" s="563"/>
      <c r="J2694" s="581"/>
      <c r="N2694" s="563"/>
      <c r="O2694" s="563"/>
      <c r="P2694" s="563"/>
    </row>
    <row r="2695" spans="2:16" ht="15.75" customHeight="1">
      <c r="B2695" s="567"/>
      <c r="H2695" s="563"/>
      <c r="I2695" s="563"/>
      <c r="J2695" s="581"/>
      <c r="N2695" s="563"/>
      <c r="O2695" s="563"/>
      <c r="P2695" s="563"/>
    </row>
    <row r="2696" spans="2:16" ht="15.75" customHeight="1">
      <c r="B2696" s="567"/>
      <c r="H2696" s="563"/>
      <c r="I2696" s="563"/>
      <c r="J2696" s="581"/>
      <c r="N2696" s="563"/>
      <c r="O2696" s="563"/>
      <c r="P2696" s="563"/>
    </row>
    <row r="2697" spans="2:16" ht="15.75" customHeight="1">
      <c r="B2697" s="567"/>
      <c r="H2697" s="563"/>
      <c r="I2697" s="563"/>
      <c r="J2697" s="581"/>
      <c r="N2697" s="563"/>
      <c r="O2697" s="563"/>
      <c r="P2697" s="563"/>
    </row>
    <row r="2698" spans="2:16" ht="15.75" customHeight="1">
      <c r="B2698" s="567"/>
      <c r="H2698" s="563"/>
      <c r="I2698" s="563"/>
      <c r="J2698" s="581"/>
      <c r="N2698" s="563"/>
      <c r="O2698" s="563"/>
      <c r="P2698" s="563"/>
    </row>
    <row r="2699" spans="2:16" ht="15.75" customHeight="1">
      <c r="B2699" s="567"/>
      <c r="H2699" s="563"/>
      <c r="I2699" s="563"/>
      <c r="J2699" s="581"/>
      <c r="N2699" s="563"/>
      <c r="O2699" s="563"/>
      <c r="P2699" s="563"/>
    </row>
    <row r="2700" spans="2:16" ht="15.75" customHeight="1">
      <c r="B2700" s="567"/>
      <c r="H2700" s="563"/>
      <c r="I2700" s="563"/>
      <c r="J2700" s="581"/>
      <c r="N2700" s="563"/>
      <c r="O2700" s="563"/>
      <c r="P2700" s="563"/>
    </row>
    <row r="2701" spans="2:16" ht="15.75" customHeight="1">
      <c r="B2701" s="567"/>
      <c r="H2701" s="563"/>
      <c r="I2701" s="563"/>
      <c r="J2701" s="581"/>
      <c r="N2701" s="563"/>
      <c r="O2701" s="563"/>
      <c r="P2701" s="563"/>
    </row>
    <row r="2702" spans="2:16" ht="15.75" customHeight="1">
      <c r="B2702" s="567"/>
      <c r="H2702" s="563"/>
      <c r="I2702" s="563"/>
      <c r="J2702" s="581"/>
      <c r="N2702" s="563"/>
      <c r="O2702" s="563"/>
      <c r="P2702" s="563"/>
    </row>
    <row r="2703" spans="2:16" ht="15.75" customHeight="1">
      <c r="B2703" s="567"/>
      <c r="H2703" s="563"/>
      <c r="I2703" s="563"/>
      <c r="J2703" s="581"/>
      <c r="N2703" s="563"/>
      <c r="O2703" s="563"/>
      <c r="P2703" s="563"/>
    </row>
    <row r="2704" spans="2:16" ht="15.75" customHeight="1">
      <c r="B2704" s="567"/>
      <c r="H2704" s="563"/>
      <c r="I2704" s="563"/>
      <c r="J2704" s="581"/>
      <c r="N2704" s="563"/>
      <c r="O2704" s="563"/>
      <c r="P2704" s="563"/>
    </row>
    <row r="2705" spans="2:16" ht="15.75" customHeight="1">
      <c r="B2705" s="567"/>
      <c r="H2705" s="563"/>
      <c r="I2705" s="563"/>
      <c r="J2705" s="581"/>
      <c r="N2705" s="563"/>
      <c r="O2705" s="563"/>
      <c r="P2705" s="563"/>
    </row>
    <row r="2706" spans="2:16" ht="15.75" customHeight="1">
      <c r="B2706" s="567"/>
      <c r="H2706" s="563"/>
      <c r="I2706" s="563"/>
      <c r="J2706" s="581"/>
      <c r="N2706" s="563"/>
      <c r="O2706" s="563"/>
      <c r="P2706" s="563"/>
    </row>
    <row r="2707" spans="2:16" ht="15.75" customHeight="1">
      <c r="B2707" s="567"/>
      <c r="H2707" s="563"/>
      <c r="I2707" s="563"/>
      <c r="J2707" s="581"/>
      <c r="N2707" s="563"/>
      <c r="O2707" s="563"/>
      <c r="P2707" s="563"/>
    </row>
    <row r="2708" spans="2:16" ht="15.75" customHeight="1">
      <c r="B2708" s="567"/>
      <c r="H2708" s="563"/>
      <c r="I2708" s="563"/>
      <c r="J2708" s="581"/>
      <c r="N2708" s="563"/>
      <c r="O2708" s="563"/>
      <c r="P2708" s="563"/>
    </row>
    <row r="2709" spans="2:16" ht="15.75" customHeight="1">
      <c r="B2709" s="567"/>
      <c r="H2709" s="563"/>
      <c r="I2709" s="563"/>
      <c r="J2709" s="581"/>
      <c r="N2709" s="563"/>
      <c r="O2709" s="563"/>
      <c r="P2709" s="563"/>
    </row>
    <row r="2710" spans="2:16" ht="15.75" customHeight="1">
      <c r="B2710" s="567"/>
      <c r="H2710" s="563"/>
      <c r="I2710" s="563"/>
      <c r="J2710" s="581"/>
      <c r="N2710" s="563"/>
      <c r="O2710" s="563"/>
      <c r="P2710" s="563"/>
    </row>
    <row r="2711" spans="2:16" ht="15.75" customHeight="1">
      <c r="B2711" s="567"/>
      <c r="H2711" s="563"/>
      <c r="I2711" s="563"/>
      <c r="J2711" s="581"/>
      <c r="N2711" s="563"/>
      <c r="O2711" s="563"/>
      <c r="P2711" s="563"/>
    </row>
    <row r="2712" spans="2:16" ht="15.75" customHeight="1">
      <c r="B2712" s="567"/>
      <c r="H2712" s="563"/>
      <c r="I2712" s="563"/>
      <c r="J2712" s="581"/>
      <c r="N2712" s="563"/>
      <c r="O2712" s="563"/>
      <c r="P2712" s="563"/>
    </row>
    <row r="2713" spans="2:16" ht="15.75" customHeight="1">
      <c r="B2713" s="567"/>
      <c r="H2713" s="563"/>
      <c r="I2713" s="563"/>
      <c r="J2713" s="581"/>
      <c r="N2713" s="563"/>
      <c r="O2713" s="563"/>
      <c r="P2713" s="563"/>
    </row>
    <row r="2714" spans="2:16" ht="15.75" customHeight="1">
      <c r="B2714" s="567"/>
      <c r="H2714" s="563"/>
      <c r="I2714" s="563"/>
      <c r="J2714" s="581"/>
      <c r="N2714" s="563"/>
      <c r="O2714" s="563"/>
      <c r="P2714" s="563"/>
    </row>
    <row r="2715" spans="2:16" ht="15.75" customHeight="1">
      <c r="B2715" s="567"/>
      <c r="H2715" s="563"/>
      <c r="I2715" s="563"/>
      <c r="J2715" s="581"/>
      <c r="N2715" s="563"/>
      <c r="O2715" s="563"/>
      <c r="P2715" s="563"/>
    </row>
    <row r="2716" spans="2:16" ht="15.75" customHeight="1">
      <c r="B2716" s="567"/>
      <c r="H2716" s="563"/>
      <c r="I2716" s="563"/>
      <c r="J2716" s="581"/>
      <c r="N2716" s="563"/>
      <c r="O2716" s="563"/>
      <c r="P2716" s="563"/>
    </row>
    <row r="2717" spans="2:16" ht="15.75" customHeight="1">
      <c r="B2717" s="567"/>
      <c r="H2717" s="563"/>
      <c r="I2717" s="563"/>
      <c r="J2717" s="581"/>
      <c r="N2717" s="563"/>
      <c r="O2717" s="563"/>
      <c r="P2717" s="563"/>
    </row>
    <row r="2718" spans="2:16" ht="15.75" customHeight="1">
      <c r="B2718" s="567"/>
      <c r="H2718" s="563"/>
      <c r="I2718" s="563"/>
      <c r="J2718" s="581"/>
      <c r="N2718" s="563"/>
      <c r="O2718" s="563"/>
      <c r="P2718" s="563"/>
    </row>
    <row r="2719" spans="2:16" ht="15.75" customHeight="1">
      <c r="B2719" s="567"/>
      <c r="H2719" s="563"/>
      <c r="I2719" s="563"/>
      <c r="J2719" s="581"/>
      <c r="N2719" s="563"/>
      <c r="O2719" s="563"/>
      <c r="P2719" s="563"/>
    </row>
    <row r="2720" spans="2:16" ht="15.75" customHeight="1">
      <c r="B2720" s="567"/>
      <c r="H2720" s="563"/>
      <c r="I2720" s="563"/>
      <c r="J2720" s="581"/>
      <c r="N2720" s="563"/>
      <c r="O2720" s="563"/>
      <c r="P2720" s="563"/>
    </row>
    <row r="2721" spans="2:16" ht="15.75" customHeight="1">
      <c r="B2721" s="567"/>
      <c r="H2721" s="563"/>
      <c r="I2721" s="563"/>
      <c r="J2721" s="581"/>
      <c r="N2721" s="563"/>
      <c r="O2721" s="563"/>
      <c r="P2721" s="563"/>
    </row>
    <row r="2722" spans="2:16" ht="15.75" customHeight="1">
      <c r="B2722" s="567"/>
      <c r="H2722" s="563"/>
      <c r="I2722" s="563"/>
      <c r="J2722" s="581"/>
      <c r="N2722" s="563"/>
      <c r="O2722" s="563"/>
      <c r="P2722" s="563"/>
    </row>
    <row r="2723" spans="2:16" ht="15.75" customHeight="1">
      <c r="B2723" s="567"/>
      <c r="H2723" s="563"/>
      <c r="I2723" s="563"/>
      <c r="J2723" s="581"/>
      <c r="N2723" s="563"/>
      <c r="O2723" s="563"/>
      <c r="P2723" s="563"/>
    </row>
    <row r="2724" spans="2:16" ht="15.75" customHeight="1">
      <c r="B2724" s="567"/>
      <c r="H2724" s="563"/>
      <c r="I2724" s="563"/>
      <c r="J2724" s="581"/>
      <c r="N2724" s="563"/>
      <c r="O2724" s="563"/>
      <c r="P2724" s="563"/>
    </row>
    <row r="2725" spans="2:16" ht="15.75" customHeight="1">
      <c r="B2725" s="567"/>
      <c r="H2725" s="563"/>
      <c r="I2725" s="563"/>
      <c r="J2725" s="581"/>
      <c r="N2725" s="563"/>
      <c r="O2725" s="563"/>
      <c r="P2725" s="563"/>
    </row>
    <row r="2726" spans="2:16" ht="15.75" customHeight="1">
      <c r="B2726" s="567"/>
      <c r="H2726" s="563"/>
      <c r="I2726" s="563"/>
      <c r="J2726" s="581"/>
      <c r="N2726" s="563"/>
      <c r="O2726" s="563"/>
      <c r="P2726" s="563"/>
    </row>
    <row r="2727" spans="2:16" ht="15.75" customHeight="1">
      <c r="B2727" s="567"/>
      <c r="H2727" s="563"/>
      <c r="I2727" s="563"/>
      <c r="J2727" s="581"/>
      <c r="N2727" s="563"/>
      <c r="O2727" s="563"/>
      <c r="P2727" s="563"/>
    </row>
    <row r="2728" spans="2:16" ht="15.75" customHeight="1">
      <c r="B2728" s="567"/>
      <c r="H2728" s="563"/>
      <c r="I2728" s="563"/>
      <c r="J2728" s="581"/>
      <c r="N2728" s="563"/>
      <c r="O2728" s="563"/>
      <c r="P2728" s="563"/>
    </row>
    <row r="2729" spans="2:16" ht="15.75" customHeight="1">
      <c r="B2729" s="567"/>
      <c r="H2729" s="563"/>
      <c r="I2729" s="563"/>
      <c r="J2729" s="581"/>
      <c r="N2729" s="563"/>
      <c r="O2729" s="563"/>
      <c r="P2729" s="563"/>
    </row>
    <row r="2730" spans="2:16" ht="15.75" customHeight="1">
      <c r="B2730" s="567"/>
      <c r="H2730" s="563"/>
      <c r="I2730" s="563"/>
      <c r="J2730" s="581"/>
      <c r="N2730" s="563"/>
      <c r="O2730" s="563"/>
      <c r="P2730" s="563"/>
    </row>
    <row r="2731" spans="2:16" ht="15.75" customHeight="1">
      <c r="B2731" s="567"/>
      <c r="H2731" s="563"/>
      <c r="I2731" s="563"/>
      <c r="J2731" s="581"/>
      <c r="N2731" s="563"/>
      <c r="O2731" s="563"/>
      <c r="P2731" s="563"/>
    </row>
    <row r="2732" spans="2:16" ht="15.75" customHeight="1">
      <c r="B2732" s="567"/>
      <c r="H2732" s="563"/>
      <c r="I2732" s="563"/>
      <c r="J2732" s="581"/>
      <c r="N2732" s="563"/>
      <c r="O2732" s="563"/>
      <c r="P2732" s="563"/>
    </row>
    <row r="2733" spans="2:16" ht="15.75" customHeight="1">
      <c r="B2733" s="567"/>
      <c r="H2733" s="563"/>
      <c r="I2733" s="563"/>
      <c r="J2733" s="581"/>
      <c r="N2733" s="563"/>
      <c r="O2733" s="563"/>
      <c r="P2733" s="563"/>
    </row>
    <row r="2734" spans="2:16" ht="15.75" customHeight="1">
      <c r="B2734" s="567"/>
      <c r="H2734" s="563"/>
      <c r="I2734" s="563"/>
      <c r="J2734" s="581"/>
      <c r="N2734" s="563"/>
      <c r="O2734" s="563"/>
      <c r="P2734" s="563"/>
    </row>
    <row r="2735" spans="2:16" ht="15.75" customHeight="1">
      <c r="B2735" s="567"/>
      <c r="H2735" s="563"/>
      <c r="I2735" s="563"/>
      <c r="J2735" s="581"/>
      <c r="N2735" s="563"/>
      <c r="O2735" s="563"/>
      <c r="P2735" s="563"/>
    </row>
    <row r="2736" spans="2:16" ht="15.75" customHeight="1">
      <c r="B2736" s="567"/>
      <c r="H2736" s="563"/>
      <c r="I2736" s="563"/>
      <c r="J2736" s="581"/>
      <c r="N2736" s="563"/>
      <c r="O2736" s="563"/>
      <c r="P2736" s="563"/>
    </row>
    <row r="2737" spans="2:16" ht="15.75" customHeight="1">
      <c r="B2737" s="567"/>
      <c r="H2737" s="563"/>
      <c r="I2737" s="563"/>
      <c r="J2737" s="581"/>
      <c r="N2737" s="563"/>
      <c r="O2737" s="563"/>
      <c r="P2737" s="563"/>
    </row>
    <row r="2738" spans="2:16" ht="15.75" customHeight="1">
      <c r="B2738" s="567"/>
      <c r="H2738" s="563"/>
      <c r="I2738" s="563"/>
      <c r="J2738" s="581"/>
      <c r="N2738" s="563"/>
      <c r="O2738" s="563"/>
      <c r="P2738" s="563"/>
    </row>
    <row r="2739" spans="2:16" ht="15.75" customHeight="1">
      <c r="B2739" s="567"/>
      <c r="H2739" s="563"/>
      <c r="I2739" s="563"/>
      <c r="J2739" s="581"/>
      <c r="N2739" s="563"/>
      <c r="O2739" s="563"/>
      <c r="P2739" s="563"/>
    </row>
    <row r="2740" spans="2:16" ht="15.75" customHeight="1">
      <c r="B2740" s="567"/>
      <c r="H2740" s="563"/>
      <c r="I2740" s="563"/>
      <c r="J2740" s="581"/>
      <c r="N2740" s="563"/>
      <c r="O2740" s="563"/>
      <c r="P2740" s="563"/>
    </row>
    <row r="2741" spans="2:16" ht="15.75" customHeight="1">
      <c r="B2741" s="567"/>
      <c r="H2741" s="563"/>
      <c r="I2741" s="563"/>
      <c r="J2741" s="581"/>
      <c r="N2741" s="563"/>
      <c r="O2741" s="563"/>
      <c r="P2741" s="563"/>
    </row>
    <row r="2742" spans="2:16" ht="15.75" customHeight="1">
      <c r="B2742" s="567"/>
      <c r="H2742" s="563"/>
      <c r="I2742" s="563"/>
      <c r="J2742" s="581"/>
      <c r="N2742" s="563"/>
      <c r="O2742" s="563"/>
      <c r="P2742" s="563"/>
    </row>
    <row r="2743" spans="2:16" ht="15.75" customHeight="1">
      <c r="B2743" s="567"/>
      <c r="H2743" s="563"/>
      <c r="I2743" s="563"/>
      <c r="J2743" s="581"/>
      <c r="N2743" s="563"/>
      <c r="O2743" s="563"/>
      <c r="P2743" s="563"/>
    </row>
    <row r="2744" spans="2:16" ht="15.75" customHeight="1">
      <c r="B2744" s="567"/>
      <c r="H2744" s="563"/>
      <c r="I2744" s="563"/>
      <c r="J2744" s="581"/>
      <c r="N2744" s="563"/>
      <c r="O2744" s="563"/>
      <c r="P2744" s="563"/>
    </row>
    <row r="2745" spans="2:16" ht="15.75" customHeight="1">
      <c r="B2745" s="567"/>
      <c r="H2745" s="563"/>
      <c r="I2745" s="563"/>
      <c r="J2745" s="581"/>
      <c r="N2745" s="563"/>
      <c r="O2745" s="563"/>
      <c r="P2745" s="563"/>
    </row>
    <row r="2746" spans="2:16" ht="15.75" customHeight="1">
      <c r="B2746" s="567"/>
      <c r="H2746" s="563"/>
      <c r="I2746" s="563"/>
      <c r="J2746" s="581"/>
      <c r="N2746" s="563"/>
      <c r="O2746" s="563"/>
      <c r="P2746" s="563"/>
    </row>
    <row r="2747" spans="2:16" ht="15.75" customHeight="1">
      <c r="B2747" s="567"/>
      <c r="H2747" s="563"/>
      <c r="I2747" s="563"/>
      <c r="J2747" s="581"/>
      <c r="N2747" s="563"/>
      <c r="O2747" s="563"/>
      <c r="P2747" s="563"/>
    </row>
    <row r="2748" spans="2:16" ht="15.75" customHeight="1">
      <c r="B2748" s="567"/>
      <c r="H2748" s="563"/>
      <c r="I2748" s="563"/>
      <c r="J2748" s="581"/>
      <c r="N2748" s="563"/>
      <c r="O2748" s="563"/>
      <c r="P2748" s="563"/>
    </row>
    <row r="2749" spans="2:16" ht="15.75" customHeight="1">
      <c r="B2749" s="567"/>
      <c r="H2749" s="563"/>
      <c r="I2749" s="563"/>
      <c r="J2749" s="581"/>
      <c r="N2749" s="563"/>
      <c r="O2749" s="563"/>
      <c r="P2749" s="563"/>
    </row>
    <row r="2750" spans="2:16" ht="15.75" customHeight="1">
      <c r="B2750" s="567"/>
      <c r="H2750" s="563"/>
      <c r="I2750" s="563"/>
      <c r="J2750" s="581"/>
      <c r="N2750" s="563"/>
      <c r="O2750" s="563"/>
      <c r="P2750" s="563"/>
    </row>
    <row r="2751" spans="2:16" ht="15.75" customHeight="1">
      <c r="B2751" s="567"/>
      <c r="H2751" s="563"/>
      <c r="I2751" s="563"/>
      <c r="J2751" s="581"/>
      <c r="N2751" s="563"/>
      <c r="O2751" s="563"/>
      <c r="P2751" s="563"/>
    </row>
    <row r="2752" spans="2:16" ht="15.75" customHeight="1">
      <c r="B2752" s="567"/>
      <c r="H2752" s="563"/>
      <c r="I2752" s="563"/>
      <c r="J2752" s="581"/>
      <c r="N2752" s="563"/>
      <c r="O2752" s="563"/>
      <c r="P2752" s="563"/>
    </row>
    <row r="2753" spans="2:16" ht="15.75" customHeight="1">
      <c r="B2753" s="567"/>
      <c r="H2753" s="563"/>
      <c r="I2753" s="563"/>
      <c r="J2753" s="581"/>
      <c r="N2753" s="563"/>
      <c r="O2753" s="563"/>
      <c r="P2753" s="563"/>
    </row>
    <row r="2754" spans="2:16" ht="15.75" customHeight="1">
      <c r="B2754" s="567"/>
      <c r="H2754" s="563"/>
      <c r="I2754" s="563"/>
      <c r="J2754" s="581"/>
      <c r="N2754" s="563"/>
      <c r="O2754" s="563"/>
      <c r="P2754" s="563"/>
    </row>
    <row r="2755" spans="2:16" ht="15.75" customHeight="1">
      <c r="B2755" s="567"/>
      <c r="H2755" s="563"/>
      <c r="I2755" s="563"/>
      <c r="J2755" s="581"/>
      <c r="N2755" s="563"/>
      <c r="O2755" s="563"/>
      <c r="P2755" s="563"/>
    </row>
    <row r="2756" spans="2:16" ht="15.75" customHeight="1">
      <c r="B2756" s="567"/>
      <c r="H2756" s="563"/>
      <c r="I2756" s="563"/>
      <c r="J2756" s="581"/>
      <c r="N2756" s="563"/>
      <c r="O2756" s="563"/>
      <c r="P2756" s="563"/>
    </row>
    <row r="2757" spans="2:16" ht="15.75" customHeight="1">
      <c r="B2757" s="567"/>
      <c r="H2757" s="563"/>
      <c r="I2757" s="563"/>
      <c r="J2757" s="581"/>
      <c r="N2757" s="563"/>
      <c r="O2757" s="563"/>
      <c r="P2757" s="563"/>
    </row>
    <row r="2758" spans="2:16" ht="15.75" customHeight="1">
      <c r="B2758" s="567"/>
      <c r="H2758" s="563"/>
      <c r="I2758" s="563"/>
      <c r="J2758" s="581"/>
      <c r="N2758" s="563"/>
      <c r="O2758" s="563"/>
      <c r="P2758" s="563"/>
    </row>
    <row r="2759" spans="2:16" ht="15.75" customHeight="1">
      <c r="B2759" s="567"/>
      <c r="H2759" s="563"/>
      <c r="I2759" s="563"/>
      <c r="J2759" s="581"/>
      <c r="N2759" s="563"/>
      <c r="O2759" s="563"/>
      <c r="P2759" s="563"/>
    </row>
    <row r="2760" spans="2:16" ht="15.75" customHeight="1">
      <c r="B2760" s="567"/>
      <c r="H2760" s="563"/>
      <c r="I2760" s="563"/>
      <c r="J2760" s="581"/>
      <c r="N2760" s="563"/>
      <c r="O2760" s="563"/>
      <c r="P2760" s="563"/>
    </row>
    <row r="2761" spans="2:16" ht="15.75" customHeight="1">
      <c r="B2761" s="567"/>
      <c r="H2761" s="563"/>
      <c r="I2761" s="563"/>
      <c r="J2761" s="581"/>
      <c r="N2761" s="563"/>
      <c r="O2761" s="563"/>
      <c r="P2761" s="563"/>
    </row>
    <row r="2762" spans="2:16" ht="15.75" customHeight="1">
      <c r="B2762" s="567"/>
      <c r="H2762" s="563"/>
      <c r="I2762" s="563"/>
      <c r="J2762" s="581"/>
      <c r="N2762" s="563"/>
      <c r="O2762" s="563"/>
      <c r="P2762" s="563"/>
    </row>
    <row r="2763" spans="2:16" ht="15.75" customHeight="1">
      <c r="B2763" s="567"/>
      <c r="H2763" s="563"/>
      <c r="I2763" s="563"/>
      <c r="J2763" s="581"/>
      <c r="N2763" s="563"/>
      <c r="O2763" s="563"/>
      <c r="P2763" s="563"/>
    </row>
    <row r="2764" spans="2:16" ht="15.75" customHeight="1">
      <c r="B2764" s="567"/>
      <c r="H2764" s="563"/>
      <c r="I2764" s="563"/>
      <c r="J2764" s="581"/>
      <c r="N2764" s="563"/>
      <c r="O2764" s="563"/>
      <c r="P2764" s="563"/>
    </row>
    <row r="2765" spans="2:16" ht="15.75" customHeight="1">
      <c r="B2765" s="567"/>
      <c r="H2765" s="563"/>
      <c r="I2765" s="563"/>
      <c r="J2765" s="581"/>
      <c r="N2765" s="563"/>
      <c r="O2765" s="563"/>
      <c r="P2765" s="563"/>
    </row>
    <row r="2766" spans="2:16" ht="15.75" customHeight="1">
      <c r="B2766" s="567"/>
      <c r="H2766" s="563"/>
      <c r="I2766" s="563"/>
      <c r="J2766" s="581"/>
      <c r="N2766" s="563"/>
      <c r="O2766" s="563"/>
      <c r="P2766" s="563"/>
    </row>
    <row r="2767" spans="2:16" ht="15.75" customHeight="1">
      <c r="B2767" s="567"/>
      <c r="H2767" s="563"/>
      <c r="I2767" s="563"/>
      <c r="J2767" s="581"/>
      <c r="N2767" s="563"/>
      <c r="O2767" s="563"/>
      <c r="P2767" s="563"/>
    </row>
    <row r="2768" spans="2:16" ht="15.75" customHeight="1">
      <c r="B2768" s="567"/>
      <c r="H2768" s="563"/>
      <c r="I2768" s="563"/>
      <c r="J2768" s="581"/>
      <c r="N2768" s="563"/>
      <c r="O2768" s="563"/>
      <c r="P2768" s="563"/>
    </row>
    <row r="2769" spans="2:16" ht="15.75" customHeight="1">
      <c r="B2769" s="567"/>
      <c r="H2769" s="563"/>
      <c r="I2769" s="563"/>
      <c r="J2769" s="581"/>
      <c r="N2769" s="563"/>
      <c r="O2769" s="563"/>
      <c r="P2769" s="563"/>
    </row>
    <row r="2770" spans="2:16" ht="15.75" customHeight="1">
      <c r="B2770" s="567"/>
      <c r="H2770" s="563"/>
      <c r="I2770" s="563"/>
      <c r="J2770" s="581"/>
      <c r="N2770" s="563"/>
      <c r="O2770" s="563"/>
      <c r="P2770" s="563"/>
    </row>
    <row r="2771" spans="2:16" ht="15.75" customHeight="1">
      <c r="B2771" s="567"/>
      <c r="H2771" s="563"/>
      <c r="I2771" s="563"/>
      <c r="J2771" s="581"/>
      <c r="N2771" s="563"/>
      <c r="O2771" s="563"/>
      <c r="P2771" s="563"/>
    </row>
    <row r="2772" spans="2:16" ht="15.75" customHeight="1">
      <c r="B2772" s="567"/>
      <c r="H2772" s="563"/>
      <c r="I2772" s="563"/>
      <c r="J2772" s="581"/>
      <c r="N2772" s="563"/>
      <c r="O2772" s="563"/>
      <c r="P2772" s="563"/>
    </row>
    <row r="2773" spans="2:16" ht="15.75" customHeight="1">
      <c r="B2773" s="567"/>
      <c r="H2773" s="563"/>
      <c r="I2773" s="563"/>
      <c r="J2773" s="581"/>
      <c r="N2773" s="563"/>
      <c r="O2773" s="563"/>
      <c r="P2773" s="563"/>
    </row>
    <row r="2774" spans="2:16" ht="15.75" customHeight="1">
      <c r="B2774" s="567"/>
      <c r="H2774" s="563"/>
      <c r="I2774" s="563"/>
      <c r="J2774" s="581"/>
      <c r="N2774" s="563"/>
      <c r="O2774" s="563"/>
      <c r="P2774" s="563"/>
    </row>
    <row r="2775" spans="2:16" ht="15.75" customHeight="1">
      <c r="B2775" s="567"/>
      <c r="H2775" s="563"/>
      <c r="I2775" s="563"/>
      <c r="J2775" s="581"/>
      <c r="N2775" s="563"/>
      <c r="O2775" s="563"/>
      <c r="P2775" s="563"/>
    </row>
    <row r="2776" spans="2:16" ht="15.75" customHeight="1">
      <c r="B2776" s="567"/>
      <c r="H2776" s="563"/>
      <c r="I2776" s="563"/>
      <c r="J2776" s="581"/>
      <c r="N2776" s="563"/>
      <c r="O2776" s="563"/>
      <c r="P2776" s="563"/>
    </row>
    <row r="2777" spans="2:16" ht="15.75" customHeight="1">
      <c r="B2777" s="567"/>
      <c r="H2777" s="563"/>
      <c r="I2777" s="563"/>
      <c r="J2777" s="581"/>
      <c r="N2777" s="563"/>
      <c r="O2777" s="563"/>
      <c r="P2777" s="563"/>
    </row>
    <row r="2778" spans="2:16" ht="15.75" customHeight="1">
      <c r="B2778" s="567"/>
      <c r="H2778" s="563"/>
      <c r="I2778" s="563"/>
      <c r="J2778" s="581"/>
      <c r="N2778" s="563"/>
      <c r="O2778" s="563"/>
      <c r="P2778" s="563"/>
    </row>
    <row r="2779" spans="2:16" ht="15.75" customHeight="1">
      <c r="B2779" s="567"/>
      <c r="H2779" s="563"/>
      <c r="I2779" s="563"/>
      <c r="J2779" s="581"/>
      <c r="N2779" s="563"/>
      <c r="O2779" s="563"/>
      <c r="P2779" s="563"/>
    </row>
    <row r="2780" spans="2:16" ht="15.75" customHeight="1">
      <c r="B2780" s="567"/>
      <c r="H2780" s="563"/>
      <c r="I2780" s="563"/>
      <c r="J2780" s="581"/>
      <c r="N2780" s="563"/>
      <c r="O2780" s="563"/>
      <c r="P2780" s="563"/>
    </row>
    <row r="2781" spans="2:16" ht="15.75" customHeight="1">
      <c r="B2781" s="567"/>
      <c r="H2781" s="563"/>
      <c r="I2781" s="563"/>
      <c r="J2781" s="581"/>
      <c r="N2781" s="563"/>
      <c r="O2781" s="563"/>
      <c r="P2781" s="563"/>
    </row>
    <row r="2782" spans="2:16" ht="15.75" customHeight="1">
      <c r="B2782" s="567"/>
      <c r="H2782" s="563"/>
      <c r="I2782" s="563"/>
      <c r="J2782" s="581"/>
      <c r="N2782" s="563"/>
      <c r="O2782" s="563"/>
      <c r="P2782" s="563"/>
    </row>
    <row r="2783" spans="2:16" ht="15.75" customHeight="1">
      <c r="B2783" s="567"/>
      <c r="H2783" s="563"/>
      <c r="I2783" s="563"/>
      <c r="J2783" s="581"/>
      <c r="N2783" s="563"/>
      <c r="O2783" s="563"/>
      <c r="P2783" s="563"/>
    </row>
    <row r="2784" spans="2:16" ht="15.75" customHeight="1">
      <c r="B2784" s="567"/>
      <c r="H2784" s="563"/>
      <c r="I2784" s="563"/>
      <c r="J2784" s="581"/>
      <c r="N2784" s="563"/>
      <c r="O2784" s="563"/>
      <c r="P2784" s="563"/>
    </row>
    <row r="2785" spans="2:16" ht="15.75" customHeight="1">
      <c r="B2785" s="567"/>
      <c r="H2785" s="563"/>
      <c r="I2785" s="563"/>
      <c r="J2785" s="581"/>
      <c r="N2785" s="563"/>
      <c r="O2785" s="563"/>
      <c r="P2785" s="563"/>
    </row>
    <row r="2786" spans="2:16" ht="15.75" customHeight="1">
      <c r="B2786" s="567"/>
      <c r="H2786" s="563"/>
      <c r="I2786" s="563"/>
      <c r="J2786" s="581"/>
      <c r="N2786" s="563"/>
      <c r="O2786" s="563"/>
      <c r="P2786" s="563"/>
    </row>
    <row r="2787" spans="2:16" ht="15.75" customHeight="1">
      <c r="B2787" s="567"/>
      <c r="H2787" s="563"/>
      <c r="I2787" s="563"/>
      <c r="J2787" s="581"/>
      <c r="N2787" s="563"/>
      <c r="O2787" s="563"/>
      <c r="P2787" s="563"/>
    </row>
    <row r="2788" spans="2:16" ht="15.75" customHeight="1">
      <c r="B2788" s="567"/>
      <c r="H2788" s="563"/>
      <c r="I2788" s="563"/>
      <c r="J2788" s="581"/>
      <c r="N2788" s="563"/>
      <c r="O2788" s="563"/>
      <c r="P2788" s="563"/>
    </row>
    <row r="2789" spans="2:16" ht="15.75" customHeight="1">
      <c r="B2789" s="567"/>
      <c r="H2789" s="563"/>
      <c r="I2789" s="563"/>
      <c r="J2789" s="581"/>
      <c r="N2789" s="563"/>
      <c r="O2789" s="563"/>
      <c r="P2789" s="563"/>
    </row>
    <row r="2790" spans="2:16" ht="15.75" customHeight="1">
      <c r="B2790" s="567"/>
      <c r="H2790" s="563"/>
      <c r="I2790" s="563"/>
      <c r="J2790" s="581"/>
      <c r="N2790" s="563"/>
      <c r="O2790" s="563"/>
      <c r="P2790" s="563"/>
    </row>
    <row r="2791" spans="2:16" ht="15.75" customHeight="1">
      <c r="B2791" s="567"/>
      <c r="H2791" s="563"/>
      <c r="I2791" s="563"/>
      <c r="J2791" s="581"/>
      <c r="N2791" s="563"/>
      <c r="O2791" s="563"/>
      <c r="P2791" s="563"/>
    </row>
    <row r="2792" spans="2:16" ht="15.75" customHeight="1">
      <c r="B2792" s="567"/>
      <c r="H2792" s="563"/>
      <c r="I2792" s="563"/>
      <c r="J2792" s="581"/>
      <c r="N2792" s="563"/>
      <c r="O2792" s="563"/>
      <c r="P2792" s="563"/>
    </row>
    <row r="2793" spans="2:16" ht="15.75" customHeight="1">
      <c r="B2793" s="567"/>
      <c r="H2793" s="563"/>
      <c r="I2793" s="563"/>
      <c r="J2793" s="581"/>
      <c r="N2793" s="563"/>
      <c r="O2793" s="563"/>
      <c r="P2793" s="563"/>
    </row>
    <row r="2794" spans="2:16" ht="15.75" customHeight="1">
      <c r="B2794" s="567"/>
      <c r="H2794" s="563"/>
      <c r="I2794" s="563"/>
      <c r="J2794" s="581"/>
      <c r="N2794" s="563"/>
      <c r="O2794" s="563"/>
      <c r="P2794" s="563"/>
    </row>
    <row r="2795" spans="2:16" ht="15.75" customHeight="1">
      <c r="B2795" s="567"/>
      <c r="H2795" s="563"/>
      <c r="I2795" s="563"/>
      <c r="J2795" s="581"/>
      <c r="N2795" s="563"/>
      <c r="O2795" s="563"/>
      <c r="P2795" s="563"/>
    </row>
    <row r="2796" spans="2:16" ht="15.75" customHeight="1">
      <c r="B2796" s="567"/>
      <c r="H2796" s="563"/>
      <c r="I2796" s="563"/>
      <c r="J2796" s="581"/>
      <c r="N2796" s="563"/>
      <c r="O2796" s="563"/>
      <c r="P2796" s="563"/>
    </row>
    <row r="2797" spans="2:16" ht="15.75" customHeight="1">
      <c r="B2797" s="567"/>
      <c r="H2797" s="563"/>
      <c r="I2797" s="563"/>
      <c r="J2797" s="581"/>
      <c r="N2797" s="563"/>
      <c r="O2797" s="563"/>
      <c r="P2797" s="563"/>
    </row>
    <row r="2798" spans="2:16" ht="15.75" customHeight="1">
      <c r="B2798" s="567"/>
      <c r="H2798" s="563"/>
      <c r="I2798" s="563"/>
      <c r="J2798" s="581"/>
      <c r="N2798" s="563"/>
      <c r="O2798" s="563"/>
      <c r="P2798" s="563"/>
    </row>
    <row r="2799" spans="2:16" ht="15.75" customHeight="1">
      <c r="B2799" s="567"/>
      <c r="H2799" s="563"/>
      <c r="I2799" s="563"/>
      <c r="J2799" s="581"/>
      <c r="N2799" s="563"/>
      <c r="O2799" s="563"/>
      <c r="P2799" s="563"/>
    </row>
    <row r="2800" spans="2:16" ht="15.75" customHeight="1">
      <c r="B2800" s="567"/>
      <c r="H2800" s="563"/>
      <c r="I2800" s="563"/>
      <c r="J2800" s="581"/>
      <c r="N2800" s="563"/>
      <c r="O2800" s="563"/>
      <c r="P2800" s="563"/>
    </row>
    <row r="2801" spans="2:16" ht="15.75" customHeight="1">
      <c r="B2801" s="567"/>
      <c r="H2801" s="563"/>
      <c r="I2801" s="563"/>
      <c r="J2801" s="581"/>
      <c r="N2801" s="563"/>
      <c r="O2801" s="563"/>
      <c r="P2801" s="563"/>
    </row>
    <row r="2802" spans="2:16" ht="15.75" customHeight="1">
      <c r="B2802" s="567"/>
      <c r="H2802" s="563"/>
      <c r="I2802" s="563"/>
      <c r="J2802" s="581"/>
      <c r="N2802" s="563"/>
      <c r="O2802" s="563"/>
      <c r="P2802" s="563"/>
    </row>
    <row r="2803" spans="2:16" ht="15.75" customHeight="1">
      <c r="B2803" s="567"/>
      <c r="H2803" s="563"/>
      <c r="I2803" s="563"/>
      <c r="J2803" s="581"/>
      <c r="N2803" s="563"/>
      <c r="O2803" s="563"/>
      <c r="P2803" s="563"/>
    </row>
    <row r="2804" spans="2:16" ht="15.75" customHeight="1">
      <c r="B2804" s="567"/>
      <c r="H2804" s="563"/>
      <c r="I2804" s="563"/>
      <c r="J2804" s="581"/>
      <c r="N2804" s="563"/>
      <c r="O2804" s="563"/>
      <c r="P2804" s="563"/>
    </row>
    <row r="2805" spans="2:16" ht="15.75" customHeight="1">
      <c r="B2805" s="567"/>
      <c r="H2805" s="563"/>
      <c r="I2805" s="563"/>
      <c r="J2805" s="581"/>
      <c r="N2805" s="563"/>
      <c r="O2805" s="563"/>
      <c r="P2805" s="563"/>
    </row>
    <row r="2806" spans="2:16" ht="15.75" customHeight="1">
      <c r="B2806" s="567"/>
      <c r="H2806" s="563"/>
      <c r="I2806" s="563"/>
      <c r="J2806" s="581"/>
      <c r="N2806" s="563"/>
      <c r="O2806" s="563"/>
      <c r="P2806" s="563"/>
    </row>
    <row r="2807" spans="2:16" ht="15.75" customHeight="1">
      <c r="B2807" s="567"/>
      <c r="H2807" s="563"/>
      <c r="I2807" s="563"/>
      <c r="J2807" s="581"/>
      <c r="N2807" s="563"/>
      <c r="O2807" s="563"/>
      <c r="P2807" s="563"/>
    </row>
    <row r="2808" spans="2:16" ht="15.75" customHeight="1">
      <c r="B2808" s="567"/>
      <c r="H2808" s="563"/>
      <c r="I2808" s="563"/>
      <c r="J2808" s="581"/>
      <c r="N2808" s="563"/>
      <c r="O2808" s="563"/>
      <c r="P2808" s="563"/>
    </row>
    <row r="2809" spans="2:16" ht="15.75" customHeight="1">
      <c r="B2809" s="567"/>
      <c r="H2809" s="563"/>
      <c r="I2809" s="563"/>
      <c r="J2809" s="581"/>
      <c r="N2809" s="563"/>
      <c r="O2809" s="563"/>
      <c r="P2809" s="563"/>
    </row>
    <row r="2810" spans="2:16" ht="15.75" customHeight="1">
      <c r="B2810" s="567"/>
      <c r="H2810" s="563"/>
      <c r="I2810" s="563"/>
      <c r="J2810" s="581"/>
      <c r="N2810" s="563"/>
      <c r="O2810" s="563"/>
      <c r="P2810" s="563"/>
    </row>
    <row r="2811" spans="2:16" ht="15.75" customHeight="1">
      <c r="B2811" s="567"/>
      <c r="H2811" s="563"/>
      <c r="I2811" s="563"/>
      <c r="J2811" s="581"/>
      <c r="N2811" s="563"/>
      <c r="O2811" s="563"/>
      <c r="P2811" s="563"/>
    </row>
    <row r="2812" spans="2:16" ht="15.75" customHeight="1">
      <c r="B2812" s="567"/>
      <c r="H2812" s="563"/>
      <c r="I2812" s="563"/>
      <c r="J2812" s="581"/>
      <c r="N2812" s="563"/>
      <c r="O2812" s="563"/>
      <c r="P2812" s="563"/>
    </row>
    <row r="2813" spans="2:16" ht="15.75" customHeight="1">
      <c r="B2813" s="567"/>
      <c r="H2813" s="563"/>
      <c r="I2813" s="563"/>
      <c r="J2813" s="581"/>
      <c r="N2813" s="563"/>
      <c r="O2813" s="563"/>
      <c r="P2813" s="563"/>
    </row>
    <row r="2814" spans="2:16" ht="15.75" customHeight="1">
      <c r="B2814" s="567"/>
      <c r="H2814" s="563"/>
      <c r="I2814" s="563"/>
      <c r="J2814" s="581"/>
      <c r="N2814" s="563"/>
      <c r="O2814" s="563"/>
      <c r="P2814" s="563"/>
    </row>
    <row r="2815" spans="2:16" ht="15.75" customHeight="1">
      <c r="B2815" s="567"/>
      <c r="H2815" s="563"/>
      <c r="I2815" s="563"/>
      <c r="J2815" s="581"/>
      <c r="N2815" s="563"/>
      <c r="O2815" s="563"/>
      <c r="P2815" s="563"/>
    </row>
    <row r="2816" spans="2:16" ht="15.75" customHeight="1">
      <c r="B2816" s="567"/>
      <c r="H2816" s="563"/>
      <c r="I2816" s="563"/>
      <c r="J2816" s="581"/>
      <c r="N2816" s="563"/>
      <c r="O2816" s="563"/>
      <c r="P2816" s="563"/>
    </row>
    <row r="2817" spans="2:16" ht="15.75" customHeight="1">
      <c r="B2817" s="567"/>
      <c r="H2817" s="563"/>
      <c r="I2817" s="563"/>
      <c r="J2817" s="581"/>
      <c r="N2817" s="563"/>
      <c r="O2817" s="563"/>
      <c r="P2817" s="563"/>
    </row>
    <row r="2818" spans="2:16" ht="15.75" customHeight="1">
      <c r="B2818" s="567"/>
      <c r="H2818" s="563"/>
      <c r="I2818" s="563"/>
      <c r="J2818" s="581"/>
      <c r="N2818" s="563"/>
      <c r="O2818" s="563"/>
      <c r="P2818" s="563"/>
    </row>
    <row r="2819" spans="2:16" ht="15.75" customHeight="1">
      <c r="B2819" s="567"/>
      <c r="H2819" s="563"/>
      <c r="I2819" s="563"/>
      <c r="J2819" s="581"/>
      <c r="N2819" s="563"/>
      <c r="O2819" s="563"/>
      <c r="P2819" s="563"/>
    </row>
    <row r="2820" spans="2:16" ht="15.75" customHeight="1">
      <c r="B2820" s="567"/>
      <c r="H2820" s="563"/>
      <c r="I2820" s="563"/>
      <c r="J2820" s="581"/>
      <c r="N2820" s="563"/>
      <c r="O2820" s="563"/>
      <c r="P2820" s="563"/>
    </row>
    <row r="2821" spans="2:16" ht="15.75" customHeight="1">
      <c r="B2821" s="567"/>
      <c r="H2821" s="563"/>
      <c r="I2821" s="563"/>
      <c r="J2821" s="581"/>
      <c r="N2821" s="563"/>
      <c r="O2821" s="563"/>
      <c r="P2821" s="563"/>
    </row>
    <row r="2822" spans="2:16" ht="15.75" customHeight="1">
      <c r="B2822" s="567"/>
      <c r="H2822" s="563"/>
      <c r="I2822" s="563"/>
      <c r="J2822" s="581"/>
      <c r="N2822" s="563"/>
      <c r="O2822" s="563"/>
      <c r="P2822" s="563"/>
    </row>
    <row r="2823" spans="2:16" ht="15.75" customHeight="1">
      <c r="B2823" s="567"/>
      <c r="H2823" s="563"/>
      <c r="I2823" s="563"/>
      <c r="J2823" s="581"/>
      <c r="N2823" s="563"/>
      <c r="O2823" s="563"/>
      <c r="P2823" s="563"/>
    </row>
    <row r="2824" spans="2:16" ht="15.75" customHeight="1">
      <c r="B2824" s="567"/>
      <c r="H2824" s="563"/>
      <c r="I2824" s="563"/>
      <c r="J2824" s="581"/>
      <c r="N2824" s="563"/>
      <c r="O2824" s="563"/>
      <c r="P2824" s="563"/>
    </row>
    <row r="2825" spans="2:16" ht="15.75" customHeight="1">
      <c r="B2825" s="567"/>
      <c r="H2825" s="563"/>
      <c r="I2825" s="563"/>
      <c r="J2825" s="581"/>
      <c r="N2825" s="563"/>
      <c r="O2825" s="563"/>
      <c r="P2825" s="563"/>
    </row>
    <row r="2826" spans="2:16" ht="15.75" customHeight="1">
      <c r="B2826" s="567"/>
      <c r="H2826" s="563"/>
      <c r="I2826" s="563"/>
      <c r="J2826" s="581"/>
      <c r="N2826" s="563"/>
      <c r="O2826" s="563"/>
      <c r="P2826" s="563"/>
    </row>
    <row r="2827" spans="2:16" ht="15.75" customHeight="1">
      <c r="B2827" s="567"/>
      <c r="H2827" s="563"/>
      <c r="I2827" s="563"/>
      <c r="J2827" s="581"/>
      <c r="N2827" s="563"/>
      <c r="O2827" s="563"/>
      <c r="P2827" s="563"/>
    </row>
    <row r="2828" spans="2:16" ht="15.75" customHeight="1">
      <c r="B2828" s="567"/>
      <c r="H2828" s="563"/>
      <c r="I2828" s="563"/>
      <c r="J2828" s="581"/>
      <c r="N2828" s="563"/>
      <c r="O2828" s="563"/>
      <c r="P2828" s="563"/>
    </row>
    <row r="2829" spans="2:16" ht="15.75" customHeight="1">
      <c r="B2829" s="567"/>
      <c r="H2829" s="563"/>
      <c r="I2829" s="563"/>
      <c r="J2829" s="581"/>
      <c r="N2829" s="563"/>
      <c r="O2829" s="563"/>
      <c r="P2829" s="563"/>
    </row>
    <row r="2830" spans="2:16" ht="15.75" customHeight="1">
      <c r="B2830" s="567"/>
      <c r="H2830" s="563"/>
      <c r="I2830" s="563"/>
      <c r="J2830" s="581"/>
      <c r="N2830" s="563"/>
      <c r="O2830" s="563"/>
      <c r="P2830" s="563"/>
    </row>
    <row r="2831" spans="2:16" ht="15.75" customHeight="1">
      <c r="B2831" s="567"/>
      <c r="H2831" s="563"/>
      <c r="I2831" s="563"/>
      <c r="J2831" s="581"/>
      <c r="N2831" s="563"/>
      <c r="O2831" s="563"/>
      <c r="P2831" s="563"/>
    </row>
    <row r="2832" spans="2:16" ht="15.75" customHeight="1">
      <c r="B2832" s="567"/>
      <c r="H2832" s="563"/>
      <c r="I2832" s="563"/>
      <c r="J2832" s="581"/>
      <c r="N2832" s="563"/>
      <c r="O2832" s="563"/>
      <c r="P2832" s="563"/>
    </row>
    <row r="2833" spans="2:16" ht="15.75" customHeight="1">
      <c r="B2833" s="567"/>
      <c r="H2833" s="563"/>
      <c r="I2833" s="563"/>
      <c r="J2833" s="581"/>
      <c r="N2833" s="563"/>
      <c r="O2833" s="563"/>
      <c r="P2833" s="563"/>
    </row>
    <row r="2834" spans="2:16" ht="15.75" customHeight="1">
      <c r="B2834" s="567"/>
      <c r="H2834" s="563"/>
      <c r="I2834" s="563"/>
      <c r="J2834" s="581"/>
      <c r="N2834" s="563"/>
      <c r="O2834" s="563"/>
      <c r="P2834" s="563"/>
    </row>
    <row r="2835" spans="2:16" ht="15.75" customHeight="1">
      <c r="B2835" s="567"/>
      <c r="H2835" s="563"/>
      <c r="I2835" s="563"/>
      <c r="J2835" s="581"/>
      <c r="N2835" s="563"/>
      <c r="O2835" s="563"/>
      <c r="P2835" s="563"/>
    </row>
    <row r="2836" spans="2:16" ht="15.75" customHeight="1">
      <c r="B2836" s="567"/>
      <c r="H2836" s="563"/>
      <c r="I2836" s="563"/>
      <c r="J2836" s="581"/>
      <c r="N2836" s="563"/>
      <c r="O2836" s="563"/>
      <c r="P2836" s="563"/>
    </row>
    <row r="2837" spans="2:16" ht="15.75" customHeight="1">
      <c r="B2837" s="567"/>
      <c r="H2837" s="563"/>
      <c r="I2837" s="563"/>
      <c r="J2837" s="581"/>
      <c r="N2837" s="563"/>
      <c r="O2837" s="563"/>
      <c r="P2837" s="563"/>
    </row>
    <row r="2838" spans="2:16" ht="15.75" customHeight="1">
      <c r="B2838" s="567"/>
      <c r="H2838" s="563"/>
      <c r="I2838" s="563"/>
      <c r="J2838" s="581"/>
      <c r="N2838" s="563"/>
      <c r="O2838" s="563"/>
      <c r="P2838" s="563"/>
    </row>
    <row r="2839" spans="2:16" ht="15.75" customHeight="1">
      <c r="B2839" s="567"/>
      <c r="H2839" s="563"/>
      <c r="I2839" s="563"/>
      <c r="J2839" s="581"/>
      <c r="N2839" s="563"/>
      <c r="O2839" s="563"/>
      <c r="P2839" s="563"/>
    </row>
    <row r="2840" spans="2:16" ht="15.75" customHeight="1">
      <c r="B2840" s="567"/>
      <c r="H2840" s="563"/>
      <c r="I2840" s="563"/>
      <c r="J2840" s="581"/>
      <c r="N2840" s="563"/>
      <c r="O2840" s="563"/>
      <c r="P2840" s="563"/>
    </row>
    <row r="2841" spans="2:16" ht="15.75" customHeight="1">
      <c r="B2841" s="567"/>
      <c r="H2841" s="563"/>
      <c r="I2841" s="563"/>
      <c r="J2841" s="581"/>
      <c r="N2841" s="563"/>
      <c r="O2841" s="563"/>
      <c r="P2841" s="563"/>
    </row>
    <row r="2842" spans="2:16" ht="15.75" customHeight="1">
      <c r="B2842" s="567"/>
      <c r="H2842" s="563"/>
      <c r="I2842" s="563"/>
      <c r="J2842" s="581"/>
      <c r="N2842" s="563"/>
      <c r="O2842" s="563"/>
      <c r="P2842" s="563"/>
    </row>
    <row r="2843" spans="2:16" ht="15.75" customHeight="1">
      <c r="B2843" s="567"/>
      <c r="H2843" s="563"/>
      <c r="I2843" s="563"/>
      <c r="J2843" s="581"/>
      <c r="N2843" s="563"/>
      <c r="O2843" s="563"/>
      <c r="P2843" s="563"/>
    </row>
    <row r="2844" spans="2:16" ht="15.75" customHeight="1">
      <c r="B2844" s="567"/>
      <c r="H2844" s="563"/>
      <c r="I2844" s="563"/>
      <c r="J2844" s="581"/>
      <c r="N2844" s="563"/>
      <c r="O2844" s="563"/>
      <c r="P2844" s="563"/>
    </row>
    <row r="2845" spans="2:16" ht="15.75" customHeight="1">
      <c r="B2845" s="567"/>
      <c r="H2845" s="563"/>
      <c r="I2845" s="563"/>
      <c r="J2845" s="581"/>
      <c r="N2845" s="563"/>
      <c r="O2845" s="563"/>
      <c r="P2845" s="563"/>
    </row>
    <row r="2846" spans="2:16" ht="15.75" customHeight="1">
      <c r="B2846" s="567"/>
      <c r="H2846" s="563"/>
      <c r="I2846" s="563"/>
      <c r="J2846" s="581"/>
      <c r="N2846" s="563"/>
      <c r="O2846" s="563"/>
      <c r="P2846" s="563"/>
    </row>
    <row r="2847" spans="2:16" ht="15.75" customHeight="1">
      <c r="B2847" s="567"/>
      <c r="H2847" s="563"/>
      <c r="I2847" s="563"/>
      <c r="J2847" s="581"/>
      <c r="N2847" s="563"/>
      <c r="O2847" s="563"/>
      <c r="P2847" s="563"/>
    </row>
    <row r="2848" spans="2:16" ht="15.75" customHeight="1">
      <c r="B2848" s="567"/>
      <c r="H2848" s="563"/>
      <c r="I2848" s="563"/>
      <c r="J2848" s="581"/>
      <c r="N2848" s="563"/>
      <c r="O2848" s="563"/>
      <c r="P2848" s="563"/>
    </row>
    <row r="2849" spans="2:16" ht="15.75" customHeight="1">
      <c r="B2849" s="567"/>
      <c r="H2849" s="563"/>
      <c r="I2849" s="563"/>
      <c r="J2849" s="581"/>
      <c r="N2849" s="563"/>
      <c r="O2849" s="563"/>
      <c r="P2849" s="563"/>
    </row>
    <row r="2850" spans="2:16" ht="15.75" customHeight="1">
      <c r="B2850" s="567"/>
      <c r="H2850" s="563"/>
      <c r="I2850" s="563"/>
      <c r="J2850" s="581"/>
      <c r="N2850" s="563"/>
      <c r="O2850" s="563"/>
      <c r="P2850" s="563"/>
    </row>
    <row r="2851" spans="2:16" ht="15.75" customHeight="1">
      <c r="B2851" s="567"/>
      <c r="H2851" s="563"/>
      <c r="I2851" s="563"/>
      <c r="J2851" s="581"/>
      <c r="N2851" s="563"/>
      <c r="O2851" s="563"/>
      <c r="P2851" s="563"/>
    </row>
    <row r="2852" spans="2:16" ht="15.75" customHeight="1">
      <c r="B2852" s="567"/>
      <c r="H2852" s="563"/>
      <c r="I2852" s="563"/>
      <c r="J2852" s="581"/>
      <c r="N2852" s="563"/>
      <c r="O2852" s="563"/>
      <c r="P2852" s="563"/>
    </row>
    <row r="2853" spans="2:16" ht="15.75" customHeight="1">
      <c r="B2853" s="567"/>
      <c r="H2853" s="563"/>
      <c r="I2853" s="563"/>
      <c r="J2853" s="581"/>
      <c r="N2853" s="563"/>
      <c r="O2853" s="563"/>
      <c r="P2853" s="563"/>
    </row>
    <row r="2854" spans="2:16" ht="15.75" customHeight="1">
      <c r="B2854" s="567"/>
      <c r="H2854" s="563"/>
      <c r="I2854" s="563"/>
      <c r="J2854" s="581"/>
      <c r="N2854" s="563"/>
      <c r="O2854" s="563"/>
      <c r="P2854" s="563"/>
    </row>
    <row r="2855" spans="2:16" ht="15.75" customHeight="1">
      <c r="B2855" s="567"/>
      <c r="H2855" s="563"/>
      <c r="I2855" s="563"/>
      <c r="J2855" s="581"/>
      <c r="N2855" s="563"/>
      <c r="O2855" s="563"/>
      <c r="P2855" s="563"/>
    </row>
    <row r="2856" spans="2:16" ht="15.75" customHeight="1">
      <c r="B2856" s="567"/>
      <c r="H2856" s="563"/>
      <c r="I2856" s="563"/>
      <c r="J2856" s="581"/>
      <c r="N2856" s="563"/>
      <c r="O2856" s="563"/>
      <c r="P2856" s="563"/>
    </row>
    <row r="2857" spans="2:16" ht="15.75" customHeight="1">
      <c r="B2857" s="567"/>
      <c r="H2857" s="563"/>
      <c r="I2857" s="563"/>
      <c r="J2857" s="581"/>
      <c r="N2857" s="563"/>
      <c r="O2857" s="563"/>
      <c r="P2857" s="563"/>
    </row>
    <row r="2858" spans="2:16" ht="15.75" customHeight="1">
      <c r="B2858" s="567"/>
      <c r="H2858" s="563"/>
      <c r="I2858" s="563"/>
      <c r="J2858" s="581"/>
      <c r="N2858" s="563"/>
      <c r="O2858" s="563"/>
      <c r="P2858" s="563"/>
    </row>
    <row r="2859" spans="2:16" ht="15.75" customHeight="1">
      <c r="B2859" s="567"/>
      <c r="H2859" s="563"/>
      <c r="I2859" s="563"/>
      <c r="J2859" s="581"/>
      <c r="N2859" s="563"/>
      <c r="O2859" s="563"/>
      <c r="P2859" s="563"/>
    </row>
    <row r="2860" spans="2:16" ht="15.75" customHeight="1">
      <c r="B2860" s="567"/>
      <c r="H2860" s="563"/>
      <c r="I2860" s="563"/>
      <c r="J2860" s="581"/>
      <c r="N2860" s="563"/>
      <c r="O2860" s="563"/>
      <c r="P2860" s="563"/>
    </row>
    <row r="2861" spans="2:16" ht="15.75" customHeight="1">
      <c r="B2861" s="567"/>
      <c r="H2861" s="563"/>
      <c r="I2861" s="563"/>
      <c r="J2861" s="581"/>
      <c r="N2861" s="563"/>
      <c r="O2861" s="563"/>
      <c r="P2861" s="563"/>
    </row>
    <row r="2862" spans="2:16" ht="15.75" customHeight="1">
      <c r="B2862" s="567"/>
      <c r="H2862" s="563"/>
      <c r="I2862" s="563"/>
      <c r="J2862" s="581"/>
      <c r="N2862" s="563"/>
      <c r="O2862" s="563"/>
      <c r="P2862" s="563"/>
    </row>
    <row r="2863" spans="2:16" ht="15.75" customHeight="1">
      <c r="B2863" s="567"/>
      <c r="H2863" s="563"/>
      <c r="I2863" s="563"/>
      <c r="J2863" s="581"/>
      <c r="N2863" s="563"/>
      <c r="O2863" s="563"/>
      <c r="P2863" s="563"/>
    </row>
    <row r="2864" spans="2:16" ht="15.75" customHeight="1">
      <c r="B2864" s="567"/>
      <c r="H2864" s="563"/>
      <c r="I2864" s="563"/>
      <c r="J2864" s="581"/>
      <c r="N2864" s="563"/>
      <c r="O2864" s="563"/>
      <c r="P2864" s="563"/>
    </row>
    <row r="2865" spans="2:16" ht="15.75" customHeight="1">
      <c r="B2865" s="567"/>
      <c r="H2865" s="563"/>
      <c r="I2865" s="563"/>
      <c r="J2865" s="581"/>
      <c r="N2865" s="563"/>
      <c r="O2865" s="563"/>
      <c r="P2865" s="563"/>
    </row>
    <row r="2866" spans="2:16" ht="15.75" customHeight="1">
      <c r="B2866" s="567"/>
      <c r="H2866" s="563"/>
      <c r="I2866" s="563"/>
      <c r="J2866" s="581"/>
      <c r="N2866" s="563"/>
      <c r="O2866" s="563"/>
      <c r="P2866" s="563"/>
    </row>
    <row r="2867" spans="2:16" ht="15.75" customHeight="1">
      <c r="B2867" s="567"/>
      <c r="H2867" s="563"/>
      <c r="I2867" s="563"/>
      <c r="J2867" s="581"/>
      <c r="N2867" s="563"/>
      <c r="O2867" s="563"/>
      <c r="P2867" s="563"/>
    </row>
    <row r="2868" spans="2:16" ht="15.75" customHeight="1">
      <c r="B2868" s="567"/>
      <c r="H2868" s="563"/>
      <c r="I2868" s="563"/>
      <c r="J2868" s="581"/>
      <c r="N2868" s="563"/>
      <c r="O2868" s="563"/>
      <c r="P2868" s="563"/>
    </row>
    <row r="2869" spans="2:16" ht="15.75" customHeight="1">
      <c r="B2869" s="567"/>
      <c r="H2869" s="563"/>
      <c r="I2869" s="563"/>
      <c r="J2869" s="581"/>
      <c r="N2869" s="563"/>
      <c r="O2869" s="563"/>
      <c r="P2869" s="563"/>
    </row>
    <row r="2870" spans="2:16" ht="15.75" customHeight="1">
      <c r="B2870" s="567"/>
      <c r="H2870" s="563"/>
      <c r="I2870" s="563"/>
      <c r="J2870" s="581"/>
      <c r="N2870" s="563"/>
      <c r="O2870" s="563"/>
      <c r="P2870" s="563"/>
    </row>
    <row r="2871" spans="2:16" ht="15.75" customHeight="1">
      <c r="B2871" s="567"/>
      <c r="H2871" s="563"/>
      <c r="I2871" s="563"/>
      <c r="J2871" s="581"/>
      <c r="N2871" s="563"/>
      <c r="O2871" s="563"/>
      <c r="P2871" s="563"/>
    </row>
    <row r="2872" spans="2:16" ht="15.75" customHeight="1">
      <c r="B2872" s="567"/>
      <c r="H2872" s="563"/>
      <c r="I2872" s="563"/>
      <c r="J2872" s="581"/>
      <c r="N2872" s="563"/>
      <c r="O2872" s="563"/>
      <c r="P2872" s="563"/>
    </row>
    <row r="2873" spans="2:16" ht="15.75" customHeight="1">
      <c r="B2873" s="567"/>
      <c r="H2873" s="563"/>
      <c r="I2873" s="563"/>
      <c r="J2873" s="581"/>
      <c r="N2873" s="563"/>
      <c r="O2873" s="563"/>
      <c r="P2873" s="563"/>
    </row>
    <row r="2874" spans="2:16" ht="15.75" customHeight="1">
      <c r="B2874" s="567"/>
      <c r="H2874" s="563"/>
      <c r="I2874" s="563"/>
      <c r="J2874" s="581"/>
      <c r="N2874" s="563"/>
      <c r="O2874" s="563"/>
      <c r="P2874" s="563"/>
    </row>
    <row r="2875" spans="2:16" ht="15.75" customHeight="1">
      <c r="B2875" s="567"/>
      <c r="H2875" s="563"/>
      <c r="I2875" s="563"/>
      <c r="J2875" s="581"/>
      <c r="N2875" s="563"/>
      <c r="O2875" s="563"/>
      <c r="P2875" s="563"/>
    </row>
    <row r="2876" spans="2:16" ht="15.75" customHeight="1">
      <c r="B2876" s="567"/>
      <c r="H2876" s="563"/>
      <c r="I2876" s="563"/>
      <c r="J2876" s="581"/>
      <c r="N2876" s="563"/>
      <c r="O2876" s="563"/>
      <c r="P2876" s="563"/>
    </row>
    <row r="2877" spans="2:16" ht="15.75" customHeight="1">
      <c r="B2877" s="567"/>
      <c r="H2877" s="563"/>
      <c r="I2877" s="563"/>
      <c r="J2877" s="581"/>
      <c r="N2877" s="563"/>
      <c r="O2877" s="563"/>
      <c r="P2877" s="563"/>
    </row>
    <row r="2878" spans="2:16" ht="15.75" customHeight="1">
      <c r="B2878" s="567"/>
      <c r="H2878" s="563"/>
      <c r="I2878" s="563"/>
      <c r="J2878" s="581"/>
      <c r="N2878" s="563"/>
      <c r="O2878" s="563"/>
      <c r="P2878" s="563"/>
    </row>
    <row r="2879" spans="2:16" ht="15.75" customHeight="1">
      <c r="B2879" s="567"/>
      <c r="H2879" s="563"/>
      <c r="I2879" s="563"/>
      <c r="J2879" s="581"/>
      <c r="N2879" s="563"/>
      <c r="O2879" s="563"/>
      <c r="P2879" s="563"/>
    </row>
    <row r="2880" spans="2:16" ht="15.75" customHeight="1">
      <c r="B2880" s="567"/>
      <c r="H2880" s="563"/>
      <c r="I2880" s="563"/>
      <c r="J2880" s="581"/>
      <c r="N2880" s="563"/>
      <c r="O2880" s="563"/>
      <c r="P2880" s="563"/>
    </row>
    <row r="2881" spans="2:16" ht="15.75" customHeight="1">
      <c r="B2881" s="567"/>
      <c r="H2881" s="563"/>
      <c r="I2881" s="563"/>
      <c r="J2881" s="581"/>
      <c r="N2881" s="563"/>
      <c r="O2881" s="563"/>
      <c r="P2881" s="563"/>
    </row>
    <row r="2882" spans="2:16" ht="15.75" customHeight="1">
      <c r="B2882" s="567"/>
      <c r="H2882" s="563"/>
      <c r="I2882" s="563"/>
      <c r="J2882" s="581"/>
      <c r="N2882" s="563"/>
      <c r="O2882" s="563"/>
      <c r="P2882" s="563"/>
    </row>
    <row r="2883" spans="2:16" ht="15.75" customHeight="1">
      <c r="B2883" s="567"/>
      <c r="H2883" s="563"/>
      <c r="I2883" s="563"/>
      <c r="J2883" s="581"/>
      <c r="N2883" s="563"/>
      <c r="O2883" s="563"/>
      <c r="P2883" s="563"/>
    </row>
    <row r="2884" spans="2:16" ht="15.75" customHeight="1">
      <c r="B2884" s="567"/>
      <c r="H2884" s="563"/>
      <c r="I2884" s="563"/>
      <c r="J2884" s="581"/>
      <c r="N2884" s="563"/>
      <c r="O2884" s="563"/>
      <c r="P2884" s="563"/>
    </row>
    <row r="2885" spans="2:16" ht="15.75" customHeight="1">
      <c r="B2885" s="567"/>
      <c r="H2885" s="563"/>
      <c r="I2885" s="563"/>
      <c r="J2885" s="581"/>
      <c r="N2885" s="563"/>
      <c r="O2885" s="563"/>
      <c r="P2885" s="563"/>
    </row>
    <row r="2886" spans="2:16" ht="15.75" customHeight="1">
      <c r="B2886" s="567"/>
      <c r="H2886" s="563"/>
      <c r="I2886" s="563"/>
      <c r="J2886" s="581"/>
      <c r="N2886" s="563"/>
      <c r="O2886" s="563"/>
      <c r="P2886" s="563"/>
    </row>
    <row r="2887" spans="2:16" ht="15.75" customHeight="1">
      <c r="B2887" s="567"/>
      <c r="H2887" s="563"/>
      <c r="I2887" s="563"/>
      <c r="J2887" s="581"/>
      <c r="N2887" s="563"/>
      <c r="O2887" s="563"/>
      <c r="P2887" s="563"/>
    </row>
    <row r="2888" spans="2:16" ht="15.75" customHeight="1">
      <c r="B2888" s="567"/>
      <c r="H2888" s="563"/>
      <c r="I2888" s="563"/>
      <c r="J2888" s="581"/>
      <c r="N2888" s="563"/>
      <c r="O2888" s="563"/>
      <c r="P2888" s="563"/>
    </row>
    <row r="2889" spans="2:16" ht="15.75" customHeight="1">
      <c r="B2889" s="567"/>
      <c r="H2889" s="563"/>
      <c r="I2889" s="563"/>
      <c r="J2889" s="581"/>
      <c r="N2889" s="563"/>
      <c r="O2889" s="563"/>
      <c r="P2889" s="563"/>
    </row>
    <row r="2890" spans="2:16" ht="15.75" customHeight="1">
      <c r="B2890" s="567"/>
      <c r="H2890" s="563"/>
      <c r="I2890" s="563"/>
      <c r="J2890" s="581"/>
      <c r="N2890" s="563"/>
      <c r="O2890" s="563"/>
      <c r="P2890" s="563"/>
    </row>
    <row r="2891" spans="2:16" ht="15.75" customHeight="1">
      <c r="B2891" s="567"/>
      <c r="H2891" s="563"/>
      <c r="I2891" s="563"/>
      <c r="J2891" s="581"/>
      <c r="N2891" s="563"/>
      <c r="O2891" s="563"/>
      <c r="P2891" s="563"/>
    </row>
    <row r="2892" spans="2:16" ht="15.75" customHeight="1">
      <c r="B2892" s="567"/>
      <c r="H2892" s="563"/>
      <c r="I2892" s="563"/>
      <c r="J2892" s="581"/>
      <c r="N2892" s="563"/>
      <c r="O2892" s="563"/>
      <c r="P2892" s="563"/>
    </row>
    <row r="2893" spans="2:16" ht="15.75" customHeight="1">
      <c r="B2893" s="567"/>
      <c r="H2893" s="563"/>
      <c r="I2893" s="563"/>
      <c r="J2893" s="581"/>
      <c r="N2893" s="563"/>
      <c r="O2893" s="563"/>
      <c r="P2893" s="563"/>
    </row>
    <row r="2894" spans="2:16" ht="15.75" customHeight="1">
      <c r="B2894" s="567"/>
      <c r="H2894" s="563"/>
      <c r="I2894" s="563"/>
      <c r="J2894" s="581"/>
      <c r="N2894" s="563"/>
      <c r="O2894" s="563"/>
      <c r="P2894" s="563"/>
    </row>
    <row r="2895" spans="2:16" ht="15.75" customHeight="1">
      <c r="B2895" s="567"/>
      <c r="H2895" s="563"/>
      <c r="I2895" s="563"/>
      <c r="J2895" s="581"/>
      <c r="N2895" s="563"/>
      <c r="O2895" s="563"/>
      <c r="P2895" s="563"/>
    </row>
    <row r="2896" spans="2:16" ht="15.75" customHeight="1">
      <c r="B2896" s="567"/>
      <c r="H2896" s="563"/>
      <c r="I2896" s="563"/>
      <c r="J2896" s="581"/>
      <c r="N2896" s="563"/>
      <c r="O2896" s="563"/>
      <c r="P2896" s="563"/>
    </row>
    <row r="2897" spans="2:16" ht="15.75" customHeight="1">
      <c r="B2897" s="567"/>
      <c r="H2897" s="563"/>
      <c r="I2897" s="563"/>
      <c r="J2897" s="581"/>
      <c r="N2897" s="563"/>
      <c r="O2897" s="563"/>
      <c r="P2897" s="563"/>
    </row>
    <row r="2898" spans="2:16" ht="15.75" customHeight="1">
      <c r="B2898" s="567"/>
      <c r="H2898" s="563"/>
      <c r="I2898" s="563"/>
      <c r="J2898" s="581"/>
      <c r="N2898" s="563"/>
      <c r="O2898" s="563"/>
      <c r="P2898" s="563"/>
    </row>
    <row r="2899" spans="2:16" ht="15.75" customHeight="1">
      <c r="B2899" s="567"/>
      <c r="H2899" s="563"/>
      <c r="I2899" s="563"/>
      <c r="J2899" s="581"/>
      <c r="N2899" s="563"/>
      <c r="O2899" s="563"/>
      <c r="P2899" s="563"/>
    </row>
    <row r="2900" spans="2:16" ht="15.75" customHeight="1">
      <c r="B2900" s="567"/>
      <c r="H2900" s="563"/>
      <c r="I2900" s="563"/>
      <c r="J2900" s="581"/>
      <c r="N2900" s="563"/>
      <c r="O2900" s="563"/>
      <c r="P2900" s="563"/>
    </row>
    <row r="2901" spans="2:16" ht="15.75" customHeight="1">
      <c r="B2901" s="567"/>
      <c r="H2901" s="563"/>
      <c r="I2901" s="563"/>
      <c r="J2901" s="581"/>
      <c r="N2901" s="563"/>
      <c r="O2901" s="563"/>
      <c r="P2901" s="563"/>
    </row>
    <row r="2902" spans="2:16" ht="15.75" customHeight="1">
      <c r="B2902" s="567"/>
      <c r="H2902" s="563"/>
      <c r="I2902" s="563"/>
      <c r="J2902" s="581"/>
      <c r="N2902" s="563"/>
      <c r="O2902" s="563"/>
      <c r="P2902" s="563"/>
    </row>
    <row r="2903" spans="2:16" ht="15.75" customHeight="1">
      <c r="B2903" s="567"/>
      <c r="H2903" s="563"/>
      <c r="I2903" s="563"/>
      <c r="J2903" s="581"/>
      <c r="N2903" s="563"/>
      <c r="O2903" s="563"/>
      <c r="P2903" s="563"/>
    </row>
    <row r="2904" spans="2:16" ht="15.75" customHeight="1">
      <c r="B2904" s="567"/>
      <c r="H2904" s="563"/>
      <c r="I2904" s="563"/>
      <c r="J2904" s="581"/>
      <c r="N2904" s="563"/>
      <c r="O2904" s="563"/>
      <c r="P2904" s="563"/>
    </row>
    <row r="2905" spans="2:16" ht="15.75" customHeight="1">
      <c r="B2905" s="567"/>
      <c r="H2905" s="563"/>
      <c r="I2905" s="563"/>
      <c r="J2905" s="581"/>
      <c r="N2905" s="563"/>
      <c r="O2905" s="563"/>
      <c r="P2905" s="563"/>
    </row>
    <row r="2906" spans="2:16" ht="15.75" customHeight="1">
      <c r="B2906" s="567"/>
      <c r="H2906" s="563"/>
      <c r="I2906" s="563"/>
      <c r="J2906" s="581"/>
      <c r="N2906" s="563"/>
      <c r="O2906" s="563"/>
      <c r="P2906" s="563"/>
    </row>
    <row r="2907" spans="2:16" ht="15.75" customHeight="1">
      <c r="B2907" s="567"/>
      <c r="H2907" s="563"/>
      <c r="I2907" s="563"/>
      <c r="J2907" s="581"/>
      <c r="N2907" s="563"/>
      <c r="O2907" s="563"/>
      <c r="P2907" s="563"/>
    </row>
    <row r="2908" spans="2:16" ht="15.75" customHeight="1">
      <c r="B2908" s="567"/>
      <c r="H2908" s="563"/>
      <c r="I2908" s="563"/>
      <c r="J2908" s="581"/>
      <c r="N2908" s="563"/>
      <c r="O2908" s="563"/>
      <c r="P2908" s="563"/>
    </row>
    <row r="2909" spans="2:16" ht="15.75" customHeight="1">
      <c r="B2909" s="567"/>
      <c r="H2909" s="563"/>
      <c r="I2909" s="563"/>
      <c r="J2909" s="581"/>
      <c r="N2909" s="563"/>
      <c r="O2909" s="563"/>
      <c r="P2909" s="563"/>
    </row>
    <row r="2910" spans="2:16" ht="15.75" customHeight="1">
      <c r="B2910" s="567"/>
      <c r="H2910" s="563"/>
      <c r="I2910" s="563"/>
      <c r="J2910" s="581"/>
      <c r="N2910" s="563"/>
      <c r="O2910" s="563"/>
      <c r="P2910" s="563"/>
    </row>
    <row r="2911" spans="2:16" ht="15.75" customHeight="1">
      <c r="B2911" s="567"/>
      <c r="H2911" s="563"/>
      <c r="I2911" s="563"/>
      <c r="J2911" s="581"/>
      <c r="N2911" s="563"/>
      <c r="O2911" s="563"/>
      <c r="P2911" s="563"/>
    </row>
    <row r="2912" spans="2:16" ht="15.75" customHeight="1">
      <c r="B2912" s="567"/>
      <c r="H2912" s="563"/>
      <c r="I2912" s="563"/>
      <c r="J2912" s="581"/>
      <c r="N2912" s="563"/>
      <c r="O2912" s="563"/>
      <c r="P2912" s="563"/>
    </row>
    <row r="2913" spans="2:16" ht="15.75" customHeight="1">
      <c r="B2913" s="567"/>
      <c r="H2913" s="563"/>
      <c r="I2913" s="563"/>
      <c r="J2913" s="581"/>
      <c r="N2913" s="563"/>
      <c r="O2913" s="563"/>
      <c r="P2913" s="563"/>
    </row>
    <row r="2914" spans="2:16" ht="15.75" customHeight="1">
      <c r="B2914" s="567"/>
      <c r="H2914" s="563"/>
      <c r="I2914" s="563"/>
      <c r="J2914" s="581"/>
      <c r="N2914" s="563"/>
      <c r="O2914" s="563"/>
      <c r="P2914" s="563"/>
    </row>
    <row r="2915" spans="2:16" ht="15.75" customHeight="1">
      <c r="B2915" s="567"/>
      <c r="H2915" s="563"/>
      <c r="I2915" s="563"/>
      <c r="J2915" s="581"/>
      <c r="N2915" s="563"/>
      <c r="O2915" s="563"/>
      <c r="P2915" s="563"/>
    </row>
    <row r="2916" spans="2:16" ht="15.75" customHeight="1">
      <c r="B2916" s="567"/>
      <c r="H2916" s="563"/>
      <c r="I2916" s="563"/>
      <c r="J2916" s="581"/>
      <c r="N2916" s="563"/>
      <c r="O2916" s="563"/>
      <c r="P2916" s="563"/>
    </row>
    <row r="2917" spans="2:16" ht="15.75" customHeight="1">
      <c r="B2917" s="567"/>
      <c r="H2917" s="563"/>
      <c r="I2917" s="563"/>
      <c r="J2917" s="581"/>
      <c r="N2917" s="563"/>
      <c r="O2917" s="563"/>
      <c r="P2917" s="563"/>
    </row>
    <row r="2918" spans="2:16" ht="15.75" customHeight="1">
      <c r="B2918" s="567"/>
      <c r="H2918" s="563"/>
      <c r="I2918" s="563"/>
      <c r="J2918" s="581"/>
      <c r="N2918" s="563"/>
      <c r="O2918" s="563"/>
      <c r="P2918" s="563"/>
    </row>
    <row r="2919" spans="2:16" ht="15.75" customHeight="1">
      <c r="B2919" s="567"/>
      <c r="H2919" s="563"/>
      <c r="I2919" s="563"/>
      <c r="J2919" s="581"/>
      <c r="N2919" s="563"/>
      <c r="O2919" s="563"/>
      <c r="P2919" s="563"/>
    </row>
    <row r="2920" spans="2:16" ht="15.75" customHeight="1">
      <c r="B2920" s="567"/>
      <c r="H2920" s="563"/>
      <c r="I2920" s="563"/>
      <c r="J2920" s="581"/>
      <c r="N2920" s="563"/>
      <c r="O2920" s="563"/>
      <c r="P2920" s="563"/>
    </row>
    <row r="2921" spans="2:16" ht="15.75" customHeight="1">
      <c r="B2921" s="567"/>
      <c r="H2921" s="563"/>
      <c r="I2921" s="563"/>
      <c r="J2921" s="581"/>
      <c r="N2921" s="563"/>
      <c r="O2921" s="563"/>
      <c r="P2921" s="563"/>
    </row>
    <row r="2922" spans="2:16" ht="15.75" customHeight="1">
      <c r="B2922" s="567"/>
      <c r="H2922" s="563"/>
      <c r="I2922" s="563"/>
      <c r="J2922" s="581"/>
      <c r="N2922" s="563"/>
      <c r="O2922" s="563"/>
      <c r="P2922" s="563"/>
    </row>
    <row r="2923" spans="2:16" ht="15.75" customHeight="1">
      <c r="B2923" s="567"/>
      <c r="H2923" s="563"/>
      <c r="I2923" s="563"/>
      <c r="J2923" s="581"/>
      <c r="N2923" s="563"/>
      <c r="O2923" s="563"/>
      <c r="P2923" s="563"/>
    </row>
    <row r="2924" spans="2:16" ht="15.75" customHeight="1">
      <c r="B2924" s="567"/>
      <c r="H2924" s="563"/>
      <c r="I2924" s="563"/>
      <c r="J2924" s="581"/>
      <c r="N2924" s="563"/>
      <c r="O2924" s="563"/>
      <c r="P2924" s="563"/>
    </row>
    <row r="2925" spans="2:16" ht="15.75" customHeight="1">
      <c r="B2925" s="567"/>
      <c r="H2925" s="563"/>
      <c r="I2925" s="563"/>
      <c r="J2925" s="581"/>
      <c r="N2925" s="563"/>
      <c r="O2925" s="563"/>
      <c r="P2925" s="563"/>
    </row>
    <row r="2926" spans="2:16" ht="15.75" customHeight="1">
      <c r="B2926" s="567"/>
      <c r="H2926" s="563"/>
      <c r="I2926" s="563"/>
      <c r="J2926" s="581"/>
      <c r="N2926" s="563"/>
      <c r="O2926" s="563"/>
      <c r="P2926" s="563"/>
    </row>
    <row r="2927" spans="2:16" ht="15.75" customHeight="1">
      <c r="B2927" s="567"/>
      <c r="H2927" s="563"/>
      <c r="I2927" s="563"/>
      <c r="J2927" s="581"/>
      <c r="N2927" s="563"/>
      <c r="O2927" s="563"/>
      <c r="P2927" s="563"/>
    </row>
    <row r="2928" spans="2:16" ht="15.75" customHeight="1">
      <c r="B2928" s="567"/>
      <c r="H2928" s="563"/>
      <c r="I2928" s="563"/>
      <c r="J2928" s="581"/>
      <c r="N2928" s="563"/>
      <c r="O2928" s="563"/>
      <c r="P2928" s="563"/>
    </row>
    <row r="2929" spans="2:16" ht="15.75" customHeight="1">
      <c r="B2929" s="567"/>
      <c r="H2929" s="563"/>
      <c r="I2929" s="563"/>
      <c r="J2929" s="581"/>
      <c r="N2929" s="563"/>
      <c r="O2929" s="563"/>
      <c r="P2929" s="563"/>
    </row>
    <row r="2930" spans="2:16" ht="15.75" customHeight="1">
      <c r="B2930" s="567"/>
      <c r="H2930" s="563"/>
      <c r="I2930" s="563"/>
      <c r="J2930" s="581"/>
      <c r="N2930" s="563"/>
      <c r="O2930" s="563"/>
      <c r="P2930" s="563"/>
    </row>
    <row r="2931" spans="2:16" ht="15.75" customHeight="1">
      <c r="B2931" s="567"/>
      <c r="H2931" s="563"/>
      <c r="I2931" s="563"/>
      <c r="J2931" s="581"/>
      <c r="N2931" s="563"/>
      <c r="O2931" s="563"/>
      <c r="P2931" s="563"/>
    </row>
    <row r="2932" spans="2:16" ht="15.75" customHeight="1">
      <c r="B2932" s="567"/>
      <c r="H2932" s="563"/>
      <c r="I2932" s="563"/>
      <c r="J2932" s="581"/>
      <c r="N2932" s="563"/>
      <c r="O2932" s="563"/>
      <c r="P2932" s="563"/>
    </row>
    <row r="2933" spans="2:16" ht="15.75" customHeight="1">
      <c r="B2933" s="567"/>
      <c r="H2933" s="563"/>
      <c r="I2933" s="563"/>
      <c r="J2933" s="581"/>
      <c r="N2933" s="563"/>
      <c r="O2933" s="563"/>
      <c r="P2933" s="563"/>
    </row>
    <row r="2934" spans="2:16" ht="15.75" customHeight="1">
      <c r="B2934" s="567"/>
      <c r="H2934" s="563"/>
      <c r="I2934" s="563"/>
      <c r="J2934" s="581"/>
      <c r="N2934" s="563"/>
      <c r="O2934" s="563"/>
      <c r="P2934" s="563"/>
    </row>
    <row r="2935" spans="2:16" ht="15.75" customHeight="1">
      <c r="B2935" s="567"/>
      <c r="H2935" s="563"/>
      <c r="I2935" s="563"/>
      <c r="J2935" s="581"/>
      <c r="N2935" s="563"/>
      <c r="O2935" s="563"/>
      <c r="P2935" s="563"/>
    </row>
    <row r="2936" spans="2:16" ht="15.75" customHeight="1">
      <c r="B2936" s="567"/>
      <c r="H2936" s="563"/>
      <c r="I2936" s="563"/>
      <c r="J2936" s="581"/>
      <c r="N2936" s="563"/>
      <c r="O2936" s="563"/>
      <c r="P2936" s="563"/>
    </row>
    <row r="2937" spans="2:16" ht="15.75" customHeight="1">
      <c r="B2937" s="567"/>
      <c r="H2937" s="563"/>
      <c r="I2937" s="563"/>
      <c r="J2937" s="581"/>
      <c r="N2937" s="563"/>
      <c r="O2937" s="563"/>
      <c r="P2937" s="563"/>
    </row>
    <row r="2938" spans="2:16" ht="15.75" customHeight="1">
      <c r="B2938" s="567"/>
      <c r="H2938" s="563"/>
      <c r="I2938" s="563"/>
      <c r="J2938" s="581"/>
      <c r="N2938" s="563"/>
      <c r="O2938" s="563"/>
      <c r="P2938" s="563"/>
    </row>
    <row r="2939" spans="2:16" ht="15.75" customHeight="1">
      <c r="B2939" s="567"/>
      <c r="H2939" s="563"/>
      <c r="I2939" s="563"/>
      <c r="J2939" s="581"/>
      <c r="N2939" s="563"/>
      <c r="O2939" s="563"/>
      <c r="P2939" s="563"/>
    </row>
    <row r="2940" spans="2:16" ht="15.75" customHeight="1">
      <c r="B2940" s="567"/>
      <c r="H2940" s="563"/>
      <c r="I2940" s="563"/>
      <c r="J2940" s="581"/>
      <c r="N2940" s="563"/>
      <c r="O2940" s="563"/>
      <c r="P2940" s="563"/>
    </row>
    <row r="2941" spans="2:16" ht="15.75" customHeight="1">
      <c r="B2941" s="567"/>
      <c r="H2941" s="563"/>
      <c r="I2941" s="563"/>
      <c r="J2941" s="581"/>
      <c r="N2941" s="563"/>
      <c r="O2941" s="563"/>
      <c r="P2941" s="563"/>
    </row>
    <row r="2942" spans="2:16" ht="15.75" customHeight="1">
      <c r="B2942" s="567"/>
      <c r="H2942" s="563"/>
      <c r="I2942" s="563"/>
      <c r="J2942" s="581"/>
      <c r="N2942" s="563"/>
      <c r="O2942" s="563"/>
      <c r="P2942" s="563"/>
    </row>
    <row r="2943" spans="2:16" ht="15.75" customHeight="1">
      <c r="B2943" s="567"/>
      <c r="H2943" s="563"/>
      <c r="I2943" s="563"/>
      <c r="J2943" s="581"/>
      <c r="N2943" s="563"/>
      <c r="O2943" s="563"/>
      <c r="P2943" s="563"/>
    </row>
    <row r="2944" spans="2:16" ht="15.75" customHeight="1">
      <c r="B2944" s="567"/>
      <c r="H2944" s="563"/>
      <c r="I2944" s="563"/>
      <c r="J2944" s="581"/>
      <c r="N2944" s="563"/>
      <c r="O2944" s="563"/>
      <c r="P2944" s="563"/>
    </row>
    <row r="2945" spans="2:16" ht="15.75" customHeight="1">
      <c r="B2945" s="567"/>
      <c r="H2945" s="563"/>
      <c r="I2945" s="563"/>
      <c r="J2945" s="581"/>
      <c r="N2945" s="563"/>
      <c r="O2945" s="563"/>
      <c r="P2945" s="563"/>
    </row>
    <row r="2946" spans="2:16" ht="15.75" customHeight="1">
      <c r="B2946" s="567"/>
      <c r="H2946" s="563"/>
      <c r="I2946" s="563"/>
      <c r="J2946" s="581"/>
      <c r="N2946" s="563"/>
      <c r="O2946" s="563"/>
      <c r="P2946" s="563"/>
    </row>
    <row r="2947" spans="2:16" ht="15.75" customHeight="1">
      <c r="B2947" s="567"/>
      <c r="H2947" s="563"/>
      <c r="I2947" s="563"/>
      <c r="J2947" s="581"/>
      <c r="N2947" s="563"/>
      <c r="O2947" s="563"/>
      <c r="P2947" s="563"/>
    </row>
    <row r="2948" spans="2:16" ht="15.75" customHeight="1">
      <c r="B2948" s="567"/>
      <c r="H2948" s="563"/>
      <c r="I2948" s="563"/>
      <c r="J2948" s="581"/>
      <c r="N2948" s="563"/>
      <c r="O2948" s="563"/>
      <c r="P2948" s="563"/>
    </row>
    <row r="2949" spans="2:16" ht="15.75" customHeight="1">
      <c r="B2949" s="567"/>
      <c r="H2949" s="563"/>
      <c r="I2949" s="563"/>
      <c r="J2949" s="581"/>
      <c r="N2949" s="563"/>
      <c r="O2949" s="563"/>
      <c r="P2949" s="563"/>
    </row>
    <row r="2950" spans="2:16" ht="15.75" customHeight="1">
      <c r="B2950" s="567"/>
      <c r="H2950" s="563"/>
      <c r="I2950" s="563"/>
      <c r="J2950" s="581"/>
      <c r="N2950" s="563"/>
      <c r="O2950" s="563"/>
      <c r="P2950" s="563"/>
    </row>
    <row r="2951" spans="2:16" ht="15.75" customHeight="1">
      <c r="B2951" s="567"/>
      <c r="H2951" s="563"/>
      <c r="I2951" s="563"/>
      <c r="J2951" s="581"/>
      <c r="N2951" s="563"/>
      <c r="O2951" s="563"/>
      <c r="P2951" s="563"/>
    </row>
    <row r="2952" spans="2:16" ht="15.75" customHeight="1">
      <c r="B2952" s="567"/>
      <c r="H2952" s="563"/>
      <c r="I2952" s="563"/>
      <c r="J2952" s="581"/>
      <c r="N2952" s="563"/>
      <c r="O2952" s="563"/>
      <c r="P2952" s="563"/>
    </row>
    <row r="2953" spans="2:16" ht="15.75" customHeight="1">
      <c r="B2953" s="567"/>
      <c r="H2953" s="563"/>
      <c r="I2953" s="563"/>
      <c r="J2953" s="581"/>
      <c r="N2953" s="563"/>
      <c r="O2953" s="563"/>
      <c r="P2953" s="563"/>
    </row>
    <row r="2954" spans="2:16" ht="15.75" customHeight="1">
      <c r="B2954" s="567"/>
      <c r="H2954" s="563"/>
      <c r="I2954" s="563"/>
      <c r="J2954" s="581"/>
      <c r="N2954" s="563"/>
      <c r="O2954" s="563"/>
      <c r="P2954" s="563"/>
    </row>
    <row r="2955" spans="2:16" ht="15.75" customHeight="1">
      <c r="B2955" s="567"/>
      <c r="H2955" s="563"/>
      <c r="I2955" s="563"/>
      <c r="J2955" s="581"/>
      <c r="N2955" s="563"/>
      <c r="O2955" s="563"/>
      <c r="P2955" s="563"/>
    </row>
    <row r="2956" spans="2:16" ht="15.75" customHeight="1">
      <c r="B2956" s="567"/>
      <c r="H2956" s="563"/>
      <c r="I2956" s="563"/>
      <c r="J2956" s="581"/>
      <c r="N2956" s="563"/>
      <c r="O2956" s="563"/>
      <c r="P2956" s="563"/>
    </row>
    <row r="2957" spans="2:16" ht="15.75" customHeight="1">
      <c r="B2957" s="567"/>
      <c r="H2957" s="563"/>
      <c r="I2957" s="563"/>
      <c r="J2957" s="581"/>
      <c r="N2957" s="563"/>
      <c r="O2957" s="563"/>
      <c r="P2957" s="563"/>
    </row>
    <row r="2958" spans="2:16" ht="15.75" customHeight="1">
      <c r="B2958" s="567"/>
      <c r="H2958" s="563"/>
      <c r="I2958" s="563"/>
      <c r="J2958" s="581"/>
      <c r="N2958" s="563"/>
      <c r="O2958" s="563"/>
      <c r="P2958" s="563"/>
    </row>
    <row r="2959" spans="2:16" ht="15.75" customHeight="1">
      <c r="B2959" s="567"/>
      <c r="H2959" s="563"/>
      <c r="I2959" s="563"/>
      <c r="J2959" s="581"/>
      <c r="N2959" s="563"/>
      <c r="O2959" s="563"/>
      <c r="P2959" s="563"/>
    </row>
    <row r="2960" spans="2:16" ht="15.75" customHeight="1">
      <c r="B2960" s="567"/>
      <c r="H2960" s="563"/>
      <c r="I2960" s="563"/>
      <c r="J2960" s="581"/>
      <c r="N2960" s="563"/>
      <c r="O2960" s="563"/>
      <c r="P2960" s="563"/>
    </row>
    <row r="2961" spans="2:16" ht="15.75" customHeight="1">
      <c r="B2961" s="567"/>
      <c r="H2961" s="563"/>
      <c r="I2961" s="563"/>
      <c r="J2961" s="581"/>
      <c r="N2961" s="563"/>
      <c r="O2961" s="563"/>
      <c r="P2961" s="563"/>
    </row>
    <row r="2962" spans="2:16" ht="15.75" customHeight="1">
      <c r="B2962" s="567"/>
      <c r="H2962" s="563"/>
      <c r="I2962" s="563"/>
      <c r="J2962" s="581"/>
      <c r="N2962" s="563"/>
      <c r="O2962" s="563"/>
      <c r="P2962" s="563"/>
    </row>
    <row r="2963" spans="2:16" ht="15.75" customHeight="1">
      <c r="B2963" s="567"/>
      <c r="H2963" s="563"/>
      <c r="I2963" s="563"/>
      <c r="J2963" s="581"/>
      <c r="N2963" s="563"/>
      <c r="O2963" s="563"/>
      <c r="P2963" s="563"/>
    </row>
    <row r="2964" spans="2:16" ht="15.75" customHeight="1">
      <c r="B2964" s="567"/>
      <c r="H2964" s="563"/>
      <c r="I2964" s="563"/>
      <c r="J2964" s="581"/>
      <c r="N2964" s="563"/>
      <c r="O2964" s="563"/>
      <c r="P2964" s="563"/>
    </row>
    <row r="2965" spans="2:16" ht="15.75" customHeight="1">
      <c r="B2965" s="567"/>
      <c r="H2965" s="563"/>
      <c r="I2965" s="563"/>
      <c r="J2965" s="581"/>
      <c r="N2965" s="563"/>
      <c r="O2965" s="563"/>
      <c r="P2965" s="563"/>
    </row>
    <row r="2966" spans="2:16" ht="15.75" customHeight="1">
      <c r="B2966" s="567"/>
      <c r="H2966" s="563"/>
      <c r="I2966" s="563"/>
      <c r="J2966" s="581"/>
      <c r="N2966" s="563"/>
      <c r="O2966" s="563"/>
      <c r="P2966" s="563"/>
    </row>
    <row r="2967" spans="2:16" ht="15.75" customHeight="1">
      <c r="B2967" s="567"/>
      <c r="H2967" s="563"/>
      <c r="I2967" s="563"/>
      <c r="J2967" s="581"/>
      <c r="N2967" s="563"/>
      <c r="O2967" s="563"/>
      <c r="P2967" s="563"/>
    </row>
    <row r="2968" spans="2:16" ht="15.75" customHeight="1">
      <c r="B2968" s="567"/>
      <c r="H2968" s="563"/>
      <c r="I2968" s="563"/>
      <c r="J2968" s="581"/>
      <c r="N2968" s="563"/>
      <c r="O2968" s="563"/>
      <c r="P2968" s="563"/>
    </row>
    <row r="2969" spans="2:16" ht="15.75" customHeight="1">
      <c r="B2969" s="567"/>
      <c r="H2969" s="563"/>
      <c r="I2969" s="563"/>
      <c r="J2969" s="581"/>
      <c r="N2969" s="563"/>
      <c r="O2969" s="563"/>
      <c r="P2969" s="563"/>
    </row>
    <row r="2970" spans="2:16" ht="15.75" customHeight="1">
      <c r="B2970" s="567"/>
      <c r="H2970" s="563"/>
      <c r="I2970" s="563"/>
      <c r="J2970" s="581"/>
      <c r="N2970" s="563"/>
      <c r="O2970" s="563"/>
      <c r="P2970" s="563"/>
    </row>
    <row r="2971" spans="2:16" ht="15.75" customHeight="1">
      <c r="B2971" s="567"/>
      <c r="H2971" s="563"/>
      <c r="I2971" s="563"/>
      <c r="J2971" s="581"/>
      <c r="N2971" s="563"/>
      <c r="O2971" s="563"/>
      <c r="P2971" s="563"/>
    </row>
    <row r="2972" spans="2:16" ht="15.75" customHeight="1">
      <c r="B2972" s="567"/>
      <c r="H2972" s="563"/>
      <c r="I2972" s="563"/>
      <c r="J2972" s="581"/>
      <c r="N2972" s="563"/>
      <c r="O2972" s="563"/>
      <c r="P2972" s="563"/>
    </row>
    <row r="2973" spans="2:16" ht="15.75" customHeight="1">
      <c r="B2973" s="567"/>
      <c r="H2973" s="563"/>
      <c r="I2973" s="563"/>
      <c r="J2973" s="581"/>
      <c r="N2973" s="563"/>
      <c r="O2973" s="563"/>
      <c r="P2973" s="563"/>
    </row>
    <row r="2974" spans="2:16" ht="15.75" customHeight="1">
      <c r="B2974" s="567"/>
      <c r="H2974" s="563"/>
      <c r="I2974" s="563"/>
      <c r="J2974" s="581"/>
      <c r="N2974" s="563"/>
      <c r="O2974" s="563"/>
      <c r="P2974" s="563"/>
    </row>
    <row r="2975" spans="2:16" ht="15.75" customHeight="1">
      <c r="B2975" s="567"/>
      <c r="H2975" s="563"/>
      <c r="I2975" s="563"/>
      <c r="J2975" s="581"/>
      <c r="N2975" s="563"/>
      <c r="O2975" s="563"/>
      <c r="P2975" s="563"/>
    </row>
    <row r="2976" spans="2:16" ht="15.75" customHeight="1">
      <c r="B2976" s="567"/>
      <c r="H2976" s="563"/>
      <c r="I2976" s="563"/>
      <c r="J2976" s="581"/>
      <c r="N2976" s="563"/>
      <c r="O2976" s="563"/>
      <c r="P2976" s="563"/>
    </row>
    <row r="2977" spans="2:16" ht="15.75" customHeight="1">
      <c r="B2977" s="567"/>
      <c r="H2977" s="563"/>
      <c r="I2977" s="563"/>
      <c r="J2977" s="581"/>
      <c r="N2977" s="563"/>
      <c r="O2977" s="563"/>
      <c r="P2977" s="563"/>
    </row>
    <row r="2978" spans="2:16" ht="15.75" customHeight="1">
      <c r="B2978" s="567"/>
      <c r="H2978" s="563"/>
      <c r="I2978" s="563"/>
      <c r="J2978" s="581"/>
      <c r="N2978" s="563"/>
      <c r="O2978" s="563"/>
      <c r="P2978" s="563"/>
    </row>
    <row r="2979" spans="2:16" ht="15.75" customHeight="1">
      <c r="B2979" s="567"/>
      <c r="H2979" s="563"/>
      <c r="I2979" s="563"/>
      <c r="J2979" s="581"/>
      <c r="N2979" s="563"/>
      <c r="O2979" s="563"/>
      <c r="P2979" s="563"/>
    </row>
    <row r="2980" spans="2:16" ht="15.75" customHeight="1">
      <c r="B2980" s="567"/>
      <c r="H2980" s="563"/>
      <c r="I2980" s="563"/>
      <c r="J2980" s="581"/>
      <c r="N2980" s="563"/>
      <c r="O2980" s="563"/>
      <c r="P2980" s="563"/>
    </row>
    <row r="2981" spans="2:16" ht="15.75" customHeight="1">
      <c r="B2981" s="567"/>
      <c r="H2981" s="563"/>
      <c r="I2981" s="563"/>
      <c r="J2981" s="581"/>
      <c r="N2981" s="563"/>
      <c r="O2981" s="563"/>
      <c r="P2981" s="563"/>
    </row>
    <row r="2982" spans="2:16" ht="15.75" customHeight="1">
      <c r="B2982" s="567"/>
      <c r="H2982" s="563"/>
      <c r="I2982" s="563"/>
      <c r="J2982" s="581"/>
      <c r="N2982" s="563"/>
      <c r="O2982" s="563"/>
      <c r="P2982" s="563"/>
    </row>
    <row r="2983" spans="2:16" ht="15.75" customHeight="1">
      <c r="B2983" s="567"/>
      <c r="H2983" s="563"/>
      <c r="I2983" s="563"/>
      <c r="J2983" s="581"/>
      <c r="N2983" s="563"/>
      <c r="O2983" s="563"/>
      <c r="P2983" s="563"/>
    </row>
    <row r="2984" spans="2:16" ht="15.75" customHeight="1">
      <c r="B2984" s="567"/>
      <c r="H2984" s="563"/>
      <c r="I2984" s="563"/>
      <c r="J2984" s="581"/>
      <c r="N2984" s="563"/>
      <c r="O2984" s="563"/>
      <c r="P2984" s="563"/>
    </row>
    <row r="2985" spans="2:16" ht="15.75" customHeight="1">
      <c r="B2985" s="567"/>
      <c r="H2985" s="563"/>
      <c r="I2985" s="563"/>
      <c r="J2985" s="581"/>
      <c r="N2985" s="563"/>
      <c r="O2985" s="563"/>
      <c r="P2985" s="563"/>
    </row>
    <row r="2986" spans="2:16" ht="15.75" customHeight="1">
      <c r="B2986" s="567"/>
      <c r="H2986" s="563"/>
      <c r="I2986" s="563"/>
      <c r="J2986" s="581"/>
      <c r="N2986" s="563"/>
      <c r="O2986" s="563"/>
      <c r="P2986" s="563"/>
    </row>
    <row r="2987" spans="2:16" ht="15.75" customHeight="1">
      <c r="B2987" s="567"/>
      <c r="H2987" s="563"/>
      <c r="I2987" s="563"/>
      <c r="J2987" s="581"/>
      <c r="N2987" s="563"/>
      <c r="O2987" s="563"/>
      <c r="P2987" s="563"/>
    </row>
    <row r="2988" spans="2:16" ht="15.75" customHeight="1">
      <c r="B2988" s="567"/>
      <c r="H2988" s="563"/>
      <c r="I2988" s="563"/>
      <c r="J2988" s="581"/>
      <c r="N2988" s="563"/>
      <c r="O2988" s="563"/>
      <c r="P2988" s="563"/>
    </row>
    <row r="2989" spans="2:16" ht="15.75" customHeight="1">
      <c r="B2989" s="567"/>
      <c r="H2989" s="563"/>
      <c r="I2989" s="563"/>
      <c r="J2989" s="581"/>
      <c r="N2989" s="563"/>
      <c r="O2989" s="563"/>
      <c r="P2989" s="563"/>
    </row>
    <row r="2990" spans="2:16" ht="15.75" customHeight="1">
      <c r="B2990" s="567"/>
      <c r="H2990" s="563"/>
      <c r="I2990" s="563"/>
      <c r="J2990" s="581"/>
      <c r="N2990" s="563"/>
      <c r="O2990" s="563"/>
      <c r="P2990" s="563"/>
    </row>
    <row r="2991" spans="2:16" ht="15.75" customHeight="1">
      <c r="B2991" s="567"/>
      <c r="H2991" s="563"/>
      <c r="I2991" s="563"/>
      <c r="J2991" s="581"/>
      <c r="N2991" s="563"/>
      <c r="O2991" s="563"/>
      <c r="P2991" s="563"/>
    </row>
    <row r="2992" spans="2:16" ht="15.75" customHeight="1">
      <c r="B2992" s="567"/>
      <c r="H2992" s="563"/>
      <c r="I2992" s="563"/>
      <c r="J2992" s="581"/>
      <c r="N2992" s="563"/>
      <c r="O2992" s="563"/>
      <c r="P2992" s="563"/>
    </row>
    <row r="2993" spans="2:16" ht="15.75" customHeight="1">
      <c r="B2993" s="567"/>
      <c r="H2993" s="563"/>
      <c r="I2993" s="563"/>
      <c r="J2993" s="581"/>
      <c r="N2993" s="563"/>
      <c r="O2993" s="563"/>
      <c r="P2993" s="563"/>
    </row>
    <row r="2994" spans="2:16" ht="15.75" customHeight="1">
      <c r="B2994" s="567"/>
      <c r="H2994" s="563"/>
      <c r="I2994" s="563"/>
      <c r="J2994" s="581"/>
      <c r="N2994" s="563"/>
      <c r="O2994" s="563"/>
      <c r="P2994" s="563"/>
    </row>
    <row r="2995" spans="2:16" ht="15.75" customHeight="1">
      <c r="B2995" s="567"/>
      <c r="H2995" s="563"/>
      <c r="I2995" s="563"/>
      <c r="J2995" s="581"/>
      <c r="N2995" s="563"/>
      <c r="O2995" s="563"/>
      <c r="P2995" s="563"/>
    </row>
    <row r="2996" spans="2:16" ht="15.75" customHeight="1">
      <c r="B2996" s="567"/>
      <c r="H2996" s="563"/>
      <c r="I2996" s="563"/>
      <c r="J2996" s="581"/>
      <c r="N2996" s="563"/>
      <c r="O2996" s="563"/>
      <c r="P2996" s="563"/>
    </row>
    <row r="2997" spans="2:16" ht="15.75" customHeight="1">
      <c r="B2997" s="567"/>
      <c r="H2997" s="563"/>
      <c r="I2997" s="563"/>
      <c r="J2997" s="581"/>
      <c r="N2997" s="563"/>
      <c r="O2997" s="563"/>
      <c r="P2997" s="563"/>
    </row>
    <row r="2998" spans="2:16" ht="15.75" customHeight="1">
      <c r="B2998" s="567"/>
      <c r="H2998" s="563"/>
      <c r="I2998" s="563"/>
      <c r="J2998" s="581"/>
      <c r="N2998" s="563"/>
      <c r="O2998" s="563"/>
      <c r="P2998" s="563"/>
    </row>
    <row r="2999" spans="2:16" ht="15.75" customHeight="1">
      <c r="B2999" s="567"/>
      <c r="H2999" s="563"/>
      <c r="I2999" s="563"/>
      <c r="J2999" s="581"/>
      <c r="N2999" s="563"/>
      <c r="O2999" s="563"/>
      <c r="P2999" s="563"/>
    </row>
    <row r="3000" spans="2:16" ht="15.75" customHeight="1">
      <c r="B3000" s="567"/>
      <c r="H3000" s="563"/>
      <c r="I3000" s="563"/>
      <c r="J3000" s="581"/>
      <c r="N3000" s="563"/>
      <c r="O3000" s="563"/>
      <c r="P3000" s="563"/>
    </row>
    <row r="3001" spans="2:16" ht="15.75" customHeight="1">
      <c r="B3001" s="567"/>
      <c r="H3001" s="563"/>
      <c r="I3001" s="563"/>
      <c r="J3001" s="581"/>
      <c r="N3001" s="563"/>
      <c r="O3001" s="563"/>
      <c r="P3001" s="563"/>
    </row>
    <row r="3002" spans="2:16" ht="15.75" customHeight="1">
      <c r="B3002" s="567"/>
      <c r="H3002" s="563"/>
      <c r="I3002" s="563"/>
      <c r="J3002" s="581"/>
      <c r="N3002" s="563"/>
      <c r="O3002" s="563"/>
      <c r="P3002" s="563"/>
    </row>
    <row r="3003" spans="2:16" ht="15.75" customHeight="1">
      <c r="B3003" s="567"/>
      <c r="H3003" s="563"/>
      <c r="I3003" s="563"/>
      <c r="J3003" s="581"/>
      <c r="N3003" s="563"/>
      <c r="O3003" s="563"/>
      <c r="P3003" s="563"/>
    </row>
    <row r="3004" spans="2:16" ht="15.75" customHeight="1">
      <c r="B3004" s="567"/>
      <c r="H3004" s="563"/>
      <c r="I3004" s="563"/>
      <c r="J3004" s="581"/>
      <c r="N3004" s="563"/>
      <c r="O3004" s="563"/>
      <c r="P3004" s="563"/>
    </row>
    <row r="3005" spans="2:16" ht="15.75" customHeight="1">
      <c r="B3005" s="567"/>
      <c r="H3005" s="563"/>
      <c r="I3005" s="563"/>
      <c r="J3005" s="581"/>
      <c r="N3005" s="563"/>
      <c r="O3005" s="563"/>
      <c r="P3005" s="563"/>
    </row>
    <row r="3006" spans="2:16" ht="15.75" customHeight="1">
      <c r="B3006" s="567"/>
      <c r="H3006" s="563"/>
      <c r="I3006" s="563"/>
      <c r="J3006" s="581"/>
      <c r="N3006" s="563"/>
      <c r="O3006" s="563"/>
      <c r="P3006" s="563"/>
    </row>
    <row r="3007" spans="2:16" ht="15.75" customHeight="1">
      <c r="B3007" s="567"/>
      <c r="H3007" s="563"/>
      <c r="I3007" s="563"/>
      <c r="J3007" s="581"/>
      <c r="N3007" s="563"/>
      <c r="O3007" s="563"/>
      <c r="P3007" s="563"/>
    </row>
    <row r="3008" spans="2:16" ht="15.75" customHeight="1">
      <c r="B3008" s="567"/>
      <c r="H3008" s="563"/>
      <c r="I3008" s="563"/>
      <c r="J3008" s="581"/>
      <c r="N3008" s="563"/>
      <c r="O3008" s="563"/>
      <c r="P3008" s="563"/>
    </row>
    <row r="3009" spans="2:16" ht="15.75" customHeight="1">
      <c r="B3009" s="567"/>
      <c r="H3009" s="563"/>
      <c r="I3009" s="563"/>
      <c r="J3009" s="581"/>
      <c r="N3009" s="563"/>
      <c r="O3009" s="563"/>
      <c r="P3009" s="563"/>
    </row>
    <row r="3010" spans="2:16" ht="15.75" customHeight="1">
      <c r="B3010" s="567"/>
      <c r="H3010" s="563"/>
      <c r="I3010" s="563"/>
      <c r="J3010" s="581"/>
      <c r="N3010" s="563"/>
      <c r="O3010" s="563"/>
      <c r="P3010" s="563"/>
    </row>
    <row r="3011" spans="2:16" ht="15.75" customHeight="1">
      <c r="B3011" s="567"/>
      <c r="H3011" s="563"/>
      <c r="I3011" s="563"/>
      <c r="J3011" s="581"/>
      <c r="N3011" s="563"/>
      <c r="O3011" s="563"/>
      <c r="P3011" s="563"/>
    </row>
    <row r="3012" spans="2:16" ht="15.75" customHeight="1">
      <c r="B3012" s="567"/>
      <c r="H3012" s="563"/>
      <c r="I3012" s="563"/>
      <c r="J3012" s="581"/>
      <c r="N3012" s="563"/>
      <c r="O3012" s="563"/>
      <c r="P3012" s="563"/>
    </row>
    <row r="3013" spans="2:16" ht="15.75" customHeight="1">
      <c r="B3013" s="567"/>
      <c r="H3013" s="563"/>
      <c r="I3013" s="563"/>
      <c r="J3013" s="581"/>
      <c r="N3013" s="563"/>
      <c r="O3013" s="563"/>
      <c r="P3013" s="563"/>
    </row>
    <row r="3014" spans="2:16" ht="15.75" customHeight="1">
      <c r="B3014" s="567"/>
      <c r="H3014" s="563"/>
      <c r="I3014" s="563"/>
      <c r="J3014" s="581"/>
      <c r="N3014" s="563"/>
      <c r="O3014" s="563"/>
      <c r="P3014" s="563"/>
    </row>
    <row r="3015" spans="2:16" ht="15.75" customHeight="1">
      <c r="B3015" s="567"/>
      <c r="H3015" s="563"/>
      <c r="I3015" s="563"/>
      <c r="J3015" s="581"/>
      <c r="N3015" s="563"/>
      <c r="O3015" s="563"/>
      <c r="P3015" s="563"/>
    </row>
    <row r="3016" spans="2:16" ht="15.75" customHeight="1">
      <c r="B3016" s="567"/>
      <c r="H3016" s="563"/>
      <c r="I3016" s="563"/>
      <c r="J3016" s="581"/>
      <c r="N3016" s="563"/>
      <c r="O3016" s="563"/>
      <c r="P3016" s="563"/>
    </row>
    <row r="3017" spans="2:16" ht="15.75" customHeight="1">
      <c r="B3017" s="567"/>
      <c r="H3017" s="563"/>
      <c r="I3017" s="563"/>
      <c r="J3017" s="581"/>
      <c r="N3017" s="563"/>
      <c r="O3017" s="563"/>
      <c r="P3017" s="563"/>
    </row>
    <row r="3018" spans="2:16" ht="15.75" customHeight="1">
      <c r="B3018" s="567"/>
      <c r="H3018" s="563"/>
      <c r="I3018" s="563"/>
      <c r="J3018" s="581"/>
      <c r="N3018" s="563"/>
      <c r="O3018" s="563"/>
      <c r="P3018" s="563"/>
    </row>
    <row r="3019" spans="2:16" ht="15.75" customHeight="1">
      <c r="B3019" s="567"/>
      <c r="H3019" s="563"/>
      <c r="I3019" s="563"/>
      <c r="J3019" s="581"/>
      <c r="N3019" s="563"/>
      <c r="O3019" s="563"/>
      <c r="P3019" s="563"/>
    </row>
    <row r="3020" spans="2:16" ht="15.75" customHeight="1">
      <c r="B3020" s="567"/>
      <c r="H3020" s="563"/>
      <c r="I3020" s="563"/>
      <c r="J3020" s="581"/>
      <c r="N3020" s="563"/>
      <c r="O3020" s="563"/>
      <c r="P3020" s="563"/>
    </row>
    <row r="3021" spans="2:16" ht="15.75" customHeight="1">
      <c r="B3021" s="567"/>
      <c r="H3021" s="563"/>
      <c r="I3021" s="563"/>
      <c r="J3021" s="581"/>
      <c r="N3021" s="563"/>
      <c r="O3021" s="563"/>
      <c r="P3021" s="563"/>
    </row>
    <row r="3022" spans="2:16" ht="15.75" customHeight="1">
      <c r="B3022" s="567"/>
      <c r="H3022" s="563"/>
      <c r="I3022" s="563"/>
      <c r="J3022" s="581"/>
      <c r="N3022" s="563"/>
      <c r="O3022" s="563"/>
      <c r="P3022" s="563"/>
    </row>
    <row r="3023" spans="2:16" ht="15.75" customHeight="1">
      <c r="B3023" s="567"/>
      <c r="H3023" s="563"/>
      <c r="I3023" s="563"/>
      <c r="J3023" s="581"/>
      <c r="N3023" s="563"/>
      <c r="O3023" s="563"/>
      <c r="P3023" s="563"/>
    </row>
    <row r="3024" spans="2:16" ht="15.75" customHeight="1">
      <c r="B3024" s="567"/>
      <c r="H3024" s="563"/>
      <c r="I3024" s="563"/>
      <c r="J3024" s="581"/>
      <c r="N3024" s="563"/>
      <c r="O3024" s="563"/>
      <c r="P3024" s="563"/>
    </row>
    <row r="3025" spans="2:16" ht="15.75" customHeight="1">
      <c r="B3025" s="567"/>
      <c r="H3025" s="563"/>
      <c r="I3025" s="563"/>
      <c r="J3025" s="581"/>
      <c r="N3025" s="563"/>
      <c r="O3025" s="563"/>
      <c r="P3025" s="563"/>
    </row>
    <row r="3026" spans="2:16" ht="15.75" customHeight="1">
      <c r="B3026" s="567"/>
      <c r="H3026" s="563"/>
      <c r="I3026" s="563"/>
      <c r="J3026" s="581"/>
      <c r="N3026" s="563"/>
      <c r="O3026" s="563"/>
      <c r="P3026" s="563"/>
    </row>
    <row r="3027" spans="2:16" ht="15.75" customHeight="1">
      <c r="B3027" s="567"/>
      <c r="H3027" s="563"/>
      <c r="I3027" s="563"/>
      <c r="J3027" s="581"/>
      <c r="N3027" s="563"/>
      <c r="O3027" s="563"/>
      <c r="P3027" s="563"/>
    </row>
    <row r="3028" spans="2:16" ht="15.75" customHeight="1">
      <c r="B3028" s="567"/>
      <c r="H3028" s="563"/>
      <c r="I3028" s="563"/>
      <c r="J3028" s="581"/>
      <c r="N3028" s="563"/>
      <c r="O3028" s="563"/>
      <c r="P3028" s="563"/>
    </row>
    <row r="3029" spans="2:16" ht="15.75" customHeight="1">
      <c r="B3029" s="567"/>
      <c r="H3029" s="563"/>
      <c r="I3029" s="563"/>
      <c r="J3029" s="581"/>
      <c r="N3029" s="563"/>
      <c r="O3029" s="563"/>
      <c r="P3029" s="563"/>
    </row>
    <row r="3030" spans="2:16" ht="15.75" customHeight="1">
      <c r="B3030" s="567"/>
      <c r="H3030" s="563"/>
      <c r="I3030" s="563"/>
      <c r="J3030" s="581"/>
      <c r="N3030" s="563"/>
      <c r="O3030" s="563"/>
      <c r="P3030" s="563"/>
    </row>
    <row r="3031" spans="2:16" ht="15.75" customHeight="1">
      <c r="B3031" s="567"/>
      <c r="H3031" s="563"/>
      <c r="I3031" s="563"/>
      <c r="J3031" s="581"/>
      <c r="N3031" s="563"/>
      <c r="O3031" s="563"/>
      <c r="P3031" s="563"/>
    </row>
    <row r="3032" spans="2:16" ht="15.75" customHeight="1">
      <c r="B3032" s="567"/>
      <c r="H3032" s="563"/>
      <c r="I3032" s="563"/>
      <c r="J3032" s="581"/>
      <c r="N3032" s="563"/>
      <c r="O3032" s="563"/>
      <c r="P3032" s="563"/>
    </row>
    <row r="3033" spans="2:16" ht="15.75" customHeight="1">
      <c r="B3033" s="567"/>
      <c r="H3033" s="563"/>
      <c r="I3033" s="563"/>
      <c r="J3033" s="581"/>
      <c r="N3033" s="563"/>
      <c r="O3033" s="563"/>
      <c r="P3033" s="563"/>
    </row>
    <row r="3034" spans="2:16" ht="15.75" customHeight="1">
      <c r="B3034" s="567"/>
      <c r="H3034" s="563"/>
      <c r="I3034" s="563"/>
      <c r="J3034" s="581"/>
      <c r="N3034" s="563"/>
      <c r="O3034" s="563"/>
      <c r="P3034" s="563"/>
    </row>
    <row r="3035" spans="2:16" ht="15.75" customHeight="1">
      <c r="B3035" s="567"/>
      <c r="H3035" s="563"/>
      <c r="I3035" s="563"/>
      <c r="J3035" s="581"/>
      <c r="N3035" s="563"/>
      <c r="O3035" s="563"/>
      <c r="P3035" s="563"/>
    </row>
    <row r="3036" spans="2:16" ht="15.75" customHeight="1">
      <c r="B3036" s="567"/>
      <c r="H3036" s="563"/>
      <c r="I3036" s="563"/>
      <c r="J3036" s="581"/>
      <c r="N3036" s="563"/>
      <c r="O3036" s="563"/>
      <c r="P3036" s="563"/>
    </row>
    <row r="3037" spans="2:16" ht="15.75" customHeight="1">
      <c r="B3037" s="567"/>
      <c r="H3037" s="563"/>
      <c r="I3037" s="563"/>
      <c r="J3037" s="581"/>
      <c r="N3037" s="563"/>
      <c r="O3037" s="563"/>
      <c r="P3037" s="563"/>
    </row>
    <row r="3038" spans="2:16" ht="15.75" customHeight="1">
      <c r="B3038" s="567"/>
      <c r="H3038" s="563"/>
      <c r="I3038" s="563"/>
      <c r="J3038" s="581"/>
      <c r="N3038" s="563"/>
      <c r="O3038" s="563"/>
      <c r="P3038" s="563"/>
    </row>
    <row r="3039" spans="2:16" ht="15.75" customHeight="1">
      <c r="B3039" s="567"/>
      <c r="H3039" s="563"/>
      <c r="I3039" s="563"/>
      <c r="J3039" s="581"/>
      <c r="N3039" s="563"/>
      <c r="O3039" s="563"/>
      <c r="P3039" s="563"/>
    </row>
    <row r="3040" spans="2:16" ht="15.75" customHeight="1">
      <c r="B3040" s="567"/>
      <c r="H3040" s="563"/>
      <c r="I3040" s="563"/>
      <c r="J3040" s="581"/>
      <c r="N3040" s="563"/>
      <c r="O3040" s="563"/>
      <c r="P3040" s="563"/>
    </row>
    <row r="3041" spans="2:16" ht="15.75" customHeight="1">
      <c r="B3041" s="567"/>
      <c r="H3041" s="563"/>
      <c r="I3041" s="563"/>
      <c r="J3041" s="581"/>
      <c r="N3041" s="563"/>
      <c r="O3041" s="563"/>
      <c r="P3041" s="563"/>
    </row>
    <row r="3042" spans="2:16" ht="15.75" customHeight="1">
      <c r="B3042" s="567"/>
      <c r="H3042" s="563"/>
      <c r="I3042" s="563"/>
      <c r="J3042" s="581"/>
      <c r="N3042" s="563"/>
      <c r="O3042" s="563"/>
      <c r="P3042" s="563"/>
    </row>
    <row r="3043" spans="2:16" ht="15.75" customHeight="1">
      <c r="B3043" s="567"/>
      <c r="H3043" s="563"/>
      <c r="I3043" s="563"/>
      <c r="J3043" s="581"/>
      <c r="N3043" s="563"/>
      <c r="O3043" s="563"/>
      <c r="P3043" s="563"/>
    </row>
    <row r="3044" spans="2:16" ht="15.75" customHeight="1">
      <c r="B3044" s="567"/>
      <c r="H3044" s="563"/>
      <c r="I3044" s="563"/>
      <c r="J3044" s="581"/>
      <c r="N3044" s="563"/>
      <c r="O3044" s="563"/>
      <c r="P3044" s="563"/>
    </row>
    <row r="3045" spans="2:16" ht="15.75" customHeight="1">
      <c r="B3045" s="567"/>
      <c r="H3045" s="563"/>
      <c r="I3045" s="563"/>
      <c r="J3045" s="581"/>
      <c r="N3045" s="563"/>
      <c r="O3045" s="563"/>
      <c r="P3045" s="563"/>
    </row>
    <row r="3046" spans="2:16" ht="15.75" customHeight="1">
      <c r="B3046" s="567"/>
      <c r="H3046" s="563"/>
      <c r="I3046" s="563"/>
      <c r="J3046" s="581"/>
      <c r="N3046" s="563"/>
      <c r="O3046" s="563"/>
      <c r="P3046" s="563"/>
    </row>
    <row r="3047" spans="2:16" ht="15.75" customHeight="1">
      <c r="B3047" s="567"/>
      <c r="H3047" s="563"/>
      <c r="I3047" s="563"/>
      <c r="J3047" s="581"/>
      <c r="N3047" s="563"/>
      <c r="O3047" s="563"/>
      <c r="P3047" s="563"/>
    </row>
    <row r="3048" spans="2:16" ht="15.75" customHeight="1">
      <c r="B3048" s="567"/>
      <c r="H3048" s="563"/>
      <c r="I3048" s="563"/>
      <c r="J3048" s="581"/>
      <c r="N3048" s="563"/>
      <c r="O3048" s="563"/>
      <c r="P3048" s="563"/>
    </row>
    <row r="3049" spans="2:16" ht="15.75" customHeight="1">
      <c r="B3049" s="567"/>
      <c r="H3049" s="563"/>
      <c r="I3049" s="563"/>
      <c r="J3049" s="581"/>
      <c r="N3049" s="563"/>
      <c r="O3049" s="563"/>
      <c r="P3049" s="563"/>
    </row>
    <row r="3050" spans="2:16" ht="15.75" customHeight="1">
      <c r="B3050" s="567"/>
      <c r="H3050" s="563"/>
      <c r="I3050" s="563"/>
      <c r="J3050" s="581"/>
      <c r="N3050" s="563"/>
      <c r="O3050" s="563"/>
      <c r="P3050" s="563"/>
    </row>
    <row r="3051" spans="2:16" ht="15.75" customHeight="1">
      <c r="B3051" s="567"/>
      <c r="H3051" s="563"/>
      <c r="I3051" s="563"/>
      <c r="J3051" s="581"/>
      <c r="N3051" s="563"/>
      <c r="O3051" s="563"/>
      <c r="P3051" s="563"/>
    </row>
    <row r="3052" spans="2:16" ht="15.75" customHeight="1">
      <c r="B3052" s="567"/>
      <c r="H3052" s="563"/>
      <c r="I3052" s="563"/>
      <c r="J3052" s="581"/>
      <c r="N3052" s="563"/>
      <c r="O3052" s="563"/>
      <c r="P3052" s="563"/>
    </row>
    <row r="3053" spans="2:16" ht="15.75" customHeight="1">
      <c r="B3053" s="567"/>
      <c r="H3053" s="563"/>
      <c r="I3053" s="563"/>
      <c r="J3053" s="581"/>
      <c r="N3053" s="563"/>
      <c r="O3053" s="563"/>
      <c r="P3053" s="563"/>
    </row>
    <row r="3054" spans="2:16" ht="15.75" customHeight="1">
      <c r="B3054" s="567"/>
      <c r="H3054" s="563"/>
      <c r="I3054" s="563"/>
      <c r="J3054" s="581"/>
      <c r="N3054" s="563"/>
      <c r="O3054" s="563"/>
      <c r="P3054" s="563"/>
    </row>
    <row r="3055" spans="2:16" ht="15.75" customHeight="1">
      <c r="B3055" s="567"/>
      <c r="H3055" s="563"/>
      <c r="I3055" s="563"/>
      <c r="J3055" s="581"/>
      <c r="N3055" s="563"/>
      <c r="O3055" s="563"/>
      <c r="P3055" s="563"/>
    </row>
    <row r="3056" spans="2:16" ht="15.75" customHeight="1">
      <c r="B3056" s="567"/>
      <c r="H3056" s="563"/>
      <c r="I3056" s="563"/>
      <c r="J3056" s="581"/>
      <c r="N3056" s="563"/>
      <c r="O3056" s="563"/>
      <c r="P3056" s="563"/>
    </row>
    <row r="3057" spans="2:16" ht="15.75" customHeight="1">
      <c r="B3057" s="567"/>
      <c r="H3057" s="563"/>
      <c r="I3057" s="563"/>
      <c r="J3057" s="581"/>
      <c r="N3057" s="563"/>
      <c r="O3057" s="563"/>
      <c r="P3057" s="563"/>
    </row>
    <row r="3058" spans="2:16" ht="15.75" customHeight="1">
      <c r="B3058" s="567"/>
      <c r="H3058" s="563"/>
      <c r="I3058" s="563"/>
      <c r="J3058" s="581"/>
      <c r="N3058" s="563"/>
      <c r="O3058" s="563"/>
      <c r="P3058" s="563"/>
    </row>
    <row r="3059" spans="2:16" ht="15.75" customHeight="1">
      <c r="B3059" s="567"/>
      <c r="H3059" s="563"/>
      <c r="I3059" s="563"/>
      <c r="J3059" s="581"/>
      <c r="N3059" s="563"/>
      <c r="O3059" s="563"/>
      <c r="P3059" s="563"/>
    </row>
    <row r="3060" spans="2:16" ht="15.75" customHeight="1">
      <c r="B3060" s="567"/>
      <c r="H3060" s="563"/>
      <c r="I3060" s="563"/>
      <c r="J3060" s="581"/>
      <c r="N3060" s="563"/>
      <c r="O3060" s="563"/>
      <c r="P3060" s="563"/>
    </row>
    <row r="3061" spans="2:16" ht="15.75" customHeight="1">
      <c r="B3061" s="567"/>
      <c r="H3061" s="563"/>
      <c r="I3061" s="563"/>
      <c r="J3061" s="581"/>
      <c r="N3061" s="563"/>
      <c r="O3061" s="563"/>
      <c r="P3061" s="563"/>
    </row>
    <row r="3062" spans="2:16" ht="15.75" customHeight="1">
      <c r="B3062" s="567"/>
      <c r="H3062" s="563"/>
      <c r="I3062" s="563"/>
      <c r="J3062" s="581"/>
      <c r="N3062" s="563"/>
      <c r="O3062" s="563"/>
      <c r="P3062" s="563"/>
    </row>
    <row r="3063" spans="2:16" ht="15.75" customHeight="1">
      <c r="B3063" s="567"/>
      <c r="H3063" s="563"/>
      <c r="I3063" s="563"/>
      <c r="J3063" s="581"/>
      <c r="N3063" s="563"/>
      <c r="O3063" s="563"/>
      <c r="P3063" s="563"/>
    </row>
    <row r="3064" spans="2:16" ht="15.75" customHeight="1">
      <c r="B3064" s="567"/>
      <c r="H3064" s="563"/>
      <c r="I3064" s="563"/>
      <c r="J3064" s="581"/>
      <c r="N3064" s="563"/>
      <c r="O3064" s="563"/>
      <c r="P3064" s="563"/>
    </row>
    <row r="3065" spans="2:16" ht="15.75" customHeight="1">
      <c r="B3065" s="567"/>
      <c r="H3065" s="563"/>
      <c r="I3065" s="563"/>
      <c r="J3065" s="581"/>
      <c r="N3065" s="563"/>
      <c r="O3065" s="563"/>
      <c r="P3065" s="563"/>
    </row>
    <row r="3066" spans="2:16" ht="15.75" customHeight="1">
      <c r="B3066" s="567"/>
      <c r="H3066" s="563"/>
      <c r="I3066" s="563"/>
      <c r="J3066" s="581"/>
      <c r="N3066" s="563"/>
      <c r="O3066" s="563"/>
      <c r="P3066" s="563"/>
    </row>
    <row r="3067" spans="2:16" ht="15.75" customHeight="1">
      <c r="B3067" s="567"/>
      <c r="H3067" s="563"/>
      <c r="I3067" s="563"/>
      <c r="J3067" s="581"/>
      <c r="N3067" s="563"/>
      <c r="O3067" s="563"/>
      <c r="P3067" s="563"/>
    </row>
    <row r="3068" spans="2:16" ht="15.75" customHeight="1">
      <c r="B3068" s="567"/>
      <c r="H3068" s="563"/>
      <c r="I3068" s="563"/>
      <c r="J3068" s="581"/>
      <c r="N3068" s="563"/>
      <c r="O3068" s="563"/>
      <c r="P3068" s="563"/>
    </row>
    <row r="3069" spans="2:16" ht="15.75" customHeight="1">
      <c r="B3069" s="567"/>
      <c r="H3069" s="563"/>
      <c r="I3069" s="563"/>
      <c r="J3069" s="581"/>
      <c r="N3069" s="563"/>
      <c r="O3069" s="563"/>
      <c r="P3069" s="563"/>
    </row>
    <row r="3070" spans="2:16" ht="15.75" customHeight="1">
      <c r="B3070" s="567"/>
      <c r="H3070" s="563"/>
      <c r="I3070" s="563"/>
      <c r="J3070" s="581"/>
      <c r="N3070" s="563"/>
      <c r="O3070" s="563"/>
      <c r="P3070" s="563"/>
    </row>
    <row r="3071" spans="2:16" ht="15.75" customHeight="1">
      <c r="B3071" s="567"/>
      <c r="H3071" s="563"/>
      <c r="I3071" s="563"/>
      <c r="J3071" s="581"/>
      <c r="N3071" s="563"/>
      <c r="O3071" s="563"/>
      <c r="P3071" s="563"/>
    </row>
    <row r="3072" spans="2:16" ht="15.75" customHeight="1">
      <c r="B3072" s="567"/>
      <c r="H3072" s="563"/>
      <c r="I3072" s="563"/>
      <c r="J3072" s="581"/>
      <c r="N3072" s="563"/>
      <c r="O3072" s="563"/>
      <c r="P3072" s="563"/>
    </row>
    <row r="3073" spans="2:16" ht="15.75" customHeight="1">
      <c r="B3073" s="567"/>
      <c r="H3073" s="563"/>
      <c r="I3073" s="563"/>
      <c r="J3073" s="581"/>
      <c r="N3073" s="563"/>
      <c r="O3073" s="563"/>
      <c r="P3073" s="563"/>
    </row>
    <row r="3074" spans="2:16" ht="15.75" customHeight="1">
      <c r="B3074" s="567"/>
      <c r="H3074" s="563"/>
      <c r="I3074" s="563"/>
      <c r="J3074" s="581"/>
      <c r="N3074" s="563"/>
      <c r="O3074" s="563"/>
      <c r="P3074" s="563"/>
    </row>
    <row r="3075" spans="2:16" ht="15.75" customHeight="1">
      <c r="B3075" s="567"/>
      <c r="H3075" s="563"/>
      <c r="I3075" s="563"/>
      <c r="J3075" s="581"/>
      <c r="N3075" s="563"/>
      <c r="O3075" s="563"/>
      <c r="P3075" s="563"/>
    </row>
    <row r="3076" spans="2:16" ht="15.75" customHeight="1">
      <c r="H3076" s="563"/>
      <c r="I3076" s="563"/>
      <c r="J3076" s="581"/>
      <c r="N3076" s="563"/>
      <c r="O3076" s="563"/>
      <c r="P3076" s="563"/>
    </row>
    <row r="3077" spans="2:16" ht="15.75" customHeight="1">
      <c r="H3077" s="563"/>
      <c r="I3077" s="563"/>
      <c r="J3077" s="581"/>
      <c r="N3077" s="563"/>
      <c r="O3077" s="563"/>
      <c r="P3077" s="563"/>
    </row>
    <row r="3078" spans="2:16" ht="15.75" customHeight="1">
      <c r="H3078" s="563"/>
      <c r="I3078" s="563"/>
      <c r="J3078" s="581"/>
      <c r="N3078" s="563"/>
      <c r="O3078" s="563"/>
      <c r="P3078" s="563"/>
    </row>
    <row r="3079" spans="2:16" ht="15.75" customHeight="1">
      <c r="H3079" s="563"/>
      <c r="I3079" s="563"/>
      <c r="J3079" s="581"/>
      <c r="N3079" s="563"/>
      <c r="O3079" s="563"/>
      <c r="P3079" s="563"/>
    </row>
    <row r="3080" spans="2:16" ht="15.75" customHeight="1">
      <c r="H3080" s="563"/>
      <c r="I3080" s="563"/>
      <c r="J3080" s="581"/>
      <c r="N3080" s="563"/>
      <c r="O3080" s="563"/>
      <c r="P3080" s="563"/>
    </row>
    <row r="3081" spans="2:16" ht="15.75" customHeight="1">
      <c r="H3081" s="563"/>
      <c r="I3081" s="563"/>
      <c r="J3081" s="581"/>
      <c r="N3081" s="563"/>
      <c r="O3081" s="563"/>
      <c r="P3081" s="563"/>
    </row>
    <row r="3082" spans="2:16" ht="15.75" customHeight="1">
      <c r="H3082" s="563"/>
      <c r="I3082" s="563"/>
      <c r="J3082" s="581"/>
      <c r="N3082" s="563"/>
      <c r="O3082" s="563"/>
      <c r="P3082" s="563"/>
    </row>
    <row r="3083" spans="2:16" ht="15.75" customHeight="1">
      <c r="H3083" s="563"/>
      <c r="I3083" s="563"/>
      <c r="J3083" s="581"/>
      <c r="N3083" s="563"/>
      <c r="O3083" s="563"/>
      <c r="P3083" s="563"/>
    </row>
    <row r="3084" spans="2:16" ht="15.75" customHeight="1">
      <c r="H3084" s="563"/>
      <c r="I3084" s="563"/>
      <c r="J3084" s="581"/>
      <c r="N3084" s="563"/>
      <c r="O3084" s="563"/>
      <c r="P3084" s="563"/>
    </row>
    <row r="3085" spans="2:16" ht="15.75" customHeight="1">
      <c r="H3085" s="563"/>
      <c r="I3085" s="563"/>
      <c r="J3085" s="581"/>
      <c r="N3085" s="563"/>
      <c r="O3085" s="563"/>
      <c r="P3085" s="563"/>
    </row>
    <row r="3086" spans="2:16" ht="15.75" customHeight="1">
      <c r="H3086" s="563"/>
      <c r="I3086" s="563"/>
      <c r="J3086" s="581"/>
      <c r="N3086" s="563"/>
      <c r="O3086" s="563"/>
      <c r="P3086" s="563"/>
    </row>
    <row r="3087" spans="2:16" ht="15.75" customHeight="1">
      <c r="H3087" s="563"/>
      <c r="I3087" s="563"/>
      <c r="J3087" s="581"/>
      <c r="N3087" s="563"/>
      <c r="O3087" s="563"/>
      <c r="P3087" s="563"/>
    </row>
    <row r="3088" spans="2:16" ht="15.75" customHeight="1">
      <c r="H3088" s="563"/>
      <c r="I3088" s="563"/>
      <c r="J3088" s="581"/>
      <c r="N3088" s="563"/>
      <c r="O3088" s="563"/>
      <c r="P3088" s="563"/>
    </row>
    <row r="3089" spans="8:16" ht="15.75" customHeight="1">
      <c r="H3089" s="563"/>
      <c r="I3089" s="563"/>
      <c r="J3089" s="581"/>
      <c r="N3089" s="563"/>
      <c r="O3089" s="563"/>
      <c r="P3089" s="563"/>
    </row>
    <row r="3090" spans="8:16" ht="15.75" customHeight="1">
      <c r="H3090" s="563"/>
      <c r="I3090" s="563"/>
      <c r="J3090" s="581"/>
      <c r="N3090" s="563"/>
      <c r="O3090" s="563"/>
      <c r="P3090" s="563"/>
    </row>
    <row r="3091" spans="8:16" ht="15.75" customHeight="1">
      <c r="H3091" s="563"/>
      <c r="I3091" s="563"/>
      <c r="J3091" s="581"/>
      <c r="N3091" s="563"/>
      <c r="O3091" s="563"/>
      <c r="P3091" s="563"/>
    </row>
    <row r="3092" spans="8:16" ht="15.75" customHeight="1">
      <c r="H3092" s="563"/>
      <c r="I3092" s="563"/>
      <c r="J3092" s="581"/>
      <c r="N3092" s="563"/>
      <c r="O3092" s="563"/>
      <c r="P3092" s="563"/>
    </row>
    <row r="3093" spans="8:16" ht="15.75" customHeight="1">
      <c r="H3093" s="563"/>
      <c r="I3093" s="563"/>
      <c r="J3093" s="581"/>
      <c r="N3093" s="563"/>
      <c r="O3093" s="563"/>
      <c r="P3093" s="563"/>
    </row>
    <row r="3094" spans="8:16" ht="15.75" customHeight="1">
      <c r="H3094" s="563"/>
      <c r="I3094" s="563"/>
      <c r="J3094" s="581"/>
      <c r="N3094" s="563"/>
      <c r="O3094" s="563"/>
      <c r="P3094" s="563"/>
    </row>
    <row r="3095" spans="8:16" ht="15.75" customHeight="1">
      <c r="H3095" s="563"/>
      <c r="I3095" s="563"/>
      <c r="J3095" s="581"/>
      <c r="N3095" s="563"/>
      <c r="O3095" s="563"/>
      <c r="P3095" s="563"/>
    </row>
    <row r="3096" spans="8:16" ht="15.75" customHeight="1">
      <c r="H3096" s="563"/>
      <c r="I3096" s="563"/>
      <c r="J3096" s="581"/>
      <c r="N3096" s="563"/>
      <c r="O3096" s="563"/>
      <c r="P3096" s="563"/>
    </row>
    <row r="3097" spans="8:16" ht="15.75" customHeight="1">
      <c r="H3097" s="563"/>
      <c r="I3097" s="563"/>
      <c r="J3097" s="581"/>
      <c r="N3097" s="563"/>
      <c r="O3097" s="563"/>
      <c r="P3097" s="563"/>
    </row>
    <row r="3098" spans="8:16" ht="15.75" customHeight="1">
      <c r="H3098" s="563"/>
      <c r="I3098" s="563"/>
      <c r="J3098" s="581"/>
      <c r="N3098" s="563"/>
      <c r="O3098" s="563"/>
      <c r="P3098" s="563"/>
    </row>
    <row r="3099" spans="8:16" ht="15.75" customHeight="1">
      <c r="H3099" s="563"/>
      <c r="I3099" s="563"/>
      <c r="J3099" s="581"/>
      <c r="N3099" s="563"/>
      <c r="O3099" s="563"/>
      <c r="P3099" s="563"/>
    </row>
    <row r="3100" spans="8:16" ht="15.75" customHeight="1">
      <c r="H3100" s="563"/>
      <c r="I3100" s="563"/>
      <c r="J3100" s="581"/>
      <c r="N3100" s="563"/>
      <c r="O3100" s="563"/>
      <c r="P3100" s="563"/>
    </row>
    <row r="3101" spans="8:16" ht="15.75" customHeight="1">
      <c r="H3101" s="563"/>
      <c r="I3101" s="563"/>
      <c r="J3101" s="581"/>
      <c r="N3101" s="563"/>
      <c r="O3101" s="563"/>
      <c r="P3101" s="563"/>
    </row>
    <row r="3102" spans="8:16" ht="15.75" customHeight="1">
      <c r="H3102" s="563"/>
      <c r="I3102" s="563"/>
      <c r="J3102" s="581"/>
      <c r="N3102" s="563"/>
      <c r="O3102" s="563"/>
      <c r="P3102" s="563"/>
    </row>
    <row r="3103" spans="8:16" ht="15.75" customHeight="1">
      <c r="H3103" s="563"/>
      <c r="I3103" s="563"/>
      <c r="J3103" s="581"/>
      <c r="N3103" s="563"/>
      <c r="O3103" s="563"/>
      <c r="P3103" s="563"/>
    </row>
    <row r="3104" spans="8:16" ht="15.75" customHeight="1">
      <c r="H3104" s="563"/>
      <c r="I3104" s="563"/>
      <c r="J3104" s="581"/>
      <c r="N3104" s="563"/>
      <c r="O3104" s="563"/>
      <c r="P3104" s="563"/>
    </row>
    <row r="3105" spans="8:16" ht="15.75" customHeight="1">
      <c r="H3105" s="563"/>
      <c r="I3105" s="563"/>
      <c r="J3105" s="581"/>
      <c r="N3105" s="563"/>
      <c r="O3105" s="563"/>
      <c r="P3105" s="563"/>
    </row>
    <row r="3106" spans="8:16" ht="15.75" customHeight="1">
      <c r="H3106" s="563"/>
      <c r="I3106" s="563"/>
      <c r="J3106" s="581"/>
      <c r="N3106" s="563"/>
      <c r="O3106" s="563"/>
      <c r="P3106" s="563"/>
    </row>
    <row r="3107" spans="8:16" ht="15.75" customHeight="1">
      <c r="H3107" s="563"/>
      <c r="I3107" s="563"/>
      <c r="J3107" s="581"/>
      <c r="N3107" s="563"/>
      <c r="O3107" s="563"/>
      <c r="P3107" s="563"/>
    </row>
    <row r="3108" spans="8:16" ht="15.75" customHeight="1">
      <c r="H3108" s="563"/>
      <c r="I3108" s="563"/>
      <c r="J3108" s="581"/>
      <c r="N3108" s="563"/>
      <c r="O3108" s="563"/>
      <c r="P3108" s="563"/>
    </row>
    <row r="3109" spans="8:16" ht="15.75" customHeight="1">
      <c r="H3109" s="563"/>
      <c r="I3109" s="563"/>
      <c r="J3109" s="581"/>
      <c r="N3109" s="563"/>
      <c r="O3109" s="563"/>
      <c r="P3109" s="563"/>
    </row>
    <row r="3110" spans="8:16" ht="15.75" customHeight="1">
      <c r="H3110" s="563"/>
      <c r="I3110" s="563"/>
      <c r="J3110" s="581"/>
      <c r="N3110" s="563"/>
      <c r="O3110" s="563"/>
      <c r="P3110" s="563"/>
    </row>
    <row r="3111" spans="8:16" ht="15.75" customHeight="1">
      <c r="H3111" s="563"/>
      <c r="I3111" s="563"/>
      <c r="J3111" s="581"/>
      <c r="N3111" s="563"/>
      <c r="O3111" s="563"/>
      <c r="P3111" s="563"/>
    </row>
    <row r="3112" spans="8:16" ht="15.75" customHeight="1">
      <c r="H3112" s="563"/>
      <c r="I3112" s="563"/>
      <c r="J3112" s="581"/>
      <c r="N3112" s="563"/>
      <c r="O3112" s="563"/>
      <c r="P3112" s="563"/>
    </row>
    <row r="3113" spans="8:16" ht="15.75" customHeight="1">
      <c r="H3113" s="563"/>
      <c r="I3113" s="563"/>
      <c r="J3113" s="581"/>
      <c r="N3113" s="563"/>
      <c r="O3113" s="563"/>
      <c r="P3113" s="563"/>
    </row>
    <row r="3114" spans="8:16" ht="15.75" customHeight="1">
      <c r="H3114" s="563"/>
      <c r="I3114" s="563"/>
      <c r="J3114" s="581"/>
      <c r="N3114" s="563"/>
      <c r="O3114" s="563"/>
      <c r="P3114" s="563"/>
    </row>
    <row r="3115" spans="8:16" ht="15.75" customHeight="1">
      <c r="H3115" s="563"/>
      <c r="I3115" s="563"/>
      <c r="J3115" s="581"/>
      <c r="N3115" s="563"/>
      <c r="O3115" s="563"/>
      <c r="P3115" s="563"/>
    </row>
    <row r="3116" spans="8:16" ht="15.75" customHeight="1">
      <c r="H3116" s="563"/>
      <c r="I3116" s="563"/>
      <c r="J3116" s="581"/>
      <c r="N3116" s="563"/>
      <c r="O3116" s="563"/>
      <c r="P3116" s="563"/>
    </row>
    <row r="3117" spans="8:16" ht="15.75" customHeight="1">
      <c r="H3117" s="563"/>
      <c r="I3117" s="563"/>
      <c r="J3117" s="581"/>
      <c r="N3117" s="563"/>
      <c r="O3117" s="563"/>
      <c r="P3117" s="563"/>
    </row>
    <row r="3118" spans="8:16" ht="15.75" customHeight="1">
      <c r="H3118" s="563"/>
      <c r="I3118" s="563"/>
      <c r="J3118" s="581"/>
      <c r="N3118" s="563"/>
      <c r="O3118" s="563"/>
      <c r="P3118" s="563"/>
    </row>
    <row r="3119" spans="8:16" ht="15.75" customHeight="1">
      <c r="H3119" s="563"/>
      <c r="I3119" s="563"/>
      <c r="J3119" s="581"/>
      <c r="N3119" s="563"/>
      <c r="O3119" s="563"/>
      <c r="P3119" s="563"/>
    </row>
    <row r="3120" spans="8:16" ht="15.75" customHeight="1">
      <c r="H3120" s="563"/>
      <c r="I3120" s="563"/>
      <c r="J3120" s="581"/>
      <c r="N3120" s="563"/>
      <c r="O3120" s="563"/>
      <c r="P3120" s="563"/>
    </row>
    <row r="3121" spans="8:16" ht="15.75" customHeight="1">
      <c r="H3121" s="563"/>
      <c r="I3121" s="563"/>
      <c r="J3121" s="581"/>
      <c r="N3121" s="563"/>
      <c r="O3121" s="563"/>
      <c r="P3121" s="563"/>
    </row>
    <row r="3122" spans="8:16" ht="15.75" customHeight="1">
      <c r="H3122" s="563"/>
      <c r="I3122" s="563"/>
      <c r="J3122" s="581"/>
      <c r="N3122" s="563"/>
      <c r="O3122" s="563"/>
      <c r="P3122" s="563"/>
    </row>
    <row r="3123" spans="8:16" ht="15.75" customHeight="1">
      <c r="H3123" s="563"/>
      <c r="I3123" s="563"/>
      <c r="J3123" s="581"/>
      <c r="N3123" s="563"/>
      <c r="O3123" s="563"/>
      <c r="P3123" s="563"/>
    </row>
    <row r="3124" spans="8:16" ht="15.75" customHeight="1">
      <c r="H3124" s="563"/>
      <c r="I3124" s="563"/>
      <c r="J3124" s="581"/>
      <c r="N3124" s="563"/>
      <c r="O3124" s="563"/>
      <c r="P3124" s="563"/>
    </row>
    <row r="3125" spans="8:16" ht="15.75" customHeight="1">
      <c r="H3125" s="563"/>
      <c r="I3125" s="563"/>
      <c r="J3125" s="581"/>
      <c r="N3125" s="563"/>
      <c r="O3125" s="563"/>
      <c r="P3125" s="563"/>
    </row>
    <row r="3126" spans="8:16" ht="15.75" customHeight="1">
      <c r="H3126" s="563"/>
      <c r="I3126" s="563"/>
      <c r="J3126" s="581"/>
      <c r="N3126" s="563"/>
      <c r="O3126" s="563"/>
      <c r="P3126" s="563"/>
    </row>
    <row r="3127" spans="8:16" ht="15.75" customHeight="1">
      <c r="H3127" s="563"/>
      <c r="I3127" s="563"/>
      <c r="J3127" s="581"/>
      <c r="N3127" s="563"/>
      <c r="O3127" s="563"/>
      <c r="P3127" s="563"/>
    </row>
    <row r="3128" spans="8:16" ht="15.75" customHeight="1">
      <c r="H3128" s="563"/>
      <c r="I3128" s="563"/>
      <c r="J3128" s="581"/>
      <c r="N3128" s="563"/>
      <c r="O3128" s="563"/>
      <c r="P3128" s="563"/>
    </row>
    <row r="3129" spans="8:16" ht="15.75" customHeight="1">
      <c r="H3129" s="563"/>
      <c r="I3129" s="563"/>
      <c r="J3129" s="581"/>
      <c r="N3129" s="563"/>
      <c r="O3129" s="563"/>
      <c r="P3129" s="563"/>
    </row>
    <row r="3130" spans="8:16" ht="15.75" customHeight="1">
      <c r="H3130" s="563"/>
      <c r="I3130" s="563"/>
      <c r="J3130" s="581"/>
      <c r="N3130" s="563"/>
      <c r="O3130" s="563"/>
      <c r="P3130" s="563"/>
    </row>
    <row r="3131" spans="8:16" ht="15.75" customHeight="1">
      <c r="H3131" s="563"/>
      <c r="I3131" s="563"/>
      <c r="J3131" s="581"/>
      <c r="N3131" s="563"/>
      <c r="O3131" s="563"/>
      <c r="P3131" s="563"/>
    </row>
    <row r="3132" spans="8:16" ht="15.75" customHeight="1">
      <c r="H3132" s="563"/>
      <c r="I3132" s="563"/>
      <c r="J3132" s="581"/>
      <c r="N3132" s="563"/>
      <c r="O3132" s="563"/>
      <c r="P3132" s="563"/>
    </row>
    <row r="3133" spans="8:16" ht="15.75" customHeight="1">
      <c r="H3133" s="563"/>
      <c r="I3133" s="563"/>
      <c r="J3133" s="581"/>
      <c r="N3133" s="563"/>
      <c r="O3133" s="563"/>
      <c r="P3133" s="563"/>
    </row>
    <row r="3134" spans="8:16" ht="15.75" customHeight="1">
      <c r="H3134" s="563"/>
      <c r="I3134" s="563"/>
      <c r="J3134" s="581"/>
      <c r="N3134" s="563"/>
      <c r="O3134" s="563"/>
      <c r="P3134" s="563"/>
    </row>
    <row r="3135" spans="8:16" ht="15.75" customHeight="1">
      <c r="H3135" s="563"/>
      <c r="I3135" s="563"/>
      <c r="J3135" s="581"/>
      <c r="N3135" s="563"/>
      <c r="O3135" s="563"/>
      <c r="P3135" s="563"/>
    </row>
    <row r="3136" spans="8:16" ht="15.75" customHeight="1">
      <c r="H3136" s="563"/>
      <c r="I3136" s="563"/>
      <c r="J3136" s="581"/>
      <c r="N3136" s="563"/>
      <c r="O3136" s="563"/>
      <c r="P3136" s="563"/>
    </row>
    <row r="3137" spans="8:16" ht="15.75" customHeight="1">
      <c r="H3137" s="563"/>
      <c r="I3137" s="563"/>
      <c r="J3137" s="581"/>
      <c r="N3137" s="563"/>
      <c r="O3137" s="563"/>
      <c r="P3137" s="563"/>
    </row>
    <row r="3138" spans="8:16" ht="15.75" customHeight="1">
      <c r="H3138" s="563"/>
      <c r="I3138" s="563"/>
      <c r="J3138" s="581"/>
      <c r="N3138" s="563"/>
      <c r="O3138" s="563"/>
      <c r="P3138" s="563"/>
    </row>
    <row r="3139" spans="8:16" ht="15.75" customHeight="1">
      <c r="H3139" s="563"/>
      <c r="I3139" s="563"/>
      <c r="J3139" s="581"/>
      <c r="N3139" s="563"/>
      <c r="O3139" s="563"/>
      <c r="P3139" s="563"/>
    </row>
    <row r="3140" spans="8:16" ht="15.75" customHeight="1">
      <c r="H3140" s="563"/>
      <c r="I3140" s="563"/>
      <c r="J3140" s="581"/>
      <c r="N3140" s="563"/>
      <c r="O3140" s="563"/>
      <c r="P3140" s="563"/>
    </row>
    <row r="3141" spans="8:16" ht="15.75" customHeight="1">
      <c r="H3141" s="563"/>
      <c r="I3141" s="563"/>
      <c r="J3141" s="581"/>
      <c r="N3141" s="563"/>
      <c r="O3141" s="563"/>
      <c r="P3141" s="563"/>
    </row>
    <row r="3142" spans="8:16" ht="15.75" customHeight="1">
      <c r="H3142" s="563"/>
      <c r="I3142" s="563"/>
      <c r="J3142" s="581"/>
      <c r="N3142" s="563"/>
      <c r="O3142" s="563"/>
      <c r="P3142" s="563"/>
    </row>
    <row r="3143" spans="8:16" ht="15.75" customHeight="1">
      <c r="H3143" s="563"/>
      <c r="I3143" s="563"/>
      <c r="J3143" s="581"/>
      <c r="N3143" s="563"/>
      <c r="O3143" s="563"/>
      <c r="P3143" s="563"/>
    </row>
    <row r="3144" spans="8:16" ht="15.75" customHeight="1">
      <c r="H3144" s="563"/>
      <c r="I3144" s="563"/>
      <c r="J3144" s="581"/>
      <c r="N3144" s="563"/>
      <c r="O3144" s="563"/>
      <c r="P3144" s="563"/>
    </row>
    <row r="3145" spans="8:16" ht="15.75" customHeight="1">
      <c r="H3145" s="563"/>
      <c r="I3145" s="563"/>
      <c r="J3145" s="581"/>
      <c r="N3145" s="563"/>
      <c r="O3145" s="563"/>
      <c r="P3145" s="563"/>
    </row>
    <row r="3146" spans="8:16" ht="15.75" customHeight="1">
      <c r="H3146" s="563"/>
      <c r="I3146" s="563"/>
      <c r="J3146" s="581"/>
      <c r="N3146" s="563"/>
      <c r="O3146" s="563"/>
      <c r="P3146" s="563"/>
    </row>
    <row r="3147" spans="8:16" ht="15.75" customHeight="1">
      <c r="H3147" s="563"/>
      <c r="I3147" s="563"/>
      <c r="J3147" s="581"/>
      <c r="N3147" s="563"/>
      <c r="O3147" s="563"/>
      <c r="P3147" s="563"/>
    </row>
    <row r="3148" spans="8:16" ht="15.75" customHeight="1">
      <c r="H3148" s="563"/>
      <c r="I3148" s="563"/>
      <c r="J3148" s="581"/>
      <c r="N3148" s="563"/>
      <c r="O3148" s="563"/>
      <c r="P3148" s="563"/>
    </row>
    <row r="3149" spans="8:16" ht="15.75" customHeight="1">
      <c r="H3149" s="563"/>
      <c r="I3149" s="563"/>
      <c r="J3149" s="581"/>
      <c r="N3149" s="563"/>
      <c r="O3149" s="563"/>
      <c r="P3149" s="563"/>
    </row>
    <row r="3150" spans="8:16" ht="15.75" customHeight="1">
      <c r="H3150" s="563"/>
      <c r="I3150" s="563"/>
      <c r="J3150" s="581"/>
      <c r="N3150" s="563"/>
      <c r="O3150" s="563"/>
      <c r="P3150" s="563"/>
    </row>
    <row r="3151" spans="8:16" ht="15.75" customHeight="1">
      <c r="H3151" s="563"/>
      <c r="I3151" s="563"/>
      <c r="J3151" s="581"/>
      <c r="N3151" s="563"/>
      <c r="O3151" s="563"/>
      <c r="P3151" s="563"/>
    </row>
    <row r="3152" spans="8:16" ht="15.75" customHeight="1">
      <c r="H3152" s="563"/>
      <c r="I3152" s="563"/>
      <c r="J3152" s="581"/>
      <c r="N3152" s="563"/>
      <c r="O3152" s="563"/>
      <c r="P3152" s="563"/>
    </row>
    <row r="3153" spans="8:16" ht="15.75" customHeight="1">
      <c r="H3153" s="563"/>
      <c r="I3153" s="563"/>
      <c r="J3153" s="581"/>
      <c r="N3153" s="563"/>
      <c r="O3153" s="563"/>
      <c r="P3153" s="563"/>
    </row>
    <row r="3154" spans="8:16" ht="15.75" customHeight="1">
      <c r="H3154" s="563"/>
      <c r="I3154" s="563"/>
      <c r="J3154" s="581"/>
      <c r="N3154" s="563"/>
      <c r="O3154" s="563"/>
      <c r="P3154" s="563"/>
    </row>
    <row r="3155" spans="8:16" ht="15.75" customHeight="1">
      <c r="H3155" s="563"/>
      <c r="I3155" s="563"/>
      <c r="J3155" s="581"/>
      <c r="N3155" s="563"/>
      <c r="O3155" s="563"/>
      <c r="P3155" s="563"/>
    </row>
    <row r="3156" spans="8:16" ht="15.75" customHeight="1">
      <c r="H3156" s="563"/>
      <c r="I3156" s="563"/>
      <c r="J3156" s="581"/>
      <c r="N3156" s="563"/>
      <c r="O3156" s="563"/>
      <c r="P3156" s="563"/>
    </row>
    <row r="3157" spans="8:16" ht="15.75" customHeight="1">
      <c r="H3157" s="563"/>
      <c r="I3157" s="563"/>
      <c r="J3157" s="581"/>
      <c r="N3157" s="563"/>
      <c r="O3157" s="563"/>
      <c r="P3157" s="563"/>
    </row>
    <row r="3158" spans="8:16" ht="15.75" customHeight="1">
      <c r="H3158" s="563"/>
      <c r="I3158" s="563"/>
      <c r="J3158" s="581"/>
      <c r="N3158" s="563"/>
      <c r="O3158" s="563"/>
      <c r="P3158" s="563"/>
    </row>
    <row r="3159" spans="8:16" ht="15.75" customHeight="1">
      <c r="H3159" s="563"/>
      <c r="I3159" s="563"/>
      <c r="J3159" s="581"/>
      <c r="N3159" s="563"/>
      <c r="O3159" s="563"/>
      <c r="P3159" s="563"/>
    </row>
    <row r="3160" spans="8:16" ht="15.75" customHeight="1">
      <c r="H3160" s="563"/>
      <c r="I3160" s="563"/>
      <c r="J3160" s="581"/>
      <c r="N3160" s="563"/>
      <c r="O3160" s="563"/>
      <c r="P3160" s="563"/>
    </row>
    <row r="3161" spans="8:16" ht="15.75" customHeight="1">
      <c r="H3161" s="563"/>
      <c r="I3161" s="563"/>
      <c r="J3161" s="581"/>
      <c r="N3161" s="563"/>
      <c r="O3161" s="563"/>
      <c r="P3161" s="563"/>
    </row>
    <row r="3162" spans="8:16" ht="15.75" customHeight="1">
      <c r="H3162" s="563"/>
      <c r="I3162" s="563"/>
      <c r="J3162" s="581"/>
      <c r="N3162" s="563"/>
      <c r="O3162" s="563"/>
      <c r="P3162" s="563"/>
    </row>
    <row r="3163" spans="8:16" ht="15.75" customHeight="1">
      <c r="H3163" s="563"/>
      <c r="I3163" s="563"/>
      <c r="J3163" s="581"/>
      <c r="N3163" s="563"/>
      <c r="O3163" s="563"/>
      <c r="P3163" s="563"/>
    </row>
    <row r="3164" spans="8:16" ht="15.75" customHeight="1">
      <c r="H3164" s="563"/>
      <c r="I3164" s="563"/>
      <c r="J3164" s="581"/>
      <c r="N3164" s="563"/>
      <c r="O3164" s="563"/>
      <c r="P3164" s="563"/>
    </row>
    <row r="3165" spans="8:16" ht="15.75" customHeight="1">
      <c r="H3165" s="563"/>
      <c r="I3165" s="563"/>
      <c r="J3165" s="581"/>
      <c r="N3165" s="563"/>
      <c r="O3165" s="563"/>
      <c r="P3165" s="563"/>
    </row>
    <row r="3166" spans="8:16" ht="15.75" customHeight="1">
      <c r="H3166" s="563"/>
      <c r="I3166" s="563"/>
      <c r="J3166" s="581"/>
      <c r="N3166" s="563"/>
      <c r="O3166" s="563"/>
      <c r="P3166" s="563"/>
    </row>
    <row r="3167" spans="8:16" ht="15.75" customHeight="1">
      <c r="H3167" s="563"/>
      <c r="I3167" s="563"/>
      <c r="J3167" s="581"/>
      <c r="N3167" s="563"/>
      <c r="O3167" s="563"/>
      <c r="P3167" s="563"/>
    </row>
    <row r="3168" spans="8:16" ht="15.75" customHeight="1">
      <c r="H3168" s="563"/>
      <c r="I3168" s="563"/>
      <c r="J3168" s="581"/>
      <c r="N3168" s="563"/>
      <c r="O3168" s="563"/>
      <c r="P3168" s="563"/>
    </row>
    <row r="3169" spans="8:16" ht="15.75" customHeight="1">
      <c r="H3169" s="563"/>
      <c r="I3169" s="563"/>
      <c r="J3169" s="581"/>
      <c r="N3169" s="563"/>
      <c r="O3169" s="563"/>
      <c r="P3169" s="563"/>
    </row>
    <row r="3170" spans="8:16" ht="15.75" customHeight="1">
      <c r="H3170" s="563"/>
      <c r="I3170" s="563"/>
      <c r="J3170" s="581"/>
      <c r="N3170" s="563"/>
      <c r="O3170" s="563"/>
      <c r="P3170" s="563"/>
    </row>
    <row r="3171" spans="8:16" ht="15.75" customHeight="1">
      <c r="H3171" s="563"/>
      <c r="I3171" s="563"/>
      <c r="J3171" s="581"/>
      <c r="N3171" s="563"/>
      <c r="O3171" s="563"/>
      <c r="P3171" s="563"/>
    </row>
    <row r="3172" spans="8:16" ht="15.75" customHeight="1">
      <c r="H3172" s="563"/>
      <c r="I3172" s="563"/>
      <c r="J3172" s="581"/>
      <c r="N3172" s="563"/>
      <c r="O3172" s="563"/>
      <c r="P3172" s="563"/>
    </row>
    <row r="3173" spans="8:16" ht="15.75" customHeight="1">
      <c r="H3173" s="563"/>
      <c r="I3173" s="563"/>
      <c r="J3173" s="581"/>
      <c r="N3173" s="563"/>
      <c r="O3173" s="563"/>
      <c r="P3173" s="563"/>
    </row>
    <row r="3174" spans="8:16" ht="15.75" customHeight="1">
      <c r="H3174" s="563"/>
      <c r="I3174" s="563"/>
      <c r="J3174" s="581"/>
      <c r="N3174" s="563"/>
      <c r="O3174" s="563"/>
      <c r="P3174" s="563"/>
    </row>
    <row r="3175" spans="8:16" ht="15.75" customHeight="1">
      <c r="H3175" s="563"/>
      <c r="I3175" s="563"/>
      <c r="J3175" s="581"/>
      <c r="N3175" s="563"/>
      <c r="O3175" s="563"/>
      <c r="P3175" s="563"/>
    </row>
    <row r="3176" spans="8:16" ht="15.75" customHeight="1">
      <c r="H3176" s="563"/>
      <c r="I3176" s="563"/>
      <c r="J3176" s="581"/>
      <c r="N3176" s="563"/>
      <c r="O3176" s="563"/>
      <c r="P3176" s="563"/>
    </row>
    <row r="3177" spans="8:16" ht="15.75" customHeight="1">
      <c r="H3177" s="563"/>
      <c r="I3177" s="563"/>
      <c r="J3177" s="581"/>
      <c r="N3177" s="563"/>
      <c r="O3177" s="563"/>
      <c r="P3177" s="563"/>
    </row>
    <row r="3178" spans="8:16" ht="15.75" customHeight="1">
      <c r="H3178" s="563"/>
      <c r="I3178" s="563"/>
      <c r="J3178" s="581"/>
      <c r="N3178" s="563"/>
      <c r="O3178" s="563"/>
      <c r="P3178" s="563"/>
    </row>
    <row r="3179" spans="8:16" ht="15.75" customHeight="1">
      <c r="H3179" s="563"/>
      <c r="I3179" s="563"/>
      <c r="J3179" s="581"/>
      <c r="N3179" s="563"/>
      <c r="O3179" s="563"/>
      <c r="P3179" s="563"/>
    </row>
    <row r="3180" spans="8:16" ht="15.75" customHeight="1">
      <c r="H3180" s="563"/>
      <c r="I3180" s="563"/>
      <c r="J3180" s="581"/>
      <c r="N3180" s="563"/>
      <c r="O3180" s="563"/>
      <c r="P3180" s="563"/>
    </row>
    <row r="3181" spans="8:16" ht="15.75" customHeight="1">
      <c r="H3181" s="563"/>
      <c r="I3181" s="563"/>
      <c r="J3181" s="581"/>
      <c r="N3181" s="563"/>
      <c r="O3181" s="563"/>
      <c r="P3181" s="563"/>
    </row>
    <row r="3182" spans="8:16" ht="15.75" customHeight="1">
      <c r="H3182" s="563"/>
      <c r="I3182" s="563"/>
      <c r="J3182" s="581"/>
      <c r="N3182" s="563"/>
      <c r="O3182" s="563"/>
      <c r="P3182" s="563"/>
    </row>
    <row r="3183" spans="8:16" ht="15.75" customHeight="1">
      <c r="H3183" s="563"/>
      <c r="I3183" s="563"/>
      <c r="J3183" s="581"/>
      <c r="N3183" s="563"/>
      <c r="O3183" s="563"/>
      <c r="P3183" s="563"/>
    </row>
    <row r="3184" spans="8:16" ht="15.75" customHeight="1">
      <c r="H3184" s="563"/>
      <c r="I3184" s="563"/>
      <c r="J3184" s="581"/>
      <c r="N3184" s="563"/>
      <c r="O3184" s="563"/>
      <c r="P3184" s="563"/>
    </row>
    <row r="3185" spans="8:16" ht="15.75" customHeight="1">
      <c r="H3185" s="563"/>
      <c r="I3185" s="563"/>
      <c r="J3185" s="581"/>
      <c r="N3185" s="563"/>
      <c r="O3185" s="563"/>
      <c r="P3185" s="563"/>
    </row>
    <row r="3186" spans="8:16" ht="15.75" customHeight="1">
      <c r="H3186" s="563"/>
      <c r="I3186" s="563"/>
      <c r="J3186" s="581"/>
      <c r="N3186" s="563"/>
      <c r="O3186" s="563"/>
      <c r="P3186" s="563"/>
    </row>
    <row r="3187" spans="8:16" ht="15.75" customHeight="1">
      <c r="H3187" s="563"/>
      <c r="I3187" s="563"/>
      <c r="J3187" s="581"/>
      <c r="N3187" s="563"/>
      <c r="O3187" s="563"/>
      <c r="P3187" s="563"/>
    </row>
    <row r="3188" spans="8:16" ht="15.75" customHeight="1">
      <c r="H3188" s="563"/>
      <c r="I3188" s="563"/>
      <c r="J3188" s="581"/>
      <c r="N3188" s="563"/>
      <c r="O3188" s="563"/>
      <c r="P3188" s="563"/>
    </row>
    <row r="3189" spans="8:16" ht="15.75" customHeight="1">
      <c r="H3189" s="563"/>
      <c r="I3189" s="563"/>
      <c r="J3189" s="581"/>
      <c r="N3189" s="563"/>
      <c r="O3189" s="563"/>
      <c r="P3189" s="563"/>
    </row>
    <row r="3190" spans="8:16" ht="15.75" customHeight="1">
      <c r="H3190" s="563"/>
      <c r="I3190" s="563"/>
      <c r="J3190" s="581"/>
      <c r="N3190" s="563"/>
      <c r="O3190" s="563"/>
      <c r="P3190" s="563"/>
    </row>
    <row r="3191" spans="8:16" ht="15.75" customHeight="1">
      <c r="H3191" s="563"/>
      <c r="I3191" s="563"/>
      <c r="J3191" s="581"/>
      <c r="N3191" s="563"/>
      <c r="O3191" s="563"/>
      <c r="P3191" s="563"/>
    </row>
    <row r="3192" spans="8:16" ht="15.75" customHeight="1">
      <c r="H3192" s="563"/>
      <c r="I3192" s="563"/>
      <c r="J3192" s="581"/>
      <c r="N3192" s="563"/>
      <c r="O3192" s="563"/>
      <c r="P3192" s="563"/>
    </row>
    <row r="3193" spans="8:16" ht="15.75" customHeight="1">
      <c r="H3193" s="563"/>
      <c r="I3193" s="563"/>
      <c r="J3193" s="581"/>
      <c r="N3193" s="563"/>
      <c r="O3193" s="563"/>
      <c r="P3193" s="563"/>
    </row>
    <row r="3194" spans="8:16" ht="15.75" customHeight="1">
      <c r="H3194" s="563"/>
      <c r="I3194" s="563"/>
      <c r="J3194" s="581"/>
      <c r="N3194" s="563"/>
      <c r="O3194" s="563"/>
      <c r="P3194" s="563"/>
    </row>
    <row r="3195" spans="8:16" ht="15.75" customHeight="1">
      <c r="H3195" s="563"/>
      <c r="I3195" s="563"/>
      <c r="J3195" s="581"/>
      <c r="N3195" s="563"/>
      <c r="O3195" s="563"/>
      <c r="P3195" s="563"/>
    </row>
    <row r="3196" spans="8:16" ht="15.75" customHeight="1">
      <c r="H3196" s="563"/>
      <c r="I3196" s="563"/>
      <c r="J3196" s="581"/>
      <c r="N3196" s="563"/>
      <c r="O3196" s="563"/>
      <c r="P3196" s="563"/>
    </row>
    <row r="3197" spans="8:16" ht="15.75" customHeight="1">
      <c r="H3197" s="563"/>
      <c r="I3197" s="563"/>
      <c r="J3197" s="581"/>
      <c r="N3197" s="563"/>
      <c r="O3197" s="563"/>
      <c r="P3197" s="563"/>
    </row>
    <row r="3198" spans="8:16" ht="15.75" customHeight="1">
      <c r="H3198" s="563"/>
      <c r="I3198" s="563"/>
      <c r="J3198" s="581"/>
      <c r="N3198" s="563"/>
      <c r="O3198" s="563"/>
      <c r="P3198" s="563"/>
    </row>
    <row r="3199" spans="8:16" ht="15.75" customHeight="1">
      <c r="H3199" s="563"/>
      <c r="I3199" s="563"/>
      <c r="J3199" s="581"/>
      <c r="N3199" s="563"/>
      <c r="O3199" s="563"/>
      <c r="P3199" s="563"/>
    </row>
    <row r="3200" spans="8:16" ht="15.75" customHeight="1">
      <c r="H3200" s="563"/>
      <c r="I3200" s="563"/>
      <c r="J3200" s="581"/>
      <c r="N3200" s="563"/>
      <c r="O3200" s="563"/>
      <c r="P3200" s="563"/>
    </row>
    <row r="3201" spans="8:16" ht="15.75" customHeight="1">
      <c r="H3201" s="563"/>
      <c r="I3201" s="563"/>
      <c r="J3201" s="581"/>
      <c r="N3201" s="563"/>
      <c r="O3201" s="563"/>
      <c r="P3201" s="563"/>
    </row>
    <row r="3202" spans="8:16" ht="15.75" customHeight="1">
      <c r="H3202" s="563"/>
      <c r="I3202" s="563"/>
      <c r="J3202" s="581"/>
      <c r="N3202" s="563"/>
      <c r="O3202" s="563"/>
      <c r="P3202" s="563"/>
    </row>
    <row r="3203" spans="8:16" ht="15.75" customHeight="1">
      <c r="H3203" s="563"/>
      <c r="I3203" s="563"/>
      <c r="J3203" s="581"/>
      <c r="N3203" s="563"/>
      <c r="O3203" s="563"/>
      <c r="P3203" s="563"/>
    </row>
    <row r="3204" spans="8:16" ht="15.75" customHeight="1">
      <c r="H3204" s="563"/>
      <c r="I3204" s="563"/>
      <c r="J3204" s="581"/>
      <c r="N3204" s="563"/>
      <c r="O3204" s="563"/>
      <c r="P3204" s="563"/>
    </row>
    <row r="3205" spans="8:16" ht="15.75" customHeight="1">
      <c r="H3205" s="563"/>
      <c r="I3205" s="563"/>
      <c r="J3205" s="581"/>
      <c r="N3205" s="563"/>
      <c r="O3205" s="563"/>
      <c r="P3205" s="563"/>
    </row>
    <row r="3206" spans="8:16" ht="15.75" customHeight="1">
      <c r="H3206" s="563"/>
      <c r="I3206" s="563"/>
      <c r="J3206" s="581"/>
      <c r="N3206" s="563"/>
      <c r="O3206" s="563"/>
      <c r="P3206" s="563"/>
    </row>
    <row r="3207" spans="8:16" ht="15.75" customHeight="1">
      <c r="H3207" s="563"/>
      <c r="I3207" s="563"/>
      <c r="J3207" s="581"/>
      <c r="N3207" s="563"/>
      <c r="O3207" s="563"/>
      <c r="P3207" s="563"/>
    </row>
    <row r="3208" spans="8:16" ht="15.75" customHeight="1">
      <c r="H3208" s="563"/>
      <c r="I3208" s="563"/>
      <c r="J3208" s="581"/>
      <c r="N3208" s="563"/>
      <c r="O3208" s="563"/>
      <c r="P3208" s="563"/>
    </row>
    <row r="3209" spans="8:16" ht="15.75" customHeight="1">
      <c r="H3209" s="563"/>
      <c r="I3209" s="563"/>
      <c r="J3209" s="581"/>
      <c r="N3209" s="563"/>
      <c r="O3209" s="563"/>
      <c r="P3209" s="563"/>
    </row>
    <row r="3210" spans="8:16" ht="15.75" customHeight="1">
      <c r="H3210" s="563"/>
      <c r="I3210" s="563"/>
      <c r="J3210" s="581"/>
      <c r="N3210" s="563"/>
      <c r="O3210" s="563"/>
      <c r="P3210" s="563"/>
    </row>
    <row r="3211" spans="8:16" ht="15.75" customHeight="1">
      <c r="H3211" s="563"/>
      <c r="I3211" s="563"/>
      <c r="J3211" s="581"/>
      <c r="N3211" s="563"/>
      <c r="O3211" s="563"/>
      <c r="P3211" s="563"/>
    </row>
    <row r="3212" spans="8:16" ht="15.75" customHeight="1">
      <c r="H3212" s="563"/>
      <c r="I3212" s="563"/>
      <c r="J3212" s="581"/>
      <c r="N3212" s="563"/>
      <c r="O3212" s="563"/>
      <c r="P3212" s="563"/>
    </row>
    <row r="3213" spans="8:16" ht="15.75" customHeight="1">
      <c r="H3213" s="563"/>
      <c r="I3213" s="563"/>
      <c r="J3213" s="581"/>
      <c r="N3213" s="563"/>
      <c r="O3213" s="563"/>
      <c r="P3213" s="563"/>
    </row>
    <row r="3214" spans="8:16" ht="15.75" customHeight="1">
      <c r="H3214" s="563"/>
      <c r="I3214" s="563"/>
      <c r="J3214" s="581"/>
      <c r="N3214" s="563"/>
      <c r="O3214" s="563"/>
      <c r="P3214" s="563"/>
    </row>
    <row r="3215" spans="8:16" ht="15.75" customHeight="1">
      <c r="H3215" s="563"/>
      <c r="I3215" s="563"/>
      <c r="J3215" s="581"/>
      <c r="N3215" s="563"/>
      <c r="O3215" s="563"/>
      <c r="P3215" s="563"/>
    </row>
    <row r="3216" spans="8:16" ht="15.75" customHeight="1">
      <c r="H3216" s="563"/>
      <c r="I3216" s="563"/>
      <c r="J3216" s="581"/>
      <c r="N3216" s="563"/>
      <c r="O3216" s="563"/>
      <c r="P3216" s="563"/>
    </row>
    <row r="3217" spans="8:16" ht="15.75" customHeight="1">
      <c r="H3217" s="563"/>
      <c r="I3217" s="563"/>
      <c r="J3217" s="581"/>
      <c r="N3217" s="563"/>
      <c r="O3217" s="563"/>
      <c r="P3217" s="563"/>
    </row>
    <row r="3218" spans="8:16" ht="15.75" customHeight="1">
      <c r="H3218" s="563"/>
      <c r="I3218" s="563"/>
      <c r="J3218" s="581"/>
      <c r="N3218" s="563"/>
      <c r="O3218" s="563"/>
      <c r="P3218" s="563"/>
    </row>
    <row r="3219" spans="8:16" ht="15.75" customHeight="1">
      <c r="H3219" s="563"/>
      <c r="I3219" s="563"/>
      <c r="J3219" s="581"/>
      <c r="N3219" s="563"/>
      <c r="O3219" s="563"/>
      <c r="P3219" s="563"/>
    </row>
    <row r="3220" spans="8:16" ht="15.75" customHeight="1">
      <c r="H3220" s="563"/>
      <c r="I3220" s="563"/>
      <c r="J3220" s="581"/>
      <c r="N3220" s="563"/>
      <c r="O3220" s="563"/>
      <c r="P3220" s="563"/>
    </row>
    <row r="3221" spans="8:16" ht="15.75" customHeight="1">
      <c r="H3221" s="563"/>
      <c r="I3221" s="563"/>
      <c r="J3221" s="581"/>
      <c r="N3221" s="563"/>
      <c r="O3221" s="563"/>
      <c r="P3221" s="563"/>
    </row>
    <row r="3222" spans="8:16" ht="15.75" customHeight="1">
      <c r="H3222" s="563"/>
      <c r="I3222" s="563"/>
      <c r="J3222" s="581"/>
      <c r="N3222" s="563"/>
      <c r="O3222" s="563"/>
      <c r="P3222" s="563"/>
    </row>
    <row r="3223" spans="8:16" ht="15.75" customHeight="1">
      <c r="H3223" s="563"/>
      <c r="I3223" s="563"/>
      <c r="J3223" s="581"/>
      <c r="N3223" s="563"/>
      <c r="O3223" s="563"/>
      <c r="P3223" s="563"/>
    </row>
    <row r="3224" spans="8:16" ht="15.75" customHeight="1">
      <c r="H3224" s="563"/>
      <c r="I3224" s="563"/>
      <c r="J3224" s="581"/>
      <c r="N3224" s="563"/>
      <c r="O3224" s="563"/>
      <c r="P3224" s="563"/>
    </row>
    <row r="3225" spans="8:16" ht="15.75" customHeight="1">
      <c r="H3225" s="563"/>
      <c r="I3225" s="563"/>
      <c r="J3225" s="581"/>
      <c r="N3225" s="563"/>
      <c r="O3225" s="563"/>
      <c r="P3225" s="563"/>
    </row>
    <row r="3226" spans="8:16" ht="15.75" customHeight="1">
      <c r="H3226" s="563"/>
      <c r="I3226" s="563"/>
      <c r="J3226" s="581"/>
      <c r="N3226" s="563"/>
      <c r="O3226" s="563"/>
      <c r="P3226" s="563"/>
    </row>
    <row r="3227" spans="8:16" ht="15.75" customHeight="1">
      <c r="H3227" s="563"/>
      <c r="I3227" s="563"/>
      <c r="J3227" s="581"/>
      <c r="N3227" s="563"/>
      <c r="O3227" s="563"/>
      <c r="P3227" s="563"/>
    </row>
    <row r="3228" spans="8:16" ht="15.75" customHeight="1">
      <c r="H3228" s="563"/>
      <c r="I3228" s="563"/>
      <c r="J3228" s="581"/>
      <c r="N3228" s="563"/>
      <c r="O3228" s="563"/>
      <c r="P3228" s="563"/>
    </row>
    <row r="3229" spans="8:16" ht="15.75" customHeight="1">
      <c r="H3229" s="563"/>
      <c r="I3229" s="563"/>
      <c r="J3229" s="581"/>
      <c r="N3229" s="563"/>
      <c r="O3229" s="563"/>
      <c r="P3229" s="563"/>
    </row>
    <row r="3230" spans="8:16" ht="15.75" customHeight="1">
      <c r="H3230" s="563"/>
      <c r="I3230" s="563"/>
      <c r="J3230" s="581"/>
      <c r="N3230" s="563"/>
      <c r="O3230" s="563"/>
      <c r="P3230" s="563"/>
    </row>
    <row r="3231" spans="8:16" ht="15.75" customHeight="1">
      <c r="H3231" s="563"/>
      <c r="I3231" s="563"/>
      <c r="J3231" s="581"/>
      <c r="N3231" s="563"/>
      <c r="O3231" s="563"/>
      <c r="P3231" s="563"/>
    </row>
    <row r="3232" spans="8:16" ht="15.75" customHeight="1">
      <c r="H3232" s="563"/>
      <c r="I3232" s="563"/>
      <c r="J3232" s="581"/>
      <c r="N3232" s="563"/>
      <c r="O3232" s="563"/>
      <c r="P3232" s="563"/>
    </row>
    <row r="3233" spans="8:16" ht="15.75" customHeight="1">
      <c r="H3233" s="563"/>
      <c r="I3233" s="563"/>
      <c r="J3233" s="581"/>
      <c r="N3233" s="563"/>
      <c r="O3233" s="563"/>
      <c r="P3233" s="563"/>
    </row>
    <row r="3234" spans="8:16" ht="15.75" customHeight="1">
      <c r="H3234" s="563"/>
      <c r="I3234" s="563"/>
      <c r="J3234" s="581"/>
      <c r="N3234" s="563"/>
      <c r="O3234" s="563"/>
      <c r="P3234" s="563"/>
    </row>
    <row r="3235" spans="8:16" ht="15.75" customHeight="1">
      <c r="H3235" s="563"/>
      <c r="I3235" s="563"/>
      <c r="J3235" s="581"/>
      <c r="N3235" s="563"/>
      <c r="O3235" s="563"/>
      <c r="P3235" s="563"/>
    </row>
    <row r="3236" spans="8:16" ht="15.75" customHeight="1">
      <c r="H3236" s="563"/>
      <c r="I3236" s="563"/>
      <c r="J3236" s="581"/>
      <c r="N3236" s="563"/>
      <c r="O3236" s="563"/>
      <c r="P3236" s="563"/>
    </row>
    <row r="3237" spans="8:16" ht="15.75" customHeight="1">
      <c r="H3237" s="563"/>
      <c r="I3237" s="563"/>
      <c r="J3237" s="581"/>
      <c r="N3237" s="563"/>
      <c r="O3237" s="563"/>
      <c r="P3237" s="563"/>
    </row>
    <row r="3238" spans="8:16" ht="15.75" customHeight="1">
      <c r="H3238" s="563"/>
      <c r="I3238" s="563"/>
      <c r="J3238" s="581"/>
      <c r="N3238" s="563"/>
      <c r="O3238" s="563"/>
      <c r="P3238" s="563"/>
    </row>
    <row r="3239" spans="8:16" ht="15.75" customHeight="1">
      <c r="H3239" s="563"/>
      <c r="I3239" s="563"/>
      <c r="J3239" s="581"/>
      <c r="N3239" s="563"/>
      <c r="O3239" s="563"/>
      <c r="P3239" s="563"/>
    </row>
    <row r="3240" spans="8:16" ht="15.75" customHeight="1">
      <c r="H3240" s="563"/>
      <c r="I3240" s="563"/>
      <c r="J3240" s="581"/>
      <c r="N3240" s="563"/>
      <c r="O3240" s="563"/>
      <c r="P3240" s="563"/>
    </row>
    <row r="3241" spans="8:16" ht="15.75" customHeight="1">
      <c r="H3241" s="563"/>
      <c r="I3241" s="563"/>
      <c r="J3241" s="581"/>
      <c r="N3241" s="563"/>
      <c r="O3241" s="563"/>
      <c r="P3241" s="563"/>
    </row>
    <row r="3242" spans="8:16" ht="15.75" customHeight="1">
      <c r="H3242" s="563"/>
      <c r="I3242" s="563"/>
      <c r="J3242" s="581"/>
      <c r="N3242" s="563"/>
      <c r="O3242" s="563"/>
      <c r="P3242" s="563"/>
    </row>
    <row r="3243" spans="8:16" ht="15.75" customHeight="1">
      <c r="H3243" s="563"/>
      <c r="I3243" s="563"/>
      <c r="J3243" s="581"/>
      <c r="N3243" s="563"/>
      <c r="O3243" s="563"/>
      <c r="P3243" s="563"/>
    </row>
    <row r="3244" spans="8:16" ht="15.75" customHeight="1">
      <c r="H3244" s="563"/>
      <c r="I3244" s="563"/>
      <c r="J3244" s="581"/>
      <c r="N3244" s="563"/>
      <c r="O3244" s="563"/>
      <c r="P3244" s="563"/>
    </row>
    <row r="3245" spans="8:16" ht="15.75" customHeight="1">
      <c r="H3245" s="563"/>
      <c r="I3245" s="563"/>
      <c r="J3245" s="581"/>
      <c r="N3245" s="563"/>
      <c r="O3245" s="563"/>
      <c r="P3245" s="563"/>
    </row>
    <row r="3246" spans="8:16" ht="15.75" customHeight="1">
      <c r="H3246" s="563"/>
      <c r="I3246" s="563"/>
      <c r="J3246" s="581"/>
      <c r="N3246" s="563"/>
      <c r="O3246" s="563"/>
      <c r="P3246" s="563"/>
    </row>
    <row r="3247" spans="8:16" ht="15.75" customHeight="1">
      <c r="H3247" s="563"/>
      <c r="I3247" s="563"/>
      <c r="J3247" s="581"/>
      <c r="N3247" s="563"/>
      <c r="O3247" s="563"/>
      <c r="P3247" s="563"/>
    </row>
    <row r="3248" spans="8:16" ht="15.75" customHeight="1">
      <c r="H3248" s="563"/>
      <c r="I3248" s="563"/>
      <c r="J3248" s="581"/>
      <c r="N3248" s="563"/>
      <c r="O3248" s="563"/>
      <c r="P3248" s="563"/>
    </row>
    <row r="3249" spans="8:16" ht="15.75" customHeight="1">
      <c r="H3249" s="563"/>
      <c r="I3249" s="563"/>
      <c r="J3249" s="581"/>
      <c r="N3249" s="563"/>
      <c r="O3249" s="563"/>
      <c r="P3249" s="563"/>
    </row>
    <row r="3250" spans="8:16" ht="15.75" customHeight="1">
      <c r="H3250" s="563"/>
      <c r="I3250" s="563"/>
      <c r="J3250" s="581"/>
      <c r="N3250" s="563"/>
      <c r="O3250" s="563"/>
      <c r="P3250" s="563"/>
    </row>
    <row r="3251" spans="8:16" ht="15.75" customHeight="1">
      <c r="H3251" s="563"/>
      <c r="I3251" s="563"/>
      <c r="J3251" s="581"/>
      <c r="N3251" s="563"/>
      <c r="O3251" s="563"/>
      <c r="P3251" s="563"/>
    </row>
    <row r="3252" spans="8:16" ht="15.75" customHeight="1">
      <c r="H3252" s="563"/>
      <c r="I3252" s="563"/>
      <c r="J3252" s="581"/>
      <c r="N3252" s="563"/>
      <c r="O3252" s="563"/>
      <c r="P3252" s="563"/>
    </row>
    <row r="3253" spans="8:16" ht="15.75" customHeight="1">
      <c r="H3253" s="563"/>
      <c r="I3253" s="563"/>
      <c r="J3253" s="581"/>
      <c r="N3253" s="563"/>
      <c r="O3253" s="563"/>
      <c r="P3253" s="563"/>
    </row>
    <row r="3254" spans="8:16" ht="15.75" customHeight="1">
      <c r="H3254" s="563"/>
      <c r="I3254" s="563"/>
      <c r="J3254" s="581"/>
      <c r="N3254" s="563"/>
      <c r="O3254" s="563"/>
      <c r="P3254" s="563"/>
    </row>
    <row r="3255" spans="8:16" ht="15.75" customHeight="1">
      <c r="H3255" s="563"/>
      <c r="I3255" s="563"/>
      <c r="J3255" s="581"/>
      <c r="N3255" s="563"/>
      <c r="O3255" s="563"/>
      <c r="P3255" s="563"/>
    </row>
    <row r="3256" spans="8:16" ht="15.75" customHeight="1">
      <c r="H3256" s="563"/>
      <c r="I3256" s="563"/>
      <c r="J3256" s="581"/>
      <c r="N3256" s="563"/>
      <c r="O3256" s="563"/>
      <c r="P3256" s="563"/>
    </row>
    <row r="3257" spans="8:16" ht="15.75" customHeight="1">
      <c r="H3257" s="563"/>
      <c r="I3257" s="563"/>
      <c r="J3257" s="581"/>
      <c r="N3257" s="563"/>
      <c r="O3257" s="563"/>
      <c r="P3257" s="563"/>
    </row>
    <row r="3258" spans="8:16" ht="15.75" customHeight="1">
      <c r="H3258" s="563"/>
      <c r="I3258" s="563"/>
      <c r="J3258" s="581"/>
      <c r="N3258" s="563"/>
      <c r="O3258" s="563"/>
      <c r="P3258" s="563"/>
    </row>
    <row r="3259" spans="8:16" ht="15.75" customHeight="1">
      <c r="H3259" s="563"/>
      <c r="I3259" s="563"/>
      <c r="J3259" s="581"/>
      <c r="N3259" s="563"/>
      <c r="O3259" s="563"/>
      <c r="P3259" s="563"/>
    </row>
    <row r="3260" spans="8:16" ht="15.75" customHeight="1">
      <c r="H3260" s="563"/>
      <c r="I3260" s="563"/>
      <c r="J3260" s="581"/>
      <c r="N3260" s="563"/>
      <c r="O3260" s="563"/>
      <c r="P3260" s="563"/>
    </row>
    <row r="3261" spans="8:16" ht="15.75" customHeight="1">
      <c r="H3261" s="563"/>
      <c r="I3261" s="563"/>
      <c r="J3261" s="581"/>
      <c r="N3261" s="563"/>
      <c r="O3261" s="563"/>
      <c r="P3261" s="563"/>
    </row>
    <row r="3262" spans="8:16" ht="15.75" customHeight="1">
      <c r="H3262" s="563"/>
      <c r="I3262" s="563"/>
      <c r="J3262" s="581"/>
      <c r="N3262" s="563"/>
      <c r="O3262" s="563"/>
      <c r="P3262" s="563"/>
    </row>
    <row r="3263" spans="8:16" ht="15.75" customHeight="1">
      <c r="H3263" s="563"/>
      <c r="I3263" s="563"/>
      <c r="J3263" s="581"/>
      <c r="N3263" s="563"/>
      <c r="O3263" s="563"/>
      <c r="P3263" s="563"/>
    </row>
    <row r="3264" spans="8:16" ht="15.75" customHeight="1">
      <c r="H3264" s="563"/>
      <c r="I3264" s="563"/>
      <c r="J3264" s="581"/>
      <c r="N3264" s="563"/>
      <c r="O3264" s="563"/>
      <c r="P3264" s="563"/>
    </row>
    <row r="3265" spans="8:16" ht="15.75" customHeight="1">
      <c r="H3265" s="563"/>
      <c r="I3265" s="563"/>
      <c r="J3265" s="581"/>
      <c r="N3265" s="563"/>
      <c r="O3265" s="563"/>
      <c r="P3265" s="563"/>
    </row>
    <row r="3266" spans="8:16" ht="15.75" customHeight="1">
      <c r="H3266" s="563"/>
      <c r="I3266" s="563"/>
      <c r="J3266" s="581"/>
      <c r="N3266" s="563"/>
      <c r="O3266" s="563"/>
      <c r="P3266" s="563"/>
    </row>
    <row r="3267" spans="8:16" ht="15.75" customHeight="1">
      <c r="H3267" s="563"/>
      <c r="I3267" s="563"/>
      <c r="J3267" s="581"/>
      <c r="N3267" s="563"/>
      <c r="O3267" s="563"/>
      <c r="P3267" s="563"/>
    </row>
    <row r="3268" spans="8:16" ht="15.75" customHeight="1">
      <c r="H3268" s="563"/>
      <c r="I3268" s="563"/>
      <c r="J3268" s="581"/>
      <c r="N3268" s="563"/>
      <c r="O3268" s="563"/>
      <c r="P3268" s="563"/>
    </row>
    <row r="3269" spans="8:16" ht="15.75" customHeight="1">
      <c r="H3269" s="563"/>
      <c r="I3269" s="563"/>
      <c r="J3269" s="581"/>
      <c r="N3269" s="563"/>
      <c r="O3269" s="563"/>
      <c r="P3269" s="563"/>
    </row>
    <row r="3270" spans="8:16" ht="15.75" customHeight="1">
      <c r="H3270" s="563"/>
      <c r="I3270" s="563"/>
      <c r="J3270" s="581"/>
      <c r="N3270" s="563"/>
      <c r="O3270" s="563"/>
      <c r="P3270" s="563"/>
    </row>
    <row r="3271" spans="8:16" ht="15.75" customHeight="1">
      <c r="H3271" s="563"/>
      <c r="I3271" s="563"/>
      <c r="J3271" s="581"/>
      <c r="N3271" s="563"/>
      <c r="O3271" s="563"/>
      <c r="P3271" s="563"/>
    </row>
    <row r="3272" spans="8:16" ht="15.75" customHeight="1">
      <c r="H3272" s="563"/>
      <c r="I3272" s="563"/>
      <c r="J3272" s="581"/>
      <c r="N3272" s="563"/>
      <c r="O3272" s="563"/>
      <c r="P3272" s="563"/>
    </row>
    <row r="3273" spans="8:16" ht="15.75" customHeight="1">
      <c r="H3273" s="563"/>
      <c r="I3273" s="563"/>
      <c r="J3273" s="581"/>
      <c r="N3273" s="563"/>
      <c r="O3273" s="563"/>
      <c r="P3273" s="563"/>
    </row>
    <row r="3274" spans="8:16" ht="15.75" customHeight="1">
      <c r="H3274" s="563"/>
      <c r="I3274" s="563"/>
      <c r="J3274" s="581"/>
      <c r="N3274" s="563"/>
      <c r="O3274" s="563"/>
      <c r="P3274" s="563"/>
    </row>
    <row r="3275" spans="8:16" ht="15.75" customHeight="1">
      <c r="H3275" s="563"/>
      <c r="I3275" s="563"/>
      <c r="J3275" s="581"/>
      <c r="N3275" s="563"/>
      <c r="O3275" s="563"/>
      <c r="P3275" s="563"/>
    </row>
    <row r="3276" spans="8:16" ht="15.75" customHeight="1">
      <c r="H3276" s="563"/>
      <c r="I3276" s="563"/>
      <c r="J3276" s="581"/>
      <c r="N3276" s="563"/>
      <c r="O3276" s="563"/>
      <c r="P3276" s="563"/>
    </row>
    <row r="3277" spans="8:16" ht="15.75" customHeight="1">
      <c r="H3277" s="563"/>
      <c r="I3277" s="563"/>
      <c r="J3277" s="581"/>
      <c r="N3277" s="563"/>
      <c r="O3277" s="563"/>
      <c r="P3277" s="563"/>
    </row>
    <row r="3278" spans="8:16" ht="15.75" customHeight="1">
      <c r="H3278" s="563"/>
      <c r="I3278" s="563"/>
      <c r="J3278" s="581"/>
      <c r="N3278" s="563"/>
      <c r="O3278" s="563"/>
      <c r="P3278" s="563"/>
    </row>
    <row r="3279" spans="8:16" ht="15.75" customHeight="1">
      <c r="H3279" s="563"/>
      <c r="I3279" s="563"/>
      <c r="J3279" s="581"/>
      <c r="N3279" s="563"/>
      <c r="O3279" s="563"/>
      <c r="P3279" s="563"/>
    </row>
    <row r="3280" spans="8:16" ht="15.75" customHeight="1">
      <c r="H3280" s="563"/>
      <c r="I3280" s="563"/>
      <c r="J3280" s="581"/>
      <c r="N3280" s="563"/>
      <c r="O3280" s="563"/>
      <c r="P3280" s="563"/>
    </row>
    <row r="3281" spans="8:16" ht="15.75" customHeight="1">
      <c r="H3281" s="563"/>
      <c r="I3281" s="563"/>
      <c r="J3281" s="581"/>
      <c r="N3281" s="563"/>
      <c r="O3281" s="563"/>
      <c r="P3281" s="563"/>
    </row>
    <row r="3282" spans="8:16" ht="15.75" customHeight="1">
      <c r="H3282" s="563"/>
      <c r="I3282" s="563"/>
      <c r="J3282" s="581"/>
      <c r="N3282" s="563"/>
      <c r="O3282" s="563"/>
      <c r="P3282" s="563"/>
    </row>
    <row r="3283" spans="8:16" ht="15.75" customHeight="1">
      <c r="H3283" s="563"/>
      <c r="I3283" s="563"/>
      <c r="J3283" s="581"/>
      <c r="N3283" s="563"/>
      <c r="O3283" s="563"/>
      <c r="P3283" s="563"/>
    </row>
    <row r="3284" spans="8:16" ht="15.75" customHeight="1">
      <c r="H3284" s="563"/>
      <c r="I3284" s="563"/>
      <c r="J3284" s="581"/>
      <c r="N3284" s="563"/>
      <c r="O3284" s="563"/>
      <c r="P3284" s="563"/>
    </row>
    <row r="3285" spans="8:16" ht="15.75" customHeight="1">
      <c r="H3285" s="563"/>
      <c r="I3285" s="563"/>
      <c r="J3285" s="581"/>
      <c r="N3285" s="563"/>
      <c r="O3285" s="563"/>
      <c r="P3285" s="563"/>
    </row>
    <row r="3286" spans="8:16" ht="15.75" customHeight="1">
      <c r="H3286" s="563"/>
      <c r="I3286" s="563"/>
      <c r="J3286" s="581"/>
      <c r="N3286" s="563"/>
      <c r="O3286" s="563"/>
      <c r="P3286" s="563"/>
    </row>
    <row r="3287" spans="8:16" ht="15.75" customHeight="1">
      <c r="H3287" s="563"/>
      <c r="I3287" s="563"/>
      <c r="J3287" s="581"/>
      <c r="N3287" s="563"/>
      <c r="O3287" s="563"/>
      <c r="P3287" s="563"/>
    </row>
    <row r="3288" spans="8:16" ht="15.75" customHeight="1">
      <c r="H3288" s="563"/>
      <c r="I3288" s="563"/>
      <c r="J3288" s="581"/>
      <c r="N3288" s="563"/>
      <c r="O3288" s="563"/>
      <c r="P3288" s="563"/>
    </row>
    <row r="3289" spans="8:16" ht="15.75" customHeight="1">
      <c r="H3289" s="563"/>
      <c r="I3289" s="563"/>
      <c r="J3289" s="581"/>
      <c r="N3289" s="563"/>
      <c r="O3289" s="563"/>
      <c r="P3289" s="563"/>
    </row>
    <row r="3290" spans="8:16" ht="15.75" customHeight="1">
      <c r="H3290" s="563"/>
      <c r="I3290" s="563"/>
      <c r="J3290" s="581"/>
      <c r="N3290" s="563"/>
      <c r="O3290" s="563"/>
      <c r="P3290" s="563"/>
    </row>
    <row r="3291" spans="8:16" ht="15.75" customHeight="1">
      <c r="H3291" s="563"/>
      <c r="I3291" s="563"/>
      <c r="J3291" s="581"/>
      <c r="N3291" s="563"/>
      <c r="O3291" s="563"/>
      <c r="P3291" s="563"/>
    </row>
    <row r="3292" spans="8:16" ht="15.75" customHeight="1">
      <c r="H3292" s="563"/>
      <c r="I3292" s="563"/>
      <c r="J3292" s="581"/>
      <c r="N3292" s="563"/>
      <c r="O3292" s="563"/>
      <c r="P3292" s="563"/>
    </row>
    <row r="3293" spans="8:16" ht="15.75" customHeight="1">
      <c r="H3293" s="563"/>
      <c r="I3293" s="563"/>
      <c r="J3293" s="581"/>
      <c r="N3293" s="563"/>
      <c r="O3293" s="563"/>
      <c r="P3293" s="563"/>
    </row>
    <row r="3294" spans="8:16" ht="15.75" customHeight="1">
      <c r="H3294" s="563"/>
      <c r="I3294" s="563"/>
      <c r="J3294" s="581"/>
      <c r="N3294" s="563"/>
      <c r="O3294" s="563"/>
      <c r="P3294" s="563"/>
    </row>
    <row r="3295" spans="8:16" ht="15.75" customHeight="1">
      <c r="H3295" s="563"/>
      <c r="I3295" s="563"/>
      <c r="J3295" s="581"/>
      <c r="N3295" s="563"/>
      <c r="O3295" s="563"/>
      <c r="P3295" s="563"/>
    </row>
    <row r="3296" spans="8:16" ht="15.75" customHeight="1">
      <c r="H3296" s="563"/>
      <c r="I3296" s="563"/>
      <c r="J3296" s="581"/>
      <c r="N3296" s="563"/>
      <c r="O3296" s="563"/>
      <c r="P3296" s="563"/>
    </row>
    <row r="3297" spans="8:16" ht="15.75" customHeight="1">
      <c r="H3297" s="563"/>
      <c r="I3297" s="563"/>
      <c r="J3297" s="581"/>
      <c r="N3297" s="563"/>
      <c r="O3297" s="563"/>
      <c r="P3297" s="563"/>
    </row>
    <row r="3298" spans="8:16" ht="15.75" customHeight="1">
      <c r="H3298" s="563"/>
      <c r="I3298" s="563"/>
      <c r="J3298" s="581"/>
      <c r="N3298" s="563"/>
      <c r="O3298" s="563"/>
      <c r="P3298" s="563"/>
    </row>
    <row r="3299" spans="8:16" ht="15.75" customHeight="1">
      <c r="H3299" s="563"/>
      <c r="I3299" s="563"/>
      <c r="J3299" s="581"/>
      <c r="N3299" s="563"/>
      <c r="O3299" s="563"/>
      <c r="P3299" s="563"/>
    </row>
    <row r="3300" spans="8:16" ht="15.75" customHeight="1">
      <c r="H3300" s="563"/>
      <c r="I3300" s="563"/>
      <c r="J3300" s="581"/>
      <c r="N3300" s="563"/>
      <c r="O3300" s="563"/>
      <c r="P3300" s="563"/>
    </row>
    <row r="3301" spans="8:16" ht="15.75" customHeight="1">
      <c r="H3301" s="563"/>
      <c r="I3301" s="563"/>
      <c r="J3301" s="581"/>
      <c r="N3301" s="563"/>
      <c r="O3301" s="563"/>
      <c r="P3301" s="563"/>
    </row>
    <row r="3302" spans="8:16" ht="15.75" customHeight="1">
      <c r="H3302" s="563"/>
      <c r="I3302" s="563"/>
      <c r="J3302" s="581"/>
      <c r="N3302" s="563"/>
      <c r="O3302" s="563"/>
      <c r="P3302" s="563"/>
    </row>
    <row r="3303" spans="8:16" ht="15.75" customHeight="1">
      <c r="H3303" s="563"/>
      <c r="I3303" s="563"/>
      <c r="J3303" s="581"/>
      <c r="N3303" s="563"/>
      <c r="O3303" s="563"/>
      <c r="P3303" s="563"/>
    </row>
    <row r="3304" spans="8:16" ht="15.75" customHeight="1">
      <c r="H3304" s="563"/>
      <c r="I3304" s="563"/>
      <c r="J3304" s="581"/>
      <c r="N3304" s="563"/>
      <c r="O3304" s="563"/>
      <c r="P3304" s="563"/>
    </row>
    <row r="3305" spans="8:16" ht="15.75" customHeight="1">
      <c r="H3305" s="563"/>
      <c r="I3305" s="563"/>
      <c r="J3305" s="581"/>
      <c r="N3305" s="563"/>
      <c r="O3305" s="563"/>
      <c r="P3305" s="563"/>
    </row>
    <row r="3306" spans="8:16" ht="15.75" customHeight="1">
      <c r="H3306" s="563"/>
      <c r="I3306" s="563"/>
      <c r="J3306" s="581"/>
      <c r="N3306" s="563"/>
      <c r="O3306" s="563"/>
      <c r="P3306" s="563"/>
    </row>
    <row r="3307" spans="8:16" ht="15.75" customHeight="1">
      <c r="H3307" s="563"/>
      <c r="I3307" s="563"/>
      <c r="J3307" s="581"/>
      <c r="N3307" s="563"/>
      <c r="O3307" s="563"/>
      <c r="P3307" s="563"/>
    </row>
    <row r="3308" spans="8:16" ht="15.75" customHeight="1">
      <c r="H3308" s="563"/>
      <c r="I3308" s="563"/>
      <c r="J3308" s="581"/>
      <c r="N3308" s="563"/>
      <c r="O3308" s="563"/>
      <c r="P3308" s="563"/>
    </row>
    <row r="3309" spans="8:16" ht="15.75" customHeight="1">
      <c r="H3309" s="563"/>
      <c r="I3309" s="563"/>
      <c r="J3309" s="581"/>
      <c r="N3309" s="563"/>
      <c r="O3309" s="563"/>
      <c r="P3309" s="563"/>
    </row>
    <row r="3310" spans="8:16" ht="15.75" customHeight="1">
      <c r="H3310" s="563"/>
      <c r="I3310" s="563"/>
      <c r="J3310" s="581"/>
      <c r="N3310" s="563"/>
      <c r="O3310" s="563"/>
      <c r="P3310" s="563"/>
    </row>
    <row r="3311" spans="8:16" ht="15.75" customHeight="1">
      <c r="H3311" s="563"/>
      <c r="I3311" s="563"/>
      <c r="J3311" s="581"/>
      <c r="N3311" s="563"/>
      <c r="O3311" s="563"/>
      <c r="P3311" s="563"/>
    </row>
    <row r="3312" spans="8:16" ht="15.75" customHeight="1">
      <c r="H3312" s="563"/>
      <c r="I3312" s="563"/>
      <c r="J3312" s="581"/>
      <c r="N3312" s="563"/>
      <c r="O3312" s="563"/>
      <c r="P3312" s="563"/>
    </row>
    <row r="3313" spans="8:16" ht="15.75" customHeight="1">
      <c r="H3313" s="563"/>
      <c r="I3313" s="563"/>
      <c r="J3313" s="581"/>
      <c r="N3313" s="563"/>
      <c r="O3313" s="563"/>
      <c r="P3313" s="563"/>
    </row>
    <row r="3314" spans="8:16" ht="15.75" customHeight="1">
      <c r="H3314" s="563"/>
      <c r="I3314" s="563"/>
      <c r="J3314" s="581"/>
      <c r="N3314" s="563"/>
      <c r="O3314" s="563"/>
      <c r="P3314" s="563"/>
    </row>
    <row r="3315" spans="8:16" ht="15.75" customHeight="1">
      <c r="H3315" s="563"/>
      <c r="I3315" s="563"/>
      <c r="J3315" s="581"/>
      <c r="N3315" s="563"/>
      <c r="O3315" s="563"/>
      <c r="P3315" s="563"/>
    </row>
    <row r="3316" spans="8:16" ht="15.75" customHeight="1">
      <c r="H3316" s="563"/>
      <c r="I3316" s="563"/>
      <c r="J3316" s="581"/>
      <c r="N3316" s="563"/>
      <c r="O3316" s="563"/>
      <c r="P3316" s="563"/>
    </row>
    <row r="3317" spans="8:16" ht="15.75" customHeight="1">
      <c r="H3317" s="563"/>
      <c r="I3317" s="563"/>
      <c r="J3317" s="581"/>
      <c r="N3317" s="563"/>
      <c r="O3317" s="563"/>
      <c r="P3317" s="563"/>
    </row>
    <row r="3318" spans="8:16" ht="15.75" customHeight="1">
      <c r="H3318" s="563"/>
      <c r="I3318" s="563"/>
      <c r="J3318" s="581"/>
      <c r="N3318" s="563"/>
      <c r="O3318" s="563"/>
      <c r="P3318" s="563"/>
    </row>
    <row r="3319" spans="8:16" ht="15.75" customHeight="1">
      <c r="H3319" s="563"/>
      <c r="I3319" s="563"/>
      <c r="J3319" s="581"/>
      <c r="N3319" s="563"/>
      <c r="O3319" s="563"/>
      <c r="P3319" s="563"/>
    </row>
    <row r="3320" spans="8:16" ht="15.75" customHeight="1">
      <c r="H3320" s="563"/>
      <c r="I3320" s="563"/>
      <c r="J3320" s="581"/>
      <c r="N3320" s="563"/>
      <c r="O3320" s="563"/>
      <c r="P3320" s="563"/>
    </row>
    <row r="3321" spans="8:16" ht="15.75" customHeight="1">
      <c r="H3321" s="563"/>
      <c r="I3321" s="563"/>
      <c r="J3321" s="581"/>
      <c r="N3321" s="563"/>
      <c r="O3321" s="563"/>
      <c r="P3321" s="563"/>
    </row>
    <row r="3322" spans="8:16" ht="15.75" customHeight="1">
      <c r="H3322" s="563"/>
      <c r="I3322" s="563"/>
      <c r="J3322" s="581"/>
      <c r="N3322" s="563"/>
      <c r="O3322" s="563"/>
      <c r="P3322" s="563"/>
    </row>
    <row r="3323" spans="8:16" ht="15.75" customHeight="1">
      <c r="H3323" s="563"/>
      <c r="I3323" s="563"/>
      <c r="J3323" s="581"/>
      <c r="N3323" s="563"/>
      <c r="O3323" s="563"/>
      <c r="P3323" s="563"/>
    </row>
    <row r="3324" spans="8:16" ht="15.75" customHeight="1">
      <c r="H3324" s="563"/>
      <c r="I3324" s="563"/>
      <c r="J3324" s="581"/>
      <c r="N3324" s="563"/>
      <c r="O3324" s="563"/>
      <c r="P3324" s="563"/>
    </row>
    <row r="3325" spans="8:16" ht="15.75" customHeight="1">
      <c r="H3325" s="563"/>
      <c r="I3325" s="563"/>
      <c r="J3325" s="581"/>
      <c r="N3325" s="563"/>
      <c r="O3325" s="563"/>
      <c r="P3325" s="563"/>
    </row>
    <row r="3326" spans="8:16" ht="15.75" customHeight="1">
      <c r="H3326" s="563"/>
      <c r="I3326" s="563"/>
      <c r="J3326" s="581"/>
      <c r="N3326" s="563"/>
      <c r="O3326" s="563"/>
      <c r="P3326" s="563"/>
    </row>
    <row r="3327" spans="8:16" ht="15.75" customHeight="1">
      <c r="H3327" s="563"/>
      <c r="I3327" s="563"/>
      <c r="J3327" s="581"/>
      <c r="N3327" s="563"/>
      <c r="O3327" s="563"/>
      <c r="P3327" s="563"/>
    </row>
    <row r="3328" spans="8:16" ht="15.75" customHeight="1">
      <c r="H3328" s="563"/>
      <c r="I3328" s="563"/>
      <c r="J3328" s="581"/>
      <c r="N3328" s="563"/>
      <c r="O3328" s="563"/>
      <c r="P3328" s="563"/>
    </row>
    <row r="3329" spans="8:16" ht="15.75" customHeight="1">
      <c r="H3329" s="563"/>
      <c r="I3329" s="563"/>
      <c r="J3329" s="581"/>
      <c r="N3329" s="563"/>
      <c r="O3329" s="563"/>
      <c r="P3329" s="563"/>
    </row>
    <row r="3330" spans="8:16" ht="15.75" customHeight="1">
      <c r="H3330" s="563"/>
      <c r="I3330" s="563"/>
      <c r="J3330" s="581"/>
      <c r="N3330" s="563"/>
      <c r="O3330" s="563"/>
      <c r="P3330" s="563"/>
    </row>
    <row r="3331" spans="8:16" ht="15.75" customHeight="1">
      <c r="H3331" s="563"/>
      <c r="I3331" s="563"/>
      <c r="J3331" s="581"/>
      <c r="N3331" s="563"/>
      <c r="O3331" s="563"/>
      <c r="P3331" s="563"/>
    </row>
    <row r="3332" spans="8:16" ht="15.75" customHeight="1">
      <c r="H3332" s="563"/>
      <c r="I3332" s="563"/>
      <c r="J3332" s="581"/>
      <c r="N3332" s="563"/>
      <c r="O3332" s="563"/>
      <c r="P3332" s="563"/>
    </row>
    <row r="3333" spans="8:16" ht="15.75" customHeight="1">
      <c r="H3333" s="563"/>
      <c r="I3333" s="563"/>
      <c r="J3333" s="581"/>
      <c r="N3333" s="563"/>
      <c r="O3333" s="563"/>
      <c r="P3333" s="563"/>
    </row>
    <row r="3334" spans="8:16" ht="15.75" customHeight="1">
      <c r="H3334" s="563"/>
      <c r="I3334" s="563"/>
      <c r="J3334" s="581"/>
      <c r="N3334" s="563"/>
      <c r="O3334" s="563"/>
      <c r="P3334" s="563"/>
    </row>
    <row r="3335" spans="8:16" ht="15.75" customHeight="1">
      <c r="H3335" s="563"/>
      <c r="I3335" s="563"/>
      <c r="J3335" s="581"/>
      <c r="N3335" s="563"/>
      <c r="O3335" s="563"/>
      <c r="P3335" s="563"/>
    </row>
    <row r="3336" spans="8:16" ht="15.75" customHeight="1">
      <c r="H3336" s="563"/>
      <c r="I3336" s="563"/>
      <c r="J3336" s="581"/>
      <c r="N3336" s="563"/>
      <c r="O3336" s="563"/>
      <c r="P3336" s="563"/>
    </row>
    <row r="3337" spans="8:16" ht="15.75" customHeight="1">
      <c r="H3337" s="563"/>
      <c r="I3337" s="563"/>
      <c r="J3337" s="581"/>
      <c r="N3337" s="563"/>
      <c r="O3337" s="563"/>
      <c r="P3337" s="563"/>
    </row>
    <row r="3338" spans="8:16" ht="15.75" customHeight="1">
      <c r="H3338" s="563"/>
      <c r="I3338" s="563"/>
      <c r="J3338" s="581"/>
      <c r="N3338" s="563"/>
      <c r="O3338" s="563"/>
      <c r="P3338" s="563"/>
    </row>
    <row r="3339" spans="8:16" ht="15.75" customHeight="1">
      <c r="H3339" s="563"/>
      <c r="I3339" s="563"/>
      <c r="J3339" s="581"/>
      <c r="N3339" s="563"/>
      <c r="O3339" s="563"/>
      <c r="P3339" s="563"/>
    </row>
    <row r="3340" spans="8:16" ht="15.75" customHeight="1">
      <c r="H3340" s="563"/>
      <c r="I3340" s="563"/>
      <c r="J3340" s="581"/>
      <c r="N3340" s="563"/>
      <c r="O3340" s="563"/>
      <c r="P3340" s="563"/>
    </row>
    <row r="3341" spans="8:16" ht="15.75" customHeight="1">
      <c r="H3341" s="563"/>
      <c r="I3341" s="563"/>
      <c r="J3341" s="581"/>
      <c r="N3341" s="563"/>
      <c r="O3341" s="563"/>
      <c r="P3341" s="563"/>
    </row>
    <row r="3342" spans="8:16" ht="15.75" customHeight="1">
      <c r="H3342" s="563"/>
      <c r="I3342" s="563"/>
      <c r="J3342" s="581"/>
      <c r="N3342" s="563"/>
      <c r="O3342" s="563"/>
      <c r="P3342" s="563"/>
    </row>
    <row r="3343" spans="8:16" ht="15.75" customHeight="1">
      <c r="H3343" s="563"/>
      <c r="I3343" s="563"/>
      <c r="J3343" s="581"/>
      <c r="N3343" s="563"/>
      <c r="O3343" s="563"/>
      <c r="P3343" s="563"/>
    </row>
    <row r="3344" spans="8:16" ht="15.75" customHeight="1">
      <c r="H3344" s="563"/>
      <c r="I3344" s="563"/>
      <c r="J3344" s="581"/>
      <c r="N3344" s="563"/>
      <c r="O3344" s="563"/>
      <c r="P3344" s="563"/>
    </row>
    <row r="3345" spans="8:16" ht="15.75" customHeight="1">
      <c r="H3345" s="563"/>
      <c r="I3345" s="563"/>
      <c r="J3345" s="581"/>
      <c r="N3345" s="563"/>
      <c r="O3345" s="563"/>
      <c r="P3345" s="563"/>
    </row>
    <row r="3346" spans="8:16" ht="15.75" customHeight="1">
      <c r="H3346" s="563"/>
      <c r="I3346" s="563"/>
      <c r="J3346" s="581"/>
      <c r="N3346" s="563"/>
      <c r="O3346" s="563"/>
      <c r="P3346" s="563"/>
    </row>
    <row r="3347" spans="8:16" ht="15.75" customHeight="1">
      <c r="H3347" s="563"/>
      <c r="I3347" s="563"/>
      <c r="J3347" s="581"/>
      <c r="N3347" s="563"/>
      <c r="O3347" s="563"/>
      <c r="P3347" s="563"/>
    </row>
    <row r="3348" spans="8:16" ht="15.75" customHeight="1">
      <c r="H3348" s="563"/>
      <c r="I3348" s="563"/>
      <c r="J3348" s="581"/>
      <c r="N3348" s="563"/>
      <c r="O3348" s="563"/>
      <c r="P3348" s="563"/>
    </row>
    <row r="3349" spans="8:16" ht="15.75" customHeight="1">
      <c r="H3349" s="563"/>
      <c r="I3349" s="563"/>
      <c r="J3349" s="581"/>
      <c r="N3349" s="563"/>
      <c r="O3349" s="563"/>
      <c r="P3349" s="563"/>
    </row>
    <row r="3350" spans="8:16" ht="15.75" customHeight="1">
      <c r="H3350" s="563"/>
      <c r="I3350" s="563"/>
      <c r="J3350" s="581"/>
      <c r="N3350" s="563"/>
      <c r="O3350" s="563"/>
      <c r="P3350" s="563"/>
    </row>
    <row r="3351" spans="8:16" ht="15.75" customHeight="1">
      <c r="H3351" s="563"/>
      <c r="I3351" s="563"/>
      <c r="J3351" s="581"/>
      <c r="N3351" s="563"/>
      <c r="O3351" s="563"/>
      <c r="P3351" s="563"/>
    </row>
    <row r="3352" spans="8:16" ht="15.75" customHeight="1">
      <c r="H3352" s="563"/>
      <c r="I3352" s="563"/>
      <c r="J3352" s="581"/>
      <c r="N3352" s="563"/>
      <c r="O3352" s="563"/>
      <c r="P3352" s="563"/>
    </row>
    <row r="3353" spans="8:16" ht="15.75" customHeight="1">
      <c r="H3353" s="563"/>
      <c r="I3353" s="563"/>
      <c r="J3353" s="581"/>
      <c r="N3353" s="563"/>
      <c r="O3353" s="563"/>
      <c r="P3353" s="563"/>
    </row>
    <row r="3354" spans="8:16" ht="15.75" customHeight="1">
      <c r="H3354" s="563"/>
      <c r="I3354" s="563"/>
      <c r="J3354" s="581"/>
      <c r="N3354" s="563"/>
      <c r="O3354" s="563"/>
      <c r="P3354" s="563"/>
    </row>
    <row r="3355" spans="8:16" ht="15.75" customHeight="1">
      <c r="H3355" s="563"/>
      <c r="I3355" s="563"/>
      <c r="J3355" s="581"/>
      <c r="N3355" s="563"/>
      <c r="O3355" s="563"/>
      <c r="P3355" s="563"/>
    </row>
    <row r="3356" spans="8:16" ht="15.75" customHeight="1">
      <c r="H3356" s="563"/>
      <c r="I3356" s="563"/>
      <c r="J3356" s="581"/>
      <c r="N3356" s="563"/>
      <c r="O3356" s="563"/>
      <c r="P3356" s="563"/>
    </row>
    <row r="3357" spans="8:16" ht="15.75" customHeight="1">
      <c r="H3357" s="563"/>
      <c r="I3357" s="563"/>
      <c r="J3357" s="581"/>
      <c r="N3357" s="563"/>
      <c r="O3357" s="563"/>
      <c r="P3357" s="563"/>
    </row>
    <row r="3358" spans="8:16" ht="15.75" customHeight="1">
      <c r="H3358" s="563"/>
      <c r="I3358" s="563"/>
      <c r="J3358" s="581"/>
      <c r="N3358" s="563"/>
      <c r="O3358" s="563"/>
      <c r="P3358" s="563"/>
    </row>
    <row r="3359" spans="8:16" ht="15.75" customHeight="1">
      <c r="H3359" s="563"/>
      <c r="I3359" s="563"/>
      <c r="J3359" s="581"/>
      <c r="N3359" s="563"/>
      <c r="O3359" s="563"/>
      <c r="P3359" s="563"/>
    </row>
    <row r="3360" spans="8:16" ht="15.75" customHeight="1">
      <c r="H3360" s="563"/>
      <c r="I3360" s="563"/>
      <c r="J3360" s="581"/>
      <c r="N3360" s="563"/>
      <c r="O3360" s="563"/>
      <c r="P3360" s="563"/>
    </row>
    <row r="3361" spans="8:16" ht="15.75" customHeight="1">
      <c r="H3361" s="563"/>
      <c r="I3361" s="563"/>
      <c r="J3361" s="581"/>
      <c r="N3361" s="563"/>
      <c r="O3361" s="563"/>
      <c r="P3361" s="563"/>
    </row>
    <row r="3362" spans="8:16" ht="15.75" customHeight="1">
      <c r="H3362" s="563"/>
      <c r="I3362" s="563"/>
      <c r="J3362" s="581"/>
      <c r="N3362" s="563"/>
      <c r="O3362" s="563"/>
      <c r="P3362" s="563"/>
    </row>
    <row r="3363" spans="8:16" ht="15.75" customHeight="1">
      <c r="H3363" s="563"/>
      <c r="I3363" s="563"/>
      <c r="J3363" s="581"/>
      <c r="N3363" s="563"/>
      <c r="O3363" s="563"/>
      <c r="P3363" s="563"/>
    </row>
    <row r="3364" spans="8:16" ht="15.75" customHeight="1">
      <c r="H3364" s="563"/>
      <c r="I3364" s="563"/>
      <c r="J3364" s="581"/>
      <c r="N3364" s="563"/>
      <c r="O3364" s="563"/>
      <c r="P3364" s="563"/>
    </row>
    <row r="3365" spans="8:16" ht="15.75" customHeight="1">
      <c r="H3365" s="563"/>
      <c r="I3365" s="563"/>
      <c r="J3365" s="581"/>
      <c r="N3365" s="563"/>
      <c r="O3365" s="563"/>
      <c r="P3365" s="563"/>
    </row>
    <row r="3366" spans="8:16" ht="15.75" customHeight="1">
      <c r="H3366" s="563"/>
      <c r="I3366" s="563"/>
      <c r="J3366" s="581"/>
      <c r="N3366" s="563"/>
      <c r="O3366" s="563"/>
      <c r="P3366" s="563"/>
    </row>
    <row r="3367" spans="8:16" ht="15.75" customHeight="1">
      <c r="H3367" s="563"/>
      <c r="I3367" s="563"/>
      <c r="J3367" s="581"/>
      <c r="N3367" s="563"/>
      <c r="O3367" s="563"/>
      <c r="P3367" s="563"/>
    </row>
    <row r="3368" spans="8:16" ht="15.75" customHeight="1">
      <c r="H3368" s="563"/>
      <c r="I3368" s="563"/>
      <c r="J3368" s="581"/>
      <c r="N3368" s="563"/>
      <c r="O3368" s="563"/>
      <c r="P3368" s="563"/>
    </row>
    <row r="3369" spans="8:16" ht="15.75" customHeight="1">
      <c r="H3369" s="563"/>
      <c r="I3369" s="563"/>
      <c r="J3369" s="581"/>
      <c r="N3369" s="563"/>
      <c r="O3369" s="563"/>
      <c r="P3369" s="563"/>
    </row>
    <row r="3370" spans="8:16" ht="15.75" customHeight="1">
      <c r="H3370" s="563"/>
      <c r="I3370" s="563"/>
      <c r="J3370" s="581"/>
      <c r="N3370" s="563"/>
      <c r="O3370" s="563"/>
      <c r="P3370" s="563"/>
    </row>
    <row r="3371" spans="8:16" ht="15.75" customHeight="1">
      <c r="H3371" s="563"/>
      <c r="I3371" s="563"/>
      <c r="J3371" s="581"/>
      <c r="N3371" s="563"/>
      <c r="O3371" s="563"/>
      <c r="P3371" s="563"/>
    </row>
    <row r="3372" spans="8:16" ht="15.75" customHeight="1">
      <c r="H3372" s="563"/>
      <c r="I3372" s="563"/>
      <c r="J3372" s="581"/>
      <c r="N3372" s="563"/>
      <c r="O3372" s="563"/>
      <c r="P3372" s="563"/>
    </row>
    <row r="3373" spans="8:16" ht="15.75" customHeight="1">
      <c r="H3373" s="563"/>
      <c r="I3373" s="563"/>
      <c r="J3373" s="581"/>
      <c r="N3373" s="563"/>
      <c r="O3373" s="563"/>
      <c r="P3373" s="563"/>
    </row>
    <row r="3374" spans="8:16" ht="15.75" customHeight="1">
      <c r="H3374" s="563"/>
      <c r="I3374" s="563"/>
      <c r="J3374" s="581"/>
      <c r="N3374" s="563"/>
      <c r="O3374" s="563"/>
      <c r="P3374" s="563"/>
    </row>
    <row r="3375" spans="8:16" ht="15.75" customHeight="1">
      <c r="H3375" s="563"/>
      <c r="I3375" s="563"/>
      <c r="J3375" s="581"/>
      <c r="N3375" s="563"/>
      <c r="O3375" s="563"/>
      <c r="P3375" s="563"/>
    </row>
    <row r="3376" spans="8:16" ht="15.75" customHeight="1">
      <c r="H3376" s="563"/>
      <c r="I3376" s="563"/>
      <c r="J3376" s="581"/>
      <c r="N3376" s="563"/>
      <c r="O3376" s="563"/>
      <c r="P3376" s="563"/>
    </row>
    <row r="3377" spans="8:16" ht="15.75" customHeight="1">
      <c r="H3377" s="563"/>
      <c r="I3377" s="563"/>
      <c r="J3377" s="581"/>
      <c r="N3377" s="563"/>
      <c r="O3377" s="563"/>
      <c r="P3377" s="563"/>
    </row>
    <row r="3378" spans="8:16" ht="15.75" customHeight="1">
      <c r="H3378" s="563"/>
      <c r="I3378" s="563"/>
      <c r="J3378" s="581"/>
      <c r="N3378" s="563"/>
      <c r="O3378" s="563"/>
      <c r="P3378" s="563"/>
    </row>
    <row r="3379" spans="8:16" ht="15.75" customHeight="1">
      <c r="H3379" s="563"/>
      <c r="I3379" s="563"/>
      <c r="J3379" s="581"/>
      <c r="N3379" s="563"/>
      <c r="O3379" s="563"/>
      <c r="P3379" s="563"/>
    </row>
    <row r="3380" spans="8:16" ht="15.75" customHeight="1">
      <c r="H3380" s="563"/>
      <c r="I3380" s="563"/>
      <c r="J3380" s="581"/>
      <c r="N3380" s="563"/>
      <c r="O3380" s="563"/>
      <c r="P3380" s="563"/>
    </row>
    <row r="3381" spans="8:16" ht="15.75" customHeight="1">
      <c r="H3381" s="563"/>
      <c r="I3381" s="563"/>
      <c r="J3381" s="581"/>
      <c r="N3381" s="563"/>
      <c r="O3381" s="563"/>
      <c r="P3381" s="563"/>
    </row>
    <row r="3382" spans="8:16" ht="15.75" customHeight="1">
      <c r="H3382" s="563"/>
      <c r="I3382" s="563"/>
      <c r="J3382" s="581"/>
      <c r="N3382" s="563"/>
      <c r="O3382" s="563"/>
      <c r="P3382" s="563"/>
    </row>
    <row r="3383" spans="8:16" ht="15.75" customHeight="1">
      <c r="H3383" s="563"/>
      <c r="I3383" s="563"/>
      <c r="J3383" s="581"/>
      <c r="N3383" s="563"/>
      <c r="O3383" s="563"/>
      <c r="P3383" s="563"/>
    </row>
    <row r="3384" spans="8:16" ht="15.75" customHeight="1">
      <c r="H3384" s="563"/>
      <c r="I3384" s="563"/>
      <c r="J3384" s="581"/>
      <c r="N3384" s="563"/>
      <c r="O3384" s="563"/>
      <c r="P3384" s="563"/>
    </row>
    <row r="3385" spans="8:16" ht="15.75" customHeight="1">
      <c r="H3385" s="563"/>
      <c r="I3385" s="563"/>
      <c r="J3385" s="581"/>
      <c r="N3385" s="563"/>
      <c r="O3385" s="563"/>
      <c r="P3385" s="563"/>
    </row>
    <row r="3386" spans="8:16" ht="15.75" customHeight="1">
      <c r="H3386" s="563"/>
      <c r="I3386" s="563"/>
      <c r="J3386" s="581"/>
      <c r="N3386" s="563"/>
      <c r="O3386" s="563"/>
      <c r="P3386" s="563"/>
    </row>
    <row r="3387" spans="8:16" ht="15.75" customHeight="1">
      <c r="H3387" s="563"/>
      <c r="I3387" s="563"/>
      <c r="J3387" s="581"/>
      <c r="N3387" s="563"/>
      <c r="O3387" s="563"/>
      <c r="P3387" s="563"/>
    </row>
    <row r="3388" spans="8:16" ht="15.75" customHeight="1">
      <c r="H3388" s="563"/>
      <c r="I3388" s="563"/>
      <c r="J3388" s="581"/>
      <c r="N3388" s="563"/>
      <c r="O3388" s="563"/>
      <c r="P3388" s="563"/>
    </row>
    <row r="3389" spans="8:16" ht="15.75" customHeight="1">
      <c r="H3389" s="563"/>
      <c r="I3389" s="563"/>
      <c r="J3389" s="581"/>
      <c r="N3389" s="563"/>
      <c r="O3389" s="563"/>
      <c r="P3389" s="563"/>
    </row>
    <row r="3390" spans="8:16" ht="15.75" customHeight="1">
      <c r="H3390" s="563"/>
      <c r="I3390" s="563"/>
      <c r="J3390" s="581"/>
      <c r="N3390" s="563"/>
      <c r="O3390" s="563"/>
      <c r="P3390" s="563"/>
    </row>
    <row r="3391" spans="8:16" ht="15.75" customHeight="1">
      <c r="H3391" s="563"/>
      <c r="I3391" s="563"/>
      <c r="J3391" s="581"/>
      <c r="N3391" s="563"/>
      <c r="O3391" s="563"/>
      <c r="P3391" s="563"/>
    </row>
    <row r="3392" spans="8:16" ht="15.75" customHeight="1">
      <c r="H3392" s="563"/>
      <c r="I3392" s="563"/>
      <c r="J3392" s="581"/>
      <c r="N3392" s="563"/>
      <c r="O3392" s="563"/>
      <c r="P3392" s="563"/>
    </row>
    <row r="3393" spans="8:16" ht="15.75" customHeight="1">
      <c r="H3393" s="563"/>
      <c r="I3393" s="563"/>
      <c r="J3393" s="581"/>
      <c r="N3393" s="563"/>
      <c r="O3393" s="563"/>
      <c r="P3393" s="563"/>
    </row>
    <row r="3394" spans="8:16" ht="15.75" customHeight="1">
      <c r="H3394" s="563"/>
      <c r="I3394" s="563"/>
      <c r="J3394" s="581"/>
      <c r="N3394" s="563"/>
      <c r="O3394" s="563"/>
      <c r="P3394" s="563"/>
    </row>
    <row r="3395" spans="8:16" ht="15.75" customHeight="1">
      <c r="H3395" s="563"/>
      <c r="I3395" s="563"/>
      <c r="J3395" s="581"/>
      <c r="N3395" s="563"/>
      <c r="O3395" s="563"/>
      <c r="P3395" s="563"/>
    </row>
    <row r="3396" spans="8:16" ht="15.75" customHeight="1">
      <c r="H3396" s="563"/>
      <c r="I3396" s="563"/>
      <c r="J3396" s="581"/>
      <c r="N3396" s="563"/>
      <c r="O3396" s="563"/>
      <c r="P3396" s="563"/>
    </row>
    <row r="3397" spans="8:16" ht="15.75" customHeight="1">
      <c r="H3397" s="563"/>
      <c r="I3397" s="563"/>
      <c r="J3397" s="581"/>
      <c r="N3397" s="563"/>
      <c r="O3397" s="563"/>
      <c r="P3397" s="563"/>
    </row>
    <row r="3398" spans="8:16" ht="15.75" customHeight="1">
      <c r="H3398" s="563"/>
      <c r="I3398" s="563"/>
      <c r="J3398" s="581"/>
      <c r="N3398" s="563"/>
      <c r="O3398" s="563"/>
      <c r="P3398" s="563"/>
    </row>
    <row r="3399" spans="8:16" ht="15.75" customHeight="1">
      <c r="H3399" s="563"/>
      <c r="I3399" s="563"/>
      <c r="J3399" s="581"/>
      <c r="N3399" s="563"/>
      <c r="O3399" s="563"/>
      <c r="P3399" s="563"/>
    </row>
    <row r="3400" spans="8:16" ht="15.75" customHeight="1">
      <c r="H3400" s="563"/>
      <c r="I3400" s="563"/>
      <c r="J3400" s="581"/>
      <c r="N3400" s="563"/>
      <c r="O3400" s="563"/>
      <c r="P3400" s="563"/>
    </row>
    <row r="3401" spans="8:16" ht="15.75" customHeight="1">
      <c r="H3401" s="563"/>
      <c r="I3401" s="563"/>
      <c r="J3401" s="581"/>
      <c r="N3401" s="563"/>
      <c r="O3401" s="563"/>
      <c r="P3401" s="563"/>
    </row>
    <row r="3402" spans="8:16" ht="15.75" customHeight="1">
      <c r="H3402" s="563"/>
      <c r="I3402" s="563"/>
      <c r="J3402" s="581"/>
      <c r="N3402" s="563"/>
      <c r="O3402" s="563"/>
      <c r="P3402" s="563"/>
    </row>
    <row r="3403" spans="8:16" ht="15.75" customHeight="1">
      <c r="H3403" s="563"/>
      <c r="I3403" s="563"/>
      <c r="J3403" s="581"/>
      <c r="N3403" s="563"/>
      <c r="O3403" s="563"/>
      <c r="P3403" s="563"/>
    </row>
    <row r="3404" spans="8:16" ht="15.75" customHeight="1">
      <c r="H3404" s="563"/>
      <c r="I3404" s="563"/>
      <c r="J3404" s="581"/>
      <c r="N3404" s="563"/>
      <c r="O3404" s="563"/>
      <c r="P3404" s="563"/>
    </row>
    <row r="3405" spans="8:16" ht="15.75" customHeight="1">
      <c r="H3405" s="563"/>
      <c r="I3405" s="563"/>
      <c r="J3405" s="581"/>
      <c r="N3405" s="563"/>
      <c r="O3405" s="563"/>
      <c r="P3405" s="563"/>
    </row>
    <row r="3406" spans="8:16" ht="15.75" customHeight="1">
      <c r="H3406" s="563"/>
      <c r="I3406" s="563"/>
      <c r="J3406" s="581"/>
      <c r="N3406" s="563"/>
      <c r="O3406" s="563"/>
      <c r="P3406" s="563"/>
    </row>
    <row r="3407" spans="8:16" ht="15.75" customHeight="1">
      <c r="H3407" s="563"/>
      <c r="I3407" s="563"/>
      <c r="J3407" s="581"/>
      <c r="N3407" s="563"/>
      <c r="O3407" s="563"/>
      <c r="P3407" s="563"/>
    </row>
    <row r="3408" spans="8:16" ht="15.75" customHeight="1">
      <c r="H3408" s="563"/>
      <c r="I3408" s="563"/>
      <c r="J3408" s="581"/>
      <c r="N3408" s="563"/>
      <c r="O3408" s="563"/>
      <c r="P3408" s="563"/>
    </row>
    <row r="3409" spans="8:16" ht="15.75" customHeight="1">
      <c r="H3409" s="563"/>
      <c r="I3409" s="563"/>
      <c r="J3409" s="581"/>
      <c r="N3409" s="563"/>
      <c r="O3409" s="563"/>
      <c r="P3409" s="563"/>
    </row>
    <row r="3410" spans="8:16" ht="15.75" customHeight="1">
      <c r="H3410" s="563"/>
      <c r="I3410" s="563"/>
      <c r="J3410" s="581"/>
      <c r="N3410" s="563"/>
      <c r="O3410" s="563"/>
      <c r="P3410" s="563"/>
    </row>
    <row r="3411" spans="8:16" ht="15.75" customHeight="1">
      <c r="H3411" s="563"/>
      <c r="I3411" s="563"/>
      <c r="J3411" s="581"/>
      <c r="N3411" s="563"/>
      <c r="O3411" s="563"/>
      <c r="P3411" s="563"/>
    </row>
    <row r="3412" spans="8:16" ht="15.75" customHeight="1">
      <c r="H3412" s="563"/>
      <c r="I3412" s="563"/>
      <c r="J3412" s="581"/>
      <c r="N3412" s="563"/>
      <c r="O3412" s="563"/>
      <c r="P3412" s="563"/>
    </row>
    <row r="3413" spans="8:16" ht="15.75" customHeight="1">
      <c r="H3413" s="563"/>
      <c r="I3413" s="563"/>
      <c r="J3413" s="581"/>
      <c r="N3413" s="563"/>
      <c r="O3413" s="563"/>
      <c r="P3413" s="563"/>
    </row>
    <row r="3414" spans="8:16" ht="15.75" customHeight="1">
      <c r="H3414" s="563"/>
      <c r="I3414" s="563"/>
      <c r="J3414" s="581"/>
      <c r="N3414" s="563"/>
      <c r="O3414" s="563"/>
      <c r="P3414" s="563"/>
    </row>
    <row r="3415" spans="8:16" ht="15.75" customHeight="1">
      <c r="H3415" s="563"/>
      <c r="I3415" s="563"/>
      <c r="J3415" s="581"/>
      <c r="N3415" s="563"/>
      <c r="O3415" s="563"/>
      <c r="P3415" s="563"/>
    </row>
    <row r="3416" spans="8:16" ht="15.75" customHeight="1">
      <c r="H3416" s="563"/>
      <c r="I3416" s="563"/>
      <c r="J3416" s="581"/>
      <c r="N3416" s="563"/>
      <c r="O3416" s="563"/>
      <c r="P3416" s="563"/>
    </row>
    <row r="3417" spans="8:16" ht="15.75" customHeight="1">
      <c r="H3417" s="563"/>
      <c r="I3417" s="563"/>
      <c r="J3417" s="581"/>
      <c r="N3417" s="563"/>
      <c r="O3417" s="563"/>
      <c r="P3417" s="563"/>
    </row>
    <row r="3418" spans="8:16" ht="15.75" customHeight="1">
      <c r="H3418" s="563"/>
      <c r="I3418" s="563"/>
      <c r="J3418" s="581"/>
      <c r="N3418" s="563"/>
      <c r="O3418" s="563"/>
      <c r="P3418" s="563"/>
    </row>
    <row r="3419" spans="8:16" ht="15.75" customHeight="1">
      <c r="H3419" s="563"/>
      <c r="I3419" s="563"/>
      <c r="J3419" s="581"/>
      <c r="N3419" s="563"/>
      <c r="O3419" s="563"/>
      <c r="P3419" s="563"/>
    </row>
    <row r="3420" spans="8:16" ht="15.75" customHeight="1">
      <c r="H3420" s="563"/>
      <c r="I3420" s="563"/>
      <c r="J3420" s="581"/>
      <c r="N3420" s="563"/>
      <c r="O3420" s="563"/>
      <c r="P3420" s="563"/>
    </row>
    <row r="3421" spans="8:16" ht="15.75" customHeight="1">
      <c r="H3421" s="563"/>
      <c r="I3421" s="563"/>
      <c r="J3421" s="581"/>
      <c r="N3421" s="563"/>
      <c r="O3421" s="563"/>
      <c r="P3421" s="563"/>
    </row>
    <row r="3422" spans="8:16" ht="15.75" customHeight="1">
      <c r="H3422" s="563"/>
      <c r="I3422" s="563"/>
      <c r="J3422" s="581"/>
      <c r="N3422" s="563"/>
      <c r="O3422" s="563"/>
      <c r="P3422" s="563"/>
    </row>
    <row r="3423" spans="8:16" ht="15.75" customHeight="1">
      <c r="H3423" s="563"/>
      <c r="I3423" s="563"/>
      <c r="J3423" s="581"/>
      <c r="N3423" s="563"/>
      <c r="O3423" s="563"/>
      <c r="P3423" s="563"/>
    </row>
    <row r="3424" spans="8:16" ht="15.75" customHeight="1">
      <c r="H3424" s="563"/>
      <c r="I3424" s="563"/>
      <c r="J3424" s="581"/>
      <c r="N3424" s="563"/>
      <c r="O3424" s="563"/>
      <c r="P3424" s="563"/>
    </row>
    <row r="3425" spans="8:16" ht="15.75" customHeight="1">
      <c r="H3425" s="563"/>
      <c r="I3425" s="563"/>
      <c r="J3425" s="581"/>
      <c r="N3425" s="563"/>
      <c r="O3425" s="563"/>
      <c r="P3425" s="563"/>
    </row>
    <row r="3426" spans="8:16" ht="15.75" customHeight="1">
      <c r="H3426" s="563"/>
      <c r="I3426" s="563"/>
      <c r="J3426" s="581"/>
      <c r="N3426" s="563"/>
      <c r="O3426" s="563"/>
      <c r="P3426" s="563"/>
    </row>
    <row r="3427" spans="8:16" ht="15.75" customHeight="1">
      <c r="H3427" s="563"/>
      <c r="I3427" s="563"/>
      <c r="J3427" s="581"/>
      <c r="N3427" s="563"/>
      <c r="O3427" s="563"/>
      <c r="P3427" s="563"/>
    </row>
    <row r="3428" spans="8:16" ht="15.75" customHeight="1">
      <c r="H3428" s="563"/>
      <c r="I3428" s="563"/>
      <c r="J3428" s="581"/>
      <c r="N3428" s="563"/>
      <c r="O3428" s="563"/>
      <c r="P3428" s="563"/>
    </row>
    <row r="3429" spans="8:16" ht="15.75" customHeight="1">
      <c r="H3429" s="563"/>
      <c r="I3429" s="563"/>
      <c r="J3429" s="581"/>
      <c r="N3429" s="563"/>
      <c r="O3429" s="563"/>
      <c r="P3429" s="563"/>
    </row>
    <row r="3430" spans="8:16" ht="15.75" customHeight="1">
      <c r="H3430" s="563"/>
      <c r="I3430" s="563"/>
      <c r="J3430" s="581"/>
      <c r="N3430" s="563"/>
      <c r="O3430" s="563"/>
      <c r="P3430" s="563"/>
    </row>
    <row r="3431" spans="8:16" ht="15.75" customHeight="1">
      <c r="H3431" s="563"/>
      <c r="I3431" s="563"/>
      <c r="J3431" s="581"/>
      <c r="N3431" s="563"/>
      <c r="O3431" s="563"/>
      <c r="P3431" s="563"/>
    </row>
    <row r="3432" spans="8:16" ht="15.75" customHeight="1">
      <c r="H3432" s="563"/>
      <c r="I3432" s="563"/>
      <c r="J3432" s="581"/>
      <c r="N3432" s="563"/>
      <c r="O3432" s="563"/>
      <c r="P3432" s="563"/>
    </row>
    <row r="3433" spans="8:16" ht="15.75" customHeight="1">
      <c r="H3433" s="563"/>
      <c r="I3433" s="563"/>
      <c r="J3433" s="581"/>
      <c r="N3433" s="563"/>
      <c r="O3433" s="563"/>
      <c r="P3433" s="563"/>
    </row>
    <row r="3434" spans="8:16" ht="15.75" customHeight="1">
      <c r="H3434" s="563"/>
      <c r="I3434" s="563"/>
      <c r="J3434" s="581"/>
      <c r="N3434" s="563"/>
      <c r="O3434" s="563"/>
      <c r="P3434" s="563"/>
    </row>
    <row r="3435" spans="8:16" ht="15.75" customHeight="1">
      <c r="H3435" s="563"/>
      <c r="I3435" s="563"/>
      <c r="J3435" s="581"/>
      <c r="N3435" s="563"/>
      <c r="O3435" s="563"/>
      <c r="P3435" s="563"/>
    </row>
    <row r="3436" spans="8:16" ht="15.75" customHeight="1">
      <c r="H3436" s="563"/>
      <c r="I3436" s="563"/>
      <c r="J3436" s="581"/>
      <c r="N3436" s="563"/>
      <c r="O3436" s="563"/>
      <c r="P3436" s="563"/>
    </row>
    <row r="3437" spans="8:16" ht="15.75" customHeight="1">
      <c r="H3437" s="563"/>
      <c r="I3437" s="563"/>
      <c r="J3437" s="581"/>
      <c r="N3437" s="563"/>
      <c r="O3437" s="563"/>
      <c r="P3437" s="563"/>
    </row>
    <row r="3438" spans="8:16" ht="15.75" customHeight="1">
      <c r="H3438" s="563"/>
      <c r="I3438" s="563"/>
      <c r="J3438" s="581"/>
      <c r="N3438" s="563"/>
      <c r="O3438" s="563"/>
      <c r="P3438" s="563"/>
    </row>
    <row r="3439" spans="8:16" ht="15.75" customHeight="1">
      <c r="H3439" s="563"/>
      <c r="I3439" s="563"/>
      <c r="J3439" s="581"/>
      <c r="N3439" s="563"/>
      <c r="O3439" s="563"/>
      <c r="P3439" s="563"/>
    </row>
    <row r="3440" spans="8:16" ht="15.75" customHeight="1">
      <c r="H3440" s="563"/>
      <c r="I3440" s="563"/>
      <c r="J3440" s="581"/>
      <c r="N3440" s="563"/>
      <c r="O3440" s="563"/>
      <c r="P3440" s="563"/>
    </row>
    <row r="3441" spans="8:16" ht="15.75" customHeight="1">
      <c r="H3441" s="563"/>
      <c r="I3441" s="563"/>
      <c r="J3441" s="581"/>
      <c r="N3441" s="563"/>
      <c r="O3441" s="563"/>
      <c r="P3441" s="563"/>
    </row>
    <row r="3442" spans="8:16" ht="15.75" customHeight="1">
      <c r="H3442" s="563"/>
      <c r="I3442" s="563"/>
      <c r="J3442" s="581"/>
      <c r="N3442" s="563"/>
      <c r="O3442" s="563"/>
      <c r="P3442" s="563"/>
    </row>
    <row r="3443" spans="8:16" ht="15.75" customHeight="1">
      <c r="H3443" s="563"/>
      <c r="I3443" s="563"/>
      <c r="J3443" s="581"/>
      <c r="N3443" s="563"/>
      <c r="O3443" s="563"/>
      <c r="P3443" s="563"/>
    </row>
    <row r="3444" spans="8:16" ht="15.75" customHeight="1">
      <c r="H3444" s="563"/>
      <c r="I3444" s="563"/>
      <c r="J3444" s="581"/>
      <c r="N3444" s="563"/>
      <c r="O3444" s="563"/>
      <c r="P3444" s="563"/>
    </row>
    <row r="3445" spans="8:16" ht="15.75" customHeight="1">
      <c r="H3445" s="563"/>
      <c r="I3445" s="563"/>
      <c r="J3445" s="581"/>
      <c r="N3445" s="563"/>
      <c r="O3445" s="563"/>
      <c r="P3445" s="563"/>
    </row>
    <row r="3446" spans="8:16" ht="15.75" customHeight="1">
      <c r="H3446" s="563"/>
      <c r="I3446" s="563"/>
      <c r="J3446" s="581"/>
      <c r="N3446" s="563"/>
      <c r="O3446" s="563"/>
      <c r="P3446" s="563"/>
    </row>
    <row r="3447" spans="8:16" ht="15.75" customHeight="1">
      <c r="H3447" s="563"/>
      <c r="I3447" s="563"/>
      <c r="J3447" s="581"/>
      <c r="N3447" s="563"/>
      <c r="O3447" s="563"/>
      <c r="P3447" s="563"/>
    </row>
    <row r="3448" spans="8:16" ht="15.75" customHeight="1">
      <c r="H3448" s="563"/>
      <c r="I3448" s="563"/>
      <c r="J3448" s="581"/>
      <c r="N3448" s="563"/>
      <c r="O3448" s="563"/>
      <c r="P3448" s="563"/>
    </row>
    <row r="3449" spans="8:16" ht="15.75" customHeight="1">
      <c r="H3449" s="563"/>
      <c r="I3449" s="563"/>
      <c r="J3449" s="581"/>
      <c r="N3449" s="563"/>
      <c r="O3449" s="563"/>
      <c r="P3449" s="563"/>
    </row>
    <row r="3450" spans="8:16" ht="15.75" customHeight="1">
      <c r="H3450" s="563"/>
      <c r="I3450" s="563"/>
      <c r="J3450" s="581"/>
      <c r="N3450" s="563"/>
      <c r="O3450" s="563"/>
      <c r="P3450" s="563"/>
    </row>
    <row r="3451" spans="8:16" ht="15.75" customHeight="1">
      <c r="H3451" s="563"/>
      <c r="I3451" s="563"/>
      <c r="J3451" s="581"/>
      <c r="N3451" s="563"/>
      <c r="O3451" s="563"/>
      <c r="P3451" s="563"/>
    </row>
    <row r="3452" spans="8:16" ht="15.75" customHeight="1">
      <c r="H3452" s="563"/>
      <c r="I3452" s="563"/>
      <c r="J3452" s="581"/>
      <c r="N3452" s="563"/>
      <c r="O3452" s="563"/>
      <c r="P3452" s="563"/>
    </row>
    <row r="3453" spans="8:16" ht="15.75" customHeight="1">
      <c r="H3453" s="563"/>
      <c r="I3453" s="563"/>
      <c r="J3453" s="581"/>
      <c r="N3453" s="563"/>
      <c r="O3453" s="563"/>
      <c r="P3453" s="563"/>
    </row>
    <row r="3454" spans="8:16" ht="15.75" customHeight="1">
      <c r="H3454" s="563"/>
      <c r="I3454" s="563"/>
      <c r="J3454" s="581"/>
      <c r="N3454" s="563"/>
      <c r="O3454" s="563"/>
      <c r="P3454" s="563"/>
    </row>
    <row r="3455" spans="8:16" ht="15.75" customHeight="1">
      <c r="H3455" s="563"/>
      <c r="I3455" s="563"/>
      <c r="J3455" s="581"/>
      <c r="N3455" s="563"/>
      <c r="O3455" s="563"/>
      <c r="P3455" s="563"/>
    </row>
    <row r="3456" spans="8:16" ht="15.75" customHeight="1">
      <c r="H3456" s="563"/>
      <c r="I3456" s="563"/>
      <c r="J3456" s="581"/>
      <c r="N3456" s="563"/>
      <c r="O3456" s="563"/>
      <c r="P3456" s="563"/>
    </row>
    <row r="3457" spans="8:16" ht="15.75" customHeight="1">
      <c r="H3457" s="563"/>
      <c r="I3457" s="563"/>
      <c r="J3457" s="581"/>
      <c r="N3457" s="563"/>
      <c r="O3457" s="563"/>
      <c r="P3457" s="563"/>
    </row>
    <row r="3458" spans="8:16" ht="15.75" customHeight="1">
      <c r="H3458" s="563"/>
      <c r="I3458" s="563"/>
      <c r="J3458" s="581"/>
      <c r="N3458" s="563"/>
      <c r="O3458" s="563"/>
      <c r="P3458" s="563"/>
    </row>
    <row r="3459" spans="8:16" ht="15.75" customHeight="1">
      <c r="H3459" s="563"/>
      <c r="I3459" s="563"/>
      <c r="J3459" s="581"/>
      <c r="N3459" s="563"/>
      <c r="O3459" s="563"/>
      <c r="P3459" s="563"/>
    </row>
    <row r="3460" spans="8:16" ht="15.75" customHeight="1">
      <c r="H3460" s="563"/>
      <c r="I3460" s="563"/>
      <c r="J3460" s="581"/>
      <c r="N3460" s="563"/>
      <c r="O3460" s="563"/>
      <c r="P3460" s="563"/>
    </row>
    <row r="3461" spans="8:16" ht="15.75" customHeight="1">
      <c r="H3461" s="563"/>
      <c r="I3461" s="563"/>
      <c r="J3461" s="581"/>
      <c r="N3461" s="563"/>
      <c r="O3461" s="563"/>
      <c r="P3461" s="563"/>
    </row>
    <row r="3462" spans="8:16" ht="15.75" customHeight="1">
      <c r="H3462" s="563"/>
      <c r="I3462" s="563"/>
      <c r="J3462" s="581"/>
      <c r="N3462" s="563"/>
      <c r="O3462" s="563"/>
      <c r="P3462" s="563"/>
    </row>
    <row r="3463" spans="8:16" ht="15.75" customHeight="1">
      <c r="H3463" s="563"/>
      <c r="I3463" s="563"/>
      <c r="J3463" s="581"/>
      <c r="N3463" s="563"/>
      <c r="O3463" s="563"/>
      <c r="P3463" s="563"/>
    </row>
    <row r="3464" spans="8:16" ht="15.75" customHeight="1">
      <c r="H3464" s="563"/>
      <c r="I3464" s="563"/>
      <c r="J3464" s="581"/>
      <c r="N3464" s="563"/>
      <c r="O3464" s="563"/>
      <c r="P3464" s="563"/>
    </row>
    <row r="3465" spans="8:16" ht="15.75" customHeight="1">
      <c r="H3465" s="563"/>
      <c r="I3465" s="563"/>
      <c r="J3465" s="581"/>
      <c r="N3465" s="563"/>
      <c r="O3465" s="563"/>
      <c r="P3465" s="563"/>
    </row>
    <row r="3466" spans="8:16" ht="15.75" customHeight="1">
      <c r="H3466" s="563"/>
      <c r="I3466" s="563"/>
      <c r="J3466" s="581"/>
      <c r="N3466" s="563"/>
      <c r="O3466" s="563"/>
      <c r="P3466" s="563"/>
    </row>
    <row r="3467" spans="8:16" ht="15.75" customHeight="1">
      <c r="H3467" s="563"/>
      <c r="I3467" s="563"/>
      <c r="J3467" s="581"/>
      <c r="N3467" s="563"/>
      <c r="O3467" s="563"/>
      <c r="P3467" s="563"/>
    </row>
    <row r="3468" spans="8:16" ht="15.75" customHeight="1">
      <c r="H3468" s="563"/>
      <c r="I3468" s="563"/>
      <c r="J3468" s="581"/>
      <c r="N3468" s="563"/>
      <c r="O3468" s="563"/>
      <c r="P3468" s="563"/>
    </row>
    <row r="3469" spans="8:16" ht="15.75" customHeight="1">
      <c r="H3469" s="563"/>
      <c r="I3469" s="563"/>
      <c r="J3469" s="581"/>
      <c r="N3469" s="563"/>
      <c r="O3469" s="563"/>
      <c r="P3469" s="563"/>
    </row>
    <row r="3470" spans="8:16" ht="15.75" customHeight="1">
      <c r="H3470" s="563"/>
      <c r="I3470" s="563"/>
      <c r="J3470" s="581"/>
      <c r="N3470" s="563"/>
      <c r="O3470" s="563"/>
      <c r="P3470" s="563"/>
    </row>
    <row r="3471" spans="8:16" ht="15.75" customHeight="1">
      <c r="H3471" s="563"/>
      <c r="I3471" s="563"/>
      <c r="J3471" s="581"/>
      <c r="P3471" s="563"/>
    </row>
    <row r="3472" spans="8:16" ht="15.75" customHeight="1">
      <c r="H3472" s="563"/>
      <c r="I3472" s="563"/>
      <c r="J3472" s="581"/>
      <c r="P3472" s="563"/>
    </row>
    <row r="3473" spans="8:16" ht="15.75" customHeight="1">
      <c r="H3473" s="563"/>
      <c r="I3473" s="563"/>
      <c r="J3473" s="581"/>
      <c r="P3473" s="563"/>
    </row>
    <row r="3474" spans="8:16" ht="15.75" customHeight="1">
      <c r="H3474" s="563"/>
      <c r="I3474" s="563"/>
      <c r="J3474" s="581"/>
      <c r="P3474" s="563"/>
    </row>
    <row r="3475" spans="8:16" ht="15.75" customHeight="1">
      <c r="H3475" s="563"/>
      <c r="I3475" s="563"/>
      <c r="J3475" s="581"/>
      <c r="P3475" s="563"/>
    </row>
    <row r="3476" spans="8:16" ht="15.75" customHeight="1">
      <c r="H3476" s="563"/>
      <c r="I3476" s="563"/>
      <c r="J3476" s="581"/>
      <c r="P3476" s="563"/>
    </row>
    <row r="3477" spans="8:16" ht="15.75" customHeight="1">
      <c r="H3477" s="563"/>
      <c r="I3477" s="563"/>
      <c r="J3477" s="581"/>
      <c r="P3477" s="563"/>
    </row>
    <row r="3478" spans="8:16" ht="15.75" customHeight="1">
      <c r="H3478" s="563"/>
      <c r="I3478" s="563"/>
      <c r="J3478" s="581"/>
      <c r="P3478" s="563"/>
    </row>
    <row r="3479" spans="8:16" ht="15.75" customHeight="1">
      <c r="H3479" s="563"/>
      <c r="I3479" s="563"/>
      <c r="J3479" s="581"/>
      <c r="P3479" s="563"/>
    </row>
    <row r="3480" spans="8:16" ht="15.75" customHeight="1">
      <c r="H3480" s="563"/>
      <c r="I3480" s="563"/>
      <c r="J3480" s="581"/>
      <c r="P3480" s="563"/>
    </row>
    <row r="3481" spans="8:16" ht="15.75" customHeight="1">
      <c r="H3481" s="563"/>
      <c r="I3481" s="563"/>
      <c r="J3481" s="581"/>
      <c r="P3481" s="563"/>
    </row>
    <row r="3482" spans="8:16" ht="15.75" customHeight="1">
      <c r="H3482" s="563"/>
      <c r="I3482" s="563"/>
      <c r="J3482" s="581"/>
      <c r="P3482" s="563"/>
    </row>
    <row r="3483" spans="8:16" ht="15.75" customHeight="1">
      <c r="H3483" s="563"/>
      <c r="I3483" s="563"/>
      <c r="J3483" s="581"/>
      <c r="P3483" s="563"/>
    </row>
    <row r="3484" spans="8:16" ht="15.75" customHeight="1">
      <c r="H3484" s="563"/>
      <c r="I3484" s="563"/>
      <c r="J3484" s="581"/>
    </row>
    <row r="3485" spans="8:16" ht="15.75" customHeight="1">
      <c r="H3485" s="563"/>
      <c r="I3485" s="563"/>
      <c r="J3485" s="581"/>
    </row>
    <row r="3486" spans="8:16" ht="15.75" customHeight="1">
      <c r="H3486" s="563"/>
      <c r="I3486" s="563"/>
      <c r="J3486" s="581"/>
    </row>
    <row r="3487" spans="8:16" ht="15.75" customHeight="1">
      <c r="H3487" s="563"/>
      <c r="I3487" s="563"/>
      <c r="J3487" s="581"/>
    </row>
    <row r="3488" spans="8:16" ht="15.75" customHeight="1">
      <c r="H3488" s="563"/>
      <c r="I3488" s="563"/>
      <c r="J3488" s="581"/>
    </row>
    <row r="3489" spans="8:10" ht="15.75" customHeight="1">
      <c r="H3489" s="563"/>
      <c r="I3489" s="563"/>
      <c r="J3489" s="581"/>
    </row>
    <row r="3490" spans="8:10" ht="15.75" customHeight="1">
      <c r="H3490" s="563"/>
      <c r="I3490" s="563"/>
      <c r="J3490" s="581"/>
    </row>
    <row r="3491" spans="8:10" ht="15.75" customHeight="1">
      <c r="H3491" s="563"/>
      <c r="I3491" s="563"/>
      <c r="J3491" s="581"/>
    </row>
    <row r="3492" spans="8:10" ht="15.75" customHeight="1">
      <c r="H3492" s="563"/>
      <c r="I3492" s="563"/>
      <c r="J3492" s="581"/>
    </row>
    <row r="3493" spans="8:10" ht="15.75" customHeight="1">
      <c r="H3493" s="563"/>
      <c r="I3493" s="563"/>
      <c r="J3493" s="581"/>
    </row>
    <row r="3494" spans="8:10" ht="15.75" customHeight="1">
      <c r="H3494" s="563"/>
      <c r="I3494" s="563"/>
      <c r="J3494" s="581"/>
    </row>
    <row r="3495" spans="8:10" ht="15.75" customHeight="1">
      <c r="H3495" s="563"/>
      <c r="I3495" s="563"/>
      <c r="J3495" s="581"/>
    </row>
    <row r="3496" spans="8:10" ht="15.75" customHeight="1">
      <c r="H3496" s="563"/>
      <c r="I3496" s="563"/>
      <c r="J3496" s="581"/>
    </row>
    <row r="3497" spans="8:10" ht="15.75" customHeight="1">
      <c r="H3497" s="563"/>
      <c r="I3497" s="563"/>
      <c r="J3497" s="581"/>
    </row>
    <row r="3498" spans="8:10" ht="15.75" customHeight="1">
      <c r="H3498" s="563"/>
      <c r="I3498" s="563"/>
      <c r="J3498" s="581"/>
    </row>
    <row r="3499" spans="8:10" ht="15.75" customHeight="1">
      <c r="H3499" s="563"/>
      <c r="I3499" s="563"/>
      <c r="J3499" s="581"/>
    </row>
    <row r="3500" spans="8:10" ht="15.75" customHeight="1">
      <c r="H3500" s="563"/>
      <c r="I3500" s="563"/>
      <c r="J3500" s="581"/>
    </row>
    <row r="3501" spans="8:10" ht="15.75" customHeight="1">
      <c r="H3501" s="563"/>
      <c r="I3501" s="563"/>
      <c r="J3501" s="581"/>
    </row>
    <row r="3502" spans="8:10" ht="15.75" customHeight="1">
      <c r="H3502" s="563"/>
      <c r="I3502" s="563"/>
      <c r="J3502" s="581"/>
    </row>
    <row r="3503" spans="8:10" ht="15.75" customHeight="1">
      <c r="H3503" s="563"/>
      <c r="I3503" s="563"/>
      <c r="J3503" s="581"/>
    </row>
    <row r="3504" spans="8:10" ht="15.75" customHeight="1">
      <c r="H3504" s="563"/>
      <c r="I3504" s="563"/>
      <c r="J3504" s="581"/>
    </row>
    <row r="3505" spans="8:10" ht="15.75" customHeight="1">
      <c r="H3505" s="563"/>
      <c r="I3505" s="563"/>
      <c r="J3505" s="581"/>
    </row>
    <row r="3506" spans="8:10" ht="15.75" customHeight="1">
      <c r="H3506" s="563"/>
      <c r="I3506" s="563"/>
      <c r="J3506" s="581"/>
    </row>
    <row r="3507" spans="8:10" ht="15.75" customHeight="1">
      <c r="H3507" s="563"/>
      <c r="I3507" s="563"/>
      <c r="J3507" s="581"/>
    </row>
    <row r="3508" spans="8:10" ht="15.75" customHeight="1">
      <c r="H3508" s="563"/>
      <c r="I3508" s="563"/>
      <c r="J3508" s="581"/>
    </row>
    <row r="3509" spans="8:10" ht="15.75" customHeight="1">
      <c r="H3509" s="563"/>
      <c r="I3509" s="563"/>
      <c r="J3509" s="581"/>
    </row>
    <row r="3510" spans="8:10" ht="15.75" customHeight="1">
      <c r="H3510" s="563"/>
      <c r="I3510" s="563"/>
      <c r="J3510" s="581"/>
    </row>
    <row r="3511" spans="8:10" ht="15.75" customHeight="1">
      <c r="H3511" s="563"/>
      <c r="I3511" s="563"/>
      <c r="J3511" s="581"/>
    </row>
    <row r="3512" spans="8:10" ht="15.75" customHeight="1">
      <c r="H3512" s="563"/>
      <c r="I3512" s="563"/>
      <c r="J3512" s="581"/>
    </row>
    <row r="3513" spans="8:10" ht="15.75" customHeight="1">
      <c r="H3513" s="563"/>
      <c r="I3513" s="563"/>
      <c r="J3513" s="581"/>
    </row>
    <row r="3514" spans="8:10" ht="15.75" customHeight="1">
      <c r="H3514" s="563"/>
      <c r="I3514" s="563"/>
      <c r="J3514" s="581"/>
    </row>
    <row r="3515" spans="8:10" ht="15.75" customHeight="1">
      <c r="H3515" s="563"/>
      <c r="I3515" s="563"/>
      <c r="J3515" s="581"/>
    </row>
    <row r="3516" spans="8:10" ht="15.75" customHeight="1">
      <c r="H3516" s="563"/>
      <c r="I3516" s="563"/>
      <c r="J3516" s="581"/>
    </row>
    <row r="3517" spans="8:10" ht="15.75" customHeight="1">
      <c r="H3517" s="563"/>
      <c r="I3517" s="563"/>
      <c r="J3517" s="581"/>
    </row>
    <row r="3518" spans="8:10" ht="15.75" customHeight="1">
      <c r="H3518" s="563"/>
      <c r="I3518" s="563"/>
      <c r="J3518" s="581"/>
    </row>
    <row r="3519" spans="8:10" ht="15.75" customHeight="1">
      <c r="H3519" s="563"/>
      <c r="I3519" s="563"/>
      <c r="J3519" s="581"/>
    </row>
    <row r="3520" spans="8:10" ht="15.75" customHeight="1">
      <c r="H3520" s="563"/>
      <c r="I3520" s="563"/>
      <c r="J3520" s="581"/>
    </row>
    <row r="3521" spans="8:10" ht="15.75" customHeight="1">
      <c r="H3521" s="563"/>
      <c r="I3521" s="563"/>
      <c r="J3521" s="581"/>
    </row>
    <row r="3522" spans="8:10" ht="15.75" customHeight="1">
      <c r="H3522" s="563"/>
      <c r="I3522" s="563"/>
      <c r="J3522" s="581"/>
    </row>
    <row r="3523" spans="8:10" ht="15.75" customHeight="1">
      <c r="H3523" s="563"/>
      <c r="I3523" s="563"/>
      <c r="J3523" s="581"/>
    </row>
    <row r="3524" spans="8:10" ht="15.75" customHeight="1">
      <c r="H3524" s="563"/>
      <c r="I3524" s="563"/>
      <c r="J3524" s="581"/>
    </row>
    <row r="3525" spans="8:10" ht="15.75" customHeight="1">
      <c r="H3525" s="563"/>
      <c r="I3525" s="563"/>
      <c r="J3525" s="581"/>
    </row>
    <row r="3526" spans="8:10" ht="15.75" customHeight="1">
      <c r="H3526" s="563"/>
      <c r="I3526" s="563"/>
      <c r="J3526" s="581"/>
    </row>
    <row r="3527" spans="8:10" ht="15.75" customHeight="1">
      <c r="H3527" s="563"/>
      <c r="I3527" s="563"/>
      <c r="J3527" s="581"/>
    </row>
    <row r="3528" spans="8:10" ht="15.75" customHeight="1">
      <c r="H3528" s="563"/>
      <c r="I3528" s="563"/>
      <c r="J3528" s="581"/>
    </row>
    <row r="3529" spans="8:10" ht="15.75" customHeight="1">
      <c r="H3529" s="563"/>
      <c r="I3529" s="563"/>
      <c r="J3529" s="581"/>
    </row>
    <row r="3530" spans="8:10" ht="15.75" customHeight="1">
      <c r="H3530" s="563"/>
      <c r="I3530" s="563"/>
      <c r="J3530" s="581"/>
    </row>
    <row r="3531" spans="8:10" ht="15.75" customHeight="1">
      <c r="H3531" s="563"/>
      <c r="I3531" s="563"/>
      <c r="J3531" s="581"/>
    </row>
    <row r="3532" spans="8:10" ht="15.75" customHeight="1">
      <c r="H3532" s="563"/>
      <c r="I3532" s="563"/>
      <c r="J3532" s="581"/>
    </row>
    <row r="3533" spans="8:10" ht="15.75" customHeight="1">
      <c r="H3533" s="563"/>
      <c r="I3533" s="563"/>
      <c r="J3533" s="581"/>
    </row>
    <row r="3534" spans="8:10" ht="15.75" customHeight="1">
      <c r="H3534" s="563"/>
      <c r="I3534" s="563"/>
      <c r="J3534" s="581"/>
    </row>
    <row r="3535" spans="8:10" ht="15.75" customHeight="1">
      <c r="H3535" s="563"/>
      <c r="I3535" s="563"/>
      <c r="J3535" s="581"/>
    </row>
    <row r="3536" spans="8:10" ht="15.75" customHeight="1">
      <c r="H3536" s="563"/>
      <c r="I3536" s="563"/>
      <c r="J3536" s="581"/>
    </row>
    <row r="3537" spans="8:10" ht="15.75" customHeight="1">
      <c r="H3537" s="563"/>
      <c r="I3537" s="563"/>
      <c r="J3537" s="581"/>
    </row>
    <row r="3538" spans="8:10" ht="15.75" customHeight="1">
      <c r="H3538" s="563"/>
      <c r="I3538" s="563"/>
      <c r="J3538" s="581"/>
    </row>
    <row r="3539" spans="8:10" ht="15.75" customHeight="1">
      <c r="H3539" s="563"/>
      <c r="I3539" s="563"/>
      <c r="J3539" s="581"/>
    </row>
    <row r="3540" spans="8:10" ht="15.75" customHeight="1">
      <c r="H3540" s="563"/>
      <c r="I3540" s="563"/>
      <c r="J3540" s="581"/>
    </row>
    <row r="3541" spans="8:10" ht="15.75" customHeight="1">
      <c r="H3541" s="563"/>
      <c r="I3541" s="563"/>
      <c r="J3541" s="581"/>
    </row>
    <row r="3542" spans="8:10" ht="15.75" customHeight="1">
      <c r="H3542" s="563"/>
      <c r="I3542" s="563"/>
      <c r="J3542" s="581"/>
    </row>
    <row r="3543" spans="8:10" ht="15.75" customHeight="1">
      <c r="H3543" s="563"/>
      <c r="I3543" s="563"/>
      <c r="J3543" s="581"/>
    </row>
    <row r="3544" spans="8:10" ht="15.75" customHeight="1">
      <c r="H3544" s="563"/>
      <c r="I3544" s="563"/>
      <c r="J3544" s="581"/>
    </row>
    <row r="3545" spans="8:10" ht="15.75" customHeight="1">
      <c r="H3545" s="563"/>
      <c r="I3545" s="563"/>
      <c r="J3545" s="581"/>
    </row>
    <row r="3546" spans="8:10" ht="15.75" customHeight="1">
      <c r="H3546" s="563"/>
      <c r="I3546" s="563"/>
      <c r="J3546" s="581"/>
    </row>
    <row r="3547" spans="8:10" ht="15.75" customHeight="1">
      <c r="H3547" s="563"/>
      <c r="I3547" s="563"/>
      <c r="J3547" s="581"/>
    </row>
    <row r="3548" spans="8:10" ht="15.75" customHeight="1">
      <c r="H3548" s="563"/>
      <c r="I3548" s="563"/>
      <c r="J3548" s="581"/>
    </row>
    <row r="3549" spans="8:10" ht="15.75" customHeight="1">
      <c r="H3549" s="563"/>
      <c r="I3549" s="563"/>
      <c r="J3549" s="581"/>
    </row>
    <row r="3550" spans="8:10" ht="15.75" customHeight="1">
      <c r="H3550" s="563"/>
      <c r="I3550" s="563"/>
      <c r="J3550" s="581"/>
    </row>
    <row r="3551" spans="8:10" ht="15.75" customHeight="1">
      <c r="H3551" s="563"/>
      <c r="I3551" s="563"/>
      <c r="J3551" s="581"/>
    </row>
    <row r="3552" spans="8:10" ht="15.75" customHeight="1">
      <c r="H3552" s="563"/>
      <c r="I3552" s="563"/>
      <c r="J3552" s="581"/>
    </row>
    <row r="3553" spans="8:10" ht="15.75" customHeight="1">
      <c r="H3553" s="563"/>
      <c r="I3553" s="563"/>
      <c r="J3553" s="581"/>
    </row>
    <row r="3554" spans="8:10" ht="15.75" customHeight="1">
      <c r="H3554" s="563"/>
      <c r="I3554" s="563"/>
      <c r="J3554" s="581"/>
    </row>
    <row r="3555" spans="8:10" ht="15.75" customHeight="1">
      <c r="H3555" s="563"/>
      <c r="I3555" s="563"/>
      <c r="J3555" s="581"/>
    </row>
    <row r="3556" spans="8:10" ht="15.75" customHeight="1">
      <c r="H3556" s="563"/>
      <c r="I3556" s="563"/>
      <c r="J3556" s="581"/>
    </row>
    <row r="3557" spans="8:10" ht="15.75" customHeight="1">
      <c r="H3557" s="563"/>
      <c r="I3557" s="563"/>
      <c r="J3557" s="581"/>
    </row>
    <row r="3558" spans="8:10" ht="15.75" customHeight="1">
      <c r="H3558" s="563"/>
      <c r="I3558" s="563"/>
      <c r="J3558" s="581"/>
    </row>
    <row r="3559" spans="8:10" ht="15.75" customHeight="1">
      <c r="H3559" s="563"/>
      <c r="I3559" s="563"/>
      <c r="J3559" s="581"/>
    </row>
    <row r="3560" spans="8:10" ht="15.75" customHeight="1">
      <c r="H3560" s="563"/>
      <c r="I3560" s="563"/>
      <c r="J3560" s="581"/>
    </row>
    <row r="3561" spans="8:10" ht="15.75" customHeight="1">
      <c r="H3561" s="563"/>
      <c r="I3561" s="563"/>
      <c r="J3561" s="581"/>
    </row>
    <row r="3562" spans="8:10" ht="15.75" customHeight="1">
      <c r="H3562" s="563"/>
      <c r="I3562" s="563"/>
      <c r="J3562" s="581"/>
    </row>
    <row r="3563" spans="8:10" ht="15.75" customHeight="1">
      <c r="H3563" s="563"/>
      <c r="I3563" s="563"/>
      <c r="J3563" s="581"/>
    </row>
    <row r="3564" spans="8:10" ht="15.75" customHeight="1">
      <c r="H3564" s="563"/>
      <c r="I3564" s="563"/>
      <c r="J3564" s="581"/>
    </row>
    <row r="3565" spans="8:10" ht="15.75" customHeight="1">
      <c r="H3565" s="563"/>
      <c r="I3565" s="563"/>
      <c r="J3565" s="581"/>
    </row>
    <row r="3566" spans="8:10" ht="15.75" customHeight="1">
      <c r="H3566" s="563"/>
      <c r="I3566" s="563"/>
      <c r="J3566" s="581"/>
    </row>
    <row r="3567" spans="8:10" ht="15.75" customHeight="1">
      <c r="H3567" s="563"/>
      <c r="I3567" s="563"/>
      <c r="J3567" s="581"/>
    </row>
    <row r="3568" spans="8:10" ht="15.75" customHeight="1">
      <c r="H3568" s="563"/>
      <c r="I3568" s="563"/>
      <c r="J3568" s="581"/>
    </row>
    <row r="3569" spans="8:10" ht="15.75" customHeight="1">
      <c r="H3569" s="563"/>
      <c r="I3569" s="563"/>
      <c r="J3569" s="581"/>
    </row>
    <row r="3570" spans="8:10" ht="15.75" customHeight="1">
      <c r="H3570" s="563"/>
      <c r="I3570" s="563"/>
      <c r="J3570" s="581"/>
    </row>
    <row r="3571" spans="8:10" ht="15.75" customHeight="1">
      <c r="H3571" s="563"/>
      <c r="I3571" s="563"/>
      <c r="J3571" s="581"/>
    </row>
    <row r="3572" spans="8:10" ht="15.75" customHeight="1">
      <c r="H3572" s="563"/>
      <c r="I3572" s="563"/>
      <c r="J3572" s="581"/>
    </row>
    <row r="3573" spans="8:10" ht="15.75" customHeight="1">
      <c r="H3573" s="563"/>
      <c r="I3573" s="563"/>
      <c r="J3573" s="581"/>
    </row>
    <row r="3574" spans="8:10" ht="15.75" customHeight="1">
      <c r="H3574" s="563"/>
      <c r="I3574" s="563"/>
      <c r="J3574" s="581"/>
    </row>
    <row r="3575" spans="8:10" ht="15.75" customHeight="1">
      <c r="H3575" s="563"/>
      <c r="I3575" s="563"/>
      <c r="J3575" s="581"/>
    </row>
    <row r="3576" spans="8:10" ht="15.75" customHeight="1">
      <c r="H3576" s="563"/>
      <c r="I3576" s="563"/>
      <c r="J3576" s="581"/>
    </row>
    <row r="3577" spans="8:10" ht="15.75" customHeight="1">
      <c r="H3577" s="563"/>
      <c r="I3577" s="563"/>
      <c r="J3577" s="581"/>
    </row>
    <row r="3578" spans="8:10" ht="15.75" customHeight="1">
      <c r="H3578" s="563"/>
      <c r="I3578" s="563"/>
      <c r="J3578" s="581"/>
    </row>
    <row r="3579" spans="8:10" ht="15.75" customHeight="1">
      <c r="H3579" s="563"/>
      <c r="I3579" s="563"/>
      <c r="J3579" s="581"/>
    </row>
    <row r="3580" spans="8:10" ht="15.75" customHeight="1">
      <c r="H3580" s="563"/>
      <c r="I3580" s="563"/>
      <c r="J3580" s="581"/>
    </row>
    <row r="3581" spans="8:10" ht="15.75" customHeight="1">
      <c r="H3581" s="563"/>
      <c r="I3581" s="563"/>
      <c r="J3581" s="581"/>
    </row>
    <row r="3582" spans="8:10" ht="15.75" customHeight="1">
      <c r="H3582" s="563"/>
      <c r="I3582" s="563"/>
      <c r="J3582" s="581"/>
    </row>
    <row r="3583" spans="8:10" ht="15.75" customHeight="1">
      <c r="H3583" s="563"/>
      <c r="I3583" s="563"/>
      <c r="J3583" s="581"/>
    </row>
    <row r="3584" spans="8:10" ht="15.75" customHeight="1">
      <c r="H3584" s="563"/>
      <c r="I3584" s="563"/>
      <c r="J3584" s="581"/>
    </row>
    <row r="3585" spans="8:10" ht="15.75" customHeight="1">
      <c r="H3585" s="563"/>
      <c r="I3585" s="563"/>
      <c r="J3585" s="581"/>
    </row>
    <row r="3586" spans="8:10" ht="15.75" customHeight="1">
      <c r="H3586" s="563"/>
      <c r="I3586" s="563"/>
      <c r="J3586" s="581"/>
    </row>
    <row r="3587" spans="8:10" ht="15.75" customHeight="1">
      <c r="H3587" s="563"/>
      <c r="I3587" s="563"/>
      <c r="J3587" s="581"/>
    </row>
    <row r="3588" spans="8:10" ht="15.75" customHeight="1">
      <c r="H3588" s="563"/>
      <c r="I3588" s="563"/>
      <c r="J3588" s="581"/>
    </row>
    <row r="3589" spans="8:10" ht="15.75" customHeight="1">
      <c r="H3589" s="563"/>
      <c r="I3589" s="563"/>
      <c r="J3589" s="581"/>
    </row>
    <row r="3590" spans="8:10" ht="15.75" customHeight="1">
      <c r="H3590" s="563"/>
      <c r="I3590" s="563"/>
      <c r="J3590" s="581"/>
    </row>
    <row r="3591" spans="8:10" ht="15.75" customHeight="1">
      <c r="H3591" s="563"/>
      <c r="I3591" s="563"/>
      <c r="J3591" s="581"/>
    </row>
    <row r="3592" spans="8:10" ht="15.75" customHeight="1">
      <c r="H3592" s="563"/>
      <c r="I3592" s="563"/>
      <c r="J3592" s="581"/>
    </row>
    <row r="3593" spans="8:10" ht="15.75" customHeight="1">
      <c r="H3593" s="563"/>
      <c r="I3593" s="563"/>
      <c r="J3593" s="581"/>
    </row>
    <row r="3594" spans="8:10" ht="15.75" customHeight="1">
      <c r="H3594" s="563"/>
      <c r="I3594" s="563"/>
      <c r="J3594" s="581"/>
    </row>
    <row r="3595" spans="8:10" ht="15.75" customHeight="1">
      <c r="H3595" s="563"/>
      <c r="I3595" s="563"/>
      <c r="J3595" s="581"/>
    </row>
    <row r="3596" spans="8:10" ht="15.75" customHeight="1">
      <c r="H3596" s="563"/>
      <c r="I3596" s="563"/>
      <c r="J3596" s="581"/>
    </row>
    <row r="3597" spans="8:10" ht="15.75" customHeight="1">
      <c r="H3597" s="563"/>
      <c r="I3597" s="563"/>
      <c r="J3597" s="581"/>
    </row>
    <row r="3598" spans="8:10" ht="15.75" customHeight="1">
      <c r="H3598" s="563"/>
      <c r="I3598" s="563"/>
      <c r="J3598" s="581"/>
    </row>
    <row r="3599" spans="8:10" ht="15.75" customHeight="1">
      <c r="H3599" s="563"/>
      <c r="I3599" s="563"/>
      <c r="J3599" s="581"/>
    </row>
    <row r="3600" spans="8:10" ht="15.75" customHeight="1">
      <c r="H3600" s="563"/>
      <c r="I3600" s="563"/>
      <c r="J3600" s="581"/>
    </row>
    <row r="3601" spans="8:10" ht="15.75" customHeight="1">
      <c r="H3601" s="563"/>
      <c r="I3601" s="563"/>
      <c r="J3601" s="581"/>
    </row>
    <row r="3602" spans="8:10" ht="15.75" customHeight="1">
      <c r="H3602" s="563"/>
      <c r="I3602" s="563"/>
      <c r="J3602" s="581"/>
    </row>
    <row r="3603" spans="8:10" ht="15.75" customHeight="1">
      <c r="H3603" s="563"/>
      <c r="I3603" s="563"/>
      <c r="J3603" s="581"/>
    </row>
    <row r="3604" spans="8:10" ht="15.75" customHeight="1">
      <c r="H3604" s="563"/>
      <c r="I3604" s="563"/>
      <c r="J3604" s="581"/>
    </row>
    <row r="3605" spans="8:10" ht="15.75" customHeight="1">
      <c r="H3605" s="563"/>
      <c r="I3605" s="563"/>
      <c r="J3605" s="581"/>
    </row>
    <row r="3606" spans="8:10" ht="15.75" customHeight="1">
      <c r="H3606" s="563"/>
      <c r="I3606" s="563"/>
      <c r="J3606" s="581"/>
    </row>
    <row r="3607" spans="8:10" ht="15.75" customHeight="1">
      <c r="H3607" s="563"/>
      <c r="I3607" s="563"/>
      <c r="J3607" s="581"/>
    </row>
    <row r="3608" spans="8:10" ht="15.75" customHeight="1">
      <c r="H3608" s="563"/>
      <c r="I3608" s="563"/>
      <c r="J3608" s="581"/>
    </row>
    <row r="3609" spans="8:10" ht="15.75" customHeight="1">
      <c r="H3609" s="563"/>
      <c r="I3609" s="563"/>
      <c r="J3609" s="581"/>
    </row>
    <row r="3610" spans="8:10" ht="15.75" customHeight="1">
      <c r="H3610" s="563"/>
      <c r="I3610" s="563"/>
      <c r="J3610" s="581"/>
    </row>
    <row r="3611" spans="8:10" ht="15.75" customHeight="1">
      <c r="H3611" s="563"/>
      <c r="I3611" s="563"/>
      <c r="J3611" s="581"/>
    </row>
    <row r="3612" spans="8:10" ht="15.75" customHeight="1">
      <c r="H3612" s="563"/>
      <c r="I3612" s="563"/>
      <c r="J3612" s="581"/>
    </row>
    <row r="3613" spans="8:10" ht="15.75" customHeight="1">
      <c r="H3613" s="563"/>
      <c r="I3613" s="563"/>
      <c r="J3613" s="581"/>
    </row>
    <row r="3614" spans="8:10" ht="15.75" customHeight="1">
      <c r="H3614" s="563"/>
      <c r="I3614" s="563"/>
      <c r="J3614" s="581"/>
    </row>
    <row r="3615" spans="8:10" ht="15.75" customHeight="1">
      <c r="H3615" s="563"/>
      <c r="I3615" s="563"/>
      <c r="J3615" s="581"/>
    </row>
    <row r="3616" spans="8:10" ht="15.75" customHeight="1">
      <c r="H3616" s="563"/>
      <c r="I3616" s="563"/>
      <c r="J3616" s="581"/>
    </row>
    <row r="3617" spans="8:10" ht="15.75" customHeight="1">
      <c r="H3617" s="563"/>
      <c r="I3617" s="563"/>
      <c r="J3617" s="581"/>
    </row>
    <row r="3618" spans="8:10" ht="15.75" customHeight="1">
      <c r="H3618" s="563"/>
      <c r="I3618" s="563"/>
      <c r="J3618" s="581"/>
    </row>
    <row r="3619" spans="8:10" ht="15.75" customHeight="1">
      <c r="H3619" s="563"/>
      <c r="I3619" s="563"/>
      <c r="J3619" s="581"/>
    </row>
    <row r="3620" spans="8:10" ht="15.75" customHeight="1">
      <c r="H3620" s="563"/>
      <c r="I3620" s="563"/>
      <c r="J3620" s="581"/>
    </row>
    <row r="3621" spans="8:10" ht="15.75" customHeight="1">
      <c r="H3621" s="563"/>
      <c r="I3621" s="563"/>
      <c r="J3621" s="581"/>
    </row>
    <row r="3622" spans="8:10" ht="15.75" customHeight="1">
      <c r="H3622" s="563"/>
      <c r="I3622" s="563"/>
      <c r="J3622" s="581"/>
    </row>
    <row r="3623" spans="8:10" ht="15.75" customHeight="1">
      <c r="H3623" s="563"/>
      <c r="I3623" s="563"/>
      <c r="J3623" s="581"/>
    </row>
    <row r="3624" spans="8:10" ht="15.75" customHeight="1">
      <c r="H3624" s="563"/>
      <c r="I3624" s="563"/>
      <c r="J3624" s="581"/>
    </row>
    <row r="3625" spans="8:10" ht="15.75" customHeight="1">
      <c r="H3625" s="563"/>
      <c r="I3625" s="563"/>
      <c r="J3625" s="581"/>
    </row>
    <row r="3626" spans="8:10" ht="15.75" customHeight="1">
      <c r="H3626" s="563"/>
      <c r="I3626" s="563"/>
      <c r="J3626" s="581"/>
    </row>
    <row r="3627" spans="8:10" ht="15.75" customHeight="1">
      <c r="H3627" s="563"/>
      <c r="I3627" s="563"/>
      <c r="J3627" s="581"/>
    </row>
    <row r="3628" spans="8:10" ht="15.75" customHeight="1">
      <c r="H3628" s="563"/>
      <c r="I3628" s="563"/>
      <c r="J3628" s="581"/>
    </row>
    <row r="3629" spans="8:10" ht="15.75" customHeight="1">
      <c r="H3629" s="563"/>
      <c r="I3629" s="563"/>
      <c r="J3629" s="581"/>
    </row>
    <row r="3630" spans="8:10" ht="15.75" customHeight="1">
      <c r="H3630" s="563"/>
      <c r="I3630" s="563"/>
      <c r="J3630" s="581"/>
    </row>
    <row r="3631" spans="8:10" ht="15.75" customHeight="1">
      <c r="H3631" s="563"/>
      <c r="I3631" s="563"/>
      <c r="J3631" s="581"/>
    </row>
    <row r="3632" spans="8:10" ht="15.75" customHeight="1">
      <c r="H3632" s="563"/>
      <c r="I3632" s="563"/>
      <c r="J3632" s="581"/>
    </row>
    <row r="3633" spans="8:10" ht="15.75" customHeight="1">
      <c r="H3633" s="563"/>
      <c r="I3633" s="563"/>
      <c r="J3633" s="581"/>
    </row>
    <row r="3634" spans="8:10" ht="15.75" customHeight="1">
      <c r="H3634" s="563"/>
      <c r="I3634" s="563"/>
      <c r="J3634" s="581"/>
    </row>
    <row r="3635" spans="8:10" ht="15.75" customHeight="1">
      <c r="H3635" s="563"/>
      <c r="I3635" s="563"/>
      <c r="J3635" s="581"/>
    </row>
    <row r="3636" spans="8:10" ht="15.75" customHeight="1">
      <c r="H3636" s="563"/>
      <c r="I3636" s="563"/>
      <c r="J3636" s="581"/>
    </row>
    <row r="3637" spans="8:10" ht="15.75" customHeight="1">
      <c r="H3637" s="563"/>
      <c r="I3637" s="563"/>
      <c r="J3637" s="581"/>
    </row>
    <row r="3638" spans="8:10" ht="15.75" customHeight="1">
      <c r="H3638" s="563"/>
      <c r="I3638" s="563"/>
      <c r="J3638" s="581"/>
    </row>
    <row r="3639" spans="8:10" ht="15.75" customHeight="1">
      <c r="H3639" s="563"/>
      <c r="I3639" s="563"/>
      <c r="J3639" s="581"/>
    </row>
    <row r="3640" spans="8:10" ht="15.75" customHeight="1">
      <c r="H3640" s="563"/>
      <c r="I3640" s="563"/>
      <c r="J3640" s="581"/>
    </row>
    <row r="3641" spans="8:10" ht="15.75" customHeight="1">
      <c r="H3641" s="563"/>
      <c r="I3641" s="563"/>
      <c r="J3641" s="581"/>
    </row>
    <row r="3642" spans="8:10" ht="15.75" customHeight="1">
      <c r="H3642" s="563"/>
      <c r="I3642" s="563"/>
      <c r="J3642" s="581"/>
    </row>
    <row r="3643" spans="8:10" ht="15.75" customHeight="1">
      <c r="H3643" s="563"/>
      <c r="I3643" s="563"/>
      <c r="J3643" s="581"/>
    </row>
    <row r="3644" spans="8:10" ht="15.75" customHeight="1">
      <c r="H3644" s="563"/>
      <c r="I3644" s="563"/>
      <c r="J3644" s="581"/>
    </row>
    <row r="3645" spans="8:10" ht="15.75" customHeight="1">
      <c r="H3645" s="563"/>
      <c r="I3645" s="563"/>
      <c r="J3645" s="581"/>
    </row>
    <row r="3646" spans="8:10" ht="15.75" customHeight="1">
      <c r="H3646" s="563"/>
      <c r="I3646" s="563"/>
      <c r="J3646" s="581"/>
    </row>
    <row r="3647" spans="8:10" ht="15.75" customHeight="1">
      <c r="H3647" s="563"/>
      <c r="I3647" s="563"/>
      <c r="J3647" s="581"/>
    </row>
    <row r="3648" spans="8:10" ht="15.75" customHeight="1">
      <c r="H3648" s="563"/>
      <c r="I3648" s="563"/>
      <c r="J3648" s="581"/>
    </row>
    <row r="3649" spans="8:10" ht="15.75" customHeight="1">
      <c r="H3649" s="563"/>
      <c r="I3649" s="563"/>
      <c r="J3649" s="581"/>
    </row>
    <row r="3650" spans="8:10" ht="15.75" customHeight="1">
      <c r="H3650" s="563"/>
      <c r="I3650" s="563"/>
      <c r="J3650" s="581"/>
    </row>
    <row r="3651" spans="8:10" ht="15.75" customHeight="1">
      <c r="H3651" s="563"/>
      <c r="I3651" s="563"/>
      <c r="J3651" s="581"/>
    </row>
    <row r="3652" spans="8:10" ht="15.75" customHeight="1">
      <c r="H3652" s="563"/>
      <c r="I3652" s="563"/>
      <c r="J3652" s="581"/>
    </row>
    <row r="3653" spans="8:10" ht="15.75" customHeight="1">
      <c r="H3653" s="563"/>
      <c r="I3653" s="563"/>
      <c r="J3653" s="581"/>
    </row>
    <row r="3654" spans="8:10" ht="15.75" customHeight="1">
      <c r="H3654" s="563"/>
      <c r="I3654" s="563"/>
      <c r="J3654" s="581"/>
    </row>
    <row r="3655" spans="8:10" ht="15.75" customHeight="1">
      <c r="H3655" s="563"/>
      <c r="I3655" s="563"/>
      <c r="J3655" s="581"/>
    </row>
    <row r="3656" spans="8:10" ht="15.75" customHeight="1">
      <c r="H3656" s="563"/>
      <c r="I3656" s="563"/>
      <c r="J3656" s="581"/>
    </row>
    <row r="3657" spans="8:10" ht="15.75" customHeight="1">
      <c r="H3657" s="563"/>
      <c r="I3657" s="563"/>
      <c r="J3657" s="581"/>
    </row>
    <row r="3658" spans="8:10" ht="15.75" customHeight="1">
      <c r="H3658" s="563"/>
      <c r="I3658" s="563"/>
      <c r="J3658" s="581"/>
    </row>
    <row r="3659" spans="8:10" ht="15.75" customHeight="1">
      <c r="H3659" s="563"/>
      <c r="I3659" s="563"/>
      <c r="J3659" s="581"/>
    </row>
    <row r="3660" spans="8:10" ht="15.75" customHeight="1">
      <c r="H3660" s="563"/>
      <c r="I3660" s="563"/>
      <c r="J3660" s="581"/>
    </row>
    <row r="3661" spans="8:10" ht="15.75" customHeight="1">
      <c r="H3661" s="563"/>
      <c r="I3661" s="563"/>
      <c r="J3661" s="581"/>
    </row>
    <row r="3662" spans="8:10" ht="15.75" customHeight="1">
      <c r="H3662" s="563"/>
      <c r="I3662" s="563"/>
      <c r="J3662" s="581"/>
    </row>
    <row r="3663" spans="8:10" ht="15.75" customHeight="1">
      <c r="H3663" s="563"/>
      <c r="I3663" s="563"/>
      <c r="J3663" s="581"/>
    </row>
    <row r="3664" spans="8:10" ht="15.75" customHeight="1">
      <c r="H3664" s="563"/>
      <c r="I3664" s="563"/>
      <c r="J3664" s="581"/>
    </row>
    <row r="3665" spans="8:10" ht="15.75" customHeight="1">
      <c r="H3665" s="563"/>
      <c r="I3665" s="563"/>
      <c r="J3665" s="581"/>
    </row>
    <row r="3666" spans="8:10" ht="15.75" customHeight="1">
      <c r="H3666" s="563"/>
      <c r="I3666" s="563"/>
      <c r="J3666" s="581"/>
    </row>
    <row r="3667" spans="8:10" ht="15.75" customHeight="1">
      <c r="H3667" s="563"/>
      <c r="I3667" s="563"/>
      <c r="J3667" s="581"/>
    </row>
    <row r="3668" spans="8:10" ht="15.75" customHeight="1">
      <c r="H3668" s="563"/>
      <c r="I3668" s="563"/>
      <c r="J3668" s="581"/>
    </row>
    <row r="3669" spans="8:10" ht="15.75" customHeight="1">
      <c r="H3669" s="563"/>
      <c r="I3669" s="563"/>
      <c r="J3669" s="581"/>
    </row>
    <row r="3670" spans="8:10" ht="15.75" customHeight="1">
      <c r="H3670" s="563"/>
      <c r="I3670" s="563"/>
      <c r="J3670" s="581"/>
    </row>
    <row r="3671" spans="8:10" ht="15.75" customHeight="1">
      <c r="H3671" s="563"/>
      <c r="I3671" s="563"/>
      <c r="J3671" s="581"/>
    </row>
    <row r="3672" spans="8:10" ht="15.75" customHeight="1">
      <c r="H3672" s="563"/>
      <c r="I3672" s="563"/>
      <c r="J3672" s="581"/>
    </row>
    <row r="3673" spans="8:10" ht="15.75" customHeight="1">
      <c r="H3673" s="563"/>
      <c r="I3673" s="563"/>
      <c r="J3673" s="581"/>
    </row>
    <row r="3674" spans="8:10" ht="15.75" customHeight="1">
      <c r="H3674" s="563"/>
      <c r="I3674" s="563"/>
      <c r="J3674" s="581"/>
    </row>
    <row r="3675" spans="8:10" ht="15.75" customHeight="1">
      <c r="H3675" s="563"/>
      <c r="I3675" s="563"/>
      <c r="J3675" s="581"/>
    </row>
    <row r="3676" spans="8:10" ht="15.75" customHeight="1">
      <c r="H3676" s="563"/>
      <c r="I3676" s="563"/>
      <c r="J3676" s="581"/>
    </row>
    <row r="3677" spans="8:10" ht="15.75" customHeight="1">
      <c r="H3677" s="563"/>
      <c r="I3677" s="563"/>
      <c r="J3677" s="581"/>
    </row>
    <row r="3678" spans="8:10" ht="15.75" customHeight="1">
      <c r="H3678" s="563"/>
      <c r="I3678" s="563"/>
      <c r="J3678" s="581"/>
    </row>
    <row r="3679" spans="8:10" ht="15.75" customHeight="1">
      <c r="H3679" s="563"/>
      <c r="I3679" s="563"/>
      <c r="J3679" s="581"/>
    </row>
    <row r="3680" spans="8:10" ht="15.75" customHeight="1">
      <c r="H3680" s="563"/>
      <c r="I3680" s="563"/>
      <c r="J3680" s="581"/>
    </row>
    <row r="3681" spans="8:10" ht="15.75" customHeight="1">
      <c r="H3681" s="563"/>
      <c r="I3681" s="563"/>
      <c r="J3681" s="581"/>
    </row>
    <row r="3682" spans="8:10" ht="15.75" customHeight="1">
      <c r="H3682" s="563"/>
      <c r="I3682" s="563"/>
      <c r="J3682" s="581"/>
    </row>
    <row r="3683" spans="8:10" ht="15.75" customHeight="1">
      <c r="H3683" s="563"/>
      <c r="I3683" s="563"/>
      <c r="J3683" s="581"/>
    </row>
    <row r="3684" spans="8:10" ht="15.75" customHeight="1">
      <c r="H3684" s="563"/>
      <c r="I3684" s="563"/>
      <c r="J3684" s="581"/>
    </row>
    <row r="3685" spans="8:10" ht="15.75" customHeight="1">
      <c r="H3685" s="563"/>
      <c r="I3685" s="563"/>
      <c r="J3685" s="581"/>
    </row>
    <row r="3686" spans="8:10" ht="15.75" customHeight="1">
      <c r="H3686" s="563"/>
      <c r="I3686" s="563"/>
      <c r="J3686" s="581"/>
    </row>
    <row r="3687" spans="8:10" ht="15.75" customHeight="1">
      <c r="H3687" s="563"/>
      <c r="I3687" s="563"/>
      <c r="J3687" s="581"/>
    </row>
    <row r="3688" spans="8:10" ht="15.75" customHeight="1">
      <c r="H3688" s="563"/>
      <c r="I3688" s="563"/>
      <c r="J3688" s="581"/>
    </row>
    <row r="3689" spans="8:10" ht="15.75" customHeight="1">
      <c r="H3689" s="563"/>
      <c r="I3689" s="563"/>
      <c r="J3689" s="581"/>
    </row>
    <row r="3690" spans="8:10" ht="15.75" customHeight="1">
      <c r="H3690" s="563"/>
      <c r="I3690" s="563"/>
      <c r="J3690" s="581"/>
    </row>
    <row r="3691" spans="8:10" ht="15.75" customHeight="1">
      <c r="H3691" s="563"/>
      <c r="I3691" s="563"/>
      <c r="J3691" s="581"/>
    </row>
    <row r="3692" spans="8:10" ht="15.75" customHeight="1">
      <c r="H3692" s="563"/>
      <c r="I3692" s="563"/>
      <c r="J3692" s="581"/>
    </row>
    <row r="3693" spans="8:10" ht="15.75" customHeight="1">
      <c r="H3693" s="563"/>
      <c r="I3693" s="563"/>
      <c r="J3693" s="581"/>
    </row>
    <row r="3694" spans="8:10" ht="15.75" customHeight="1">
      <c r="H3694" s="563"/>
      <c r="I3694" s="563"/>
      <c r="J3694" s="581"/>
    </row>
    <row r="3695" spans="8:10" ht="15.75" customHeight="1">
      <c r="H3695" s="563"/>
      <c r="I3695" s="563"/>
      <c r="J3695" s="581"/>
    </row>
    <row r="3696" spans="8:10" ht="15.75" customHeight="1">
      <c r="H3696" s="563"/>
      <c r="I3696" s="563"/>
      <c r="J3696" s="581"/>
    </row>
    <row r="3697" spans="8:10" ht="15.75" customHeight="1">
      <c r="H3697" s="563"/>
      <c r="I3697" s="563"/>
      <c r="J3697" s="581"/>
    </row>
    <row r="3698" spans="8:10" ht="15.75" customHeight="1">
      <c r="H3698" s="563"/>
      <c r="I3698" s="563"/>
      <c r="J3698" s="581"/>
    </row>
    <row r="3699" spans="8:10" ht="15.75" customHeight="1">
      <c r="H3699" s="563"/>
      <c r="I3699" s="563"/>
      <c r="J3699" s="581"/>
    </row>
    <row r="3700" spans="8:10" ht="15.75" customHeight="1">
      <c r="H3700" s="563"/>
      <c r="I3700" s="563"/>
      <c r="J3700" s="581"/>
    </row>
    <row r="3701" spans="8:10" ht="15.75" customHeight="1">
      <c r="H3701" s="563"/>
      <c r="I3701" s="563"/>
      <c r="J3701" s="581"/>
    </row>
    <row r="3702" spans="8:10" ht="15.75" customHeight="1">
      <c r="H3702" s="563"/>
      <c r="I3702" s="563"/>
      <c r="J3702" s="581"/>
    </row>
    <row r="3703" spans="8:10" ht="15.75" customHeight="1">
      <c r="H3703" s="563"/>
      <c r="I3703" s="563"/>
      <c r="J3703" s="581"/>
    </row>
    <row r="3704" spans="8:10" ht="15.75" customHeight="1">
      <c r="H3704" s="563"/>
      <c r="I3704" s="563"/>
      <c r="J3704" s="581"/>
    </row>
    <row r="3705" spans="8:10" ht="15.75" customHeight="1">
      <c r="H3705" s="563"/>
      <c r="I3705" s="563"/>
      <c r="J3705" s="581"/>
    </row>
    <row r="3706" spans="8:10" ht="15.75" customHeight="1">
      <c r="H3706" s="563"/>
      <c r="I3706" s="563"/>
      <c r="J3706" s="581"/>
    </row>
    <row r="3707" spans="8:10" ht="15.75" customHeight="1">
      <c r="H3707" s="563"/>
      <c r="I3707" s="563"/>
      <c r="J3707" s="581"/>
    </row>
    <row r="3708" spans="8:10" ht="15.75" customHeight="1">
      <c r="H3708" s="563"/>
      <c r="I3708" s="563"/>
      <c r="J3708" s="581"/>
    </row>
    <row r="3709" spans="8:10" ht="15.75" customHeight="1">
      <c r="H3709" s="563"/>
      <c r="I3709" s="563"/>
      <c r="J3709" s="581"/>
    </row>
    <row r="3710" spans="8:10" ht="15.75" customHeight="1">
      <c r="H3710" s="563"/>
      <c r="I3710" s="563"/>
      <c r="J3710" s="581"/>
    </row>
    <row r="3711" spans="8:10" ht="15.75" customHeight="1">
      <c r="H3711" s="563"/>
      <c r="I3711" s="563"/>
      <c r="J3711" s="581"/>
    </row>
    <row r="3712" spans="8:10" ht="15.75" customHeight="1">
      <c r="H3712" s="563"/>
      <c r="I3712" s="563"/>
      <c r="J3712" s="581"/>
    </row>
    <row r="3713" spans="8:10" ht="15.75" customHeight="1">
      <c r="H3713" s="563"/>
      <c r="I3713" s="563"/>
      <c r="J3713" s="581"/>
    </row>
    <row r="3714" spans="8:10" ht="15.75" customHeight="1">
      <c r="H3714" s="563"/>
      <c r="I3714" s="563"/>
      <c r="J3714" s="581"/>
    </row>
    <row r="3715" spans="8:10" ht="15.75" customHeight="1">
      <c r="H3715" s="563"/>
      <c r="I3715" s="563"/>
      <c r="J3715" s="581"/>
    </row>
    <row r="3716" spans="8:10" ht="15.75" customHeight="1">
      <c r="H3716" s="563"/>
      <c r="I3716" s="563"/>
      <c r="J3716" s="581"/>
    </row>
    <row r="3717" spans="8:10" ht="15.75" customHeight="1">
      <c r="H3717" s="563"/>
      <c r="I3717" s="563"/>
      <c r="J3717" s="581"/>
    </row>
    <row r="3718" spans="8:10" ht="15.75" customHeight="1">
      <c r="H3718" s="563"/>
      <c r="I3718" s="563"/>
      <c r="J3718" s="581"/>
    </row>
    <row r="3719" spans="8:10" ht="15.75" customHeight="1">
      <c r="H3719" s="563"/>
      <c r="I3719" s="563"/>
      <c r="J3719" s="581"/>
    </row>
    <row r="3720" spans="8:10" ht="15.75" customHeight="1">
      <c r="H3720" s="563"/>
      <c r="I3720" s="563"/>
      <c r="J3720" s="581"/>
    </row>
    <row r="3721" spans="8:10" ht="15.75" customHeight="1">
      <c r="H3721" s="563"/>
      <c r="I3721" s="563"/>
      <c r="J3721" s="581"/>
    </row>
    <row r="3722" spans="8:10" ht="15.75" customHeight="1">
      <c r="H3722" s="563"/>
      <c r="I3722" s="563"/>
      <c r="J3722" s="581"/>
    </row>
    <row r="3723" spans="8:10" ht="15.75" customHeight="1">
      <c r="H3723" s="563"/>
      <c r="I3723" s="563"/>
      <c r="J3723" s="581"/>
    </row>
    <row r="3724" spans="8:10" ht="15.75" customHeight="1">
      <c r="H3724" s="563"/>
      <c r="I3724" s="563"/>
      <c r="J3724" s="581"/>
    </row>
    <row r="3725" spans="8:10" ht="15.75" customHeight="1">
      <c r="H3725" s="563"/>
      <c r="I3725" s="563"/>
      <c r="J3725" s="581"/>
    </row>
    <row r="3726" spans="8:10" ht="15.75" customHeight="1">
      <c r="H3726" s="563"/>
      <c r="I3726" s="563"/>
      <c r="J3726" s="581"/>
    </row>
    <row r="3727" spans="8:10" ht="15.75" customHeight="1">
      <c r="H3727" s="563"/>
      <c r="I3727" s="563"/>
      <c r="J3727" s="581"/>
    </row>
    <row r="3728" spans="8:10" ht="15.75" customHeight="1">
      <c r="H3728" s="563"/>
      <c r="I3728" s="563"/>
      <c r="J3728" s="581"/>
    </row>
    <row r="3729" spans="8:10" ht="15.75" customHeight="1">
      <c r="H3729" s="563"/>
      <c r="I3729" s="563"/>
      <c r="J3729" s="581"/>
    </row>
    <row r="3730" spans="8:10" ht="15.75" customHeight="1">
      <c r="H3730" s="563"/>
      <c r="I3730" s="563"/>
      <c r="J3730" s="581"/>
    </row>
    <row r="3731" spans="8:10" ht="15.75" customHeight="1">
      <c r="H3731" s="563"/>
      <c r="I3731" s="563"/>
      <c r="J3731" s="581"/>
    </row>
    <row r="3732" spans="8:10" ht="15.75" customHeight="1">
      <c r="H3732" s="563"/>
      <c r="I3732" s="563"/>
      <c r="J3732" s="581"/>
    </row>
    <row r="3733" spans="8:10" ht="15.75" customHeight="1">
      <c r="H3733" s="563"/>
      <c r="I3733" s="563"/>
      <c r="J3733" s="581"/>
    </row>
    <row r="3734" spans="8:10" ht="15.75" customHeight="1">
      <c r="H3734" s="563"/>
      <c r="I3734" s="563"/>
      <c r="J3734" s="581"/>
    </row>
    <row r="3735" spans="8:10" ht="15.75" customHeight="1">
      <c r="H3735" s="563"/>
      <c r="I3735" s="563"/>
      <c r="J3735" s="581"/>
    </row>
    <row r="3736" spans="8:10" ht="15.75" customHeight="1">
      <c r="H3736" s="563"/>
      <c r="I3736" s="563"/>
      <c r="J3736" s="581"/>
    </row>
    <row r="3737" spans="8:10" ht="15.75" customHeight="1">
      <c r="H3737" s="563"/>
      <c r="I3737" s="563"/>
      <c r="J3737" s="581"/>
    </row>
    <row r="3738" spans="8:10" ht="15.75" customHeight="1">
      <c r="H3738" s="563"/>
      <c r="I3738" s="563"/>
      <c r="J3738" s="581"/>
    </row>
    <row r="3739" spans="8:10" ht="15.75" customHeight="1">
      <c r="H3739" s="563"/>
      <c r="I3739" s="563"/>
      <c r="J3739" s="581"/>
    </row>
    <row r="3740" spans="8:10" ht="15.75" customHeight="1">
      <c r="H3740" s="563"/>
      <c r="I3740" s="563"/>
      <c r="J3740" s="581"/>
    </row>
    <row r="3741" spans="8:10" ht="15.75" customHeight="1">
      <c r="H3741" s="563"/>
      <c r="I3741" s="563"/>
      <c r="J3741" s="581"/>
    </row>
    <row r="3742" spans="8:10" ht="15.75" customHeight="1">
      <c r="H3742" s="563"/>
      <c r="I3742" s="563"/>
      <c r="J3742" s="581"/>
    </row>
    <row r="3743" spans="8:10" ht="15.75" customHeight="1">
      <c r="H3743" s="563"/>
      <c r="I3743" s="563"/>
      <c r="J3743" s="581"/>
    </row>
    <row r="3744" spans="8:10" ht="15.75" customHeight="1">
      <c r="H3744" s="563"/>
      <c r="I3744" s="563"/>
      <c r="J3744" s="581"/>
    </row>
    <row r="3745" spans="8:10" ht="15.75" customHeight="1">
      <c r="H3745" s="563"/>
      <c r="I3745" s="563"/>
      <c r="J3745" s="581"/>
    </row>
    <row r="3746" spans="8:10" ht="15.75" customHeight="1">
      <c r="H3746" s="563"/>
      <c r="I3746" s="563"/>
      <c r="J3746" s="581"/>
    </row>
    <row r="3747" spans="8:10" ht="15.75" customHeight="1">
      <c r="H3747" s="563"/>
      <c r="I3747" s="563"/>
      <c r="J3747" s="581"/>
    </row>
    <row r="3748" spans="8:10" ht="15.75" customHeight="1">
      <c r="H3748" s="563"/>
      <c r="I3748" s="563"/>
      <c r="J3748" s="581"/>
    </row>
    <row r="3749" spans="8:10" ht="15.75" customHeight="1">
      <c r="H3749" s="563"/>
      <c r="I3749" s="563"/>
      <c r="J3749" s="581"/>
    </row>
    <row r="3750" spans="8:10" ht="15.75" customHeight="1">
      <c r="H3750" s="563"/>
      <c r="I3750" s="563"/>
      <c r="J3750" s="581"/>
    </row>
    <row r="3751" spans="8:10" ht="15.75" customHeight="1">
      <c r="H3751" s="563"/>
      <c r="I3751" s="563"/>
      <c r="J3751" s="581"/>
    </row>
    <row r="3752" spans="8:10" ht="15.75" customHeight="1">
      <c r="H3752" s="563"/>
      <c r="I3752" s="563"/>
      <c r="J3752" s="581"/>
    </row>
    <row r="3753" spans="8:10" ht="15.75" customHeight="1">
      <c r="H3753" s="563"/>
      <c r="I3753" s="563"/>
      <c r="J3753" s="581"/>
    </row>
    <row r="3754" spans="8:10" ht="15.75" customHeight="1">
      <c r="H3754" s="563"/>
      <c r="I3754" s="563"/>
      <c r="J3754" s="581"/>
    </row>
    <row r="3755" spans="8:10" ht="15.75" customHeight="1">
      <c r="H3755" s="563"/>
      <c r="I3755" s="563"/>
      <c r="J3755" s="581"/>
    </row>
    <row r="3756" spans="8:10" ht="15.75" customHeight="1">
      <c r="H3756" s="563"/>
      <c r="I3756" s="563"/>
      <c r="J3756" s="581"/>
    </row>
    <row r="3757" spans="8:10" ht="15.75" customHeight="1">
      <c r="H3757" s="563"/>
      <c r="I3757" s="563"/>
      <c r="J3757" s="581"/>
    </row>
    <row r="3758" spans="8:10" ht="15.75" customHeight="1">
      <c r="H3758" s="563"/>
      <c r="I3758" s="563"/>
      <c r="J3758" s="581"/>
    </row>
    <row r="3759" spans="8:10" ht="15.75" customHeight="1">
      <c r="H3759" s="563"/>
      <c r="I3759" s="563"/>
      <c r="J3759" s="581"/>
    </row>
    <row r="3760" spans="8:10" ht="15.75" customHeight="1">
      <c r="H3760" s="563"/>
      <c r="I3760" s="563"/>
      <c r="J3760" s="581"/>
    </row>
    <row r="3761" spans="8:10" ht="15.75" customHeight="1">
      <c r="H3761" s="563"/>
      <c r="I3761" s="563"/>
      <c r="J3761" s="581"/>
    </row>
    <row r="3762" spans="8:10" ht="15.75" customHeight="1">
      <c r="H3762" s="563"/>
      <c r="I3762" s="563"/>
      <c r="J3762" s="581"/>
    </row>
    <row r="3763" spans="8:10" ht="15.75" customHeight="1">
      <c r="H3763" s="563"/>
      <c r="I3763" s="563"/>
      <c r="J3763" s="581"/>
    </row>
    <row r="3764" spans="8:10" ht="15.75" customHeight="1">
      <c r="H3764" s="563"/>
      <c r="I3764" s="563"/>
      <c r="J3764" s="581"/>
    </row>
    <row r="3765" spans="8:10" ht="15.75" customHeight="1">
      <c r="H3765" s="563"/>
      <c r="I3765" s="563"/>
      <c r="J3765" s="581"/>
    </row>
    <row r="3766" spans="8:10" ht="15.75" customHeight="1">
      <c r="H3766" s="563"/>
      <c r="I3766" s="563"/>
      <c r="J3766" s="581"/>
    </row>
    <row r="3767" spans="8:10" ht="15.75" customHeight="1">
      <c r="H3767" s="563"/>
      <c r="I3767" s="563"/>
      <c r="J3767" s="581"/>
    </row>
    <row r="3768" spans="8:10" ht="15.75" customHeight="1">
      <c r="H3768" s="563"/>
      <c r="I3768" s="563"/>
      <c r="J3768" s="581"/>
    </row>
    <row r="3769" spans="8:10" ht="15.75" customHeight="1">
      <c r="H3769" s="563"/>
      <c r="I3769" s="563"/>
      <c r="J3769" s="581"/>
    </row>
    <row r="3770" spans="8:10" ht="15.75" customHeight="1">
      <c r="H3770" s="563"/>
      <c r="I3770" s="563"/>
      <c r="J3770" s="581"/>
    </row>
    <row r="3771" spans="8:10" ht="15.75" customHeight="1">
      <c r="H3771" s="563"/>
      <c r="I3771" s="563"/>
      <c r="J3771" s="581"/>
    </row>
    <row r="3772" spans="8:10" ht="15.75" customHeight="1">
      <c r="H3772" s="563"/>
      <c r="I3772" s="563"/>
      <c r="J3772" s="581"/>
    </row>
    <row r="3773" spans="8:10" ht="15.75" customHeight="1">
      <c r="H3773" s="563"/>
      <c r="I3773" s="563"/>
      <c r="J3773" s="581"/>
    </row>
    <row r="3774" spans="8:10" ht="15.75" customHeight="1">
      <c r="H3774" s="563"/>
      <c r="I3774" s="563"/>
      <c r="J3774" s="581"/>
    </row>
    <row r="3775" spans="8:10" ht="15.75" customHeight="1">
      <c r="H3775" s="563"/>
      <c r="I3775" s="563"/>
      <c r="J3775" s="581"/>
    </row>
    <row r="3776" spans="8:10" ht="15.75" customHeight="1">
      <c r="H3776" s="563"/>
      <c r="I3776" s="563"/>
      <c r="J3776" s="581"/>
    </row>
    <row r="3777" spans="8:10" ht="15.75" customHeight="1">
      <c r="H3777" s="563"/>
      <c r="I3777" s="563"/>
      <c r="J3777" s="581"/>
    </row>
    <row r="3778" spans="8:10" ht="15.75" customHeight="1">
      <c r="H3778" s="563"/>
      <c r="I3778" s="563"/>
      <c r="J3778" s="581"/>
    </row>
    <row r="3779" spans="8:10" ht="15.75" customHeight="1">
      <c r="H3779" s="563"/>
      <c r="I3779" s="563"/>
      <c r="J3779" s="581"/>
    </row>
    <row r="3780" spans="8:10" ht="15.75" customHeight="1">
      <c r="H3780" s="563"/>
      <c r="I3780" s="563"/>
      <c r="J3780" s="581"/>
    </row>
    <row r="3781" spans="8:10" ht="15.75" customHeight="1">
      <c r="H3781" s="563"/>
      <c r="I3781" s="563"/>
      <c r="J3781" s="581"/>
    </row>
    <row r="3782" spans="8:10" ht="15.75" customHeight="1">
      <c r="H3782" s="563"/>
      <c r="I3782" s="563"/>
      <c r="J3782" s="581"/>
    </row>
    <row r="3783" spans="8:10" ht="15.75" customHeight="1">
      <c r="H3783" s="563"/>
      <c r="I3783" s="563"/>
      <c r="J3783" s="581"/>
    </row>
    <row r="3784" spans="8:10" ht="15.75" customHeight="1">
      <c r="H3784" s="563"/>
      <c r="I3784" s="563"/>
      <c r="J3784" s="581"/>
    </row>
    <row r="3785" spans="8:10" ht="15.75" customHeight="1">
      <c r="H3785" s="563"/>
      <c r="I3785" s="563"/>
      <c r="J3785" s="581"/>
    </row>
    <row r="3786" spans="8:10" ht="15.75" customHeight="1">
      <c r="H3786" s="563"/>
      <c r="I3786" s="563"/>
      <c r="J3786" s="581"/>
    </row>
    <row r="3787" spans="8:10" ht="15.75" customHeight="1">
      <c r="H3787" s="563"/>
      <c r="I3787" s="563"/>
      <c r="J3787" s="581"/>
    </row>
    <row r="3788" spans="8:10" ht="15.75" customHeight="1">
      <c r="H3788" s="563"/>
      <c r="I3788" s="563"/>
      <c r="J3788" s="581"/>
    </row>
    <row r="3789" spans="8:10" ht="15.75" customHeight="1">
      <c r="H3789" s="563"/>
      <c r="I3789" s="563"/>
      <c r="J3789" s="581"/>
    </row>
    <row r="3790" spans="8:10" ht="15.75" customHeight="1">
      <c r="H3790" s="563"/>
      <c r="I3790" s="563"/>
      <c r="J3790" s="581"/>
    </row>
    <row r="3791" spans="8:10" ht="15.75" customHeight="1">
      <c r="H3791" s="563"/>
      <c r="I3791" s="563"/>
      <c r="J3791" s="581"/>
    </row>
    <row r="3792" spans="8:10" ht="15.75" customHeight="1">
      <c r="H3792" s="563"/>
      <c r="I3792" s="563"/>
      <c r="J3792" s="581"/>
    </row>
    <row r="3793" spans="8:10" ht="15.75" customHeight="1">
      <c r="H3793" s="563"/>
      <c r="I3793" s="563"/>
      <c r="J3793" s="581"/>
    </row>
    <row r="3794" spans="8:10" ht="15.75" customHeight="1">
      <c r="H3794" s="563"/>
      <c r="I3794" s="563"/>
      <c r="J3794" s="581"/>
    </row>
    <row r="3795" spans="8:10" ht="15.75" customHeight="1">
      <c r="H3795" s="563"/>
      <c r="I3795" s="563"/>
      <c r="J3795" s="581"/>
    </row>
    <row r="3796" spans="8:10" ht="15.75" customHeight="1">
      <c r="H3796" s="563"/>
      <c r="I3796" s="563"/>
      <c r="J3796" s="581"/>
    </row>
    <row r="3797" spans="8:10" ht="15.75" customHeight="1">
      <c r="H3797" s="563"/>
      <c r="I3797" s="563"/>
      <c r="J3797" s="581"/>
    </row>
    <row r="3798" spans="8:10" ht="15.75" customHeight="1">
      <c r="H3798" s="563"/>
      <c r="I3798" s="563"/>
      <c r="J3798" s="581"/>
    </row>
    <row r="3799" spans="8:10" ht="15.75" customHeight="1">
      <c r="H3799" s="563"/>
      <c r="I3799" s="563"/>
      <c r="J3799" s="581"/>
    </row>
    <row r="3800" spans="8:10" ht="15.75" customHeight="1">
      <c r="H3800" s="563"/>
      <c r="I3800" s="563"/>
      <c r="J3800" s="581"/>
    </row>
    <row r="3801" spans="8:10" ht="15.75" customHeight="1">
      <c r="H3801" s="563"/>
      <c r="I3801" s="563"/>
      <c r="J3801" s="581"/>
    </row>
    <row r="3802" spans="8:10" ht="15.75" customHeight="1">
      <c r="H3802" s="563"/>
      <c r="I3802" s="563"/>
      <c r="J3802" s="581"/>
    </row>
    <row r="3803" spans="8:10" ht="15.75" customHeight="1">
      <c r="H3803" s="563"/>
      <c r="I3803" s="563"/>
      <c r="J3803" s="581"/>
    </row>
    <row r="3804" spans="8:10" ht="15.75" customHeight="1">
      <c r="H3804" s="563"/>
      <c r="I3804" s="563"/>
      <c r="J3804" s="581"/>
    </row>
    <row r="3805" spans="8:10" ht="15.75" customHeight="1">
      <c r="H3805" s="563"/>
      <c r="I3805" s="563"/>
      <c r="J3805" s="581"/>
    </row>
    <row r="3806" spans="8:10" ht="15.75" customHeight="1">
      <c r="H3806" s="563"/>
      <c r="I3806" s="563"/>
      <c r="J3806" s="581"/>
    </row>
    <row r="3807" spans="8:10" ht="15.75" customHeight="1">
      <c r="H3807" s="563"/>
      <c r="I3807" s="563"/>
      <c r="J3807" s="581"/>
    </row>
    <row r="3808" spans="8:10" ht="15.75" customHeight="1">
      <c r="H3808" s="563"/>
      <c r="I3808" s="563"/>
      <c r="J3808" s="581"/>
    </row>
    <row r="3809" spans="8:10" ht="15.75" customHeight="1">
      <c r="H3809" s="563"/>
      <c r="I3809" s="563"/>
      <c r="J3809" s="581"/>
    </row>
    <row r="3810" spans="8:10" ht="15.75" customHeight="1">
      <c r="H3810" s="563"/>
      <c r="I3810" s="563"/>
      <c r="J3810" s="581"/>
    </row>
    <row r="3811" spans="8:10" ht="15.75" customHeight="1">
      <c r="H3811" s="563"/>
      <c r="I3811" s="563"/>
      <c r="J3811" s="581"/>
    </row>
    <row r="3812" spans="8:10" ht="15.75" customHeight="1">
      <c r="H3812" s="563"/>
      <c r="I3812" s="563"/>
      <c r="J3812" s="581"/>
    </row>
    <row r="3813" spans="8:10" ht="15.75" customHeight="1">
      <c r="H3813" s="563"/>
      <c r="I3813" s="563"/>
      <c r="J3813" s="581"/>
    </row>
    <row r="3814" spans="8:10" ht="15.75" customHeight="1">
      <c r="H3814" s="563"/>
      <c r="I3814" s="563"/>
      <c r="J3814" s="581"/>
    </row>
    <row r="3815" spans="8:10" ht="15.75" customHeight="1">
      <c r="H3815" s="563"/>
      <c r="I3815" s="563"/>
      <c r="J3815" s="581"/>
    </row>
    <row r="3816" spans="8:10" ht="15.75" customHeight="1">
      <c r="H3816" s="563"/>
      <c r="I3816" s="563"/>
      <c r="J3816" s="581"/>
    </row>
    <row r="3817" spans="8:10" ht="15.75" customHeight="1">
      <c r="H3817" s="563"/>
      <c r="I3817" s="563"/>
      <c r="J3817" s="581"/>
    </row>
    <row r="3818" spans="8:10" ht="15.75" customHeight="1">
      <c r="H3818" s="563"/>
      <c r="I3818" s="563"/>
      <c r="J3818" s="581"/>
    </row>
    <row r="3819" spans="8:10" ht="15.75" customHeight="1">
      <c r="H3819" s="563"/>
      <c r="I3819" s="563"/>
      <c r="J3819" s="581"/>
    </row>
    <row r="3820" spans="8:10" ht="15.75" customHeight="1">
      <c r="H3820" s="563"/>
      <c r="I3820" s="563"/>
      <c r="J3820" s="581"/>
    </row>
    <row r="3821" spans="8:10" ht="15.75" customHeight="1">
      <c r="H3821" s="563"/>
      <c r="I3821" s="563"/>
      <c r="J3821" s="581"/>
    </row>
    <row r="3822" spans="8:10" ht="15.75" customHeight="1">
      <c r="H3822" s="563"/>
      <c r="I3822" s="563"/>
      <c r="J3822" s="581"/>
    </row>
    <row r="3823" spans="8:10" ht="15.75" customHeight="1">
      <c r="H3823" s="563"/>
      <c r="I3823" s="563"/>
      <c r="J3823" s="581"/>
    </row>
    <row r="3824" spans="8:10" ht="15.75" customHeight="1">
      <c r="H3824" s="563"/>
      <c r="I3824" s="563"/>
      <c r="J3824" s="581"/>
    </row>
    <row r="3825" spans="8:10" ht="15.75" customHeight="1">
      <c r="H3825" s="563"/>
      <c r="I3825" s="563"/>
      <c r="J3825" s="581"/>
    </row>
    <row r="3826" spans="8:10" ht="15.75" customHeight="1">
      <c r="H3826" s="563"/>
      <c r="I3826" s="563"/>
      <c r="J3826" s="581"/>
    </row>
    <row r="3827" spans="8:10" ht="15.75" customHeight="1">
      <c r="H3827" s="563"/>
      <c r="I3827" s="563"/>
      <c r="J3827" s="581"/>
    </row>
    <row r="3828" spans="8:10" ht="15.75" customHeight="1">
      <c r="H3828" s="563"/>
      <c r="I3828" s="563"/>
      <c r="J3828" s="581"/>
    </row>
    <row r="3829" spans="8:10" ht="15.75" customHeight="1">
      <c r="H3829" s="563"/>
      <c r="I3829" s="563"/>
      <c r="J3829" s="581"/>
    </row>
    <row r="3830" spans="8:10" ht="15.75" customHeight="1">
      <c r="H3830" s="563"/>
      <c r="I3830" s="563"/>
      <c r="J3830" s="581"/>
    </row>
    <row r="3831" spans="8:10" ht="15.75" customHeight="1">
      <c r="H3831" s="563"/>
      <c r="I3831" s="563"/>
      <c r="J3831" s="581"/>
    </row>
    <row r="3832" spans="8:10" ht="15.75" customHeight="1">
      <c r="H3832" s="563"/>
      <c r="I3832" s="563"/>
      <c r="J3832" s="581"/>
    </row>
    <row r="3833" spans="8:10" ht="15.75" customHeight="1">
      <c r="H3833" s="563"/>
      <c r="I3833" s="563"/>
      <c r="J3833" s="581"/>
    </row>
    <row r="3834" spans="8:10" ht="15.75" customHeight="1">
      <c r="H3834" s="563"/>
      <c r="I3834" s="563"/>
      <c r="J3834" s="581"/>
    </row>
    <row r="3835" spans="8:10" ht="15.75" customHeight="1">
      <c r="H3835" s="563"/>
      <c r="I3835" s="563"/>
      <c r="J3835" s="581"/>
    </row>
    <row r="3836" spans="8:10" ht="15.75" customHeight="1">
      <c r="H3836" s="563"/>
      <c r="I3836" s="563"/>
      <c r="J3836" s="581"/>
    </row>
    <row r="3837" spans="8:10" ht="15.75" customHeight="1">
      <c r="H3837" s="563"/>
      <c r="I3837" s="563"/>
      <c r="J3837" s="581"/>
    </row>
    <row r="3838" spans="8:10" ht="15.75" customHeight="1">
      <c r="H3838" s="563"/>
      <c r="I3838" s="563"/>
      <c r="J3838" s="581"/>
    </row>
    <row r="3839" spans="8:10" ht="15.75" customHeight="1">
      <c r="H3839" s="563"/>
      <c r="I3839" s="563"/>
      <c r="J3839" s="581"/>
    </row>
    <row r="3840" spans="8:10" ht="15.75" customHeight="1">
      <c r="H3840" s="563"/>
      <c r="I3840" s="563"/>
      <c r="J3840" s="581"/>
    </row>
    <row r="3841" spans="8:10" ht="15.75" customHeight="1">
      <c r="H3841" s="563"/>
      <c r="I3841" s="563"/>
      <c r="J3841" s="581"/>
    </row>
    <row r="3842" spans="8:10" ht="15.75" customHeight="1">
      <c r="H3842" s="563"/>
      <c r="I3842" s="563"/>
      <c r="J3842" s="581"/>
    </row>
    <row r="3843" spans="8:10" ht="15.75" customHeight="1">
      <c r="H3843" s="563"/>
      <c r="I3843" s="563"/>
      <c r="J3843" s="581"/>
    </row>
    <row r="3844" spans="8:10" ht="15.75" customHeight="1">
      <c r="H3844" s="563"/>
      <c r="I3844" s="563"/>
      <c r="J3844" s="581"/>
    </row>
    <row r="3845" spans="8:10" ht="15.75" customHeight="1">
      <c r="H3845" s="563"/>
      <c r="I3845" s="563"/>
      <c r="J3845" s="581"/>
    </row>
    <row r="3846" spans="8:10" ht="15.75" customHeight="1">
      <c r="H3846" s="563"/>
      <c r="I3846" s="563"/>
      <c r="J3846" s="581"/>
    </row>
    <row r="3847" spans="8:10" ht="15.75" customHeight="1">
      <c r="H3847" s="563"/>
      <c r="I3847" s="563"/>
      <c r="J3847" s="581"/>
    </row>
    <row r="3848" spans="8:10" ht="15.75" customHeight="1">
      <c r="H3848" s="563"/>
      <c r="I3848" s="563"/>
      <c r="J3848" s="581"/>
    </row>
    <row r="3849" spans="8:10" ht="15.75" customHeight="1">
      <c r="H3849" s="563"/>
      <c r="I3849" s="563"/>
      <c r="J3849" s="581"/>
    </row>
    <row r="3850" spans="8:10" ht="15.75" customHeight="1">
      <c r="H3850" s="563"/>
      <c r="I3850" s="563"/>
      <c r="J3850" s="581"/>
    </row>
    <row r="3851" spans="8:10" ht="15.75" customHeight="1">
      <c r="H3851" s="563"/>
      <c r="I3851" s="563"/>
      <c r="J3851" s="581"/>
    </row>
    <row r="3852" spans="8:10" ht="15.75" customHeight="1">
      <c r="H3852" s="563"/>
      <c r="I3852" s="563"/>
      <c r="J3852" s="581"/>
    </row>
    <row r="3853" spans="8:10" ht="15.75" customHeight="1">
      <c r="H3853" s="563"/>
      <c r="I3853" s="563"/>
      <c r="J3853" s="581"/>
    </row>
    <row r="3854" spans="8:10" ht="15.75" customHeight="1">
      <c r="H3854" s="563"/>
      <c r="I3854" s="563"/>
      <c r="J3854" s="581"/>
    </row>
    <row r="3855" spans="8:10" ht="15.75" customHeight="1">
      <c r="H3855" s="563"/>
      <c r="I3855" s="563"/>
      <c r="J3855" s="581"/>
    </row>
    <row r="3856" spans="8:10" ht="15.75" customHeight="1">
      <c r="H3856" s="563"/>
      <c r="I3856" s="563"/>
      <c r="J3856" s="581"/>
    </row>
    <row r="3857" spans="8:10" ht="15.75" customHeight="1">
      <c r="H3857" s="563"/>
      <c r="I3857" s="563"/>
      <c r="J3857" s="581"/>
    </row>
    <row r="3858" spans="8:10" ht="15.75" customHeight="1">
      <c r="H3858" s="563"/>
      <c r="I3858" s="563"/>
      <c r="J3858" s="581"/>
    </row>
    <row r="3859" spans="8:10" ht="15.75" customHeight="1">
      <c r="H3859" s="563"/>
      <c r="I3859" s="563"/>
      <c r="J3859" s="581"/>
    </row>
    <row r="3860" spans="8:10" ht="15.75" customHeight="1">
      <c r="H3860" s="563"/>
      <c r="I3860" s="563"/>
      <c r="J3860" s="581"/>
    </row>
    <row r="3861" spans="8:10" ht="15.75" customHeight="1">
      <c r="H3861" s="563"/>
      <c r="I3861" s="563"/>
      <c r="J3861" s="581"/>
    </row>
    <row r="3862" spans="8:10" ht="15.75" customHeight="1">
      <c r="H3862" s="563"/>
      <c r="I3862" s="563"/>
      <c r="J3862" s="581"/>
    </row>
    <row r="3863" spans="8:10" ht="15.75" customHeight="1">
      <c r="H3863" s="563"/>
      <c r="I3863" s="563"/>
      <c r="J3863" s="581"/>
    </row>
    <row r="3864" spans="8:10" ht="15.75" customHeight="1">
      <c r="H3864" s="563"/>
      <c r="I3864" s="563"/>
      <c r="J3864" s="581"/>
    </row>
    <row r="3865" spans="8:10" ht="15.75" customHeight="1">
      <c r="H3865" s="563"/>
      <c r="I3865" s="563"/>
      <c r="J3865" s="581"/>
    </row>
    <row r="3866" spans="8:10" ht="15.75" customHeight="1">
      <c r="H3866" s="563"/>
      <c r="I3866" s="563"/>
      <c r="J3866" s="581"/>
    </row>
    <row r="3867" spans="8:10" ht="15.75" customHeight="1">
      <c r="H3867" s="563"/>
      <c r="I3867" s="563"/>
      <c r="J3867" s="581"/>
    </row>
    <row r="3868" spans="8:10" ht="15.75" customHeight="1">
      <c r="H3868" s="563"/>
      <c r="I3868" s="563"/>
      <c r="J3868" s="581"/>
    </row>
    <row r="3869" spans="8:10" ht="15.75" customHeight="1">
      <c r="H3869" s="563"/>
      <c r="I3869" s="563"/>
      <c r="J3869" s="581"/>
    </row>
    <row r="3870" spans="8:10" ht="15.75" customHeight="1">
      <c r="H3870" s="563"/>
      <c r="I3870" s="563"/>
      <c r="J3870" s="581"/>
    </row>
    <row r="3871" spans="8:10" ht="15.75" customHeight="1">
      <c r="H3871" s="563"/>
      <c r="I3871" s="563"/>
      <c r="J3871" s="581"/>
    </row>
    <row r="3872" spans="8:10" ht="15.75" customHeight="1">
      <c r="H3872" s="563"/>
      <c r="I3872" s="563"/>
      <c r="J3872" s="581"/>
    </row>
    <row r="3873" spans="8:10" ht="15.75" customHeight="1">
      <c r="H3873" s="563"/>
      <c r="I3873" s="563"/>
      <c r="J3873" s="581"/>
    </row>
    <row r="3874" spans="8:10" ht="15.75" customHeight="1">
      <c r="H3874" s="563"/>
      <c r="I3874" s="563"/>
      <c r="J3874" s="581"/>
    </row>
    <row r="3875" spans="8:10" ht="15.75" customHeight="1">
      <c r="H3875" s="563"/>
      <c r="I3875" s="563"/>
      <c r="J3875" s="581"/>
    </row>
    <row r="3876" spans="8:10" ht="15.75" customHeight="1">
      <c r="H3876" s="563"/>
      <c r="I3876" s="563"/>
      <c r="J3876" s="581"/>
    </row>
    <row r="3877" spans="8:10" ht="15.75" customHeight="1">
      <c r="H3877" s="563"/>
      <c r="I3877" s="563"/>
      <c r="J3877" s="581"/>
    </row>
    <row r="3878" spans="8:10" ht="15.75" customHeight="1">
      <c r="H3878" s="563"/>
      <c r="I3878" s="563"/>
      <c r="J3878" s="581"/>
    </row>
    <row r="3879" spans="8:10" ht="15.75" customHeight="1">
      <c r="H3879" s="563"/>
      <c r="I3879" s="563"/>
      <c r="J3879" s="581"/>
    </row>
    <row r="3880" spans="8:10" ht="15.75" customHeight="1">
      <c r="H3880" s="563"/>
      <c r="I3880" s="563"/>
      <c r="J3880" s="581"/>
    </row>
    <row r="3881" spans="8:10" ht="15.75" customHeight="1">
      <c r="H3881" s="563"/>
      <c r="I3881" s="563"/>
      <c r="J3881" s="581"/>
    </row>
    <row r="3882" spans="8:10" ht="15.75" customHeight="1">
      <c r="H3882" s="563"/>
      <c r="I3882" s="563"/>
      <c r="J3882" s="581"/>
    </row>
    <row r="3883" spans="8:10" ht="15.75" customHeight="1">
      <c r="H3883" s="563"/>
      <c r="I3883" s="563"/>
      <c r="J3883" s="581"/>
    </row>
    <row r="3884" spans="8:10" ht="15.75" customHeight="1">
      <c r="H3884" s="563"/>
      <c r="I3884" s="563"/>
      <c r="J3884" s="581"/>
    </row>
    <row r="3885" spans="8:10" ht="15.75" customHeight="1">
      <c r="H3885" s="563"/>
      <c r="I3885" s="563"/>
      <c r="J3885" s="581"/>
    </row>
    <row r="3886" spans="8:10" ht="15.75" customHeight="1">
      <c r="H3886" s="563"/>
      <c r="I3886" s="563"/>
      <c r="J3886" s="581"/>
    </row>
    <row r="3887" spans="8:10" ht="15.75" customHeight="1">
      <c r="H3887" s="563"/>
      <c r="I3887" s="563"/>
      <c r="J3887" s="581"/>
    </row>
    <row r="3888" spans="8:10" ht="15.75" customHeight="1">
      <c r="H3888" s="563"/>
      <c r="I3888" s="563"/>
      <c r="J3888" s="581"/>
    </row>
    <row r="3889" spans="8:10" ht="15.75" customHeight="1">
      <c r="H3889" s="563"/>
      <c r="I3889" s="563"/>
      <c r="J3889" s="581"/>
    </row>
    <row r="3890" spans="8:10" ht="15.75" customHeight="1">
      <c r="H3890" s="563"/>
      <c r="I3890" s="563"/>
      <c r="J3890" s="581"/>
    </row>
    <row r="3891" spans="8:10" ht="15.75" customHeight="1">
      <c r="H3891" s="563"/>
      <c r="I3891" s="563"/>
      <c r="J3891" s="581"/>
    </row>
    <row r="3892" spans="8:10" ht="15.75" customHeight="1">
      <c r="H3892" s="563"/>
      <c r="I3892" s="563"/>
      <c r="J3892" s="581"/>
    </row>
    <row r="3893" spans="8:10" ht="15.75" customHeight="1">
      <c r="H3893" s="563"/>
      <c r="I3893" s="563"/>
      <c r="J3893" s="581"/>
    </row>
    <row r="3894" spans="8:10" ht="15.75" customHeight="1">
      <c r="H3894" s="563"/>
      <c r="I3894" s="563"/>
      <c r="J3894" s="581"/>
    </row>
    <row r="3895" spans="8:10" ht="15.75" customHeight="1">
      <c r="H3895" s="563"/>
      <c r="I3895" s="563"/>
      <c r="J3895" s="581"/>
    </row>
    <row r="3896" spans="8:10" ht="15.75" customHeight="1">
      <c r="H3896" s="563"/>
      <c r="I3896" s="563"/>
      <c r="J3896" s="581"/>
    </row>
    <row r="3897" spans="8:10" ht="15.75" customHeight="1">
      <c r="H3897" s="563"/>
      <c r="I3897" s="563"/>
      <c r="J3897" s="581"/>
    </row>
    <row r="3898" spans="8:10" ht="15.75" customHeight="1">
      <c r="H3898" s="563"/>
      <c r="I3898" s="563"/>
      <c r="J3898" s="581"/>
    </row>
    <row r="3899" spans="8:10" ht="15.75" customHeight="1">
      <c r="H3899" s="563"/>
      <c r="I3899" s="563"/>
      <c r="J3899" s="581"/>
    </row>
    <row r="3900" spans="8:10" ht="15.75" customHeight="1">
      <c r="H3900" s="563"/>
      <c r="I3900" s="563"/>
      <c r="J3900" s="581"/>
    </row>
    <row r="3901" spans="8:10" ht="15.75" customHeight="1">
      <c r="H3901" s="563"/>
      <c r="I3901" s="563"/>
      <c r="J3901" s="581"/>
    </row>
    <row r="3902" spans="8:10" ht="15.75" customHeight="1">
      <c r="H3902" s="563"/>
      <c r="I3902" s="563"/>
      <c r="J3902" s="581"/>
    </row>
    <row r="3903" spans="8:10" ht="15.75" customHeight="1">
      <c r="H3903" s="563"/>
      <c r="I3903" s="563"/>
      <c r="J3903" s="581"/>
    </row>
    <row r="3904" spans="8:10" ht="15.75" customHeight="1">
      <c r="H3904" s="563"/>
      <c r="I3904" s="563"/>
      <c r="J3904" s="581"/>
    </row>
    <row r="3905" spans="8:10" ht="15.75" customHeight="1">
      <c r="H3905" s="563"/>
      <c r="I3905" s="563"/>
      <c r="J3905" s="581"/>
    </row>
    <row r="3906" spans="8:10" ht="15.75" customHeight="1">
      <c r="H3906" s="563"/>
      <c r="I3906" s="563"/>
      <c r="J3906" s="581"/>
    </row>
    <row r="3907" spans="8:10" ht="15.75" customHeight="1">
      <c r="H3907" s="563"/>
      <c r="I3907" s="563"/>
      <c r="J3907" s="581"/>
    </row>
    <row r="3908" spans="8:10" ht="15.75" customHeight="1">
      <c r="H3908" s="563"/>
      <c r="I3908" s="563"/>
      <c r="J3908" s="581"/>
    </row>
    <row r="3909" spans="8:10" ht="15.75" customHeight="1">
      <c r="H3909" s="563"/>
      <c r="I3909" s="563"/>
      <c r="J3909" s="581"/>
    </row>
    <row r="3910" spans="8:10" ht="15.75" customHeight="1">
      <c r="H3910" s="563"/>
      <c r="I3910" s="563"/>
      <c r="J3910" s="581"/>
    </row>
    <row r="3911" spans="8:10" ht="15.75" customHeight="1">
      <c r="H3911" s="563"/>
      <c r="I3911" s="563"/>
      <c r="J3911" s="581"/>
    </row>
    <row r="3912" spans="8:10" ht="15.75" customHeight="1">
      <c r="H3912" s="563"/>
      <c r="I3912" s="563"/>
      <c r="J3912" s="581"/>
    </row>
    <row r="3913" spans="8:10" ht="15.75" customHeight="1">
      <c r="H3913" s="563"/>
      <c r="I3913" s="563"/>
      <c r="J3913" s="581"/>
    </row>
    <row r="3914" spans="8:10" ht="15.75" customHeight="1">
      <c r="H3914" s="563"/>
      <c r="I3914" s="563"/>
      <c r="J3914" s="581"/>
    </row>
    <row r="3915" spans="8:10" ht="15.75" customHeight="1">
      <c r="H3915" s="563"/>
      <c r="I3915" s="563"/>
      <c r="J3915" s="581"/>
    </row>
    <row r="3916" spans="8:10" ht="15.75" customHeight="1">
      <c r="H3916" s="563"/>
      <c r="I3916" s="563"/>
      <c r="J3916" s="581"/>
    </row>
    <row r="3917" spans="8:10" ht="15.75" customHeight="1">
      <c r="H3917" s="563"/>
      <c r="I3917" s="563"/>
      <c r="J3917" s="581"/>
    </row>
    <row r="3918" spans="8:10" ht="15.75" customHeight="1">
      <c r="H3918" s="563"/>
      <c r="I3918" s="563"/>
      <c r="J3918" s="581"/>
    </row>
    <row r="3919" spans="8:10" ht="15.75" customHeight="1">
      <c r="H3919" s="563"/>
      <c r="I3919" s="563"/>
      <c r="J3919" s="581"/>
    </row>
    <row r="3920" spans="8:10" ht="15.75" customHeight="1">
      <c r="H3920" s="563"/>
      <c r="I3920" s="563"/>
      <c r="J3920" s="581"/>
    </row>
    <row r="3921" spans="8:10" ht="15.75" customHeight="1">
      <c r="H3921" s="563"/>
      <c r="I3921" s="563"/>
      <c r="J3921" s="581"/>
    </row>
    <row r="3922" spans="8:10" ht="15.75" customHeight="1">
      <c r="H3922" s="563"/>
      <c r="I3922" s="563"/>
      <c r="J3922" s="581"/>
    </row>
    <row r="3923" spans="8:10" ht="15.75" customHeight="1">
      <c r="H3923" s="563"/>
      <c r="I3923" s="563"/>
      <c r="J3923" s="581"/>
    </row>
    <row r="3924" spans="8:10" ht="15.75" customHeight="1">
      <c r="H3924" s="563"/>
      <c r="I3924" s="563"/>
      <c r="J3924" s="581"/>
    </row>
    <row r="3925" spans="8:10" ht="15.75" customHeight="1">
      <c r="H3925" s="563"/>
      <c r="I3925" s="563"/>
      <c r="J3925" s="581"/>
    </row>
    <row r="3926" spans="8:10" ht="15.75" customHeight="1">
      <c r="H3926" s="563"/>
      <c r="I3926" s="563"/>
      <c r="J3926" s="581"/>
    </row>
    <row r="3927" spans="8:10" ht="15.75" customHeight="1">
      <c r="H3927" s="563"/>
      <c r="I3927" s="563"/>
      <c r="J3927" s="581"/>
    </row>
    <row r="3928" spans="8:10" ht="15.75" customHeight="1">
      <c r="H3928" s="563"/>
      <c r="I3928" s="563"/>
      <c r="J3928" s="581"/>
    </row>
    <row r="3929" spans="8:10" ht="15.75" customHeight="1">
      <c r="H3929" s="563"/>
      <c r="I3929" s="563"/>
      <c r="J3929" s="581"/>
    </row>
    <row r="3930" spans="8:10" ht="15.75" customHeight="1">
      <c r="H3930" s="563"/>
      <c r="I3930" s="563"/>
      <c r="J3930" s="581"/>
    </row>
    <row r="3931" spans="8:10" ht="15.75" customHeight="1">
      <c r="H3931" s="563"/>
      <c r="I3931" s="563"/>
      <c r="J3931" s="581"/>
    </row>
    <row r="3932" spans="8:10" ht="15.75" customHeight="1">
      <c r="H3932" s="563"/>
      <c r="I3932" s="563"/>
      <c r="J3932" s="581"/>
    </row>
    <row r="3933" spans="8:10" ht="15.75" customHeight="1">
      <c r="H3933" s="563"/>
      <c r="I3933" s="563"/>
      <c r="J3933" s="581"/>
    </row>
    <row r="3934" spans="8:10" ht="15.75" customHeight="1">
      <c r="H3934" s="563"/>
      <c r="I3934" s="563"/>
      <c r="J3934" s="581"/>
    </row>
    <row r="3935" spans="8:10" ht="15.75" customHeight="1">
      <c r="H3935" s="563"/>
      <c r="I3935" s="563"/>
      <c r="J3935" s="581"/>
    </row>
    <row r="3936" spans="8:10" ht="15.75" customHeight="1">
      <c r="H3936" s="563"/>
      <c r="I3936" s="563"/>
      <c r="J3936" s="581"/>
    </row>
    <row r="3937" spans="8:10" ht="15.75" customHeight="1">
      <c r="H3937" s="563"/>
      <c r="I3937" s="563"/>
      <c r="J3937" s="581"/>
    </row>
    <row r="3938" spans="8:10" ht="15.75" customHeight="1">
      <c r="H3938" s="563"/>
      <c r="I3938" s="563"/>
      <c r="J3938" s="581"/>
    </row>
    <row r="3939" spans="8:10" ht="15.75" customHeight="1">
      <c r="H3939" s="563"/>
      <c r="I3939" s="563"/>
      <c r="J3939" s="581"/>
    </row>
    <row r="3940" spans="8:10" ht="15.75" customHeight="1">
      <c r="H3940" s="563"/>
      <c r="I3940" s="563"/>
      <c r="J3940" s="581"/>
    </row>
    <row r="3941" spans="8:10" ht="15.75" customHeight="1">
      <c r="H3941" s="563"/>
      <c r="I3941" s="563"/>
      <c r="J3941" s="581"/>
    </row>
    <row r="3942" spans="8:10" ht="15.75" customHeight="1">
      <c r="H3942" s="563"/>
      <c r="I3942" s="563"/>
      <c r="J3942" s="581"/>
    </row>
    <row r="3943" spans="8:10" ht="15.75" customHeight="1">
      <c r="H3943" s="563"/>
      <c r="I3943" s="563"/>
      <c r="J3943" s="581"/>
    </row>
    <row r="3944" spans="8:10" ht="15.75" customHeight="1">
      <c r="H3944" s="563"/>
      <c r="I3944" s="563"/>
      <c r="J3944" s="581"/>
    </row>
    <row r="3945" spans="8:10" ht="15.75" customHeight="1">
      <c r="H3945" s="563"/>
      <c r="I3945" s="563"/>
      <c r="J3945" s="581"/>
    </row>
    <row r="3946" spans="8:10" ht="15.75" customHeight="1">
      <c r="H3946" s="563"/>
      <c r="I3946" s="563"/>
      <c r="J3946" s="581"/>
    </row>
    <row r="3947" spans="8:10" ht="15.75" customHeight="1">
      <c r="H3947" s="563"/>
      <c r="I3947" s="563"/>
      <c r="J3947" s="581"/>
    </row>
    <row r="3948" spans="8:10" ht="15.75" customHeight="1">
      <c r="H3948" s="563"/>
      <c r="I3948" s="563"/>
      <c r="J3948" s="581"/>
    </row>
    <row r="3949" spans="8:10" ht="15.75" customHeight="1">
      <c r="H3949" s="563"/>
      <c r="I3949" s="563"/>
      <c r="J3949" s="581"/>
    </row>
    <row r="3950" spans="8:10" ht="15.75" customHeight="1">
      <c r="H3950" s="563"/>
      <c r="I3950" s="563"/>
      <c r="J3950" s="581"/>
    </row>
    <row r="3951" spans="8:10" ht="15.75" customHeight="1">
      <c r="H3951" s="563"/>
      <c r="I3951" s="563"/>
      <c r="J3951" s="581"/>
    </row>
    <row r="3952" spans="8:10" ht="15.75" customHeight="1">
      <c r="H3952" s="563"/>
      <c r="I3952" s="563"/>
      <c r="J3952" s="581"/>
    </row>
    <row r="3953" spans="8:10" ht="15.75" customHeight="1">
      <c r="H3953" s="563"/>
      <c r="I3953" s="563"/>
      <c r="J3953" s="581"/>
    </row>
    <row r="3954" spans="8:10" ht="15.75" customHeight="1">
      <c r="H3954" s="563"/>
      <c r="I3954" s="563"/>
      <c r="J3954" s="581"/>
    </row>
    <row r="3955" spans="8:10" ht="15.75" customHeight="1">
      <c r="H3955" s="563"/>
      <c r="I3955" s="563"/>
      <c r="J3955" s="581"/>
    </row>
    <row r="3956" spans="8:10" ht="15.75" customHeight="1">
      <c r="H3956" s="563"/>
      <c r="I3956" s="563"/>
      <c r="J3956" s="581"/>
    </row>
    <row r="3957" spans="8:10" ht="15.75" customHeight="1">
      <c r="H3957" s="563"/>
      <c r="I3957" s="563"/>
      <c r="J3957" s="581"/>
    </row>
    <row r="3958" spans="8:10" ht="15.75" customHeight="1">
      <c r="H3958" s="563"/>
      <c r="I3958" s="563"/>
      <c r="J3958" s="581"/>
    </row>
    <row r="3959" spans="8:10" ht="15.75" customHeight="1">
      <c r="H3959" s="563"/>
      <c r="I3959" s="563"/>
      <c r="J3959" s="581"/>
    </row>
    <row r="3960" spans="8:10" ht="15.75" customHeight="1">
      <c r="H3960" s="563"/>
      <c r="I3960" s="563"/>
      <c r="J3960" s="581"/>
    </row>
    <row r="3961" spans="8:10" ht="15.75" customHeight="1">
      <c r="H3961" s="563"/>
      <c r="I3961" s="563"/>
      <c r="J3961" s="581"/>
    </row>
    <row r="3962" spans="8:10" ht="15.75" customHeight="1">
      <c r="H3962" s="563"/>
      <c r="I3962" s="563"/>
      <c r="J3962" s="581"/>
    </row>
    <row r="3963" spans="8:10" ht="15.75" customHeight="1">
      <c r="H3963" s="563"/>
      <c r="I3963" s="563"/>
      <c r="J3963" s="581"/>
    </row>
    <row r="3964" spans="8:10" ht="15.75" customHeight="1">
      <c r="H3964" s="563"/>
      <c r="I3964" s="563"/>
      <c r="J3964" s="581"/>
    </row>
    <row r="3965" spans="8:10" ht="15.75" customHeight="1">
      <c r="H3965" s="563"/>
      <c r="I3965" s="563"/>
      <c r="J3965" s="581"/>
    </row>
    <row r="3966" spans="8:10" ht="15.75" customHeight="1">
      <c r="H3966" s="563"/>
      <c r="I3966" s="563"/>
      <c r="J3966" s="581"/>
    </row>
    <row r="3967" spans="8:10" ht="15.75" customHeight="1">
      <c r="H3967" s="563"/>
      <c r="I3967" s="563"/>
      <c r="J3967" s="581"/>
    </row>
    <row r="3968" spans="8:10" ht="15.75" customHeight="1">
      <c r="H3968" s="563"/>
      <c r="I3968" s="563"/>
      <c r="J3968" s="581"/>
    </row>
    <row r="3969" spans="8:10" ht="15.75" customHeight="1">
      <c r="H3969" s="563"/>
      <c r="I3969" s="563"/>
      <c r="J3969" s="581"/>
    </row>
    <row r="3970" spans="8:10" ht="15.75" customHeight="1">
      <c r="H3970" s="563"/>
      <c r="I3970" s="563"/>
      <c r="J3970" s="581"/>
    </row>
    <row r="3971" spans="8:10" ht="15.75" customHeight="1">
      <c r="H3971" s="563"/>
      <c r="I3971" s="563"/>
      <c r="J3971" s="581"/>
    </row>
    <row r="3972" spans="8:10" ht="15.75" customHeight="1">
      <c r="H3972" s="563"/>
      <c r="I3972" s="563"/>
      <c r="J3972" s="581"/>
    </row>
    <row r="3973" spans="8:10" ht="15.75" customHeight="1">
      <c r="H3973" s="563"/>
      <c r="I3973" s="563"/>
      <c r="J3973" s="581"/>
    </row>
    <row r="3974" spans="8:10" ht="15.75" customHeight="1">
      <c r="H3974" s="563"/>
      <c r="I3974" s="563"/>
      <c r="J3974" s="581"/>
    </row>
    <row r="3975" spans="8:10" ht="15.75" customHeight="1">
      <c r="H3975" s="563"/>
      <c r="I3975" s="563"/>
      <c r="J3975" s="581"/>
    </row>
    <row r="3976" spans="8:10" ht="15.75" customHeight="1">
      <c r="H3976" s="563"/>
      <c r="I3976" s="563"/>
      <c r="J3976" s="581"/>
    </row>
    <row r="3977" spans="8:10" ht="15.75" customHeight="1">
      <c r="H3977" s="563"/>
      <c r="I3977" s="563"/>
      <c r="J3977" s="581"/>
    </row>
    <row r="3978" spans="8:10" ht="15.75" customHeight="1">
      <c r="H3978" s="563"/>
      <c r="I3978" s="563"/>
      <c r="J3978" s="581"/>
    </row>
    <row r="3979" spans="8:10" ht="15.75" customHeight="1">
      <c r="H3979" s="563"/>
      <c r="I3979" s="563"/>
      <c r="J3979" s="581"/>
    </row>
    <row r="3980" spans="8:10" ht="15.75" customHeight="1">
      <c r="H3980" s="563"/>
      <c r="I3980" s="563"/>
      <c r="J3980" s="581"/>
    </row>
    <row r="3981" spans="8:10" ht="15.75" customHeight="1">
      <c r="H3981" s="563"/>
      <c r="I3981" s="563"/>
      <c r="J3981" s="581"/>
    </row>
    <row r="3982" spans="8:10" ht="15.75" customHeight="1">
      <c r="H3982" s="563"/>
      <c r="I3982" s="563"/>
      <c r="J3982" s="581"/>
    </row>
    <row r="3983" spans="8:10" ht="15.75" customHeight="1">
      <c r="H3983" s="563"/>
      <c r="I3983" s="563"/>
      <c r="J3983" s="581"/>
    </row>
    <row r="3984" spans="8:10" ht="15.75" customHeight="1">
      <c r="H3984" s="563"/>
      <c r="I3984" s="563"/>
      <c r="J3984" s="581"/>
    </row>
    <row r="3985" spans="8:10" ht="15.75" customHeight="1">
      <c r="H3985" s="563"/>
      <c r="I3985" s="563"/>
      <c r="J3985" s="581"/>
    </row>
    <row r="3986" spans="8:10" ht="15.75" customHeight="1">
      <c r="H3986" s="563"/>
      <c r="I3986" s="563"/>
      <c r="J3986" s="581"/>
    </row>
    <row r="3987" spans="8:10" ht="15.75" customHeight="1">
      <c r="H3987" s="563"/>
      <c r="I3987" s="563"/>
      <c r="J3987" s="581"/>
    </row>
    <row r="3988" spans="8:10" ht="15.75" customHeight="1">
      <c r="H3988" s="563"/>
      <c r="I3988" s="563"/>
      <c r="J3988" s="581"/>
    </row>
    <row r="3989" spans="8:10" ht="15.75" customHeight="1">
      <c r="H3989" s="563"/>
      <c r="I3989" s="563"/>
      <c r="J3989" s="581"/>
    </row>
    <row r="3990" spans="8:10" ht="15.75" customHeight="1">
      <c r="H3990" s="563"/>
      <c r="I3990" s="563"/>
      <c r="J3990" s="581"/>
    </row>
    <row r="3991" spans="8:10" ht="15.75" customHeight="1">
      <c r="H3991" s="563"/>
      <c r="I3991" s="563"/>
      <c r="J3991" s="581"/>
    </row>
    <row r="3992" spans="8:10" ht="15.75" customHeight="1">
      <c r="H3992" s="563"/>
      <c r="I3992" s="563"/>
      <c r="J3992" s="581"/>
    </row>
    <row r="3993" spans="8:10" ht="15.75" customHeight="1">
      <c r="H3993" s="563"/>
      <c r="I3993" s="563"/>
      <c r="J3993" s="581"/>
    </row>
    <row r="3994" spans="8:10" ht="15.75" customHeight="1">
      <c r="H3994" s="563"/>
      <c r="I3994" s="563"/>
      <c r="J3994" s="581"/>
    </row>
    <row r="3995" spans="8:10" ht="15.75" customHeight="1">
      <c r="H3995" s="563"/>
      <c r="I3995" s="563"/>
      <c r="J3995" s="581"/>
    </row>
    <row r="3996" spans="8:10" ht="15.75" customHeight="1">
      <c r="H3996" s="563"/>
      <c r="I3996" s="563"/>
      <c r="J3996" s="581"/>
    </row>
    <row r="3997" spans="8:10" ht="15.75" customHeight="1">
      <c r="H3997" s="563"/>
      <c r="I3997" s="563"/>
      <c r="J3997" s="581"/>
    </row>
    <row r="3998" spans="8:10" ht="15.75" customHeight="1">
      <c r="H3998" s="563"/>
      <c r="I3998" s="563"/>
      <c r="J3998" s="581"/>
    </row>
    <row r="3999" spans="8:10" ht="15.75" customHeight="1">
      <c r="H3999" s="563"/>
      <c r="I3999" s="563"/>
      <c r="J3999" s="581"/>
    </row>
    <row r="4000" spans="8:10" ht="15.75" customHeight="1">
      <c r="H4000" s="563"/>
      <c r="I4000" s="563"/>
      <c r="J4000" s="581"/>
    </row>
    <row r="4001" spans="8:10" ht="15.75" customHeight="1">
      <c r="H4001" s="563"/>
      <c r="I4001" s="563"/>
      <c r="J4001" s="581"/>
    </row>
    <row r="4002" spans="8:10" ht="15.75" customHeight="1">
      <c r="H4002" s="563"/>
      <c r="I4002" s="563"/>
      <c r="J4002" s="581"/>
    </row>
    <row r="4003" spans="8:10" ht="15.75" customHeight="1">
      <c r="H4003" s="563"/>
      <c r="I4003" s="563"/>
      <c r="J4003" s="581"/>
    </row>
    <row r="4004" spans="8:10" ht="15.75" customHeight="1">
      <c r="H4004" s="563"/>
      <c r="I4004" s="563"/>
      <c r="J4004" s="581"/>
    </row>
    <row r="4005" spans="8:10" ht="15.75" customHeight="1">
      <c r="H4005" s="563"/>
      <c r="I4005" s="563"/>
      <c r="J4005" s="581"/>
    </row>
    <row r="4006" spans="8:10" ht="15.75" customHeight="1">
      <c r="H4006" s="563"/>
      <c r="I4006" s="563"/>
      <c r="J4006" s="581"/>
    </row>
    <row r="4007" spans="8:10" ht="15.75" customHeight="1">
      <c r="H4007" s="563"/>
      <c r="I4007" s="563"/>
      <c r="J4007" s="581"/>
    </row>
    <row r="4008" spans="8:10" ht="15.75" customHeight="1">
      <c r="H4008" s="563"/>
      <c r="I4008" s="563"/>
      <c r="J4008" s="581"/>
    </row>
    <row r="4009" spans="8:10" ht="15.75" customHeight="1">
      <c r="H4009" s="563"/>
      <c r="I4009" s="563"/>
      <c r="J4009" s="581"/>
    </row>
    <row r="4010" spans="8:10" ht="15.75" customHeight="1">
      <c r="H4010" s="563"/>
      <c r="I4010" s="563"/>
      <c r="J4010" s="581"/>
    </row>
    <row r="4011" spans="8:10" ht="15.75" customHeight="1">
      <c r="H4011" s="563"/>
      <c r="I4011" s="563"/>
      <c r="J4011" s="581"/>
    </row>
    <row r="4012" spans="8:10" ht="15.75" customHeight="1">
      <c r="H4012" s="563"/>
      <c r="I4012" s="563"/>
      <c r="J4012" s="581"/>
    </row>
    <row r="4013" spans="8:10" ht="15.75" customHeight="1">
      <c r="H4013" s="563"/>
      <c r="I4013" s="563"/>
      <c r="J4013" s="581"/>
    </row>
    <row r="4014" spans="8:10" ht="15.75" customHeight="1">
      <c r="H4014" s="563"/>
      <c r="I4014" s="563"/>
      <c r="J4014" s="581"/>
    </row>
    <row r="4015" spans="8:10" ht="15.75" customHeight="1">
      <c r="H4015" s="563"/>
      <c r="I4015" s="563"/>
      <c r="J4015" s="581"/>
    </row>
    <row r="4016" spans="8:10" ht="15.75" customHeight="1">
      <c r="H4016" s="563"/>
      <c r="I4016" s="563"/>
      <c r="J4016" s="581"/>
    </row>
    <row r="4017" spans="8:10" ht="15.75" customHeight="1">
      <c r="H4017" s="563"/>
      <c r="I4017" s="563"/>
      <c r="J4017" s="581"/>
    </row>
    <row r="4018" spans="8:10" ht="15.75" customHeight="1">
      <c r="H4018" s="563"/>
      <c r="I4018" s="563"/>
      <c r="J4018" s="581"/>
    </row>
    <row r="4019" spans="8:10" ht="15.75" customHeight="1">
      <c r="H4019" s="563"/>
      <c r="I4019" s="563"/>
      <c r="J4019" s="581"/>
    </row>
    <row r="4020" spans="8:10" ht="15.75" customHeight="1">
      <c r="H4020" s="563"/>
      <c r="I4020" s="563"/>
      <c r="J4020" s="581"/>
    </row>
    <row r="4021" spans="8:10" ht="15.75" customHeight="1">
      <c r="H4021" s="563"/>
      <c r="I4021" s="563"/>
      <c r="J4021" s="581"/>
    </row>
    <row r="4022" spans="8:10" ht="15.75" customHeight="1">
      <c r="H4022" s="563"/>
      <c r="I4022" s="563"/>
      <c r="J4022" s="581"/>
    </row>
    <row r="4023" spans="8:10" ht="15.75" customHeight="1">
      <c r="H4023" s="563"/>
      <c r="I4023" s="563"/>
      <c r="J4023" s="581"/>
    </row>
    <row r="4024" spans="8:10" ht="15.75" customHeight="1">
      <c r="H4024" s="563"/>
      <c r="I4024" s="563"/>
      <c r="J4024" s="581"/>
    </row>
    <row r="4025" spans="8:10" ht="15.75" customHeight="1">
      <c r="H4025" s="563"/>
      <c r="I4025" s="563"/>
      <c r="J4025" s="581"/>
    </row>
    <row r="4026" spans="8:10" ht="15.75" customHeight="1">
      <c r="H4026" s="563"/>
      <c r="I4026" s="563"/>
      <c r="J4026" s="581"/>
    </row>
    <row r="4027" spans="8:10" ht="15.75" customHeight="1">
      <c r="H4027" s="563"/>
      <c r="I4027" s="563"/>
      <c r="J4027" s="581"/>
    </row>
    <row r="4028" spans="8:10" ht="15.75" customHeight="1">
      <c r="H4028" s="563"/>
      <c r="I4028" s="563"/>
      <c r="J4028" s="581"/>
    </row>
    <row r="4029" spans="8:10" ht="15.75" customHeight="1">
      <c r="H4029" s="563"/>
      <c r="I4029" s="563"/>
      <c r="J4029" s="581"/>
    </row>
    <row r="4030" spans="8:10" ht="15.75" customHeight="1">
      <c r="H4030" s="563"/>
      <c r="I4030" s="563"/>
      <c r="J4030" s="581"/>
    </row>
    <row r="4031" spans="8:10" ht="15.75" customHeight="1">
      <c r="H4031" s="563"/>
      <c r="I4031" s="563"/>
      <c r="J4031" s="581"/>
    </row>
    <row r="4032" spans="8:10" ht="15.75" customHeight="1">
      <c r="H4032" s="563"/>
      <c r="I4032" s="563"/>
      <c r="J4032" s="581"/>
    </row>
    <row r="4033" spans="8:10" ht="15.75" customHeight="1">
      <c r="H4033" s="563"/>
      <c r="I4033" s="563"/>
      <c r="J4033" s="581"/>
    </row>
    <row r="4034" spans="8:10" ht="15.75" customHeight="1">
      <c r="H4034" s="563"/>
      <c r="I4034" s="563"/>
      <c r="J4034" s="581"/>
    </row>
    <row r="4035" spans="8:10" ht="15.75" customHeight="1">
      <c r="H4035" s="563"/>
      <c r="I4035" s="563"/>
      <c r="J4035" s="581"/>
    </row>
    <row r="4036" spans="8:10" ht="15.75" customHeight="1">
      <c r="H4036" s="563"/>
      <c r="I4036" s="563"/>
      <c r="J4036" s="581"/>
    </row>
    <row r="4037" spans="8:10" ht="15.75" customHeight="1">
      <c r="H4037" s="563"/>
      <c r="I4037" s="563"/>
      <c r="J4037" s="581"/>
    </row>
    <row r="4038" spans="8:10" ht="15.75" customHeight="1">
      <c r="H4038" s="563"/>
      <c r="I4038" s="563"/>
      <c r="J4038" s="581"/>
    </row>
    <row r="4039" spans="8:10" ht="15.75" customHeight="1">
      <c r="H4039" s="563"/>
      <c r="I4039" s="563"/>
      <c r="J4039" s="581"/>
    </row>
    <row r="4040" spans="8:10" ht="15.75" customHeight="1">
      <c r="H4040" s="563"/>
      <c r="I4040" s="563"/>
      <c r="J4040" s="581"/>
    </row>
    <row r="4041" spans="8:10" ht="15.75" customHeight="1">
      <c r="H4041" s="563"/>
      <c r="I4041" s="563"/>
      <c r="J4041" s="581"/>
    </row>
    <row r="4042" spans="8:10" ht="15.75" customHeight="1">
      <c r="H4042" s="563"/>
      <c r="I4042" s="563"/>
      <c r="J4042" s="581"/>
    </row>
    <row r="4043" spans="8:10" ht="15.75" customHeight="1">
      <c r="H4043" s="563"/>
      <c r="I4043" s="563"/>
      <c r="J4043" s="581"/>
    </row>
    <row r="4044" spans="8:10" ht="15.75" customHeight="1">
      <c r="H4044" s="563"/>
      <c r="I4044" s="563"/>
      <c r="J4044" s="581"/>
    </row>
    <row r="4045" spans="8:10" ht="15.75" customHeight="1">
      <c r="H4045" s="563"/>
      <c r="I4045" s="563"/>
      <c r="J4045" s="581"/>
    </row>
    <row r="4046" spans="8:10" ht="15.75" customHeight="1">
      <c r="H4046" s="563"/>
      <c r="I4046" s="563"/>
      <c r="J4046" s="581"/>
    </row>
    <row r="4047" spans="8:10" ht="15.75" customHeight="1">
      <c r="H4047" s="563"/>
      <c r="I4047" s="563"/>
      <c r="J4047" s="581"/>
    </row>
    <row r="4048" spans="8:10" ht="15.75" customHeight="1">
      <c r="H4048" s="563"/>
      <c r="I4048" s="563"/>
      <c r="J4048" s="581"/>
    </row>
    <row r="4049" spans="8:10" ht="15.75" customHeight="1">
      <c r="H4049" s="563"/>
      <c r="I4049" s="563"/>
      <c r="J4049" s="581"/>
    </row>
    <row r="4050" spans="8:10" ht="15.75" customHeight="1">
      <c r="H4050" s="563"/>
      <c r="I4050" s="563"/>
      <c r="J4050" s="581"/>
    </row>
    <row r="4051" spans="8:10" ht="15.75" customHeight="1">
      <c r="H4051" s="563"/>
      <c r="I4051" s="563"/>
      <c r="J4051" s="581"/>
    </row>
    <row r="4052" spans="8:10" ht="15.75" customHeight="1">
      <c r="H4052" s="563"/>
      <c r="I4052" s="563"/>
      <c r="J4052" s="581"/>
    </row>
    <row r="4053" spans="8:10" ht="15.75" customHeight="1">
      <c r="H4053" s="563"/>
      <c r="I4053" s="563"/>
      <c r="J4053" s="581"/>
    </row>
    <row r="4054" spans="8:10" ht="15.75" customHeight="1">
      <c r="H4054" s="563"/>
      <c r="I4054" s="563"/>
      <c r="J4054" s="581"/>
    </row>
    <row r="4055" spans="8:10" ht="15.75" customHeight="1">
      <c r="H4055" s="563"/>
      <c r="I4055" s="563"/>
      <c r="J4055" s="581"/>
    </row>
    <row r="4056" spans="8:10" ht="15.75" customHeight="1">
      <c r="H4056" s="563"/>
      <c r="I4056" s="563"/>
      <c r="J4056" s="581"/>
    </row>
    <row r="4057" spans="8:10" ht="15.75" customHeight="1">
      <c r="H4057" s="563"/>
      <c r="I4057" s="563"/>
      <c r="J4057" s="581"/>
    </row>
    <row r="4058" spans="8:10" ht="15.75" customHeight="1">
      <c r="H4058" s="563"/>
      <c r="I4058" s="563"/>
      <c r="J4058" s="581"/>
    </row>
    <row r="4059" spans="8:10" ht="15.75" customHeight="1">
      <c r="H4059" s="563"/>
      <c r="I4059" s="563"/>
      <c r="J4059" s="581"/>
    </row>
    <row r="4060" spans="8:10" ht="15.75" customHeight="1">
      <c r="H4060" s="563"/>
      <c r="I4060" s="563"/>
      <c r="J4060" s="581"/>
    </row>
    <row r="4061" spans="8:10" ht="15.75" customHeight="1">
      <c r="H4061" s="563"/>
      <c r="I4061" s="563"/>
      <c r="J4061" s="581"/>
    </row>
    <row r="4062" spans="8:10" ht="15.75" customHeight="1">
      <c r="H4062" s="563"/>
      <c r="I4062" s="563"/>
      <c r="J4062" s="581"/>
    </row>
    <row r="4063" spans="8:10" ht="15.75" customHeight="1">
      <c r="H4063" s="563"/>
      <c r="I4063" s="563"/>
      <c r="J4063" s="581"/>
    </row>
    <row r="4064" spans="8:10" ht="15.75" customHeight="1">
      <c r="H4064" s="563"/>
      <c r="I4064" s="563"/>
      <c r="J4064" s="581"/>
    </row>
    <row r="4065" spans="8:10" ht="15.75" customHeight="1">
      <c r="H4065" s="563"/>
      <c r="I4065" s="563"/>
      <c r="J4065" s="581"/>
    </row>
    <row r="4066" spans="8:10" ht="15.75" customHeight="1">
      <c r="H4066" s="563"/>
      <c r="I4066" s="563"/>
      <c r="J4066" s="581"/>
    </row>
    <row r="4067" spans="8:10" ht="15.75" customHeight="1">
      <c r="H4067" s="563"/>
      <c r="I4067" s="563"/>
      <c r="J4067" s="581"/>
    </row>
    <row r="4068" spans="8:10" ht="15.75" customHeight="1">
      <c r="H4068" s="563"/>
      <c r="I4068" s="563"/>
      <c r="J4068" s="581"/>
    </row>
    <row r="4069" spans="8:10" ht="15.75" customHeight="1">
      <c r="H4069" s="563"/>
      <c r="I4069" s="563"/>
      <c r="J4069" s="581"/>
    </row>
    <row r="4070" spans="8:10" ht="15.75" customHeight="1">
      <c r="H4070" s="563"/>
      <c r="I4070" s="563"/>
      <c r="J4070" s="581"/>
    </row>
    <row r="4071" spans="8:10" ht="15.75" customHeight="1">
      <c r="H4071" s="563"/>
      <c r="I4071" s="563"/>
      <c r="J4071" s="581"/>
    </row>
    <row r="4072" spans="8:10" ht="15.75" customHeight="1">
      <c r="H4072" s="563"/>
      <c r="I4072" s="563"/>
      <c r="J4072" s="581"/>
    </row>
    <row r="4073" spans="8:10" ht="15.75" customHeight="1">
      <c r="H4073" s="563"/>
      <c r="I4073" s="563"/>
      <c r="J4073" s="581"/>
    </row>
    <row r="4074" spans="8:10" ht="15.75" customHeight="1">
      <c r="H4074" s="563"/>
      <c r="I4074" s="563"/>
      <c r="J4074" s="581"/>
    </row>
    <row r="4075" spans="8:10" ht="15.75" customHeight="1">
      <c r="H4075" s="563"/>
      <c r="I4075" s="563"/>
      <c r="J4075" s="581"/>
    </row>
    <row r="4076" spans="8:10" ht="15.75" customHeight="1">
      <c r="H4076" s="563"/>
      <c r="I4076" s="563"/>
      <c r="J4076" s="581"/>
    </row>
    <row r="4077" spans="8:10" ht="15.75" customHeight="1">
      <c r="H4077" s="563"/>
      <c r="I4077" s="563"/>
      <c r="J4077" s="581"/>
    </row>
    <row r="4078" spans="8:10" ht="15.75" customHeight="1">
      <c r="H4078" s="563"/>
      <c r="I4078" s="563"/>
      <c r="J4078" s="581"/>
    </row>
    <row r="4079" spans="8:10" ht="15.75" customHeight="1">
      <c r="H4079" s="563"/>
      <c r="I4079" s="563"/>
      <c r="J4079" s="581"/>
    </row>
    <row r="4080" spans="8:10" ht="15.75" customHeight="1">
      <c r="H4080" s="563"/>
      <c r="I4080" s="563"/>
      <c r="J4080" s="581"/>
    </row>
    <row r="4081" spans="8:10" ht="15.75" customHeight="1">
      <c r="H4081" s="563"/>
      <c r="I4081" s="563"/>
      <c r="J4081" s="581"/>
    </row>
    <row r="4082" spans="8:10" ht="15.75" customHeight="1">
      <c r="H4082" s="563"/>
      <c r="I4082" s="563"/>
      <c r="J4082" s="581"/>
    </row>
    <row r="4083" spans="8:10" ht="15.75" customHeight="1">
      <c r="H4083" s="563"/>
      <c r="I4083" s="563"/>
      <c r="J4083" s="581"/>
    </row>
    <row r="4084" spans="8:10" ht="15.75" customHeight="1">
      <c r="H4084" s="563"/>
      <c r="I4084" s="563"/>
      <c r="J4084" s="581"/>
    </row>
    <row r="4085" spans="8:10" ht="15.75" customHeight="1">
      <c r="H4085" s="563"/>
      <c r="I4085" s="563"/>
      <c r="J4085" s="581"/>
    </row>
    <row r="4086" spans="8:10" ht="15.75" customHeight="1">
      <c r="H4086" s="563"/>
      <c r="I4086" s="563"/>
      <c r="J4086" s="581"/>
    </row>
    <row r="4087" spans="8:10" ht="15.75" customHeight="1">
      <c r="H4087" s="563"/>
      <c r="I4087" s="563"/>
      <c r="J4087" s="581"/>
    </row>
    <row r="4088" spans="8:10" ht="15.75" customHeight="1">
      <c r="H4088" s="563"/>
      <c r="I4088" s="563"/>
      <c r="J4088" s="581"/>
    </row>
    <row r="4089" spans="8:10" ht="15.75" customHeight="1">
      <c r="H4089" s="563"/>
      <c r="I4089" s="563"/>
      <c r="J4089" s="581"/>
    </row>
    <row r="4090" spans="8:10" ht="15.75" customHeight="1">
      <c r="H4090" s="563"/>
      <c r="I4090" s="563"/>
      <c r="J4090" s="581"/>
    </row>
    <row r="4091" spans="8:10" ht="15.75" customHeight="1">
      <c r="H4091" s="563"/>
      <c r="I4091" s="563"/>
      <c r="J4091" s="581"/>
    </row>
    <row r="4092" spans="8:10" ht="15.75" customHeight="1">
      <c r="H4092" s="563"/>
      <c r="I4092" s="563"/>
      <c r="J4092" s="581"/>
    </row>
    <row r="4093" spans="8:10" ht="15.75" customHeight="1">
      <c r="H4093" s="563"/>
      <c r="I4093" s="563"/>
      <c r="J4093" s="581"/>
    </row>
    <row r="4094" spans="8:10" ht="15.75" customHeight="1">
      <c r="H4094" s="563"/>
      <c r="I4094" s="563"/>
      <c r="J4094" s="581"/>
    </row>
    <row r="4095" spans="8:10" ht="15.75" customHeight="1">
      <c r="H4095" s="563"/>
      <c r="I4095" s="563"/>
      <c r="J4095" s="581"/>
    </row>
    <row r="4096" spans="8:10" ht="15.75" customHeight="1">
      <c r="H4096" s="563"/>
      <c r="I4096" s="563"/>
      <c r="J4096" s="581"/>
    </row>
    <row r="4097" spans="8:10" ht="15.75" customHeight="1">
      <c r="H4097" s="563"/>
      <c r="I4097" s="563"/>
      <c r="J4097" s="581"/>
    </row>
    <row r="4098" spans="8:10" ht="15.75" customHeight="1">
      <c r="H4098" s="563"/>
      <c r="I4098" s="563"/>
      <c r="J4098" s="581"/>
    </row>
    <row r="4099" spans="8:10" ht="15.75" customHeight="1">
      <c r="H4099" s="563"/>
      <c r="I4099" s="563"/>
      <c r="J4099" s="581"/>
    </row>
    <row r="4100" spans="8:10" ht="15.75" customHeight="1">
      <c r="H4100" s="563"/>
      <c r="I4100" s="563"/>
      <c r="J4100" s="581"/>
    </row>
    <row r="4101" spans="8:10" ht="15.75" customHeight="1">
      <c r="H4101" s="563"/>
      <c r="I4101" s="563"/>
      <c r="J4101" s="581"/>
    </row>
    <row r="4102" spans="8:10" ht="15.75" customHeight="1">
      <c r="H4102" s="563"/>
      <c r="I4102" s="563"/>
      <c r="J4102" s="581"/>
    </row>
    <row r="4103" spans="8:10" ht="15.75" customHeight="1">
      <c r="H4103" s="563"/>
      <c r="I4103" s="563"/>
      <c r="J4103" s="581"/>
    </row>
    <row r="4104" spans="8:10" ht="15.75" customHeight="1">
      <c r="H4104" s="563"/>
      <c r="I4104" s="563"/>
      <c r="J4104" s="581"/>
    </row>
    <row r="4105" spans="8:10" ht="15.75" customHeight="1">
      <c r="H4105" s="563"/>
      <c r="I4105" s="563"/>
      <c r="J4105" s="581"/>
    </row>
    <row r="4106" spans="8:10" ht="15.75" customHeight="1">
      <c r="H4106" s="563"/>
      <c r="I4106" s="563"/>
      <c r="J4106" s="581"/>
    </row>
    <row r="4107" spans="8:10" ht="15.75" customHeight="1">
      <c r="H4107" s="563"/>
      <c r="I4107" s="563"/>
      <c r="J4107" s="581"/>
    </row>
    <row r="4108" spans="8:10" ht="15.75" customHeight="1">
      <c r="H4108" s="563"/>
      <c r="I4108" s="563"/>
      <c r="J4108" s="581"/>
    </row>
    <row r="4109" spans="8:10" ht="15.75" customHeight="1">
      <c r="H4109" s="563"/>
      <c r="I4109" s="563"/>
      <c r="J4109" s="581"/>
    </row>
    <row r="4110" spans="8:10" ht="15.75" customHeight="1">
      <c r="H4110" s="563"/>
      <c r="I4110" s="563"/>
      <c r="J4110" s="581"/>
    </row>
    <row r="4111" spans="8:10" ht="15.75" customHeight="1">
      <c r="H4111" s="563"/>
      <c r="I4111" s="563"/>
      <c r="J4111" s="581"/>
    </row>
    <row r="4112" spans="8:10" ht="15.75" customHeight="1">
      <c r="H4112" s="563"/>
      <c r="I4112" s="563"/>
      <c r="J4112" s="581"/>
    </row>
    <row r="4113" spans="8:10" ht="15.75" customHeight="1">
      <c r="H4113" s="563"/>
      <c r="I4113" s="563"/>
      <c r="J4113" s="581"/>
    </row>
    <row r="4114" spans="8:10" ht="15.75" customHeight="1">
      <c r="H4114" s="563"/>
      <c r="I4114" s="563"/>
      <c r="J4114" s="581"/>
    </row>
    <row r="4115" spans="8:10" ht="15.75" customHeight="1">
      <c r="H4115" s="563"/>
      <c r="I4115" s="563"/>
      <c r="J4115" s="581"/>
    </row>
    <row r="4116" spans="8:10" ht="15.75" customHeight="1">
      <c r="H4116" s="563"/>
      <c r="I4116" s="563"/>
      <c r="J4116" s="581"/>
    </row>
    <row r="4117" spans="8:10" ht="15.75" customHeight="1">
      <c r="H4117" s="563"/>
      <c r="I4117" s="563"/>
      <c r="J4117" s="581"/>
    </row>
    <row r="4118" spans="8:10" ht="15.75" customHeight="1">
      <c r="H4118" s="563"/>
      <c r="I4118" s="563"/>
      <c r="J4118" s="581"/>
    </row>
    <row r="4119" spans="8:10" ht="15.75" customHeight="1">
      <c r="H4119" s="563"/>
      <c r="I4119" s="563"/>
      <c r="J4119" s="581"/>
    </row>
    <row r="4120" spans="8:10" ht="15.75" customHeight="1">
      <c r="H4120" s="563"/>
      <c r="I4120" s="563"/>
      <c r="J4120" s="581"/>
    </row>
    <row r="4121" spans="8:10" ht="15.75" customHeight="1">
      <c r="H4121" s="563"/>
      <c r="I4121" s="563"/>
      <c r="J4121" s="581"/>
    </row>
    <row r="4122" spans="8:10" ht="15.75" customHeight="1">
      <c r="H4122" s="563"/>
      <c r="I4122" s="563"/>
      <c r="J4122" s="581"/>
    </row>
    <row r="4123" spans="8:10" ht="15.75" customHeight="1">
      <c r="H4123" s="563"/>
      <c r="I4123" s="563"/>
      <c r="J4123" s="581"/>
    </row>
    <row r="4124" spans="8:10" ht="15.75" customHeight="1">
      <c r="H4124" s="563"/>
      <c r="I4124" s="563"/>
      <c r="J4124" s="581"/>
    </row>
    <row r="4125" spans="8:10" ht="15.75" customHeight="1">
      <c r="H4125" s="563"/>
      <c r="I4125" s="563"/>
      <c r="J4125" s="581"/>
    </row>
    <row r="4126" spans="8:10" ht="15.75" customHeight="1">
      <c r="H4126" s="563"/>
      <c r="I4126" s="563"/>
      <c r="J4126" s="581"/>
    </row>
    <row r="4127" spans="8:10" ht="15.75" customHeight="1">
      <c r="H4127" s="563"/>
      <c r="I4127" s="563"/>
      <c r="J4127" s="581"/>
    </row>
    <row r="4128" spans="8:10" ht="15.75" customHeight="1">
      <c r="H4128" s="563"/>
      <c r="I4128" s="563"/>
      <c r="J4128" s="581"/>
    </row>
    <row r="4129" spans="8:10" ht="15.75" customHeight="1">
      <c r="H4129" s="563"/>
      <c r="I4129" s="563"/>
      <c r="J4129" s="581"/>
    </row>
    <row r="4130" spans="8:10" ht="15.75" customHeight="1">
      <c r="H4130" s="563"/>
      <c r="I4130" s="563"/>
      <c r="J4130" s="581"/>
    </row>
    <row r="4131" spans="8:10" ht="15.75" customHeight="1">
      <c r="H4131" s="563"/>
      <c r="I4131" s="563"/>
      <c r="J4131" s="581"/>
    </row>
    <row r="4132" spans="8:10" ht="15.75" customHeight="1">
      <c r="H4132" s="563"/>
      <c r="I4132" s="563"/>
      <c r="J4132" s="581"/>
    </row>
    <row r="4133" spans="8:10" ht="15.75" customHeight="1">
      <c r="H4133" s="563"/>
      <c r="I4133" s="563"/>
      <c r="J4133" s="581"/>
    </row>
    <row r="4134" spans="8:10" ht="15.75" customHeight="1">
      <c r="H4134" s="563"/>
      <c r="I4134" s="563"/>
      <c r="J4134" s="581"/>
    </row>
    <row r="4135" spans="8:10" ht="15.75" customHeight="1">
      <c r="H4135" s="563"/>
      <c r="I4135" s="563"/>
      <c r="J4135" s="581"/>
    </row>
    <row r="4136" spans="8:10" ht="15.75" customHeight="1">
      <c r="H4136" s="563"/>
      <c r="I4136" s="563"/>
      <c r="J4136" s="581"/>
    </row>
    <row r="4137" spans="8:10" ht="15.75" customHeight="1">
      <c r="H4137" s="563"/>
      <c r="I4137" s="563"/>
      <c r="J4137" s="581"/>
    </row>
    <row r="4138" spans="8:10" ht="15.75" customHeight="1">
      <c r="H4138" s="563"/>
      <c r="I4138" s="563"/>
      <c r="J4138" s="581"/>
    </row>
    <row r="4139" spans="8:10" ht="15.75" customHeight="1">
      <c r="H4139" s="563"/>
      <c r="I4139" s="563"/>
      <c r="J4139" s="581"/>
    </row>
    <row r="4140" spans="8:10" ht="15.75" customHeight="1">
      <c r="H4140" s="563"/>
      <c r="I4140" s="563"/>
      <c r="J4140" s="581"/>
    </row>
    <row r="4141" spans="8:10" ht="15.75" customHeight="1">
      <c r="H4141" s="563"/>
      <c r="I4141" s="563"/>
      <c r="J4141" s="581"/>
    </row>
    <row r="4142" spans="8:10" ht="15.75" customHeight="1">
      <c r="H4142" s="563"/>
      <c r="I4142" s="563"/>
      <c r="J4142" s="581"/>
    </row>
    <row r="4143" spans="8:10" ht="15.75" customHeight="1">
      <c r="H4143" s="563"/>
      <c r="I4143" s="563"/>
      <c r="J4143" s="581"/>
    </row>
    <row r="4144" spans="8:10" ht="15.75" customHeight="1">
      <c r="H4144" s="563"/>
      <c r="I4144" s="563"/>
      <c r="J4144" s="581"/>
    </row>
    <row r="4145" spans="8:10" ht="15.75" customHeight="1">
      <c r="H4145" s="563"/>
      <c r="I4145" s="563"/>
      <c r="J4145" s="581"/>
    </row>
    <row r="4146" spans="8:10" ht="15.75" customHeight="1">
      <c r="H4146" s="563"/>
      <c r="I4146" s="563"/>
      <c r="J4146" s="581"/>
    </row>
    <row r="4147" spans="8:10" ht="15.75" customHeight="1">
      <c r="H4147" s="563"/>
      <c r="I4147" s="563"/>
      <c r="J4147" s="581"/>
    </row>
    <row r="4148" spans="8:10" ht="15.75" customHeight="1">
      <c r="H4148" s="563"/>
      <c r="I4148" s="563"/>
      <c r="J4148" s="581"/>
    </row>
    <row r="4149" spans="8:10" ht="15.75" customHeight="1">
      <c r="H4149" s="563"/>
      <c r="I4149" s="563"/>
      <c r="J4149" s="581"/>
    </row>
    <row r="4150" spans="8:10" ht="15.75" customHeight="1">
      <c r="H4150" s="563"/>
      <c r="I4150" s="563"/>
      <c r="J4150" s="581"/>
    </row>
    <row r="4151" spans="8:10" ht="15.75" customHeight="1">
      <c r="H4151" s="563"/>
      <c r="I4151" s="563"/>
      <c r="J4151" s="581"/>
    </row>
    <row r="4152" spans="8:10" ht="15.75" customHeight="1">
      <c r="H4152" s="563"/>
      <c r="I4152" s="563"/>
      <c r="J4152" s="581"/>
    </row>
    <row r="4153" spans="8:10" ht="15.75" customHeight="1">
      <c r="H4153" s="563"/>
      <c r="I4153" s="563"/>
      <c r="J4153" s="581"/>
    </row>
    <row r="4154" spans="8:10" ht="15.75" customHeight="1">
      <c r="H4154" s="563"/>
      <c r="I4154" s="563"/>
      <c r="J4154" s="581"/>
    </row>
    <row r="4155" spans="8:10" ht="15.75" customHeight="1">
      <c r="H4155" s="563"/>
      <c r="I4155" s="563"/>
      <c r="J4155" s="581"/>
    </row>
    <row r="4156" spans="8:10" ht="15.75" customHeight="1">
      <c r="H4156" s="563"/>
      <c r="I4156" s="563"/>
      <c r="J4156" s="581"/>
    </row>
    <row r="4157" spans="8:10" ht="15.75" customHeight="1">
      <c r="H4157" s="563"/>
      <c r="I4157" s="563"/>
      <c r="J4157" s="581"/>
    </row>
    <row r="4158" spans="8:10" ht="15.75" customHeight="1">
      <c r="H4158" s="563"/>
      <c r="I4158" s="563"/>
      <c r="J4158" s="581"/>
    </row>
    <row r="4159" spans="8:10" ht="15.75" customHeight="1">
      <c r="H4159" s="563"/>
      <c r="I4159" s="563"/>
      <c r="J4159" s="581"/>
    </row>
    <row r="4160" spans="8:10" ht="15.75" customHeight="1">
      <c r="H4160" s="563"/>
      <c r="I4160" s="563"/>
      <c r="J4160" s="581"/>
    </row>
    <row r="4161" spans="8:10" ht="15.75" customHeight="1">
      <c r="H4161" s="563"/>
      <c r="I4161" s="563"/>
      <c r="J4161" s="581"/>
    </row>
    <row r="4162" spans="8:10" ht="15.75" customHeight="1">
      <c r="H4162" s="563"/>
      <c r="I4162" s="563"/>
      <c r="J4162" s="581"/>
    </row>
    <row r="4163" spans="8:10" ht="15.75" customHeight="1">
      <c r="H4163" s="563"/>
      <c r="I4163" s="563"/>
      <c r="J4163" s="581"/>
    </row>
    <row r="4164" spans="8:10" ht="15.75" customHeight="1">
      <c r="H4164" s="563"/>
      <c r="I4164" s="563"/>
      <c r="J4164" s="581"/>
    </row>
    <row r="4165" spans="8:10" ht="15.75" customHeight="1">
      <c r="H4165" s="563"/>
      <c r="I4165" s="563"/>
      <c r="J4165" s="581"/>
    </row>
    <row r="4166" spans="8:10" ht="15.75" customHeight="1">
      <c r="H4166" s="563"/>
      <c r="I4166" s="563"/>
      <c r="J4166" s="581"/>
    </row>
    <row r="4167" spans="8:10" ht="15.75" customHeight="1">
      <c r="H4167" s="563"/>
      <c r="I4167" s="563"/>
      <c r="J4167" s="581"/>
    </row>
    <row r="4168" spans="8:10" ht="15.75" customHeight="1">
      <c r="H4168" s="563"/>
      <c r="I4168" s="563"/>
      <c r="J4168" s="581"/>
    </row>
    <row r="4169" spans="8:10" ht="15.75" customHeight="1">
      <c r="H4169" s="563"/>
      <c r="I4169" s="563"/>
      <c r="J4169" s="581"/>
    </row>
    <row r="4170" spans="8:10" ht="15.75" customHeight="1">
      <c r="H4170" s="563"/>
      <c r="I4170" s="563"/>
      <c r="J4170" s="581"/>
    </row>
    <row r="4171" spans="8:10" ht="15.75" customHeight="1">
      <c r="H4171" s="563"/>
      <c r="I4171" s="563"/>
      <c r="J4171" s="581"/>
    </row>
    <row r="4172" spans="8:10" ht="15.75" customHeight="1">
      <c r="H4172" s="563"/>
      <c r="I4172" s="563"/>
      <c r="J4172" s="581"/>
    </row>
    <row r="4173" spans="8:10" ht="15.75" customHeight="1">
      <c r="H4173" s="563"/>
      <c r="I4173" s="563"/>
      <c r="J4173" s="581"/>
    </row>
    <row r="4174" spans="8:10" ht="15.75" customHeight="1">
      <c r="H4174" s="563"/>
      <c r="I4174" s="563"/>
      <c r="J4174" s="581"/>
    </row>
    <row r="4175" spans="8:10" ht="15.75" customHeight="1">
      <c r="H4175" s="563"/>
      <c r="I4175" s="563"/>
      <c r="J4175" s="581"/>
    </row>
    <row r="4176" spans="8:10" ht="15.75" customHeight="1">
      <c r="H4176" s="563"/>
      <c r="I4176" s="563"/>
      <c r="J4176" s="581"/>
    </row>
    <row r="4177" spans="8:10" ht="15.75" customHeight="1">
      <c r="H4177" s="563"/>
      <c r="I4177" s="563"/>
      <c r="J4177" s="581"/>
    </row>
    <row r="4178" spans="8:10" ht="15.75" customHeight="1">
      <c r="H4178" s="563"/>
      <c r="I4178" s="563"/>
      <c r="J4178" s="581"/>
    </row>
    <row r="4179" spans="8:10" ht="15.75" customHeight="1">
      <c r="H4179" s="563"/>
      <c r="I4179" s="563"/>
      <c r="J4179" s="581"/>
    </row>
    <row r="4180" spans="8:10" ht="15.75" customHeight="1">
      <c r="H4180" s="563"/>
      <c r="I4180" s="563"/>
      <c r="J4180" s="581"/>
    </row>
    <row r="4181" spans="8:10" ht="15.75" customHeight="1">
      <c r="H4181" s="563"/>
      <c r="I4181" s="563"/>
      <c r="J4181" s="581"/>
    </row>
    <row r="4182" spans="8:10" ht="15.75" customHeight="1">
      <c r="H4182" s="563"/>
      <c r="I4182" s="563"/>
      <c r="J4182" s="581"/>
    </row>
    <row r="4183" spans="8:10" ht="15.75" customHeight="1">
      <c r="H4183" s="563"/>
      <c r="I4183" s="563"/>
      <c r="J4183" s="581"/>
    </row>
    <row r="4184" spans="8:10" ht="15.75" customHeight="1">
      <c r="H4184" s="563"/>
      <c r="I4184" s="563"/>
      <c r="J4184" s="581"/>
    </row>
    <row r="4185" spans="8:10" ht="15.75" customHeight="1">
      <c r="H4185" s="563"/>
      <c r="I4185" s="563"/>
      <c r="J4185" s="581"/>
    </row>
    <row r="4186" spans="8:10" ht="15.75" customHeight="1">
      <c r="H4186" s="563"/>
      <c r="I4186" s="563"/>
      <c r="J4186" s="581"/>
    </row>
    <row r="4187" spans="8:10" ht="15.75" customHeight="1">
      <c r="H4187" s="563"/>
      <c r="I4187" s="563"/>
      <c r="J4187" s="581"/>
    </row>
    <row r="4188" spans="8:10" ht="15.75" customHeight="1">
      <c r="H4188" s="563"/>
      <c r="I4188" s="563"/>
      <c r="J4188" s="581"/>
    </row>
    <row r="4189" spans="8:10" ht="15.75" customHeight="1">
      <c r="H4189" s="563"/>
      <c r="I4189" s="563"/>
      <c r="J4189" s="581"/>
    </row>
    <row r="4190" spans="8:10" ht="15.75" customHeight="1">
      <c r="H4190" s="563"/>
      <c r="I4190" s="563"/>
      <c r="J4190" s="581"/>
    </row>
    <row r="4191" spans="8:10" ht="15.75" customHeight="1">
      <c r="H4191" s="563"/>
      <c r="I4191" s="563"/>
      <c r="J4191" s="581"/>
    </row>
    <row r="4192" spans="8:10" ht="15.75" customHeight="1">
      <c r="H4192" s="563"/>
      <c r="I4192" s="563"/>
      <c r="J4192" s="581"/>
    </row>
    <row r="4193" spans="8:10" ht="15.75" customHeight="1">
      <c r="H4193" s="563"/>
      <c r="I4193" s="563"/>
      <c r="J4193" s="581"/>
    </row>
    <row r="4194" spans="8:10" ht="15.75" customHeight="1">
      <c r="H4194" s="563"/>
      <c r="I4194" s="563"/>
      <c r="J4194" s="581"/>
    </row>
    <row r="4195" spans="8:10" ht="15.75" customHeight="1">
      <c r="H4195" s="563"/>
      <c r="I4195" s="563"/>
      <c r="J4195" s="581"/>
    </row>
    <row r="4196" spans="8:10" ht="15.75" customHeight="1">
      <c r="H4196" s="563"/>
      <c r="I4196" s="563"/>
      <c r="J4196" s="581"/>
    </row>
    <row r="4197" spans="8:10" ht="15.75" customHeight="1">
      <c r="H4197" s="563"/>
      <c r="I4197" s="563"/>
      <c r="J4197" s="581"/>
    </row>
    <row r="4198" spans="8:10" ht="15.75" customHeight="1">
      <c r="H4198" s="563"/>
      <c r="I4198" s="563"/>
      <c r="J4198" s="581"/>
    </row>
    <row r="4199" spans="8:10" ht="15.75" customHeight="1">
      <c r="H4199" s="563"/>
      <c r="I4199" s="563"/>
      <c r="J4199" s="581"/>
    </row>
    <row r="4200" spans="8:10" ht="15.75" customHeight="1">
      <c r="H4200" s="563"/>
      <c r="I4200" s="563"/>
      <c r="J4200" s="581"/>
    </row>
    <row r="4201" spans="8:10" ht="15.75" customHeight="1">
      <c r="H4201" s="563"/>
      <c r="I4201" s="563"/>
      <c r="J4201" s="581"/>
    </row>
    <row r="4202" spans="8:10" ht="15.75" customHeight="1">
      <c r="H4202" s="563"/>
      <c r="I4202" s="563"/>
      <c r="J4202" s="581"/>
    </row>
    <row r="4203" spans="8:10" ht="15.75" customHeight="1">
      <c r="H4203" s="563"/>
      <c r="I4203" s="563"/>
      <c r="J4203" s="581"/>
    </row>
    <row r="4204" spans="8:10" ht="15.75" customHeight="1">
      <c r="H4204" s="563"/>
      <c r="I4204" s="563"/>
      <c r="J4204" s="581"/>
    </row>
    <row r="4205" spans="8:10" ht="15.75" customHeight="1">
      <c r="H4205" s="563"/>
      <c r="I4205" s="563"/>
      <c r="J4205" s="581"/>
    </row>
    <row r="4206" spans="8:10" ht="15.75" customHeight="1">
      <c r="H4206" s="563"/>
      <c r="I4206" s="563"/>
      <c r="J4206" s="581"/>
    </row>
    <row r="4207" spans="8:10" ht="15.75" customHeight="1">
      <c r="H4207" s="563"/>
      <c r="I4207" s="563"/>
      <c r="J4207" s="581"/>
    </row>
    <row r="4208" spans="8:10" ht="15.75" customHeight="1">
      <c r="H4208" s="563"/>
      <c r="I4208" s="563"/>
      <c r="J4208" s="581"/>
    </row>
    <row r="4209" spans="8:10" ht="15.75" customHeight="1">
      <c r="H4209" s="563"/>
      <c r="I4209" s="563"/>
      <c r="J4209" s="581"/>
    </row>
    <row r="4210" spans="8:10" ht="15.75" customHeight="1">
      <c r="H4210" s="563"/>
      <c r="I4210" s="563"/>
      <c r="J4210" s="581"/>
    </row>
    <row r="4211" spans="8:10" ht="15.75" customHeight="1">
      <c r="H4211" s="563"/>
      <c r="I4211" s="563"/>
      <c r="J4211" s="581"/>
    </row>
    <row r="4212" spans="8:10" ht="15.75" customHeight="1">
      <c r="H4212" s="563"/>
      <c r="I4212" s="563"/>
      <c r="J4212" s="581"/>
    </row>
    <row r="4213" spans="8:10" ht="15.75" customHeight="1">
      <c r="H4213" s="563"/>
      <c r="I4213" s="563"/>
      <c r="J4213" s="581"/>
    </row>
    <row r="4214" spans="8:10" ht="15.75" customHeight="1">
      <c r="H4214" s="563"/>
      <c r="I4214" s="563"/>
      <c r="J4214" s="581"/>
    </row>
    <row r="4215" spans="8:10" ht="15.75" customHeight="1">
      <c r="H4215" s="563"/>
      <c r="I4215" s="563"/>
      <c r="J4215" s="581"/>
    </row>
    <row r="4216" spans="8:10" ht="15.75" customHeight="1">
      <c r="H4216" s="563"/>
      <c r="I4216" s="563"/>
      <c r="J4216" s="581"/>
    </row>
    <row r="4217" spans="8:10" ht="15.75" customHeight="1">
      <c r="H4217" s="563"/>
      <c r="I4217" s="563"/>
      <c r="J4217" s="581"/>
    </row>
    <row r="4218" spans="8:10" ht="15.75" customHeight="1">
      <c r="H4218" s="563"/>
      <c r="I4218" s="563"/>
      <c r="J4218" s="581"/>
    </row>
    <row r="4219" spans="8:10" ht="15.75" customHeight="1">
      <c r="H4219" s="563"/>
      <c r="I4219" s="563"/>
      <c r="J4219" s="581"/>
    </row>
    <row r="4220" spans="8:10" ht="15.75" customHeight="1">
      <c r="H4220" s="563"/>
      <c r="I4220" s="563"/>
      <c r="J4220" s="581"/>
    </row>
    <row r="4221" spans="8:10" ht="15.75" customHeight="1">
      <c r="H4221" s="563"/>
      <c r="I4221" s="563"/>
      <c r="J4221" s="581"/>
    </row>
    <row r="4222" spans="8:10" ht="15.75" customHeight="1">
      <c r="H4222" s="563"/>
      <c r="I4222" s="563"/>
      <c r="J4222" s="581"/>
    </row>
    <row r="4223" spans="8:10" ht="15.75" customHeight="1">
      <c r="H4223" s="563"/>
      <c r="I4223" s="563"/>
      <c r="J4223" s="581"/>
    </row>
    <row r="4224" spans="8:10" ht="15.75" customHeight="1">
      <c r="H4224" s="563"/>
      <c r="I4224" s="563"/>
      <c r="J4224" s="581"/>
    </row>
    <row r="4225" spans="8:10" ht="15.75" customHeight="1">
      <c r="H4225" s="563"/>
      <c r="I4225" s="563"/>
      <c r="J4225" s="581"/>
    </row>
    <row r="4226" spans="8:10" ht="15.75" customHeight="1">
      <c r="H4226" s="563"/>
      <c r="I4226" s="563"/>
      <c r="J4226" s="581"/>
    </row>
    <row r="4227" spans="8:10" ht="15.75" customHeight="1">
      <c r="H4227" s="563"/>
      <c r="I4227" s="563"/>
      <c r="J4227" s="581"/>
    </row>
    <row r="4228" spans="8:10" ht="15.75" customHeight="1">
      <c r="H4228" s="563"/>
      <c r="I4228" s="563"/>
      <c r="J4228" s="581"/>
    </row>
    <row r="4229" spans="8:10" ht="15.75" customHeight="1">
      <c r="H4229" s="563"/>
      <c r="I4229" s="563"/>
      <c r="J4229" s="581"/>
    </row>
    <row r="4230" spans="8:10" ht="15.75" customHeight="1">
      <c r="H4230" s="563"/>
      <c r="I4230" s="563"/>
      <c r="J4230" s="581"/>
    </row>
    <row r="4231" spans="8:10" ht="15.75" customHeight="1">
      <c r="H4231" s="563"/>
      <c r="I4231" s="563"/>
      <c r="J4231" s="581"/>
    </row>
    <row r="4232" spans="8:10" ht="15.75" customHeight="1">
      <c r="H4232" s="563"/>
      <c r="I4232" s="563"/>
      <c r="J4232" s="581"/>
    </row>
    <row r="4233" spans="8:10" ht="15.75" customHeight="1">
      <c r="H4233" s="563"/>
      <c r="I4233" s="563"/>
      <c r="J4233" s="581"/>
    </row>
    <row r="4234" spans="8:10" ht="15.75" customHeight="1">
      <c r="H4234" s="563"/>
      <c r="I4234" s="563"/>
      <c r="J4234" s="581"/>
    </row>
    <row r="4235" spans="8:10" ht="15.75" customHeight="1">
      <c r="H4235" s="563"/>
      <c r="I4235" s="563"/>
      <c r="J4235" s="581"/>
    </row>
    <row r="4236" spans="8:10" ht="15.75" customHeight="1">
      <c r="H4236" s="563"/>
      <c r="I4236" s="563"/>
      <c r="J4236" s="581"/>
    </row>
    <row r="4237" spans="8:10" ht="15.75" customHeight="1">
      <c r="H4237" s="563"/>
      <c r="I4237" s="563"/>
      <c r="J4237" s="581"/>
    </row>
    <row r="4238" spans="8:10" ht="15.75" customHeight="1">
      <c r="H4238" s="563"/>
      <c r="I4238" s="563"/>
      <c r="J4238" s="581"/>
    </row>
    <row r="4239" spans="8:10" ht="15.75" customHeight="1">
      <c r="H4239" s="563"/>
      <c r="I4239" s="563"/>
      <c r="J4239" s="581"/>
    </row>
    <row r="4240" spans="8:10" ht="15.75" customHeight="1">
      <c r="H4240" s="563"/>
      <c r="I4240" s="563"/>
      <c r="J4240" s="581"/>
    </row>
    <row r="4241" spans="8:10" ht="15.75" customHeight="1">
      <c r="H4241" s="563"/>
      <c r="I4241" s="563"/>
      <c r="J4241" s="581"/>
    </row>
    <row r="4242" spans="8:10" ht="15.75" customHeight="1">
      <c r="H4242" s="563"/>
      <c r="I4242" s="563"/>
      <c r="J4242" s="581"/>
    </row>
    <row r="4243" spans="8:10" ht="15.75" customHeight="1">
      <c r="H4243" s="563"/>
      <c r="I4243" s="563"/>
      <c r="J4243" s="581"/>
    </row>
    <row r="4244" spans="8:10" ht="15.75" customHeight="1">
      <c r="H4244" s="563"/>
      <c r="I4244" s="563"/>
      <c r="J4244" s="581"/>
    </row>
    <row r="4245" spans="8:10" ht="15.75" customHeight="1">
      <c r="H4245" s="563"/>
      <c r="I4245" s="563"/>
      <c r="J4245" s="581"/>
    </row>
    <row r="4246" spans="8:10" ht="15.75" customHeight="1">
      <c r="H4246" s="563"/>
      <c r="I4246" s="563"/>
      <c r="J4246" s="581"/>
    </row>
    <row r="4247" spans="8:10" ht="15.75" customHeight="1">
      <c r="H4247" s="563"/>
      <c r="I4247" s="563"/>
      <c r="J4247" s="581"/>
    </row>
    <row r="4248" spans="8:10" ht="15.75" customHeight="1">
      <c r="H4248" s="563"/>
      <c r="I4248" s="563"/>
      <c r="J4248" s="581"/>
    </row>
    <row r="4249" spans="8:10" ht="15.75" customHeight="1">
      <c r="H4249" s="563"/>
      <c r="I4249" s="563"/>
      <c r="J4249" s="581"/>
    </row>
    <row r="4250" spans="8:10" ht="15.75" customHeight="1">
      <c r="H4250" s="563"/>
      <c r="I4250" s="563"/>
      <c r="J4250" s="581"/>
    </row>
    <row r="4251" spans="8:10" ht="15.75" customHeight="1">
      <c r="H4251" s="563"/>
      <c r="I4251" s="563"/>
      <c r="J4251" s="581"/>
    </row>
    <row r="4252" spans="8:10" ht="15.75" customHeight="1">
      <c r="H4252" s="563"/>
      <c r="I4252" s="563"/>
      <c r="J4252" s="581"/>
    </row>
    <row r="4253" spans="8:10" ht="15.75" customHeight="1">
      <c r="H4253" s="563"/>
      <c r="I4253" s="563"/>
      <c r="J4253" s="581"/>
    </row>
    <row r="4254" spans="8:10" ht="15.75" customHeight="1">
      <c r="H4254" s="563"/>
      <c r="I4254" s="563"/>
      <c r="J4254" s="581"/>
    </row>
    <row r="4255" spans="8:10" ht="15.75" customHeight="1">
      <c r="H4255" s="563"/>
      <c r="I4255" s="563"/>
      <c r="J4255" s="581"/>
    </row>
    <row r="4256" spans="8:10" ht="15.75" customHeight="1">
      <c r="H4256" s="563"/>
      <c r="I4256" s="563"/>
      <c r="J4256" s="581"/>
    </row>
    <row r="4257" spans="8:10" ht="15.75" customHeight="1">
      <c r="H4257" s="563"/>
      <c r="I4257" s="563"/>
      <c r="J4257" s="581"/>
    </row>
    <row r="4258" spans="8:10" ht="15.75" customHeight="1">
      <c r="H4258" s="563"/>
      <c r="I4258" s="563"/>
      <c r="J4258" s="581"/>
    </row>
    <row r="4259" spans="8:10" ht="15.75" customHeight="1">
      <c r="H4259" s="563"/>
      <c r="I4259" s="563"/>
      <c r="J4259" s="581"/>
    </row>
    <row r="4260" spans="8:10" ht="15.75" customHeight="1">
      <c r="H4260" s="563"/>
      <c r="I4260" s="563"/>
      <c r="J4260" s="581"/>
    </row>
    <row r="4261" spans="8:10" ht="15.75" customHeight="1">
      <c r="H4261" s="563"/>
      <c r="I4261" s="563"/>
      <c r="J4261" s="581"/>
    </row>
    <row r="4262" spans="8:10" ht="15.75" customHeight="1">
      <c r="H4262" s="563"/>
      <c r="I4262" s="563"/>
      <c r="J4262" s="581"/>
    </row>
    <row r="4263" spans="8:10" ht="15.75" customHeight="1">
      <c r="H4263" s="563"/>
      <c r="I4263" s="563"/>
      <c r="J4263" s="581"/>
    </row>
    <row r="4264" spans="8:10" ht="15.75" customHeight="1">
      <c r="H4264" s="563"/>
      <c r="I4264" s="563"/>
      <c r="J4264" s="581"/>
    </row>
    <row r="4265" spans="8:10" ht="15.75" customHeight="1">
      <c r="H4265" s="563"/>
      <c r="I4265" s="563"/>
      <c r="J4265" s="581"/>
    </row>
    <row r="4266" spans="8:10" ht="15.75" customHeight="1">
      <c r="H4266" s="563"/>
      <c r="I4266" s="563"/>
      <c r="J4266" s="581"/>
    </row>
    <row r="4267" spans="8:10" ht="15.75" customHeight="1">
      <c r="H4267" s="563"/>
      <c r="I4267" s="563"/>
      <c r="J4267" s="581"/>
    </row>
    <row r="4268" spans="8:10" ht="15.75" customHeight="1">
      <c r="H4268" s="563"/>
      <c r="I4268" s="563"/>
      <c r="J4268" s="581"/>
    </row>
    <row r="4269" spans="8:10" ht="15.75" customHeight="1">
      <c r="H4269" s="563"/>
      <c r="I4269" s="563"/>
      <c r="J4269" s="581"/>
    </row>
    <row r="4270" spans="8:10" ht="15.75" customHeight="1">
      <c r="H4270" s="563"/>
      <c r="I4270" s="563"/>
      <c r="J4270" s="581"/>
    </row>
    <row r="4271" spans="8:10" ht="15.75" customHeight="1">
      <c r="H4271" s="563"/>
      <c r="I4271" s="563"/>
      <c r="J4271" s="581"/>
    </row>
    <row r="4272" spans="8:10" ht="15.75" customHeight="1">
      <c r="H4272" s="563"/>
      <c r="I4272" s="563"/>
      <c r="J4272" s="581"/>
    </row>
    <row r="4273" spans="8:10" ht="15.75" customHeight="1">
      <c r="H4273" s="563"/>
      <c r="I4273" s="563"/>
      <c r="J4273" s="581"/>
    </row>
    <row r="4274" spans="8:10" ht="15.75" customHeight="1">
      <c r="H4274" s="563"/>
      <c r="I4274" s="563"/>
      <c r="J4274" s="581"/>
    </row>
    <row r="4275" spans="8:10" ht="15.75" customHeight="1">
      <c r="H4275" s="563"/>
      <c r="I4275" s="563"/>
      <c r="J4275" s="581"/>
    </row>
    <row r="4276" spans="8:10" ht="15.75" customHeight="1">
      <c r="H4276" s="563"/>
      <c r="I4276" s="563"/>
      <c r="J4276" s="581"/>
    </row>
    <row r="4277" spans="8:10" ht="15.75" customHeight="1">
      <c r="H4277" s="563"/>
      <c r="I4277" s="563"/>
      <c r="J4277" s="581"/>
    </row>
    <row r="4278" spans="8:10" ht="15.75" customHeight="1">
      <c r="H4278" s="563"/>
      <c r="I4278" s="563"/>
      <c r="J4278" s="581"/>
    </row>
    <row r="4279" spans="8:10" ht="15.75" customHeight="1">
      <c r="H4279" s="563"/>
      <c r="I4279" s="563"/>
      <c r="J4279" s="581"/>
    </row>
    <row r="4280" spans="8:10" ht="15.75" customHeight="1">
      <c r="H4280" s="563"/>
      <c r="I4280" s="563"/>
      <c r="J4280" s="581"/>
    </row>
    <row r="4281" spans="8:10" ht="15.75" customHeight="1">
      <c r="H4281" s="563"/>
      <c r="I4281" s="563"/>
      <c r="J4281" s="581"/>
    </row>
    <row r="4282" spans="8:10" ht="15.75" customHeight="1">
      <c r="H4282" s="563"/>
      <c r="I4282" s="563"/>
      <c r="J4282" s="581"/>
    </row>
    <row r="4283" spans="8:10" ht="15.75" customHeight="1">
      <c r="H4283" s="563"/>
      <c r="I4283" s="563"/>
      <c r="J4283" s="581"/>
    </row>
    <row r="4284" spans="8:10" ht="15.75" customHeight="1">
      <c r="H4284" s="563"/>
      <c r="I4284" s="563"/>
      <c r="J4284" s="581"/>
    </row>
    <row r="4285" spans="8:10" ht="15.75" customHeight="1">
      <c r="H4285" s="563"/>
      <c r="I4285" s="563"/>
      <c r="J4285" s="581"/>
    </row>
    <row r="4286" spans="8:10" ht="15.75" customHeight="1">
      <c r="H4286" s="563"/>
      <c r="I4286" s="563"/>
      <c r="J4286" s="581"/>
    </row>
    <row r="4287" spans="8:10" ht="15.75" customHeight="1">
      <c r="H4287" s="563"/>
      <c r="I4287" s="563"/>
      <c r="J4287" s="581"/>
    </row>
    <row r="4288" spans="8:10" ht="15.75" customHeight="1">
      <c r="H4288" s="563"/>
      <c r="I4288" s="563"/>
      <c r="J4288" s="581"/>
    </row>
    <row r="4289" spans="8:10" ht="15.75" customHeight="1">
      <c r="H4289" s="563"/>
      <c r="I4289" s="563"/>
      <c r="J4289" s="581"/>
    </row>
    <row r="4290" spans="8:10" ht="15.75" customHeight="1">
      <c r="H4290" s="563"/>
      <c r="I4290" s="563"/>
      <c r="J4290" s="581"/>
    </row>
    <row r="4291" spans="8:10" ht="15.75" customHeight="1">
      <c r="H4291" s="563"/>
      <c r="I4291" s="563"/>
      <c r="J4291" s="581"/>
    </row>
    <row r="4292" spans="8:10" ht="15.75" customHeight="1">
      <c r="H4292" s="563"/>
      <c r="I4292" s="563"/>
      <c r="J4292" s="581"/>
    </row>
    <row r="4293" spans="8:10" ht="15.75" customHeight="1">
      <c r="H4293" s="563"/>
      <c r="I4293" s="563"/>
      <c r="J4293" s="581"/>
    </row>
    <row r="4294" spans="8:10" ht="15.75" customHeight="1">
      <c r="H4294" s="563"/>
      <c r="I4294" s="563"/>
      <c r="J4294" s="581"/>
    </row>
    <row r="4295" spans="8:10" ht="15.75" customHeight="1">
      <c r="H4295" s="563"/>
      <c r="I4295" s="563"/>
      <c r="J4295" s="581"/>
    </row>
    <row r="4296" spans="8:10" ht="15.75" customHeight="1">
      <c r="H4296" s="563"/>
      <c r="I4296" s="563"/>
      <c r="J4296" s="581"/>
    </row>
    <row r="4297" spans="8:10" ht="15.75" customHeight="1">
      <c r="H4297" s="563"/>
      <c r="I4297" s="563"/>
      <c r="J4297" s="581"/>
    </row>
    <row r="4298" spans="8:10" ht="15.75" customHeight="1">
      <c r="H4298" s="563"/>
      <c r="I4298" s="563"/>
      <c r="J4298" s="581"/>
    </row>
    <row r="4299" spans="8:10" ht="15.75" customHeight="1">
      <c r="H4299" s="563"/>
      <c r="I4299" s="563"/>
      <c r="J4299" s="581"/>
    </row>
    <row r="4300" spans="8:10" ht="15.75" customHeight="1">
      <c r="H4300" s="563"/>
      <c r="I4300" s="563"/>
      <c r="J4300" s="581"/>
    </row>
    <row r="4301" spans="8:10" ht="15.75" customHeight="1">
      <c r="H4301" s="563"/>
      <c r="I4301" s="563"/>
      <c r="J4301" s="581"/>
    </row>
    <row r="4302" spans="8:10" ht="15.75" customHeight="1">
      <c r="H4302" s="563"/>
      <c r="I4302" s="563"/>
      <c r="J4302" s="581"/>
    </row>
    <row r="4303" spans="8:10" ht="15.75" customHeight="1">
      <c r="H4303" s="563"/>
      <c r="I4303" s="563"/>
      <c r="J4303" s="581"/>
    </row>
    <row r="4304" spans="8:10" ht="15.75" customHeight="1">
      <c r="H4304" s="563"/>
      <c r="I4304" s="563"/>
      <c r="J4304" s="581"/>
    </row>
    <row r="4305" spans="8:10" ht="15.75" customHeight="1">
      <c r="H4305" s="563"/>
      <c r="I4305" s="563"/>
      <c r="J4305" s="581"/>
    </row>
    <row r="4306" spans="8:10" ht="15.75" customHeight="1">
      <c r="H4306" s="563"/>
      <c r="I4306" s="563"/>
      <c r="J4306" s="581"/>
    </row>
    <row r="4307" spans="8:10" ht="15.75" customHeight="1">
      <c r="H4307" s="563"/>
      <c r="I4307" s="563"/>
      <c r="J4307" s="581"/>
    </row>
    <row r="4308" spans="8:10" ht="15.75" customHeight="1">
      <c r="H4308" s="563"/>
      <c r="I4308" s="563"/>
      <c r="J4308" s="581"/>
    </row>
    <row r="4309" spans="8:10" ht="15.75" customHeight="1">
      <c r="H4309" s="563"/>
      <c r="I4309" s="563"/>
      <c r="J4309" s="581"/>
    </row>
    <row r="4310" spans="8:10" ht="15.75" customHeight="1">
      <c r="H4310" s="563"/>
      <c r="I4310" s="563"/>
      <c r="J4310" s="581"/>
    </row>
    <row r="4311" spans="8:10" ht="15.75" customHeight="1">
      <c r="H4311" s="563"/>
      <c r="I4311" s="563"/>
      <c r="J4311" s="581"/>
    </row>
    <row r="4312" spans="8:10" ht="15.75" customHeight="1">
      <c r="H4312" s="563"/>
      <c r="I4312" s="563"/>
      <c r="J4312" s="581"/>
    </row>
    <row r="4313" spans="8:10" ht="15.75" customHeight="1">
      <c r="H4313" s="563"/>
      <c r="I4313" s="563"/>
      <c r="J4313" s="581"/>
    </row>
    <row r="4314" spans="8:10" ht="15.75" customHeight="1">
      <c r="H4314" s="563"/>
      <c r="I4314" s="563"/>
      <c r="J4314" s="581"/>
    </row>
    <row r="4315" spans="8:10" ht="15.75" customHeight="1">
      <c r="H4315" s="563"/>
      <c r="I4315" s="563"/>
      <c r="J4315" s="581"/>
    </row>
    <row r="4316" spans="8:10" ht="15.75" customHeight="1">
      <c r="H4316" s="563"/>
      <c r="I4316" s="563"/>
      <c r="J4316" s="581"/>
    </row>
    <row r="4317" spans="8:10" ht="15.75" customHeight="1">
      <c r="H4317" s="563"/>
      <c r="I4317" s="563"/>
      <c r="J4317" s="581"/>
    </row>
    <row r="4318" spans="8:10" ht="15.75" customHeight="1">
      <c r="H4318" s="563"/>
      <c r="I4318" s="563"/>
      <c r="J4318" s="581"/>
    </row>
    <row r="4319" spans="8:10" ht="15.75" customHeight="1">
      <c r="H4319" s="563"/>
      <c r="I4319" s="563"/>
      <c r="J4319" s="581"/>
    </row>
    <row r="4320" spans="8:10" ht="15.75" customHeight="1">
      <c r="H4320" s="563"/>
      <c r="I4320" s="563"/>
      <c r="J4320" s="581"/>
    </row>
    <row r="4321" spans="8:10" ht="15.75" customHeight="1">
      <c r="H4321" s="563"/>
      <c r="I4321" s="563"/>
      <c r="J4321" s="581"/>
    </row>
    <row r="4322" spans="8:10" ht="15.75" customHeight="1">
      <c r="H4322" s="563"/>
      <c r="I4322" s="563"/>
      <c r="J4322" s="581"/>
    </row>
    <row r="4323" spans="8:10" ht="15.75" customHeight="1">
      <c r="H4323" s="563"/>
      <c r="I4323" s="563"/>
      <c r="J4323" s="581"/>
    </row>
    <row r="4324" spans="8:10" ht="15.75" customHeight="1">
      <c r="H4324" s="563"/>
      <c r="I4324" s="563"/>
      <c r="J4324" s="581"/>
    </row>
    <row r="4325" spans="8:10" ht="15.75" customHeight="1">
      <c r="H4325" s="563"/>
      <c r="I4325" s="563"/>
      <c r="J4325" s="581"/>
    </row>
    <row r="4326" spans="8:10" ht="15.75" customHeight="1">
      <c r="H4326" s="563"/>
      <c r="I4326" s="563"/>
      <c r="J4326" s="581"/>
    </row>
    <row r="4327" spans="8:10" ht="15.75" customHeight="1">
      <c r="H4327" s="563"/>
      <c r="I4327" s="563"/>
      <c r="J4327" s="581"/>
    </row>
    <row r="4328" spans="8:10" ht="15.75" customHeight="1">
      <c r="H4328" s="563"/>
      <c r="I4328" s="563"/>
      <c r="J4328" s="581"/>
    </row>
    <row r="4329" spans="8:10" ht="15.75" customHeight="1">
      <c r="H4329" s="563"/>
      <c r="I4329" s="563"/>
      <c r="J4329" s="581"/>
    </row>
    <row r="4330" spans="8:10" ht="15.75" customHeight="1">
      <c r="H4330" s="563"/>
      <c r="I4330" s="563"/>
      <c r="J4330" s="581"/>
    </row>
    <row r="4331" spans="8:10" ht="15.75" customHeight="1">
      <c r="H4331" s="563"/>
      <c r="I4331" s="563"/>
      <c r="J4331" s="581"/>
    </row>
    <row r="4332" spans="8:10" ht="15.75" customHeight="1">
      <c r="H4332" s="563"/>
      <c r="I4332" s="563"/>
      <c r="J4332" s="581"/>
    </row>
    <row r="4333" spans="8:10" ht="15.75" customHeight="1">
      <c r="H4333" s="563"/>
      <c r="I4333" s="563"/>
      <c r="J4333" s="581"/>
    </row>
    <row r="4334" spans="8:10" ht="15.75" customHeight="1">
      <c r="H4334" s="563"/>
      <c r="I4334" s="563"/>
      <c r="J4334" s="581"/>
    </row>
    <row r="4335" spans="8:10" ht="15.75" customHeight="1">
      <c r="H4335" s="563"/>
      <c r="I4335" s="563"/>
      <c r="J4335" s="581"/>
    </row>
    <row r="4336" spans="8:10" ht="15.75" customHeight="1">
      <c r="H4336" s="563"/>
      <c r="I4336" s="563"/>
      <c r="J4336" s="581"/>
    </row>
    <row r="4337" spans="8:10" ht="15.75" customHeight="1">
      <c r="H4337" s="563"/>
      <c r="I4337" s="563"/>
      <c r="J4337" s="581"/>
    </row>
    <row r="4338" spans="8:10" ht="15.75" customHeight="1">
      <c r="H4338" s="563"/>
      <c r="I4338" s="563"/>
      <c r="J4338" s="581"/>
    </row>
    <row r="4339" spans="8:10" ht="15.75" customHeight="1">
      <c r="H4339" s="563"/>
      <c r="I4339" s="563"/>
      <c r="J4339" s="581"/>
    </row>
    <row r="4340" spans="8:10" ht="15.75" customHeight="1">
      <c r="H4340" s="563"/>
      <c r="I4340" s="563"/>
      <c r="J4340" s="581"/>
    </row>
    <row r="4341" spans="8:10" ht="15.75" customHeight="1">
      <c r="H4341" s="563"/>
      <c r="I4341" s="563"/>
      <c r="J4341" s="581"/>
    </row>
    <row r="4342" spans="8:10" ht="15.75" customHeight="1">
      <c r="H4342" s="563"/>
      <c r="I4342" s="563"/>
      <c r="J4342" s="581"/>
    </row>
    <row r="4343" spans="8:10" ht="15.75" customHeight="1">
      <c r="H4343" s="563"/>
      <c r="I4343" s="563"/>
      <c r="J4343" s="581"/>
    </row>
    <row r="4344" spans="8:10" ht="15.75" customHeight="1">
      <c r="H4344" s="563"/>
      <c r="I4344" s="563"/>
      <c r="J4344" s="581"/>
    </row>
    <row r="4345" spans="8:10" ht="15.75" customHeight="1">
      <c r="H4345" s="563"/>
      <c r="I4345" s="563"/>
      <c r="J4345" s="581"/>
    </row>
    <row r="4346" spans="8:10" ht="15.75" customHeight="1">
      <c r="H4346" s="563"/>
      <c r="I4346" s="563"/>
      <c r="J4346" s="581"/>
    </row>
    <row r="4347" spans="8:10" ht="15.75" customHeight="1">
      <c r="H4347" s="563"/>
      <c r="I4347" s="563"/>
      <c r="J4347" s="581"/>
    </row>
    <row r="4348" spans="8:10" ht="15.75" customHeight="1">
      <c r="H4348" s="563"/>
      <c r="I4348" s="563"/>
      <c r="J4348" s="581"/>
    </row>
    <row r="4349" spans="8:10" ht="15.75" customHeight="1">
      <c r="H4349" s="563"/>
      <c r="I4349" s="563"/>
      <c r="J4349" s="581"/>
    </row>
    <row r="4350" spans="8:10" ht="15.75" customHeight="1">
      <c r="H4350" s="563"/>
      <c r="I4350" s="563"/>
      <c r="J4350" s="581"/>
    </row>
    <row r="4351" spans="8:10" ht="15.75" customHeight="1">
      <c r="H4351" s="563"/>
      <c r="I4351" s="563"/>
      <c r="J4351" s="581"/>
    </row>
    <row r="4352" spans="8:10" ht="15.75" customHeight="1">
      <c r="H4352" s="563"/>
      <c r="I4352" s="563"/>
      <c r="J4352" s="581"/>
    </row>
    <row r="4353" spans="8:10" ht="15.75" customHeight="1">
      <c r="H4353" s="563"/>
      <c r="I4353" s="563"/>
      <c r="J4353" s="581"/>
    </row>
    <row r="4354" spans="8:10" ht="15.75" customHeight="1">
      <c r="H4354" s="563"/>
      <c r="I4354" s="563"/>
      <c r="J4354" s="581"/>
    </row>
    <row r="4355" spans="8:10" ht="15.75" customHeight="1">
      <c r="H4355" s="563"/>
      <c r="I4355" s="563"/>
      <c r="J4355" s="581"/>
    </row>
    <row r="4356" spans="8:10" ht="15.75" customHeight="1">
      <c r="H4356" s="563"/>
      <c r="I4356" s="563"/>
      <c r="J4356" s="581"/>
    </row>
    <row r="4357" spans="8:10" ht="15.75" customHeight="1">
      <c r="H4357" s="563"/>
      <c r="I4357" s="563"/>
      <c r="J4357" s="581"/>
    </row>
    <row r="4358" spans="8:10" ht="15.75" customHeight="1">
      <c r="H4358" s="563"/>
      <c r="I4358" s="563"/>
      <c r="J4358" s="581"/>
    </row>
    <row r="4359" spans="8:10" ht="15.75" customHeight="1">
      <c r="H4359" s="563"/>
      <c r="I4359" s="563"/>
      <c r="J4359" s="581"/>
    </row>
    <row r="4360" spans="8:10" ht="15.75" customHeight="1">
      <c r="H4360" s="563"/>
      <c r="I4360" s="563"/>
      <c r="J4360" s="581"/>
    </row>
    <row r="4361" spans="8:10" ht="15.75" customHeight="1">
      <c r="H4361" s="563"/>
      <c r="I4361" s="563"/>
      <c r="J4361" s="581"/>
    </row>
    <row r="4362" spans="8:10" ht="15.75" customHeight="1">
      <c r="H4362" s="563"/>
      <c r="I4362" s="563"/>
      <c r="J4362" s="581"/>
    </row>
    <row r="4363" spans="8:10" ht="15.75" customHeight="1">
      <c r="H4363" s="563"/>
      <c r="I4363" s="563"/>
      <c r="J4363" s="581"/>
    </row>
    <row r="4364" spans="8:10" ht="15.75" customHeight="1">
      <c r="H4364" s="563"/>
      <c r="I4364" s="563"/>
      <c r="J4364" s="581"/>
    </row>
    <row r="4365" spans="8:10" ht="15.75" customHeight="1">
      <c r="H4365" s="563"/>
      <c r="I4365" s="563"/>
      <c r="J4365" s="581"/>
    </row>
    <row r="4366" spans="8:10" ht="15.75" customHeight="1">
      <c r="H4366" s="563"/>
      <c r="I4366" s="563"/>
      <c r="J4366" s="581"/>
    </row>
    <row r="4367" spans="8:10" ht="15.75" customHeight="1">
      <c r="H4367" s="563"/>
      <c r="I4367" s="563"/>
      <c r="J4367" s="581"/>
    </row>
    <row r="4368" spans="8:10" ht="15.75" customHeight="1">
      <c r="H4368" s="563"/>
      <c r="I4368" s="563"/>
      <c r="J4368" s="581"/>
    </row>
    <row r="4369" spans="8:10" ht="15.75" customHeight="1">
      <c r="H4369" s="563"/>
      <c r="I4369" s="563"/>
      <c r="J4369" s="581"/>
    </row>
    <row r="4370" spans="8:10" ht="15.75" customHeight="1">
      <c r="H4370" s="563"/>
      <c r="I4370" s="563"/>
      <c r="J4370" s="581"/>
    </row>
    <row r="4371" spans="8:10" ht="15.75" customHeight="1">
      <c r="H4371" s="563"/>
      <c r="I4371" s="563"/>
      <c r="J4371" s="581"/>
    </row>
    <row r="4372" spans="8:10" ht="15.75" customHeight="1">
      <c r="H4372" s="563"/>
      <c r="I4372" s="563"/>
      <c r="J4372" s="581"/>
    </row>
    <row r="4373" spans="8:10" ht="15.75" customHeight="1">
      <c r="H4373" s="563"/>
      <c r="I4373" s="563"/>
      <c r="J4373" s="581"/>
    </row>
    <row r="4374" spans="8:10" ht="15.75" customHeight="1">
      <c r="H4374" s="563"/>
      <c r="I4374" s="563"/>
      <c r="J4374" s="581"/>
    </row>
    <row r="4375" spans="8:10" ht="15.75" customHeight="1">
      <c r="H4375" s="563"/>
      <c r="I4375" s="563"/>
      <c r="J4375" s="581"/>
    </row>
    <row r="4376" spans="8:10" ht="15.75" customHeight="1">
      <c r="H4376" s="563"/>
      <c r="I4376" s="563"/>
      <c r="J4376" s="581"/>
    </row>
    <row r="4377" spans="8:10" ht="15.75" customHeight="1">
      <c r="H4377" s="563"/>
      <c r="I4377" s="563"/>
      <c r="J4377" s="581"/>
    </row>
    <row r="4378" spans="8:10" ht="15.75" customHeight="1">
      <c r="H4378" s="563"/>
      <c r="I4378" s="563"/>
      <c r="J4378" s="581"/>
    </row>
    <row r="4379" spans="8:10" ht="15.75" customHeight="1">
      <c r="H4379" s="563"/>
      <c r="I4379" s="563"/>
      <c r="J4379" s="581"/>
    </row>
    <row r="4380" spans="8:10" ht="15.75" customHeight="1">
      <c r="H4380" s="563"/>
      <c r="I4380" s="563"/>
      <c r="J4380" s="581"/>
    </row>
    <row r="4381" spans="8:10" ht="15.75" customHeight="1">
      <c r="H4381" s="563"/>
      <c r="I4381" s="563"/>
      <c r="J4381" s="581"/>
    </row>
    <row r="4382" spans="8:10" ht="15.75" customHeight="1">
      <c r="H4382" s="563"/>
      <c r="I4382" s="563"/>
      <c r="J4382" s="581"/>
    </row>
    <row r="4383" spans="8:10" ht="15.75" customHeight="1">
      <c r="H4383" s="563"/>
      <c r="I4383" s="563"/>
      <c r="J4383" s="581"/>
    </row>
    <row r="4384" spans="8:10" ht="15.75" customHeight="1">
      <c r="H4384" s="563"/>
      <c r="I4384" s="563"/>
      <c r="J4384" s="581"/>
    </row>
    <row r="4385" spans="8:10" ht="15.75" customHeight="1">
      <c r="H4385" s="563"/>
      <c r="I4385" s="563"/>
      <c r="J4385" s="581"/>
    </row>
    <row r="4386" spans="8:10" ht="15.75" customHeight="1">
      <c r="H4386" s="563"/>
      <c r="I4386" s="563"/>
      <c r="J4386" s="581"/>
    </row>
    <row r="4387" spans="8:10" ht="15.75" customHeight="1">
      <c r="H4387" s="563"/>
      <c r="I4387" s="563"/>
      <c r="J4387" s="581"/>
    </row>
    <row r="4388" spans="8:10" ht="15.75" customHeight="1">
      <c r="H4388" s="563"/>
      <c r="I4388" s="563"/>
      <c r="J4388" s="581"/>
    </row>
    <row r="4389" spans="8:10" ht="15.75" customHeight="1">
      <c r="H4389" s="563"/>
      <c r="I4389" s="563"/>
      <c r="J4389" s="581"/>
    </row>
    <row r="4390" spans="8:10" ht="15.75" customHeight="1">
      <c r="H4390" s="563"/>
      <c r="I4390" s="563"/>
      <c r="J4390" s="581"/>
    </row>
    <row r="4391" spans="8:10" ht="15.75" customHeight="1">
      <c r="H4391" s="563"/>
      <c r="I4391" s="563"/>
      <c r="J4391" s="581"/>
    </row>
    <row r="4392" spans="8:10" ht="15.75" customHeight="1">
      <c r="H4392" s="563"/>
      <c r="I4392" s="563"/>
      <c r="J4392" s="581"/>
    </row>
    <row r="4393" spans="8:10" ht="15.75" customHeight="1">
      <c r="H4393" s="563"/>
      <c r="I4393" s="563"/>
      <c r="J4393" s="581"/>
    </row>
    <row r="4394" spans="8:10" ht="15.75" customHeight="1">
      <c r="H4394" s="563"/>
      <c r="I4394" s="563"/>
      <c r="J4394" s="581"/>
    </row>
    <row r="4395" spans="8:10" ht="15.75" customHeight="1">
      <c r="H4395" s="563"/>
      <c r="I4395" s="563"/>
      <c r="J4395" s="581"/>
    </row>
    <row r="4396" spans="8:10" ht="15.75" customHeight="1">
      <c r="H4396" s="563"/>
      <c r="I4396" s="563"/>
      <c r="J4396" s="581"/>
    </row>
    <row r="4397" spans="8:10" ht="15.75" customHeight="1">
      <c r="H4397" s="563"/>
      <c r="I4397" s="563"/>
      <c r="J4397" s="581"/>
    </row>
    <row r="4398" spans="8:10" ht="15.75" customHeight="1">
      <c r="H4398" s="563"/>
      <c r="I4398" s="563"/>
      <c r="J4398" s="581"/>
    </row>
    <row r="4399" spans="8:10" ht="15.75" customHeight="1">
      <c r="H4399" s="563"/>
      <c r="I4399" s="563"/>
      <c r="J4399" s="581"/>
    </row>
    <row r="4400" spans="8:10" ht="15.75" customHeight="1">
      <c r="H4400" s="563"/>
      <c r="I4400" s="563"/>
      <c r="J4400" s="581"/>
    </row>
    <row r="4401" spans="8:10" ht="15.75" customHeight="1">
      <c r="H4401" s="563"/>
      <c r="I4401" s="563"/>
      <c r="J4401" s="581"/>
    </row>
    <row r="4402" spans="8:10" ht="15.75" customHeight="1">
      <c r="H4402" s="563"/>
      <c r="I4402" s="563"/>
      <c r="J4402" s="581"/>
    </row>
    <row r="4403" spans="8:10" ht="15.75" customHeight="1">
      <c r="H4403" s="563"/>
      <c r="I4403" s="563"/>
      <c r="J4403" s="581"/>
    </row>
    <row r="4404" spans="8:10" ht="15.75" customHeight="1">
      <c r="H4404" s="563"/>
      <c r="I4404" s="563"/>
      <c r="J4404" s="581"/>
    </row>
    <row r="4405" spans="8:10" ht="15.75" customHeight="1">
      <c r="H4405" s="563"/>
      <c r="I4405" s="563"/>
      <c r="J4405" s="581"/>
    </row>
    <row r="4406" spans="8:10" ht="15.75" customHeight="1">
      <c r="H4406" s="563"/>
      <c r="I4406" s="563"/>
      <c r="J4406" s="581"/>
    </row>
    <row r="4407" spans="8:10" ht="15.75" customHeight="1">
      <c r="H4407" s="563"/>
      <c r="I4407" s="563"/>
      <c r="J4407" s="581"/>
    </row>
    <row r="4408" spans="8:10" ht="15.75" customHeight="1">
      <c r="H4408" s="563"/>
      <c r="I4408" s="563"/>
      <c r="J4408" s="581"/>
    </row>
    <row r="4409" spans="8:10" ht="15.75" customHeight="1">
      <c r="H4409" s="563"/>
      <c r="I4409" s="563"/>
      <c r="J4409" s="581"/>
    </row>
    <row r="4410" spans="8:10" ht="15.75" customHeight="1">
      <c r="H4410" s="563"/>
      <c r="I4410" s="563"/>
      <c r="J4410" s="581"/>
    </row>
    <row r="4411" spans="8:10" ht="15.75" customHeight="1">
      <c r="H4411" s="563"/>
      <c r="I4411" s="563"/>
      <c r="J4411" s="581"/>
    </row>
    <row r="4412" spans="8:10" ht="15.75" customHeight="1">
      <c r="H4412" s="563"/>
      <c r="I4412" s="563"/>
      <c r="J4412" s="581"/>
    </row>
    <row r="4413" spans="8:10" ht="15.75" customHeight="1">
      <c r="H4413" s="563"/>
      <c r="I4413" s="563"/>
      <c r="J4413" s="581"/>
    </row>
    <row r="4414" spans="8:10" ht="15.75" customHeight="1">
      <c r="H4414" s="563"/>
      <c r="I4414" s="563"/>
      <c r="J4414" s="581"/>
    </row>
    <row r="4415" spans="8:10" ht="15.75" customHeight="1">
      <c r="H4415" s="563"/>
      <c r="I4415" s="563"/>
      <c r="J4415" s="581"/>
    </row>
    <row r="4416" spans="8:10" ht="15.75" customHeight="1">
      <c r="H4416" s="563"/>
      <c r="I4416" s="563"/>
      <c r="J4416" s="581"/>
    </row>
    <row r="4417" spans="8:10" ht="15.75" customHeight="1">
      <c r="H4417" s="563"/>
      <c r="I4417" s="563"/>
      <c r="J4417" s="581"/>
    </row>
    <row r="4418" spans="8:10" ht="15.75" customHeight="1">
      <c r="H4418" s="563"/>
      <c r="I4418" s="563"/>
      <c r="J4418" s="581"/>
    </row>
    <row r="4419" spans="8:10" ht="15.75" customHeight="1">
      <c r="H4419" s="563"/>
      <c r="I4419" s="563"/>
      <c r="J4419" s="581"/>
    </row>
    <row r="4420" spans="8:10" ht="15.75" customHeight="1">
      <c r="H4420" s="563"/>
      <c r="I4420" s="563"/>
      <c r="J4420" s="581"/>
    </row>
    <row r="4421" spans="8:10" ht="15.75" customHeight="1">
      <c r="H4421" s="563"/>
      <c r="I4421" s="563"/>
      <c r="J4421" s="581"/>
    </row>
    <row r="4422" spans="8:10" ht="15.75" customHeight="1">
      <c r="H4422" s="563"/>
      <c r="I4422" s="563"/>
      <c r="J4422" s="581"/>
    </row>
    <row r="4423" spans="8:10" ht="15.75" customHeight="1">
      <c r="H4423" s="563"/>
      <c r="I4423" s="563"/>
      <c r="J4423" s="581"/>
    </row>
    <row r="4424" spans="8:10" ht="15.75" customHeight="1">
      <c r="H4424" s="563"/>
      <c r="I4424" s="563"/>
      <c r="J4424" s="581"/>
    </row>
    <row r="4425" spans="8:10" ht="15.75" customHeight="1">
      <c r="H4425" s="563"/>
      <c r="I4425" s="563"/>
      <c r="J4425" s="581"/>
    </row>
    <row r="4426" spans="8:10" ht="15.75" customHeight="1">
      <c r="H4426" s="563"/>
      <c r="I4426" s="563"/>
      <c r="J4426" s="581"/>
    </row>
    <row r="4427" spans="8:10" ht="15.75" customHeight="1">
      <c r="H4427" s="563"/>
      <c r="I4427" s="563"/>
      <c r="J4427" s="581"/>
    </row>
    <row r="4428" spans="8:10" ht="15.75" customHeight="1">
      <c r="H4428" s="563"/>
      <c r="I4428" s="563"/>
      <c r="J4428" s="581"/>
    </row>
    <row r="4429" spans="8:10" ht="15.75" customHeight="1">
      <c r="H4429" s="563"/>
      <c r="I4429" s="563"/>
      <c r="J4429" s="581"/>
    </row>
    <row r="4430" spans="8:10" ht="15.75" customHeight="1">
      <c r="H4430" s="563"/>
      <c r="I4430" s="563"/>
      <c r="J4430" s="581"/>
    </row>
    <row r="4431" spans="8:10" ht="15.75" customHeight="1">
      <c r="H4431" s="563"/>
      <c r="I4431" s="563"/>
      <c r="J4431" s="581"/>
    </row>
    <row r="4432" spans="8:10" ht="15.75" customHeight="1">
      <c r="H4432" s="563"/>
      <c r="I4432" s="563"/>
      <c r="J4432" s="581"/>
    </row>
    <row r="4433" spans="8:10" ht="15.75" customHeight="1">
      <c r="H4433" s="563"/>
      <c r="I4433" s="563"/>
      <c r="J4433" s="581"/>
    </row>
    <row r="4434" spans="8:10" ht="15.75" customHeight="1">
      <c r="H4434" s="563"/>
      <c r="I4434" s="563"/>
      <c r="J4434" s="581"/>
    </row>
    <row r="4435" spans="8:10" ht="15.75" customHeight="1">
      <c r="H4435" s="563"/>
      <c r="I4435" s="563"/>
      <c r="J4435" s="581"/>
    </row>
    <row r="4436" spans="8:10" ht="15.75" customHeight="1">
      <c r="H4436" s="563"/>
      <c r="I4436" s="563"/>
      <c r="J4436" s="581"/>
    </row>
    <row r="4437" spans="8:10" ht="15.75" customHeight="1">
      <c r="H4437" s="563"/>
      <c r="I4437" s="563"/>
      <c r="J4437" s="581"/>
    </row>
    <row r="4438" spans="8:10" ht="15.75" customHeight="1">
      <c r="H4438" s="563"/>
      <c r="I4438" s="563"/>
      <c r="J4438" s="581"/>
    </row>
    <row r="4439" spans="8:10" ht="15.75" customHeight="1">
      <c r="H4439" s="563"/>
      <c r="I4439" s="563"/>
      <c r="J4439" s="581"/>
    </row>
    <row r="4440" spans="8:10" ht="15.75" customHeight="1">
      <c r="H4440" s="563"/>
      <c r="I4440" s="563"/>
      <c r="J4440" s="581"/>
    </row>
    <row r="4441" spans="8:10" ht="15.75" customHeight="1">
      <c r="H4441" s="563"/>
      <c r="I4441" s="563"/>
      <c r="J4441" s="581"/>
    </row>
    <row r="4442" spans="8:10" ht="15.75" customHeight="1">
      <c r="H4442" s="563"/>
      <c r="I4442" s="563"/>
      <c r="J4442" s="581"/>
    </row>
    <row r="4443" spans="8:10" ht="15.75" customHeight="1">
      <c r="H4443" s="563"/>
      <c r="I4443" s="563"/>
      <c r="J4443" s="581"/>
    </row>
    <row r="4444" spans="8:10" ht="15.75" customHeight="1">
      <c r="H4444" s="563"/>
      <c r="I4444" s="563"/>
      <c r="J4444" s="581"/>
    </row>
    <row r="4445" spans="8:10" ht="15.75" customHeight="1">
      <c r="H4445" s="563"/>
      <c r="I4445" s="563"/>
      <c r="J4445" s="581"/>
    </row>
    <row r="4446" spans="8:10" ht="15.75" customHeight="1">
      <c r="H4446" s="563"/>
      <c r="I4446" s="563"/>
      <c r="J4446" s="581"/>
    </row>
    <row r="4447" spans="8:10" ht="15.75" customHeight="1">
      <c r="H4447" s="563"/>
      <c r="I4447" s="563"/>
      <c r="J4447" s="581"/>
    </row>
    <row r="4448" spans="8:10" ht="15.75" customHeight="1">
      <c r="H4448" s="563"/>
      <c r="I4448" s="563"/>
      <c r="J4448" s="581"/>
    </row>
    <row r="4449" spans="8:10" ht="15.75" customHeight="1">
      <c r="H4449" s="563"/>
      <c r="I4449" s="563"/>
      <c r="J4449" s="581"/>
    </row>
    <row r="4450" spans="8:10" ht="15.75" customHeight="1">
      <c r="H4450" s="563"/>
      <c r="I4450" s="563"/>
      <c r="J4450" s="581"/>
    </row>
    <row r="4451" spans="8:10" ht="15.75" customHeight="1">
      <c r="H4451" s="563"/>
      <c r="I4451" s="563"/>
      <c r="J4451" s="581"/>
    </row>
    <row r="4452" spans="8:10" ht="15.75" customHeight="1">
      <c r="H4452" s="563"/>
      <c r="I4452" s="563"/>
      <c r="J4452" s="581"/>
    </row>
    <row r="4453" spans="8:10" ht="15.75" customHeight="1">
      <c r="H4453" s="563"/>
      <c r="I4453" s="563"/>
      <c r="J4453" s="581"/>
    </row>
    <row r="4454" spans="8:10" ht="15.75" customHeight="1">
      <c r="H4454" s="563"/>
      <c r="I4454" s="563"/>
      <c r="J4454" s="581"/>
    </row>
    <row r="4455" spans="8:10" ht="15.75" customHeight="1">
      <c r="H4455" s="563"/>
      <c r="I4455" s="563"/>
      <c r="J4455" s="581"/>
    </row>
    <row r="4456" spans="8:10" ht="15.75" customHeight="1">
      <c r="H4456" s="563"/>
      <c r="I4456" s="563"/>
      <c r="J4456" s="581"/>
    </row>
    <row r="4457" spans="8:10" ht="15.75" customHeight="1">
      <c r="H4457" s="563"/>
      <c r="I4457" s="563"/>
      <c r="J4457" s="581"/>
    </row>
    <row r="4458" spans="8:10" ht="15.75" customHeight="1">
      <c r="H4458" s="563"/>
      <c r="I4458" s="563"/>
      <c r="J4458" s="581"/>
    </row>
    <row r="4459" spans="8:10" ht="15.75" customHeight="1">
      <c r="H4459" s="563"/>
      <c r="I4459" s="563"/>
      <c r="J4459" s="581"/>
    </row>
    <row r="4460" spans="8:10" ht="15.75" customHeight="1">
      <c r="H4460" s="563"/>
      <c r="I4460" s="563"/>
      <c r="J4460" s="581"/>
    </row>
    <row r="4461" spans="8:10" ht="15.75" customHeight="1">
      <c r="H4461" s="563"/>
      <c r="I4461" s="563"/>
      <c r="J4461" s="581"/>
    </row>
    <row r="4462" spans="8:10" ht="15.75" customHeight="1">
      <c r="H4462" s="563"/>
      <c r="I4462" s="563"/>
      <c r="J4462" s="581"/>
    </row>
    <row r="4463" spans="8:10" ht="15.75" customHeight="1">
      <c r="H4463" s="563"/>
      <c r="I4463" s="563"/>
      <c r="J4463" s="581"/>
    </row>
    <row r="4464" spans="8:10" ht="15.75" customHeight="1">
      <c r="H4464" s="563"/>
      <c r="I4464" s="563"/>
      <c r="J4464" s="581"/>
    </row>
    <row r="4465" spans="8:10" ht="15.75" customHeight="1">
      <c r="H4465" s="563"/>
      <c r="I4465" s="563"/>
      <c r="J4465" s="581"/>
    </row>
    <row r="4466" spans="8:10" ht="15.75" customHeight="1">
      <c r="H4466" s="563"/>
      <c r="I4466" s="563"/>
      <c r="J4466" s="581"/>
    </row>
    <row r="4467" spans="8:10" ht="15.75" customHeight="1">
      <c r="H4467" s="563"/>
      <c r="I4467" s="563"/>
      <c r="J4467" s="581"/>
    </row>
    <row r="4468" spans="8:10" ht="15.75" customHeight="1">
      <c r="H4468" s="563"/>
      <c r="I4468" s="563"/>
      <c r="J4468" s="581"/>
    </row>
    <row r="4469" spans="8:10" ht="15.75" customHeight="1">
      <c r="H4469" s="563"/>
      <c r="I4469" s="563"/>
      <c r="J4469" s="581"/>
    </row>
    <row r="4470" spans="8:10" ht="15.75" customHeight="1">
      <c r="H4470" s="563"/>
      <c r="I4470" s="563"/>
      <c r="J4470" s="581"/>
    </row>
    <row r="4471" spans="8:10" ht="15.75" customHeight="1">
      <c r="H4471" s="563"/>
      <c r="I4471" s="563"/>
      <c r="J4471" s="581"/>
    </row>
    <row r="4472" spans="8:10" ht="15.75" customHeight="1">
      <c r="H4472" s="563"/>
      <c r="I4472" s="563"/>
      <c r="J4472" s="581"/>
    </row>
    <row r="4473" spans="8:10" ht="15.75" customHeight="1">
      <c r="H4473" s="563"/>
      <c r="I4473" s="563"/>
      <c r="J4473" s="581"/>
    </row>
    <row r="4474" spans="8:10" ht="15.75" customHeight="1">
      <c r="H4474" s="563"/>
      <c r="I4474" s="563"/>
      <c r="J4474" s="581"/>
    </row>
    <row r="4475" spans="8:10" ht="15.75" customHeight="1">
      <c r="H4475" s="563"/>
      <c r="I4475" s="563"/>
      <c r="J4475" s="581"/>
    </row>
    <row r="4476" spans="8:10" ht="15.75" customHeight="1">
      <c r="H4476" s="563"/>
      <c r="I4476" s="563"/>
      <c r="J4476" s="581"/>
    </row>
    <row r="4477" spans="8:10" ht="15.75" customHeight="1">
      <c r="H4477" s="563"/>
      <c r="I4477" s="563"/>
      <c r="J4477" s="581"/>
    </row>
    <row r="4478" spans="8:10" ht="15.75" customHeight="1">
      <c r="H4478" s="563"/>
      <c r="I4478" s="563"/>
      <c r="J4478" s="581"/>
    </row>
    <row r="4479" spans="8:10" ht="15.75" customHeight="1">
      <c r="H4479" s="563"/>
      <c r="I4479" s="563"/>
      <c r="J4479" s="581"/>
    </row>
    <row r="4480" spans="8:10" ht="15.75" customHeight="1">
      <c r="H4480" s="563"/>
      <c r="I4480" s="563"/>
      <c r="J4480" s="581"/>
    </row>
    <row r="4481" spans="8:10" ht="15.75" customHeight="1">
      <c r="H4481" s="563"/>
      <c r="I4481" s="563"/>
      <c r="J4481" s="581"/>
    </row>
    <row r="4482" spans="8:10" ht="15.75" customHeight="1">
      <c r="H4482" s="563"/>
      <c r="I4482" s="563"/>
      <c r="J4482" s="581"/>
    </row>
    <row r="4483" spans="8:10" ht="15.75" customHeight="1">
      <c r="H4483" s="563"/>
      <c r="I4483" s="563"/>
      <c r="J4483" s="581"/>
    </row>
    <row r="4484" spans="8:10" ht="15.75" customHeight="1">
      <c r="H4484" s="563"/>
      <c r="I4484" s="563"/>
      <c r="J4484" s="581"/>
    </row>
    <row r="4485" spans="8:10" ht="15.75" customHeight="1">
      <c r="H4485" s="563"/>
      <c r="I4485" s="563"/>
      <c r="J4485" s="581"/>
    </row>
    <row r="4486" spans="8:10" ht="15.75" customHeight="1">
      <c r="H4486" s="563"/>
      <c r="I4486" s="563"/>
      <c r="J4486" s="581"/>
    </row>
    <row r="4487" spans="8:10" ht="15.75" customHeight="1">
      <c r="H4487" s="563"/>
      <c r="I4487" s="563"/>
      <c r="J4487" s="581"/>
    </row>
    <row r="4488" spans="8:10" ht="15.75" customHeight="1">
      <c r="H4488" s="563"/>
      <c r="I4488" s="563"/>
      <c r="J4488" s="581"/>
    </row>
    <row r="4489" spans="8:10" ht="15.75" customHeight="1">
      <c r="H4489" s="563"/>
      <c r="I4489" s="563"/>
      <c r="J4489" s="581"/>
    </row>
    <row r="4490" spans="8:10" ht="15.75" customHeight="1">
      <c r="H4490" s="563"/>
      <c r="I4490" s="563"/>
      <c r="J4490" s="581"/>
    </row>
    <row r="4491" spans="8:10" ht="15.75" customHeight="1">
      <c r="H4491" s="563"/>
      <c r="I4491" s="563"/>
      <c r="J4491" s="581"/>
    </row>
    <row r="4492" spans="8:10" ht="15.75" customHeight="1">
      <c r="H4492" s="563"/>
      <c r="I4492" s="563"/>
      <c r="J4492" s="581"/>
    </row>
    <row r="4493" spans="8:10" ht="15.75" customHeight="1">
      <c r="H4493" s="563"/>
      <c r="I4493" s="563"/>
      <c r="J4493" s="581"/>
    </row>
    <row r="4494" spans="8:10" ht="15.75" customHeight="1">
      <c r="H4494" s="563"/>
      <c r="I4494" s="563"/>
      <c r="J4494" s="581"/>
    </row>
    <row r="4495" spans="8:10" ht="15.75" customHeight="1">
      <c r="H4495" s="563"/>
      <c r="I4495" s="563"/>
      <c r="J4495" s="581"/>
    </row>
    <row r="4496" spans="8:10" ht="15.75" customHeight="1">
      <c r="H4496" s="563"/>
      <c r="I4496" s="563"/>
      <c r="J4496" s="581"/>
    </row>
    <row r="4497" spans="8:10" ht="15.75" customHeight="1">
      <c r="H4497" s="563"/>
      <c r="I4497" s="563"/>
      <c r="J4497" s="581"/>
    </row>
    <row r="4498" spans="8:10" ht="15.75" customHeight="1">
      <c r="H4498" s="563"/>
      <c r="I4498" s="563"/>
      <c r="J4498" s="581"/>
    </row>
    <row r="4499" spans="8:10" ht="15.75" customHeight="1">
      <c r="H4499" s="563"/>
      <c r="I4499" s="563"/>
      <c r="J4499" s="581"/>
    </row>
    <row r="4500" spans="8:10" ht="15.75" customHeight="1">
      <c r="H4500" s="563"/>
      <c r="I4500" s="563"/>
      <c r="J4500" s="581"/>
    </row>
    <row r="4501" spans="8:10" ht="15.75" customHeight="1">
      <c r="H4501" s="563"/>
      <c r="I4501" s="563"/>
      <c r="J4501" s="581"/>
    </row>
    <row r="4502" spans="8:10" ht="15.75" customHeight="1">
      <c r="H4502" s="563"/>
      <c r="I4502" s="563"/>
      <c r="J4502" s="581"/>
    </row>
    <row r="4503" spans="8:10" ht="15.75" customHeight="1">
      <c r="H4503" s="563"/>
      <c r="I4503" s="563"/>
      <c r="J4503" s="581"/>
    </row>
    <row r="4504" spans="8:10" ht="15.75" customHeight="1">
      <c r="H4504" s="563"/>
      <c r="I4504" s="563"/>
      <c r="J4504" s="581"/>
    </row>
    <row r="4505" spans="8:10" ht="15.75" customHeight="1">
      <c r="H4505" s="563"/>
      <c r="I4505" s="563"/>
      <c r="J4505" s="581"/>
    </row>
    <row r="4506" spans="8:10" ht="15.75" customHeight="1">
      <c r="H4506" s="563"/>
      <c r="I4506" s="563"/>
      <c r="J4506" s="581"/>
    </row>
    <row r="4507" spans="8:10" ht="15.75" customHeight="1">
      <c r="H4507" s="563"/>
      <c r="I4507" s="563"/>
      <c r="J4507" s="581"/>
    </row>
    <row r="4508" spans="8:10" ht="15.75" customHeight="1">
      <c r="H4508" s="563"/>
      <c r="I4508" s="563"/>
      <c r="J4508" s="581"/>
    </row>
    <row r="4509" spans="8:10" ht="15.75" customHeight="1">
      <c r="H4509" s="563"/>
      <c r="I4509" s="563"/>
      <c r="J4509" s="581"/>
    </row>
    <row r="4510" spans="8:10" ht="15.75" customHeight="1">
      <c r="H4510" s="563"/>
      <c r="I4510" s="563"/>
      <c r="J4510" s="581"/>
    </row>
    <row r="4511" spans="8:10" ht="15.75" customHeight="1">
      <c r="H4511" s="563"/>
      <c r="I4511" s="563"/>
      <c r="J4511" s="581"/>
    </row>
    <row r="4512" spans="8:10" ht="15.75" customHeight="1">
      <c r="H4512" s="563"/>
      <c r="I4512" s="563"/>
      <c r="J4512" s="581"/>
    </row>
    <row r="4513" spans="8:10" ht="15.75" customHeight="1">
      <c r="H4513" s="563"/>
      <c r="I4513" s="563"/>
      <c r="J4513" s="581"/>
    </row>
    <row r="4514" spans="8:10" ht="15.75" customHeight="1">
      <c r="H4514" s="563"/>
      <c r="I4514" s="563"/>
      <c r="J4514" s="581"/>
    </row>
    <row r="4515" spans="8:10" ht="15.75" customHeight="1">
      <c r="H4515" s="563"/>
      <c r="I4515" s="563"/>
      <c r="J4515" s="581"/>
    </row>
    <row r="4516" spans="8:10" ht="15.75" customHeight="1">
      <c r="H4516" s="563"/>
      <c r="I4516" s="563"/>
      <c r="J4516" s="581"/>
    </row>
    <row r="4517" spans="8:10" ht="15.75" customHeight="1">
      <c r="H4517" s="563"/>
      <c r="I4517" s="563"/>
      <c r="J4517" s="581"/>
    </row>
    <row r="4518" spans="8:10" ht="15.75" customHeight="1">
      <c r="H4518" s="563"/>
      <c r="I4518" s="563"/>
      <c r="J4518" s="581"/>
    </row>
    <row r="4519" spans="8:10" ht="15.75" customHeight="1">
      <c r="H4519" s="563"/>
      <c r="I4519" s="563"/>
      <c r="J4519" s="581"/>
    </row>
    <row r="4520" spans="8:10" ht="15.75" customHeight="1">
      <c r="H4520" s="563"/>
      <c r="I4520" s="563"/>
      <c r="J4520" s="581"/>
    </row>
    <row r="4521" spans="8:10" ht="15.75" customHeight="1">
      <c r="H4521" s="563"/>
      <c r="I4521" s="563"/>
      <c r="J4521" s="581"/>
    </row>
    <row r="4522" spans="8:10" ht="15.75" customHeight="1">
      <c r="H4522" s="563"/>
      <c r="I4522" s="563"/>
      <c r="J4522" s="581"/>
    </row>
    <row r="4523" spans="8:10" ht="15.75" customHeight="1">
      <c r="H4523" s="563"/>
      <c r="I4523" s="563"/>
      <c r="J4523" s="581"/>
    </row>
    <row r="4524" spans="8:10" ht="15.75" customHeight="1">
      <c r="H4524" s="563"/>
      <c r="I4524" s="563"/>
      <c r="J4524" s="581"/>
    </row>
    <row r="4525" spans="8:10" ht="15.75" customHeight="1">
      <c r="H4525" s="563"/>
      <c r="I4525" s="563"/>
      <c r="J4525" s="581"/>
    </row>
    <row r="4526" spans="8:10" ht="15.75" customHeight="1">
      <c r="H4526" s="563"/>
      <c r="I4526" s="563"/>
      <c r="J4526" s="581"/>
    </row>
    <row r="4527" spans="8:10" ht="15.75" customHeight="1">
      <c r="H4527" s="563"/>
      <c r="I4527" s="563"/>
      <c r="J4527" s="581"/>
    </row>
    <row r="4528" spans="8:10" ht="15.75" customHeight="1">
      <c r="H4528" s="563"/>
      <c r="I4528" s="563"/>
      <c r="J4528" s="581"/>
    </row>
    <row r="4529" spans="8:10" ht="15.75" customHeight="1">
      <c r="H4529" s="563"/>
      <c r="I4529" s="563"/>
      <c r="J4529" s="581"/>
    </row>
    <row r="4530" spans="8:10" ht="15.75" customHeight="1">
      <c r="H4530" s="563"/>
      <c r="I4530" s="563"/>
      <c r="J4530" s="581"/>
    </row>
    <row r="4531" spans="8:10" ht="15.75" customHeight="1">
      <c r="H4531" s="563"/>
      <c r="I4531" s="563"/>
      <c r="J4531" s="581"/>
    </row>
    <row r="4532" spans="8:10" ht="15.75" customHeight="1">
      <c r="H4532" s="563"/>
      <c r="I4532" s="563"/>
      <c r="J4532" s="581"/>
    </row>
    <row r="4533" spans="8:10" ht="15.75" customHeight="1">
      <c r="H4533" s="563"/>
      <c r="I4533" s="563"/>
      <c r="J4533" s="581"/>
    </row>
    <row r="4534" spans="8:10" ht="15.75" customHeight="1">
      <c r="H4534" s="563"/>
      <c r="I4534" s="563"/>
      <c r="J4534" s="581"/>
    </row>
    <row r="4535" spans="8:10" ht="15.75" customHeight="1">
      <c r="H4535" s="563"/>
      <c r="I4535" s="563"/>
      <c r="J4535" s="581"/>
    </row>
    <row r="4536" spans="8:10" ht="15.75" customHeight="1">
      <c r="H4536" s="563"/>
      <c r="I4536" s="563"/>
      <c r="J4536" s="581"/>
    </row>
    <row r="4537" spans="8:10" ht="15.75" customHeight="1">
      <c r="H4537" s="563"/>
      <c r="I4537" s="563"/>
      <c r="J4537" s="581"/>
    </row>
    <row r="4538" spans="8:10" ht="15.75" customHeight="1">
      <c r="H4538" s="563"/>
      <c r="I4538" s="563"/>
      <c r="J4538" s="581"/>
    </row>
    <row r="4539" spans="8:10" ht="15.75" customHeight="1">
      <c r="H4539" s="563"/>
      <c r="I4539" s="563"/>
      <c r="J4539" s="581"/>
    </row>
    <row r="4540" spans="8:10" ht="15.75" customHeight="1">
      <c r="H4540" s="563"/>
      <c r="I4540" s="563"/>
      <c r="J4540" s="581"/>
    </row>
    <row r="4541" spans="8:10" ht="15.75" customHeight="1">
      <c r="H4541" s="563"/>
      <c r="I4541" s="563"/>
      <c r="J4541" s="581"/>
    </row>
    <row r="4542" spans="8:10" ht="15.75" customHeight="1">
      <c r="H4542" s="563"/>
      <c r="I4542" s="563"/>
      <c r="J4542" s="581"/>
    </row>
    <row r="4543" spans="8:10" ht="15.75" customHeight="1">
      <c r="H4543" s="563"/>
      <c r="I4543" s="563"/>
      <c r="J4543" s="581"/>
    </row>
    <row r="4544" spans="8:10" ht="15.75" customHeight="1">
      <c r="H4544" s="563"/>
      <c r="I4544" s="563"/>
      <c r="J4544" s="581"/>
    </row>
    <row r="4545" spans="8:10" ht="15.75" customHeight="1">
      <c r="H4545" s="563"/>
      <c r="I4545" s="563"/>
      <c r="J4545" s="581"/>
    </row>
    <row r="4546" spans="8:10" ht="15.75" customHeight="1">
      <c r="H4546" s="563"/>
      <c r="I4546" s="563"/>
      <c r="J4546" s="581"/>
    </row>
    <row r="4547" spans="8:10" ht="15.75" customHeight="1">
      <c r="H4547" s="563"/>
      <c r="I4547" s="563"/>
      <c r="J4547" s="581"/>
    </row>
    <row r="4548" spans="8:10" ht="15.75" customHeight="1">
      <c r="H4548" s="563"/>
      <c r="I4548" s="563"/>
      <c r="J4548" s="581"/>
    </row>
    <row r="4549" spans="8:10" ht="15.75" customHeight="1">
      <c r="H4549" s="563"/>
      <c r="I4549" s="563"/>
      <c r="J4549" s="581"/>
    </row>
    <row r="4550" spans="8:10" ht="15.75" customHeight="1">
      <c r="H4550" s="563"/>
      <c r="I4550" s="563"/>
      <c r="J4550" s="581"/>
    </row>
    <row r="4551" spans="8:10" ht="15.75" customHeight="1">
      <c r="H4551" s="563"/>
      <c r="I4551" s="563"/>
      <c r="J4551" s="581"/>
    </row>
    <row r="4552" spans="8:10" ht="15.75" customHeight="1">
      <c r="H4552" s="563"/>
      <c r="I4552" s="563"/>
      <c r="J4552" s="581"/>
    </row>
    <row r="4553" spans="8:10" ht="15.75" customHeight="1">
      <c r="H4553" s="563"/>
      <c r="I4553" s="563"/>
      <c r="J4553" s="581"/>
    </row>
    <row r="4554" spans="8:10" ht="15.75" customHeight="1">
      <c r="H4554" s="563"/>
      <c r="I4554" s="563"/>
      <c r="J4554" s="581"/>
    </row>
    <row r="4555" spans="8:10" ht="15.75" customHeight="1">
      <c r="H4555" s="563"/>
      <c r="I4555" s="563"/>
      <c r="J4555" s="581"/>
    </row>
    <row r="4556" spans="8:10" ht="15.75" customHeight="1">
      <c r="H4556" s="563"/>
      <c r="I4556" s="563"/>
      <c r="J4556" s="581"/>
    </row>
    <row r="4557" spans="8:10" ht="15.75" customHeight="1">
      <c r="H4557" s="563"/>
      <c r="I4557" s="563"/>
      <c r="J4557" s="581"/>
    </row>
    <row r="4558" spans="8:10" ht="15.75" customHeight="1">
      <c r="H4558" s="563"/>
      <c r="I4558" s="563"/>
      <c r="J4558" s="581"/>
    </row>
    <row r="4559" spans="8:10" ht="15.75" customHeight="1">
      <c r="H4559" s="563"/>
      <c r="I4559" s="563"/>
      <c r="J4559" s="581"/>
    </row>
    <row r="4560" spans="8:10" ht="15.75" customHeight="1">
      <c r="H4560" s="563"/>
      <c r="I4560" s="563"/>
      <c r="J4560" s="581"/>
    </row>
    <row r="4561" spans="8:10" ht="15.75" customHeight="1">
      <c r="H4561" s="563"/>
      <c r="I4561" s="563"/>
      <c r="J4561" s="581"/>
    </row>
    <row r="4562" spans="8:10" ht="15.75" customHeight="1">
      <c r="H4562" s="563"/>
      <c r="I4562" s="563"/>
      <c r="J4562" s="581"/>
    </row>
    <row r="4563" spans="8:10" ht="15.75" customHeight="1">
      <c r="H4563" s="563"/>
      <c r="I4563" s="563"/>
      <c r="J4563" s="581"/>
    </row>
    <row r="4564" spans="8:10" ht="15.75" customHeight="1">
      <c r="H4564" s="563"/>
      <c r="I4564" s="563"/>
      <c r="J4564" s="581"/>
    </row>
    <row r="4565" spans="8:10" ht="15.75" customHeight="1">
      <c r="H4565" s="563"/>
      <c r="I4565" s="563"/>
      <c r="J4565" s="581"/>
    </row>
    <row r="4566" spans="8:10" ht="15.75" customHeight="1">
      <c r="H4566" s="563"/>
      <c r="I4566" s="563"/>
      <c r="J4566" s="581"/>
    </row>
    <row r="4567" spans="8:10" ht="15.75" customHeight="1">
      <c r="H4567" s="563"/>
      <c r="I4567" s="563"/>
      <c r="J4567" s="581"/>
    </row>
    <row r="4568" spans="8:10" ht="15.75" customHeight="1">
      <c r="H4568" s="563"/>
      <c r="I4568" s="563"/>
      <c r="J4568" s="581"/>
    </row>
    <row r="4569" spans="8:10" ht="15.75" customHeight="1">
      <c r="H4569" s="563"/>
      <c r="I4569" s="563"/>
      <c r="J4569" s="581"/>
    </row>
    <row r="4570" spans="8:10" ht="15.75" customHeight="1">
      <c r="H4570" s="563"/>
      <c r="I4570" s="563"/>
      <c r="J4570" s="581"/>
    </row>
    <row r="4571" spans="8:10" ht="15.75" customHeight="1">
      <c r="H4571" s="563"/>
      <c r="I4571" s="563"/>
      <c r="J4571" s="581"/>
    </row>
    <row r="4572" spans="8:10" ht="15.75" customHeight="1">
      <c r="H4572" s="563"/>
      <c r="I4572" s="563"/>
      <c r="J4572" s="581"/>
    </row>
    <row r="4573" spans="8:10" ht="15.75" customHeight="1">
      <c r="H4573" s="563"/>
      <c r="I4573" s="563"/>
      <c r="J4573" s="581"/>
    </row>
    <row r="4574" spans="8:10" ht="15.75" customHeight="1">
      <c r="H4574" s="563"/>
      <c r="I4574" s="563"/>
      <c r="J4574" s="581"/>
    </row>
    <row r="4575" spans="8:10" ht="15.75" customHeight="1">
      <c r="H4575" s="563"/>
      <c r="I4575" s="563"/>
      <c r="J4575" s="581"/>
    </row>
    <row r="4576" spans="8:10" ht="15.75" customHeight="1">
      <c r="H4576" s="563"/>
      <c r="I4576" s="563"/>
      <c r="J4576" s="581"/>
    </row>
    <row r="4577" spans="8:10" ht="15.75" customHeight="1">
      <c r="H4577" s="563"/>
      <c r="I4577" s="563"/>
      <c r="J4577" s="581"/>
    </row>
    <row r="4578" spans="8:10" ht="15.75" customHeight="1">
      <c r="H4578" s="563"/>
      <c r="I4578" s="563"/>
      <c r="J4578" s="581"/>
    </row>
    <row r="4579" spans="8:10" ht="15.75" customHeight="1">
      <c r="H4579" s="563"/>
      <c r="I4579" s="563"/>
      <c r="J4579" s="581"/>
    </row>
    <row r="4580" spans="8:10" ht="15.75" customHeight="1">
      <c r="H4580" s="563"/>
      <c r="I4580" s="563"/>
      <c r="J4580" s="581"/>
    </row>
    <row r="4581" spans="8:10" ht="15.75" customHeight="1">
      <c r="H4581" s="563"/>
      <c r="I4581" s="563"/>
      <c r="J4581" s="581"/>
    </row>
    <row r="4582" spans="8:10" ht="15.75" customHeight="1">
      <c r="H4582" s="563"/>
      <c r="I4582" s="563"/>
      <c r="J4582" s="581"/>
    </row>
    <row r="4583" spans="8:10" ht="15.75" customHeight="1">
      <c r="H4583" s="563"/>
      <c r="I4583" s="563"/>
      <c r="J4583" s="581"/>
    </row>
    <row r="4584" spans="8:10" ht="15.75" customHeight="1">
      <c r="H4584" s="563"/>
      <c r="I4584" s="563"/>
      <c r="J4584" s="581"/>
    </row>
    <row r="4585" spans="8:10" ht="15.75" customHeight="1">
      <c r="H4585" s="563"/>
      <c r="I4585" s="563"/>
      <c r="J4585" s="581"/>
    </row>
    <row r="4586" spans="8:10" ht="15.75" customHeight="1">
      <c r="H4586" s="563"/>
      <c r="I4586" s="563"/>
      <c r="J4586" s="581"/>
    </row>
    <row r="4587" spans="8:10" ht="15.75" customHeight="1">
      <c r="H4587" s="563"/>
      <c r="I4587" s="563"/>
      <c r="J4587" s="581"/>
    </row>
    <row r="4588" spans="8:10" ht="15.75" customHeight="1">
      <c r="H4588" s="563"/>
      <c r="I4588" s="563"/>
      <c r="J4588" s="581"/>
    </row>
    <row r="4589" spans="8:10" ht="15.75" customHeight="1">
      <c r="H4589" s="563"/>
      <c r="I4589" s="563"/>
      <c r="J4589" s="581"/>
    </row>
    <row r="4590" spans="8:10" ht="15.75" customHeight="1">
      <c r="H4590" s="563"/>
      <c r="I4590" s="563"/>
      <c r="J4590" s="581"/>
    </row>
    <row r="4591" spans="8:10" ht="15.75" customHeight="1">
      <c r="H4591" s="563"/>
      <c r="I4591" s="563"/>
      <c r="J4591" s="581"/>
    </row>
    <row r="4592" spans="8:10" ht="15.75" customHeight="1">
      <c r="H4592" s="563"/>
      <c r="I4592" s="563"/>
      <c r="J4592" s="581"/>
    </row>
    <row r="4593" spans="8:10" ht="15.75" customHeight="1">
      <c r="H4593" s="563"/>
      <c r="I4593" s="563"/>
      <c r="J4593" s="581"/>
    </row>
    <row r="4594" spans="8:10" ht="15.75" customHeight="1">
      <c r="H4594" s="563"/>
      <c r="I4594" s="563"/>
      <c r="J4594" s="581"/>
    </row>
    <row r="4595" spans="8:10" ht="15.75" customHeight="1">
      <c r="H4595" s="563"/>
      <c r="I4595" s="563"/>
      <c r="J4595" s="581"/>
    </row>
    <row r="4596" spans="8:10" ht="15.75" customHeight="1">
      <c r="H4596" s="563"/>
      <c r="I4596" s="563"/>
      <c r="J4596" s="581"/>
    </row>
    <row r="4597" spans="8:10" ht="15.75" customHeight="1">
      <c r="H4597" s="563"/>
      <c r="I4597" s="563"/>
      <c r="J4597" s="581"/>
    </row>
    <row r="4598" spans="8:10" ht="15.75" customHeight="1">
      <c r="H4598" s="563"/>
      <c r="I4598" s="563"/>
      <c r="J4598" s="581"/>
    </row>
    <row r="4599" spans="8:10" ht="15.75" customHeight="1">
      <c r="H4599" s="563"/>
      <c r="I4599" s="563"/>
      <c r="J4599" s="581"/>
    </row>
    <row r="4600" spans="8:10" ht="15.75" customHeight="1">
      <c r="H4600" s="563"/>
      <c r="I4600" s="563"/>
      <c r="J4600" s="581"/>
    </row>
    <row r="4601" spans="8:10" ht="15.75" customHeight="1">
      <c r="H4601" s="563"/>
      <c r="I4601" s="563"/>
      <c r="J4601" s="581"/>
    </row>
    <row r="4602" spans="8:10" ht="15.75" customHeight="1">
      <c r="H4602" s="563"/>
      <c r="I4602" s="563"/>
      <c r="J4602" s="581"/>
    </row>
    <row r="4603" spans="8:10" ht="15.75" customHeight="1">
      <c r="H4603" s="563"/>
      <c r="I4603" s="563"/>
      <c r="J4603" s="581"/>
    </row>
    <row r="4604" spans="8:10" ht="15.75" customHeight="1">
      <c r="H4604" s="563"/>
      <c r="I4604" s="563"/>
      <c r="J4604" s="581"/>
    </row>
    <row r="4605" spans="8:10" ht="15.75" customHeight="1">
      <c r="H4605" s="563"/>
      <c r="I4605" s="563"/>
      <c r="J4605" s="581"/>
    </row>
    <row r="4606" spans="8:10" ht="15.75" customHeight="1">
      <c r="H4606" s="563"/>
      <c r="I4606" s="563"/>
      <c r="J4606" s="581"/>
    </row>
    <row r="4607" spans="8:10" ht="15.75" customHeight="1">
      <c r="H4607" s="563"/>
      <c r="I4607" s="563"/>
      <c r="J4607" s="581"/>
    </row>
    <row r="4608" spans="8:10" ht="15.75" customHeight="1">
      <c r="H4608" s="563"/>
      <c r="I4608" s="563"/>
      <c r="J4608" s="581"/>
    </row>
    <row r="4609" spans="8:10" ht="15.75" customHeight="1">
      <c r="H4609" s="563"/>
      <c r="I4609" s="563"/>
      <c r="J4609" s="581"/>
    </row>
    <row r="4610" spans="8:10" ht="15.75" customHeight="1">
      <c r="H4610" s="563"/>
      <c r="I4610" s="563"/>
      <c r="J4610" s="581"/>
    </row>
    <row r="4611" spans="8:10" ht="15.75" customHeight="1">
      <c r="H4611" s="563"/>
      <c r="I4611" s="563"/>
      <c r="J4611" s="581"/>
    </row>
    <row r="4612" spans="8:10" ht="15.75" customHeight="1">
      <c r="H4612" s="563"/>
      <c r="I4612" s="563"/>
      <c r="J4612" s="581"/>
    </row>
    <row r="4613" spans="8:10" ht="15.75" customHeight="1">
      <c r="H4613" s="563"/>
      <c r="I4613" s="563"/>
      <c r="J4613" s="581"/>
    </row>
    <row r="4614" spans="8:10" ht="15.75" customHeight="1">
      <c r="H4614" s="563"/>
      <c r="I4614" s="563"/>
      <c r="J4614" s="581"/>
    </row>
    <row r="4615" spans="8:10" ht="15.75" customHeight="1">
      <c r="H4615" s="563"/>
      <c r="I4615" s="563"/>
      <c r="J4615" s="581"/>
    </row>
    <row r="4616" spans="8:10" ht="15.75" customHeight="1">
      <c r="H4616" s="563"/>
      <c r="I4616" s="563"/>
      <c r="J4616" s="581"/>
    </row>
    <row r="4617" spans="8:10" ht="15.75" customHeight="1">
      <c r="H4617" s="563"/>
      <c r="I4617" s="563"/>
      <c r="J4617" s="581"/>
    </row>
    <row r="4618" spans="8:10" ht="15.75" customHeight="1">
      <c r="H4618" s="563"/>
      <c r="I4618" s="563"/>
      <c r="J4618" s="581"/>
    </row>
    <row r="4619" spans="8:10" ht="15.75" customHeight="1">
      <c r="H4619" s="563"/>
      <c r="I4619" s="563"/>
      <c r="J4619" s="581"/>
    </row>
    <row r="4620" spans="8:10" ht="15.75" customHeight="1">
      <c r="H4620" s="563"/>
      <c r="I4620" s="563"/>
      <c r="J4620" s="581"/>
    </row>
    <row r="4621" spans="8:10" ht="15.75" customHeight="1">
      <c r="H4621" s="563"/>
      <c r="I4621" s="563"/>
      <c r="J4621" s="581"/>
    </row>
    <row r="4622" spans="8:10" ht="15.75" customHeight="1">
      <c r="H4622" s="563"/>
      <c r="I4622" s="563"/>
      <c r="J4622" s="581"/>
    </row>
    <row r="4623" spans="8:10" ht="15.75" customHeight="1">
      <c r="H4623" s="563"/>
      <c r="I4623" s="563"/>
      <c r="J4623" s="581"/>
    </row>
    <row r="4624" spans="8:10" ht="15.75" customHeight="1">
      <c r="H4624" s="563"/>
      <c r="I4624" s="563"/>
      <c r="J4624" s="581"/>
    </row>
    <row r="4625" spans="8:10" ht="15.75" customHeight="1">
      <c r="H4625" s="563"/>
      <c r="I4625" s="563"/>
      <c r="J4625" s="581"/>
    </row>
    <row r="4626" spans="8:10" ht="15.75" customHeight="1">
      <c r="H4626" s="563"/>
      <c r="I4626" s="563"/>
      <c r="J4626" s="581"/>
    </row>
    <row r="4627" spans="8:10" ht="15.75" customHeight="1">
      <c r="H4627" s="563"/>
      <c r="I4627" s="563"/>
      <c r="J4627" s="581"/>
    </row>
    <row r="4628" spans="8:10" ht="15.75" customHeight="1">
      <c r="H4628" s="563"/>
      <c r="I4628" s="563"/>
      <c r="J4628" s="581"/>
    </row>
    <row r="4629" spans="8:10" ht="15.75" customHeight="1">
      <c r="H4629" s="563"/>
      <c r="I4629" s="563"/>
      <c r="J4629" s="581"/>
    </row>
    <row r="4630" spans="8:10" ht="15.75" customHeight="1">
      <c r="H4630" s="563"/>
      <c r="I4630" s="563"/>
      <c r="J4630" s="581"/>
    </row>
    <row r="4631" spans="8:10" ht="15.75" customHeight="1">
      <c r="H4631" s="563"/>
      <c r="I4631" s="563"/>
      <c r="J4631" s="581"/>
    </row>
    <row r="4632" spans="8:10" ht="15.75" customHeight="1">
      <c r="H4632" s="563"/>
      <c r="I4632" s="563"/>
      <c r="J4632" s="581"/>
    </row>
    <row r="4633" spans="8:10" ht="15.75" customHeight="1">
      <c r="H4633" s="563"/>
      <c r="I4633" s="563"/>
      <c r="J4633" s="581"/>
    </row>
    <row r="4634" spans="8:10" ht="15.75" customHeight="1">
      <c r="H4634" s="563"/>
      <c r="I4634" s="563"/>
      <c r="J4634" s="581"/>
    </row>
    <row r="4635" spans="8:10" ht="15.75" customHeight="1">
      <c r="H4635" s="563"/>
      <c r="I4635" s="563"/>
      <c r="J4635" s="581"/>
    </row>
    <row r="4636" spans="8:10" ht="15.75" customHeight="1">
      <c r="H4636" s="563"/>
      <c r="I4636" s="563"/>
      <c r="J4636" s="581"/>
    </row>
    <row r="4637" spans="8:10" ht="15.75" customHeight="1">
      <c r="H4637" s="563"/>
      <c r="I4637" s="563"/>
      <c r="J4637" s="581"/>
    </row>
    <row r="4638" spans="8:10" ht="15.75" customHeight="1">
      <c r="H4638" s="563"/>
      <c r="I4638" s="563"/>
      <c r="J4638" s="581"/>
    </row>
    <row r="4639" spans="8:10" ht="15.75" customHeight="1">
      <c r="H4639" s="563"/>
      <c r="I4639" s="563"/>
      <c r="J4639" s="581"/>
    </row>
  </sheetData>
  <autoFilter ref="A2:AY754" xr:uid="{00000000-0009-0000-0000-000002000000}">
    <filterColumn colId="7">
      <customFilters>
        <customFilter val="*P*"/>
      </customFilters>
    </filterColumn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9">
    <mergeCell ref="A1:AY1"/>
    <mergeCell ref="AN2:AP2"/>
    <mergeCell ref="AQ2:AS2"/>
    <mergeCell ref="AT2:AV2"/>
    <mergeCell ref="N2:P2"/>
    <mergeCell ref="T2:V2"/>
    <mergeCell ref="W2:Y2"/>
    <mergeCell ref="Z2:AB2"/>
    <mergeCell ref="AC2:AE2"/>
  </mergeCells>
  <phoneticPr fontId="0" type="noConversion"/>
  <conditionalFormatting sqref="AQ16 AQ20 AQ18 AQ68 AQ72 AQ70">
    <cfRule type="cellIs" dxfId="43" priority="5" stopIfTrue="1" operator="notBetween">
      <formula>-0.36</formula>
      <formula>0.36</formula>
    </cfRule>
  </conditionalFormatting>
  <printOptions horizontalCentered="1" gridLines="1"/>
  <pageMargins left="0.39370078740157483" right="0.39370078740157483" top="0.78740157480314965" bottom="0.78740157480314965" header="0.31496062992125984" footer="0.31496062992125984"/>
  <pageSetup paperSize="9" scale="44" fitToHeight="0" orientation="landscape" cellComments="asDisplayed" r:id="rId1"/>
  <headerFooter alignWithMargins="0">
    <oddHeader>&amp;L&amp;G&amp;C
LAYOUT AND EQUIPMENT
EP 15 TRACK 2
KP 30-48&amp;R&amp;G</oddHeader>
    <oddFooter>&amp;L
&amp;F&amp;C&amp;G
&amp;D&amp;R
Page &amp;P of &amp;N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theme="9" tint="-0.249977111117893"/>
    <pageSetUpPr fitToPage="1"/>
  </sheetPr>
  <dimension ref="A1:BL869"/>
  <sheetViews>
    <sheetView view="pageBreakPreview" zoomScale="60" zoomScaleNormal="85" workbookViewId="0">
      <pane xSplit="5" ySplit="2" topLeftCell="J3" activePane="bottomRight" state="frozen"/>
      <selection activeCell="G8" sqref="G8"/>
      <selection pane="topRight" activeCell="G8" sqref="G8"/>
      <selection pane="bottomLeft" activeCell="G8" sqref="G8"/>
      <selection pane="bottomRight" activeCell="AH5" sqref="AH5"/>
    </sheetView>
  </sheetViews>
  <sheetFormatPr baseColWidth="10" defaultColWidth="11.44140625" defaultRowHeight="15.75" customHeight="1"/>
  <cols>
    <col min="1" max="1" width="19" style="7" customWidth="1"/>
    <col min="2" max="2" width="9.6640625" style="7" customWidth="1"/>
    <col min="3" max="3" width="13.44140625" style="7" customWidth="1"/>
    <col min="4" max="4" width="13.88671875" style="7" customWidth="1"/>
    <col min="5" max="5" width="10.5546875" style="7" customWidth="1"/>
    <col min="6" max="6" width="9.33203125" style="7" customWidth="1"/>
    <col min="7" max="7" width="10" style="7" customWidth="1"/>
    <col min="8" max="8" width="17.44140625" style="7" customWidth="1"/>
    <col min="9" max="9" width="15.5546875" style="9" customWidth="1"/>
    <col min="10" max="10" width="13.5546875" style="7" customWidth="1"/>
    <col min="11" max="11" width="15.33203125" style="7" customWidth="1"/>
    <col min="12" max="12" width="16.33203125" style="7" customWidth="1"/>
    <col min="13" max="13" width="15.88671875" style="9" customWidth="1"/>
    <col min="14" max="15" width="9" style="7" customWidth="1"/>
    <col min="16" max="16" width="9" style="7" hidden="1" customWidth="1"/>
    <col min="17" max="19" width="11.6640625" style="7" customWidth="1"/>
    <col min="20" max="21" width="6.33203125" style="7" customWidth="1"/>
    <col min="22" max="22" width="6.33203125" style="7" hidden="1" customWidth="1"/>
    <col min="23" max="24" width="6.33203125" style="7" customWidth="1"/>
    <col min="25" max="25" width="6.33203125" style="7" hidden="1" customWidth="1"/>
    <col min="26" max="27" width="6.33203125" style="7" customWidth="1"/>
    <col min="28" max="28" width="6.33203125" style="7" hidden="1" customWidth="1"/>
    <col min="29" max="30" width="9.88671875" style="7" customWidth="1"/>
    <col min="31" max="31" width="7.44140625" style="7" hidden="1" customWidth="1"/>
    <col min="32" max="35" width="12.5546875" style="7" customWidth="1"/>
    <col min="36" max="36" width="12.6640625" style="7" customWidth="1"/>
    <col min="37" max="37" width="11" style="7" hidden="1" customWidth="1"/>
    <col min="38" max="38" width="11" style="9" hidden="1" customWidth="1"/>
    <col min="39" max="39" width="13.44140625" style="9" customWidth="1"/>
    <col min="40" max="40" width="8.33203125" style="47" customWidth="1"/>
    <col min="41" max="42" width="7.33203125" style="47" hidden="1" customWidth="1"/>
    <col min="43" max="43" width="8.33203125" style="47" hidden="1" customWidth="1"/>
    <col min="44" max="45" width="7.33203125" style="47" hidden="1" customWidth="1"/>
    <col min="46" max="46" width="8.33203125" style="47" hidden="1" customWidth="1"/>
    <col min="47" max="48" width="7.33203125" style="47" hidden="1" customWidth="1"/>
    <col min="49" max="51" width="8.88671875" style="47" hidden="1" customWidth="1"/>
    <col min="52" max="53" width="11.44140625" style="7" customWidth="1"/>
    <col min="54" max="54" width="54.6640625" style="518" customWidth="1"/>
    <col min="55" max="55" width="15.6640625" style="517" customWidth="1"/>
    <col min="56" max="56" width="2.6640625" style="517" customWidth="1"/>
    <col min="57" max="57" width="45.6640625" style="517" customWidth="1"/>
    <col min="58" max="58" width="19.109375" style="517" customWidth="1"/>
    <col min="59" max="59" width="4.6640625" style="517" customWidth="1"/>
    <col min="60" max="60" width="22.88671875" style="519" customWidth="1"/>
    <col min="61" max="63" width="11.44140625" style="517" customWidth="1"/>
    <col min="64" max="64" width="13.44140625" style="517" customWidth="1"/>
    <col min="65" max="16384" width="11.44140625" style="7"/>
  </cols>
  <sheetData>
    <row r="1" spans="1:64" ht="36.75" customHeight="1" thickBot="1">
      <c r="A1" s="1363" t="s">
        <v>479</v>
      </c>
      <c r="B1" s="1364"/>
      <c r="C1" s="1364"/>
      <c r="D1" s="1364"/>
      <c r="E1" s="1364"/>
      <c r="F1" s="1364"/>
      <c r="G1" s="1364"/>
      <c r="H1" s="1364"/>
      <c r="I1" s="1364"/>
      <c r="J1" s="1364"/>
      <c r="K1" s="1364"/>
      <c r="L1" s="1364"/>
      <c r="M1" s="1364"/>
      <c r="N1" s="1364"/>
      <c r="O1" s="1364"/>
      <c r="P1" s="1364"/>
      <c r="Q1" s="1364"/>
      <c r="R1" s="1364"/>
      <c r="S1" s="1364"/>
      <c r="T1" s="1364"/>
      <c r="U1" s="1364"/>
      <c r="V1" s="1364"/>
      <c r="W1" s="1364"/>
      <c r="X1" s="1364"/>
      <c r="Y1" s="1364"/>
      <c r="Z1" s="1364"/>
      <c r="AA1" s="1364"/>
      <c r="AB1" s="1364"/>
      <c r="AC1" s="1364"/>
      <c r="AD1" s="1364"/>
      <c r="AE1" s="1364"/>
      <c r="AF1" s="1364"/>
      <c r="AG1" s="1364"/>
      <c r="AH1" s="1364"/>
      <c r="AI1" s="1364"/>
      <c r="AJ1" s="1364"/>
      <c r="AK1" s="1364"/>
      <c r="AL1" s="1364"/>
      <c r="AM1" s="1364"/>
      <c r="AN1" s="1364"/>
      <c r="AO1" s="1364"/>
      <c r="AP1" s="1364"/>
      <c r="AQ1" s="1364"/>
      <c r="AR1" s="1364"/>
      <c r="AS1" s="1364"/>
      <c r="AT1" s="1364"/>
      <c r="AU1" s="1364"/>
      <c r="AV1" s="1364"/>
      <c r="AW1" s="1364"/>
      <c r="AX1" s="1364"/>
      <c r="AY1" s="1364"/>
    </row>
    <row r="2" spans="1:64" ht="42" customHeight="1" thickBot="1">
      <c r="A2" s="2" t="s">
        <v>2457</v>
      </c>
      <c r="B2" s="2" t="s">
        <v>467</v>
      </c>
      <c r="C2" s="2" t="s">
        <v>468</v>
      </c>
      <c r="D2" s="2" t="s">
        <v>2458</v>
      </c>
      <c r="E2" s="2" t="s">
        <v>681</v>
      </c>
      <c r="F2" s="2" t="s">
        <v>470</v>
      </c>
      <c r="G2" s="2" t="s">
        <v>469</v>
      </c>
      <c r="H2" s="2" t="s">
        <v>473</v>
      </c>
      <c r="I2" s="2" t="s">
        <v>472</v>
      </c>
      <c r="J2" s="2" t="s">
        <v>1017</v>
      </c>
      <c r="K2" s="2" t="s">
        <v>2463</v>
      </c>
      <c r="L2" s="2" t="s">
        <v>474</v>
      </c>
      <c r="M2" s="2" t="s">
        <v>471</v>
      </c>
      <c r="N2" s="1365" t="s">
        <v>475</v>
      </c>
      <c r="O2" s="1366"/>
      <c r="P2" s="1367"/>
      <c r="Q2" s="2" t="s">
        <v>680</v>
      </c>
      <c r="R2" s="2" t="s">
        <v>682</v>
      </c>
      <c r="S2" s="2" t="s">
        <v>683</v>
      </c>
      <c r="T2" s="1365" t="s">
        <v>481</v>
      </c>
      <c r="U2" s="1366"/>
      <c r="V2" s="1367"/>
      <c r="W2" s="1365" t="s">
        <v>484</v>
      </c>
      <c r="X2" s="1366"/>
      <c r="Y2" s="1367"/>
      <c r="Z2" s="1365" t="s">
        <v>2459</v>
      </c>
      <c r="AA2" s="1366"/>
      <c r="AB2" s="1367"/>
      <c r="AC2" s="1365" t="s">
        <v>685</v>
      </c>
      <c r="AD2" s="1366"/>
      <c r="AE2" s="1367"/>
      <c r="AF2" s="2" t="s">
        <v>686</v>
      </c>
      <c r="AG2" s="2" t="s">
        <v>687</v>
      </c>
      <c r="AH2" s="2" t="s">
        <v>688</v>
      </c>
      <c r="AI2" s="2" t="s">
        <v>689</v>
      </c>
      <c r="AJ2" s="2" t="s">
        <v>690</v>
      </c>
      <c r="AK2" s="2" t="s">
        <v>476</v>
      </c>
      <c r="AL2" s="2" t="s">
        <v>477</v>
      </c>
      <c r="AM2" s="497" t="s">
        <v>692</v>
      </c>
      <c r="AN2" s="1365" t="s">
        <v>482</v>
      </c>
      <c r="AO2" s="1366"/>
      <c r="AP2" s="1367"/>
      <c r="AQ2" s="1365" t="s">
        <v>483</v>
      </c>
      <c r="AR2" s="1366"/>
      <c r="AS2" s="1367"/>
      <c r="AT2" s="1365" t="s">
        <v>691</v>
      </c>
      <c r="AU2" s="1366"/>
      <c r="AV2" s="1367"/>
      <c r="AW2" s="2" t="s">
        <v>2460</v>
      </c>
      <c r="AX2" s="2" t="s">
        <v>2461</v>
      </c>
      <c r="AY2" s="497" t="s">
        <v>2462</v>
      </c>
      <c r="BB2" s="1277" t="s">
        <v>1018</v>
      </c>
      <c r="BC2" s="1278"/>
      <c r="BD2" s="1279"/>
      <c r="BE2" s="1280" t="s">
        <v>1018</v>
      </c>
      <c r="BF2" s="1281"/>
      <c r="BG2" s="514"/>
      <c r="BH2" s="515" t="s">
        <v>1019</v>
      </c>
      <c r="BI2" s="515" t="s">
        <v>962</v>
      </c>
      <c r="BJ2" s="515" t="s">
        <v>963</v>
      </c>
      <c r="BK2" s="515" t="s">
        <v>964</v>
      </c>
      <c r="BL2" s="516" t="s">
        <v>200</v>
      </c>
    </row>
    <row r="3" spans="1:64" ht="15.75" customHeight="1">
      <c r="B3" s="9"/>
      <c r="C3" s="583"/>
      <c r="F3" s="482"/>
      <c r="H3" s="9"/>
      <c r="J3" s="9"/>
      <c r="K3" s="47"/>
      <c r="M3" s="7"/>
      <c r="N3" s="584" t="s">
        <v>123</v>
      </c>
      <c r="O3" s="584" t="s">
        <v>124</v>
      </c>
      <c r="P3" s="584" t="s">
        <v>125</v>
      </c>
      <c r="T3" s="584" t="s">
        <v>126</v>
      </c>
      <c r="U3" s="584" t="s">
        <v>127</v>
      </c>
      <c r="V3" s="584" t="s">
        <v>128</v>
      </c>
      <c r="W3" s="584" t="s">
        <v>129</v>
      </c>
      <c r="X3" s="584" t="s">
        <v>130</v>
      </c>
      <c r="Y3" s="584" t="s">
        <v>131</v>
      </c>
      <c r="Z3" s="506" t="s">
        <v>132</v>
      </c>
      <c r="AA3" s="507" t="s">
        <v>133</v>
      </c>
      <c r="AB3" s="506" t="s">
        <v>134</v>
      </c>
      <c r="AC3" s="506" t="s">
        <v>135</v>
      </c>
      <c r="AD3" s="507" t="s">
        <v>136</v>
      </c>
      <c r="AE3" s="506" t="s">
        <v>137</v>
      </c>
      <c r="AJ3" s="9"/>
      <c r="AN3" s="584" t="s">
        <v>129</v>
      </c>
      <c r="AO3" s="584" t="s">
        <v>130</v>
      </c>
      <c r="AP3" s="584" t="s">
        <v>131</v>
      </c>
      <c r="AQ3" s="584" t="s">
        <v>662</v>
      </c>
      <c r="AR3" s="584" t="s">
        <v>663</v>
      </c>
      <c r="AS3" s="584" t="s">
        <v>664</v>
      </c>
      <c r="AT3" s="584" t="s">
        <v>665</v>
      </c>
      <c r="AU3" s="584" t="s">
        <v>666</v>
      </c>
      <c r="AV3" s="584" t="s">
        <v>667</v>
      </c>
      <c r="AW3" s="7"/>
      <c r="AX3" s="9"/>
      <c r="AY3" s="9"/>
      <c r="BB3" s="1282"/>
      <c r="BC3" s="1283"/>
      <c r="BD3" s="1279"/>
      <c r="BE3" s="1282"/>
      <c r="BF3" s="1283"/>
      <c r="BH3" s="517"/>
      <c r="BL3" s="519"/>
    </row>
    <row r="4" spans="1:64" ht="15.75" customHeight="1">
      <c r="A4" s="9"/>
      <c r="D4" s="477"/>
      <c r="E4" s="478"/>
      <c r="F4" s="478"/>
      <c r="G4" s="479"/>
      <c r="H4" s="9"/>
      <c r="J4" s="481"/>
      <c r="K4" s="47"/>
      <c r="L4" s="47"/>
      <c r="M4" s="47"/>
      <c r="N4" s="9"/>
      <c r="O4" s="9"/>
      <c r="P4" s="9"/>
      <c r="Q4" s="47"/>
      <c r="R4" s="47"/>
      <c r="S4" s="47"/>
      <c r="T4" s="47"/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585"/>
      <c r="AK4" s="47"/>
      <c r="AL4" s="47"/>
      <c r="AM4" s="47"/>
      <c r="AZ4" s="483"/>
      <c r="BB4" s="1284"/>
      <c r="BC4" s="1285"/>
      <c r="BD4" s="1279"/>
      <c r="BE4" s="1284"/>
      <c r="BF4" s="1285"/>
      <c r="BH4" s="518" t="s">
        <v>965</v>
      </c>
      <c r="BI4" s="531">
        <v>0</v>
      </c>
      <c r="BJ4" s="531">
        <v>1000</v>
      </c>
      <c r="BK4" s="532">
        <v>1</v>
      </c>
      <c r="BL4" s="519">
        <f>+(BJ4-BI4)*BK4/1000</f>
        <v>1</v>
      </c>
    </row>
    <row r="5" spans="1:64" ht="15.75" customHeight="1">
      <c r="A5" s="716" t="s">
        <v>1134</v>
      </c>
      <c r="B5" s="725" t="s">
        <v>2603</v>
      </c>
      <c r="C5" s="718">
        <v>107.5</v>
      </c>
      <c r="D5" s="719"/>
      <c r="E5" s="719"/>
      <c r="F5" s="720">
        <v>0</v>
      </c>
      <c r="G5" s="721"/>
      <c r="H5" s="726" t="s">
        <v>1028</v>
      </c>
      <c r="I5" s="726" t="s">
        <v>947</v>
      </c>
      <c r="J5" s="718">
        <f>C5</f>
        <v>107.5</v>
      </c>
      <c r="K5" s="726" t="s">
        <v>1097</v>
      </c>
      <c r="L5" s="726"/>
      <c r="M5" s="719"/>
      <c r="N5" s="726"/>
      <c r="O5" s="719"/>
      <c r="P5" s="719"/>
      <c r="Q5" s="719"/>
      <c r="R5" s="719"/>
      <c r="S5" s="719"/>
      <c r="T5" s="719"/>
      <c r="U5" s="719"/>
      <c r="V5" s="719"/>
      <c r="W5" s="719"/>
      <c r="X5" s="719"/>
      <c r="Y5" s="719"/>
      <c r="Z5" s="719"/>
      <c r="AA5" s="719"/>
      <c r="AB5" s="719"/>
      <c r="AC5" s="719"/>
      <c r="AD5" s="719"/>
      <c r="AE5" s="719"/>
      <c r="AF5" s="719"/>
      <c r="AG5" s="718">
        <v>107.5</v>
      </c>
      <c r="AH5" s="719"/>
      <c r="AI5" s="719"/>
      <c r="AJ5" s="719"/>
      <c r="AK5" s="719"/>
      <c r="AL5" s="719"/>
      <c r="AM5" s="719"/>
      <c r="AN5" s="719"/>
      <c r="AO5" s="719"/>
      <c r="AP5" s="719"/>
      <c r="AQ5" s="719"/>
      <c r="AR5" s="719"/>
      <c r="AS5" s="719"/>
      <c r="AT5" s="719"/>
      <c r="AU5" s="719"/>
      <c r="AV5" s="719"/>
      <c r="AW5" s="719"/>
      <c r="AX5" s="719"/>
      <c r="AY5" s="719"/>
      <c r="AZ5" s="483"/>
      <c r="BB5" s="1286" t="s">
        <v>3027</v>
      </c>
      <c r="BC5" s="1287"/>
      <c r="BD5" s="1279"/>
      <c r="BE5" s="1286" t="s">
        <v>1044</v>
      </c>
      <c r="BF5" s="1287"/>
      <c r="BH5" s="518"/>
      <c r="BI5" s="531"/>
      <c r="BJ5" s="531"/>
      <c r="BK5" s="532"/>
      <c r="BL5" s="519">
        <f>+(BJ5-BI5)*BK5/1000</f>
        <v>0</v>
      </c>
    </row>
    <row r="6" spans="1:64" ht="15.75" customHeight="1">
      <c r="A6" s="716"/>
      <c r="B6" s="717"/>
      <c r="C6" s="718"/>
      <c r="D6" s="719"/>
      <c r="E6" s="719"/>
      <c r="F6" s="720"/>
      <c r="G6" s="721">
        <v>25.5</v>
      </c>
      <c r="H6" s="719"/>
      <c r="I6" s="726">
        <v>278</v>
      </c>
      <c r="J6" s="718"/>
      <c r="K6" s="726"/>
      <c r="L6" s="719"/>
      <c r="M6" s="719"/>
      <c r="N6" s="726"/>
      <c r="O6" s="719"/>
      <c r="P6" s="719"/>
      <c r="Q6" s="719"/>
      <c r="R6" s="719"/>
      <c r="S6" s="724">
        <f>AG5-AG7</f>
        <v>17.480000000000004</v>
      </c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8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 s="719"/>
      <c r="AX6" s="719"/>
      <c r="AY6" s="719"/>
      <c r="AZ6" s="483"/>
      <c r="BB6" s="1284" t="s">
        <v>1025</v>
      </c>
      <c r="BC6" s="1288"/>
      <c r="BD6" s="1279"/>
      <c r="BE6" s="1284" t="s">
        <v>3028</v>
      </c>
      <c r="BF6" s="1285" t="s">
        <v>3029</v>
      </c>
      <c r="BH6" s="518"/>
      <c r="BI6" s="531"/>
      <c r="BJ6" s="531"/>
      <c r="BK6" s="532"/>
      <c r="BL6" s="519">
        <f>+(BJ6-BI6)*BK6/1000</f>
        <v>0</v>
      </c>
    </row>
    <row r="7" spans="1:64" ht="15.75" customHeight="1">
      <c r="A7" s="716"/>
      <c r="B7" s="725" t="s">
        <v>2604</v>
      </c>
      <c r="C7" s="718">
        <v>82</v>
      </c>
      <c r="D7" s="719"/>
      <c r="E7" s="719"/>
      <c r="F7" s="720">
        <v>0</v>
      </c>
      <c r="G7" s="721"/>
      <c r="H7" s="726" t="s">
        <v>668</v>
      </c>
      <c r="I7" s="726"/>
      <c r="J7" s="718"/>
      <c r="K7" s="726"/>
      <c r="L7" s="719" t="s">
        <v>241</v>
      </c>
      <c r="M7" s="719"/>
      <c r="N7" s="726" t="s">
        <v>697</v>
      </c>
      <c r="O7" s="719"/>
      <c r="P7" s="719"/>
      <c r="Q7" s="719"/>
      <c r="R7" s="719"/>
      <c r="S7" s="719"/>
      <c r="T7" s="719">
        <v>20</v>
      </c>
      <c r="U7" s="719"/>
      <c r="V7" s="719"/>
      <c r="W7" s="719">
        <v>1.4</v>
      </c>
      <c r="X7" s="719"/>
      <c r="Y7" s="719"/>
      <c r="Z7" s="719">
        <v>0.35</v>
      </c>
      <c r="AA7" s="719"/>
      <c r="AB7" s="719"/>
      <c r="AC7" s="719" t="str">
        <f>IF(OR(AT7&gt;8,AT7&lt;-8),"PH",IF(OR(AT7&gt;5,AT7&lt;-5),"PH-Q",IF(OR(AT7&gt;1,AT7&lt;-1),"PH-C")))</f>
        <v>PH</v>
      </c>
      <c r="AD7" s="719"/>
      <c r="AE7" s="719"/>
      <c r="AF7" s="719">
        <v>200</v>
      </c>
      <c r="AG7" s="718">
        <v>90.02</v>
      </c>
      <c r="AH7" s="719">
        <v>1749</v>
      </c>
      <c r="AI7" s="719">
        <v>-4895</v>
      </c>
      <c r="AJ7" s="719"/>
      <c r="AK7" s="719"/>
      <c r="AL7" s="719"/>
      <c r="AM7" s="719" t="s">
        <v>2609</v>
      </c>
      <c r="AN7" s="724">
        <v>5.25</v>
      </c>
      <c r="AO7" s="719"/>
      <c r="AP7" s="719"/>
      <c r="AQ7" s="719"/>
      <c r="AR7" s="719"/>
      <c r="AS7" s="719"/>
      <c r="AT7" s="719">
        <f>+ab($T$7,$T$5,$T$9,$G$6,$G$8,-1*$F$7,1200)</f>
        <v>23.123258885581365</v>
      </c>
      <c r="AU7" s="719"/>
      <c r="AV7" s="719"/>
      <c r="AW7" s="719"/>
      <c r="AX7" s="719"/>
      <c r="AY7" s="719"/>
      <c r="AZ7" s="483"/>
      <c r="BB7" s="1284" t="s">
        <v>2987</v>
      </c>
      <c r="BC7" s="1289"/>
      <c r="BD7" s="1279"/>
      <c r="BE7" s="1284" t="s">
        <v>3030</v>
      </c>
      <c r="BF7" s="1285" t="s">
        <v>3031</v>
      </c>
      <c r="BH7" s="518"/>
      <c r="BI7" s="531"/>
      <c r="BJ7" s="531"/>
      <c r="BK7" s="532"/>
      <c r="BL7" s="519">
        <f>+(BJ7-BI7)*BK7/1000</f>
        <v>0</v>
      </c>
    </row>
    <row r="8" spans="1:64" ht="15.75" customHeight="1">
      <c r="A8" s="716"/>
      <c r="B8" s="717"/>
      <c r="C8" s="718"/>
      <c r="D8" s="719"/>
      <c r="E8" s="719"/>
      <c r="F8" s="720"/>
      <c r="G8" s="721">
        <f>C7-C9</f>
        <v>33.5</v>
      </c>
      <c r="H8" s="726"/>
      <c r="I8" s="726"/>
      <c r="J8" s="718"/>
      <c r="K8" s="719"/>
      <c r="L8" s="719"/>
      <c r="M8" s="719"/>
      <c r="N8" s="719"/>
      <c r="O8" s="719"/>
      <c r="P8" s="719"/>
      <c r="Q8" s="719"/>
      <c r="R8" s="719"/>
      <c r="S8" s="724">
        <f>AG7-AG9</f>
        <v>39.169999999999995</v>
      </c>
      <c r="T8" s="719"/>
      <c r="U8" s="719"/>
      <c r="V8" s="719"/>
      <c r="W8" s="719"/>
      <c r="X8" s="719"/>
      <c r="Y8" s="719"/>
      <c r="Z8" s="719"/>
      <c r="AA8" s="719"/>
      <c r="AB8" s="719"/>
      <c r="AC8" s="719"/>
      <c r="AD8" s="719"/>
      <c r="AE8" s="719"/>
      <c r="AF8" s="719"/>
      <c r="AG8" s="718"/>
      <c r="AH8" s="719"/>
      <c r="AI8" s="719"/>
      <c r="AJ8" s="719"/>
      <c r="AK8" s="719"/>
      <c r="AL8" s="719"/>
      <c r="AM8" s="719"/>
      <c r="AN8" s="719"/>
      <c r="AO8" s="719"/>
      <c r="AP8" s="719"/>
      <c r="AQ8" s="719">
        <f>+FL_2($T$9,$T$7,$G$8,1200,9.28,-1*$F$9)</f>
        <v>0.19999999999991097</v>
      </c>
      <c r="AR8" s="719"/>
      <c r="AS8" s="719"/>
      <c r="AT8" s="719"/>
      <c r="AU8" s="719"/>
      <c r="AV8" s="719"/>
      <c r="AW8" s="719"/>
      <c r="AX8" s="719"/>
      <c r="AY8" s="719"/>
      <c r="AZ8" s="483"/>
      <c r="BB8" s="1284" t="s">
        <v>2986</v>
      </c>
      <c r="BC8" s="541"/>
      <c r="BD8" s="1279"/>
      <c r="BE8" s="1284" t="s">
        <v>3032</v>
      </c>
      <c r="BF8" s="1285" t="s">
        <v>3033</v>
      </c>
      <c r="BH8" s="545" t="s">
        <v>1015</v>
      </c>
      <c r="BI8" s="546"/>
      <c r="BJ8" s="546"/>
      <c r="BK8" s="546"/>
      <c r="BL8" s="547">
        <f>SUM(BL4:BL7)</f>
        <v>1</v>
      </c>
    </row>
    <row r="9" spans="1:64" ht="15.75" customHeight="1">
      <c r="A9" s="716" t="s">
        <v>2962</v>
      </c>
      <c r="B9" s="725" t="s">
        <v>2709</v>
      </c>
      <c r="C9" s="718">
        <v>48.5</v>
      </c>
      <c r="D9" s="719"/>
      <c r="E9" s="719"/>
      <c r="F9" s="720">
        <v>325</v>
      </c>
      <c r="G9" s="721"/>
      <c r="H9" s="726"/>
      <c r="I9" s="726"/>
      <c r="J9" s="718"/>
      <c r="K9" s="726"/>
      <c r="L9" s="719" t="s">
        <v>241</v>
      </c>
      <c r="M9" s="719"/>
      <c r="N9" s="726" t="s">
        <v>695</v>
      </c>
      <c r="O9" s="719"/>
      <c r="P9" s="719"/>
      <c r="Q9" s="719"/>
      <c r="R9" s="719"/>
      <c r="S9" s="719"/>
      <c r="T9" s="726">
        <v>20</v>
      </c>
      <c r="U9" s="719"/>
      <c r="V9" s="719"/>
      <c r="W9" s="719">
        <v>1.4</v>
      </c>
      <c r="X9" s="719"/>
      <c r="Y9" s="719"/>
      <c r="Z9" s="719"/>
      <c r="AA9" s="719"/>
      <c r="AB9" s="719"/>
      <c r="AC9" s="719" t="s">
        <v>2531</v>
      </c>
      <c r="AD9" s="719"/>
      <c r="AE9" s="719"/>
      <c r="AF9" s="719">
        <v>200</v>
      </c>
      <c r="AG9" s="718">
        <v>50.85</v>
      </c>
      <c r="AH9" s="719">
        <v>921</v>
      </c>
      <c r="AI9" s="719">
        <v>-5123</v>
      </c>
      <c r="AJ9" s="719" t="s">
        <v>2943</v>
      </c>
      <c r="AK9" s="719"/>
      <c r="AL9" s="719"/>
      <c r="AM9" s="719" t="s">
        <v>2609</v>
      </c>
      <c r="AN9" s="719">
        <v>5.25</v>
      </c>
      <c r="AO9" s="719"/>
      <c r="AP9" s="719"/>
      <c r="AQ9" s="719"/>
      <c r="AR9" s="719"/>
      <c r="AS9" s="719"/>
      <c r="AT9" s="719" t="e">
        <f>+ab($T$9,$T$7,#REF!,$G$8,$G$10,-1*$F$9,1200)</f>
        <v>#VALUE!</v>
      </c>
      <c r="AU9" s="719"/>
      <c r="AV9" s="719"/>
      <c r="AW9" s="719"/>
      <c r="AX9" s="719"/>
      <c r="AY9" s="719"/>
      <c r="AZ9" s="483"/>
      <c r="BB9" s="1284" t="s">
        <v>1023</v>
      </c>
      <c r="BC9" s="1290"/>
      <c r="BD9" s="1279"/>
      <c r="BE9" s="1284" t="s">
        <v>1074</v>
      </c>
      <c r="BF9" s="1285" t="s">
        <v>3034</v>
      </c>
      <c r="BH9" s="517"/>
    </row>
    <row r="10" spans="1:64" ht="15.75" customHeight="1">
      <c r="A10" s="716"/>
      <c r="B10" s="717"/>
      <c r="C10" s="718" t="s">
        <v>3165</v>
      </c>
      <c r="D10" s="719"/>
      <c r="E10" s="719"/>
      <c r="F10" s="720"/>
      <c r="G10" s="721">
        <v>35</v>
      </c>
      <c r="H10" s="719"/>
      <c r="I10" s="726"/>
      <c r="J10" s="718"/>
      <c r="K10" s="726"/>
      <c r="L10" s="719"/>
      <c r="M10" s="719"/>
      <c r="N10" s="719"/>
      <c r="O10" s="719"/>
      <c r="P10" s="719"/>
      <c r="Q10" s="719"/>
      <c r="R10" s="719"/>
      <c r="S10" s="719"/>
      <c r="T10" s="719"/>
      <c r="U10" s="719"/>
      <c r="V10" s="719"/>
      <c r="W10" s="719"/>
      <c r="X10" s="719"/>
      <c r="Y10" s="719"/>
      <c r="Z10" s="719"/>
      <c r="AA10" s="719"/>
      <c r="AB10" s="719"/>
      <c r="AC10" s="719"/>
      <c r="AD10" s="719"/>
      <c r="AE10" s="719"/>
      <c r="AF10" s="719"/>
      <c r="AG10" s="718"/>
      <c r="AH10" s="719"/>
      <c r="AI10" s="719"/>
      <c r="AJ10" s="719" t="s">
        <v>985</v>
      </c>
      <c r="AK10" s="719"/>
      <c r="AL10" s="719"/>
      <c r="AM10" s="719"/>
      <c r="AN10" s="719"/>
      <c r="AO10" s="719"/>
      <c r="AP10" s="719"/>
      <c r="AQ10" s="719"/>
      <c r="AR10" s="719"/>
      <c r="AS10" s="719"/>
      <c r="AT10" s="719"/>
      <c r="AU10" s="719"/>
      <c r="AV10" s="719"/>
      <c r="AW10" s="719"/>
      <c r="AX10" s="719"/>
      <c r="AY10" s="719"/>
      <c r="AZ10" s="483"/>
      <c r="BB10" s="1284" t="s">
        <v>1022</v>
      </c>
      <c r="BC10" s="1291"/>
      <c r="BD10" s="1279"/>
      <c r="BE10" s="1284" t="s">
        <v>3035</v>
      </c>
      <c r="BF10" s="1285" t="s">
        <v>3036</v>
      </c>
      <c r="BH10" s="545" t="s">
        <v>1016</v>
      </c>
      <c r="BI10" s="546"/>
      <c r="BJ10" s="546"/>
      <c r="BK10" s="546"/>
      <c r="BL10" s="547">
        <f>+(BJ7-BI7)/1000</f>
        <v>0</v>
      </c>
    </row>
    <row r="11" spans="1:64" ht="15.75" customHeight="1">
      <c r="A11" s="716"/>
      <c r="B11" s="725"/>
      <c r="C11" s="718"/>
      <c r="D11" s="719"/>
      <c r="E11" s="719"/>
      <c r="F11" s="720"/>
      <c r="G11" s="721"/>
      <c r="H11" s="726"/>
      <c r="I11" s="726"/>
      <c r="J11" s="718"/>
      <c r="K11" s="726"/>
      <c r="L11" s="719"/>
      <c r="M11" s="719"/>
      <c r="N11" s="726"/>
      <c r="O11" s="719"/>
      <c r="P11" s="719"/>
      <c r="Q11" s="719"/>
      <c r="R11" s="719"/>
      <c r="S11" s="719"/>
      <c r="T11" s="726"/>
      <c r="U11" s="719"/>
      <c r="V11" s="719"/>
      <c r="W11" s="719"/>
      <c r="X11" s="719"/>
      <c r="Y11" s="719"/>
      <c r="Z11" s="719"/>
      <c r="AA11" s="719"/>
      <c r="AB11" s="719"/>
      <c r="AC11" s="719"/>
      <c r="AD11" s="719"/>
      <c r="AE11" s="719"/>
      <c r="AF11" s="719"/>
      <c r="AG11" s="719"/>
      <c r="AH11" s="719"/>
      <c r="AI11" s="719"/>
      <c r="AJ11" s="719"/>
      <c r="AK11" s="719"/>
      <c r="AL11" s="719"/>
      <c r="AM11" s="719"/>
      <c r="AN11" s="719"/>
      <c r="AO11" s="719"/>
      <c r="AP11" s="719"/>
      <c r="AQ11" s="719"/>
      <c r="AR11" s="719"/>
      <c r="AS11" s="719"/>
      <c r="AT11" s="719"/>
      <c r="AU11" s="719"/>
      <c r="AV11" s="719"/>
      <c r="AW11" s="719"/>
      <c r="AX11" s="719"/>
      <c r="AY11" s="719"/>
      <c r="AZ11" s="483"/>
      <c r="BB11" s="1284" t="s">
        <v>1020</v>
      </c>
      <c r="BC11" s="1292"/>
      <c r="BD11" s="1279"/>
      <c r="BE11" s="1284" t="s">
        <v>3037</v>
      </c>
      <c r="BF11" s="1285" t="s">
        <v>3038</v>
      </c>
      <c r="BH11" s="517"/>
    </row>
    <row r="12" spans="1:64" ht="15.75" customHeight="1">
      <c r="A12" s="500"/>
      <c r="B12" s="480"/>
      <c r="C12" s="481"/>
      <c r="D12" s="47"/>
      <c r="E12" s="47"/>
      <c r="F12" s="478"/>
      <c r="G12" s="479"/>
      <c r="H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Z12" s="483"/>
      <c r="BB12" s="1284" t="s">
        <v>1024</v>
      </c>
      <c r="BC12" s="1293"/>
      <c r="BD12" s="1279"/>
      <c r="BE12" s="1284" t="s">
        <v>3039</v>
      </c>
      <c r="BF12" s="1285" t="s">
        <v>3040</v>
      </c>
      <c r="BH12" s="515" t="s">
        <v>969</v>
      </c>
      <c r="BI12" s="515" t="s">
        <v>962</v>
      </c>
      <c r="BJ12" s="515" t="s">
        <v>963</v>
      </c>
      <c r="BK12" s="515" t="s">
        <v>964</v>
      </c>
      <c r="BL12" s="516" t="s">
        <v>200</v>
      </c>
    </row>
    <row r="13" spans="1:64" ht="15.75" customHeight="1">
      <c r="A13" s="500"/>
      <c r="B13" s="480"/>
      <c r="C13" s="481"/>
      <c r="D13" s="47"/>
      <c r="E13" s="47"/>
      <c r="F13" s="479"/>
      <c r="G13" s="479"/>
      <c r="H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Z13" s="483"/>
      <c r="BB13" s="1284" t="s">
        <v>2989</v>
      </c>
      <c r="BC13" s="1294"/>
      <c r="BD13" s="1279"/>
      <c r="BE13" s="1284"/>
      <c r="BF13" s="1285"/>
      <c r="BH13" s="545"/>
      <c r="BI13" s="546"/>
      <c r="BJ13" s="546"/>
      <c r="BK13" s="546"/>
      <c r="BL13" s="547">
        <f>SUM(BL14:BL19)+SUM(BL24:BL32)</f>
        <v>0</v>
      </c>
    </row>
    <row r="14" spans="1:64" ht="15.75" customHeight="1">
      <c r="A14" s="500"/>
      <c r="B14" s="480"/>
      <c r="C14" s="481"/>
      <c r="D14" s="47"/>
      <c r="E14" s="47"/>
      <c r="F14" s="478"/>
      <c r="G14" s="479"/>
      <c r="H14" s="9"/>
      <c r="J14" s="481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Z14" s="483"/>
      <c r="BB14" s="1284" t="s">
        <v>2984</v>
      </c>
      <c r="BC14" s="1295"/>
      <c r="BD14" s="1279"/>
      <c r="BE14" s="1286" t="s">
        <v>919</v>
      </c>
      <c r="BF14" s="1287"/>
      <c r="BH14" s="518"/>
      <c r="BI14" s="531"/>
      <c r="BJ14" s="531"/>
      <c r="BK14" s="532">
        <v>0</v>
      </c>
      <c r="BL14" s="519">
        <f t="shared" ref="BL14:BL19" si="0">+(BJ14-BI14)*BK14/1000</f>
        <v>0</v>
      </c>
    </row>
    <row r="15" spans="1:64" ht="15.75" customHeight="1">
      <c r="A15" s="500"/>
      <c r="B15" s="480"/>
      <c r="C15" s="481"/>
      <c r="D15" s="47"/>
      <c r="E15" s="47"/>
      <c r="F15" s="478"/>
      <c r="G15" s="479"/>
      <c r="H15" s="9"/>
      <c r="J15" s="481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Z15" s="483"/>
      <c r="BB15" s="1284"/>
      <c r="BC15" s="1285"/>
      <c r="BD15" s="1279"/>
      <c r="BE15" s="1284" t="s">
        <v>3041</v>
      </c>
      <c r="BF15" s="1285" t="s">
        <v>3042</v>
      </c>
      <c r="BH15" s="518"/>
      <c r="BI15" s="531"/>
      <c r="BJ15" s="531"/>
      <c r="BK15" s="532">
        <v>0</v>
      </c>
      <c r="BL15" s="519">
        <f t="shared" si="0"/>
        <v>0</v>
      </c>
    </row>
    <row r="16" spans="1:64" ht="15.75" customHeight="1">
      <c r="A16" s="500"/>
      <c r="B16" s="480"/>
      <c r="C16" s="481"/>
      <c r="D16" s="47"/>
      <c r="E16" s="47"/>
      <c r="F16" s="478"/>
      <c r="G16" s="479"/>
      <c r="H16" s="9"/>
      <c r="I16" s="786"/>
      <c r="J16" s="481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Z16" s="483"/>
      <c r="BB16" s="1284" t="s">
        <v>2982</v>
      </c>
      <c r="BC16" s="1296"/>
      <c r="BD16" s="1279"/>
      <c r="BE16" s="1284" t="s">
        <v>2642</v>
      </c>
      <c r="BF16" s="1285" t="s">
        <v>924</v>
      </c>
      <c r="BH16" s="518"/>
      <c r="BI16" s="531"/>
      <c r="BJ16" s="531"/>
      <c r="BK16" s="532">
        <v>0</v>
      </c>
      <c r="BL16" s="519">
        <f t="shared" si="0"/>
        <v>0</v>
      </c>
    </row>
    <row r="17" spans="1:64" ht="15.75" customHeight="1">
      <c r="A17" s="716" t="s">
        <v>1135</v>
      </c>
      <c r="B17" s="717"/>
      <c r="C17" s="718"/>
      <c r="D17" s="719"/>
      <c r="E17" s="719"/>
      <c r="F17" s="720"/>
      <c r="G17" s="721"/>
      <c r="H17" s="719"/>
      <c r="I17" s="720"/>
      <c r="J17" s="718"/>
      <c r="K17" s="719"/>
      <c r="L17" s="719"/>
      <c r="M17" s="719"/>
      <c r="N17" s="719"/>
      <c r="O17" s="719"/>
      <c r="P17" s="719"/>
      <c r="Q17" s="719"/>
      <c r="R17" s="719"/>
      <c r="S17" s="719"/>
      <c r="T17" s="719"/>
      <c r="U17" s="719"/>
      <c r="V17" s="719"/>
      <c r="W17" s="719"/>
      <c r="X17" s="719"/>
      <c r="Y17" s="719"/>
      <c r="Z17" s="719"/>
      <c r="AA17" s="719"/>
      <c r="AB17" s="719"/>
      <c r="AC17" s="719"/>
      <c r="AD17" s="719"/>
      <c r="AE17" s="719"/>
      <c r="AF17" s="719"/>
      <c r="AG17" s="719"/>
      <c r="AH17" s="719"/>
      <c r="AI17" s="719"/>
      <c r="AJ17" s="719"/>
      <c r="AK17" s="719"/>
      <c r="AL17" s="719"/>
      <c r="AM17" s="719"/>
      <c r="AN17" s="719"/>
      <c r="AO17" s="719"/>
      <c r="AP17" s="719"/>
      <c r="AQ17" s="719"/>
      <c r="AR17" s="719"/>
      <c r="AS17" s="719"/>
      <c r="AT17" s="719"/>
      <c r="AU17" s="719"/>
      <c r="AV17" s="719"/>
      <c r="AW17" s="719"/>
      <c r="AX17" s="719"/>
      <c r="AY17" s="719"/>
      <c r="AZ17" s="483"/>
      <c r="BB17" s="1284" t="s">
        <v>2985</v>
      </c>
      <c r="BC17" s="1297"/>
      <c r="BD17" s="1279"/>
      <c r="BE17" s="1284" t="s">
        <v>2643</v>
      </c>
      <c r="BF17" s="1285" t="s">
        <v>923</v>
      </c>
      <c r="BH17" s="518"/>
      <c r="BI17" s="531"/>
      <c r="BJ17" s="531"/>
      <c r="BK17" s="532">
        <v>0</v>
      </c>
      <c r="BL17" s="519">
        <f t="shared" si="0"/>
        <v>0</v>
      </c>
    </row>
    <row r="18" spans="1:64" ht="15.75" customHeight="1">
      <c r="A18" s="716"/>
      <c r="B18" s="717"/>
      <c r="C18" s="718"/>
      <c r="D18" s="719"/>
      <c r="E18" s="719"/>
      <c r="F18" s="720"/>
      <c r="G18" s="721">
        <v>38.5</v>
      </c>
      <c r="H18" s="726"/>
      <c r="I18" s="726"/>
      <c r="J18" s="718"/>
      <c r="K18" s="719"/>
      <c r="L18" s="719"/>
      <c r="M18" s="719"/>
      <c r="N18" s="719"/>
      <c r="O18" s="719"/>
      <c r="P18" s="719"/>
      <c r="Q18" s="719"/>
      <c r="R18" s="719"/>
      <c r="S18" s="719"/>
      <c r="T18" s="719"/>
      <c r="U18" s="719"/>
      <c r="V18" s="719"/>
      <c r="W18" s="719"/>
      <c r="X18" s="719"/>
      <c r="Y18" s="719"/>
      <c r="Z18" s="719"/>
      <c r="AA18" s="719"/>
      <c r="AB18" s="719"/>
      <c r="AC18" s="719"/>
      <c r="AD18" s="719"/>
      <c r="AE18" s="719"/>
      <c r="AF18" s="719"/>
      <c r="AG18" s="719"/>
      <c r="AH18" s="719"/>
      <c r="AI18" s="719"/>
      <c r="AJ18" s="719"/>
      <c r="AK18" s="719"/>
      <c r="AL18" s="719"/>
      <c r="AM18" s="719"/>
      <c r="AN18" s="719"/>
      <c r="AO18" s="719"/>
      <c r="AP18" s="719"/>
      <c r="AQ18" s="719"/>
      <c r="AR18" s="719"/>
      <c r="AS18" s="719"/>
      <c r="AT18" s="719"/>
      <c r="AU18" s="719"/>
      <c r="AV18" s="719"/>
      <c r="AW18" s="719"/>
      <c r="AX18" s="719"/>
      <c r="AY18" s="719"/>
      <c r="AZ18" s="483"/>
      <c r="BB18" s="1284" t="s">
        <v>2988</v>
      </c>
      <c r="BC18" s="1298"/>
      <c r="BD18" s="1279"/>
      <c r="BE18" s="1284"/>
      <c r="BF18" s="1285"/>
      <c r="BH18" s="518"/>
      <c r="BI18" s="531"/>
      <c r="BJ18" s="531"/>
      <c r="BK18" s="532">
        <v>0</v>
      </c>
      <c r="BL18" s="519">
        <f t="shared" si="0"/>
        <v>0</v>
      </c>
    </row>
    <row r="19" spans="1:64" ht="15.75" customHeight="1">
      <c r="A19" s="716"/>
      <c r="B19" s="717" t="s">
        <v>2030</v>
      </c>
      <c r="C19" s="718">
        <v>60</v>
      </c>
      <c r="D19" s="719"/>
      <c r="E19" s="719"/>
      <c r="F19" s="720">
        <f>-10000/(C19-51)</f>
        <v>-1111.1111111111111</v>
      </c>
      <c r="G19" s="721"/>
      <c r="H19" s="719"/>
      <c r="I19" s="722"/>
      <c r="J19" s="718"/>
      <c r="K19" s="719"/>
      <c r="L19" s="719" t="s">
        <v>241</v>
      </c>
      <c r="M19" s="719"/>
      <c r="N19" s="719" t="s">
        <v>696</v>
      </c>
      <c r="O19" s="726"/>
      <c r="P19" s="719"/>
      <c r="Q19" s="719">
        <v>7</v>
      </c>
      <c r="R19" s="719">
        <v>-1162.8</v>
      </c>
      <c r="S19" s="719"/>
      <c r="T19" s="719">
        <v>30</v>
      </c>
      <c r="U19" s="719"/>
      <c r="V19" s="719"/>
      <c r="W19" s="719">
        <v>1.4</v>
      </c>
      <c r="X19" s="719"/>
      <c r="Y19" s="719"/>
      <c r="Z19" s="719"/>
      <c r="AA19" s="719"/>
      <c r="AB19" s="719"/>
      <c r="AC19" s="719" t="s">
        <v>3003</v>
      </c>
      <c r="AD19" s="719"/>
      <c r="AE19" s="719"/>
      <c r="AF19" s="719">
        <v>200</v>
      </c>
      <c r="AG19" s="718">
        <v>59.470999999999997</v>
      </c>
      <c r="AH19" s="719">
        <v>1506</v>
      </c>
      <c r="AI19" s="719">
        <v>-5083</v>
      </c>
      <c r="AJ19" s="719"/>
      <c r="AK19" s="719"/>
      <c r="AL19" s="719"/>
      <c r="AM19" s="719" t="s">
        <v>2609</v>
      </c>
      <c r="AN19" s="719">
        <v>5.25</v>
      </c>
      <c r="AO19" s="719"/>
      <c r="AP19" s="719"/>
      <c r="AQ19" s="719"/>
      <c r="AR19" s="719"/>
      <c r="AS19" s="719"/>
      <c r="AT19" s="719">
        <f>+ab($T$19,$T$17,$T$21,$G$18,$G$20,-1*$F$19,1200)</f>
        <v>4.8719572010878709</v>
      </c>
      <c r="AU19" s="719"/>
      <c r="AV19" s="719"/>
      <c r="AW19" s="719"/>
      <c r="AX19" s="719"/>
      <c r="AY19" s="719"/>
      <c r="AZ19" s="483"/>
      <c r="BB19" s="1284" t="s">
        <v>2983</v>
      </c>
      <c r="BC19" s="1299"/>
      <c r="BD19" s="1279"/>
      <c r="BE19" s="1286" t="s">
        <v>897</v>
      </c>
      <c r="BF19" s="1287"/>
      <c r="BH19" s="518"/>
      <c r="BI19" s="551"/>
      <c r="BJ19" s="551"/>
      <c r="BK19" s="552">
        <v>0</v>
      </c>
      <c r="BL19" s="553">
        <f t="shared" si="0"/>
        <v>0</v>
      </c>
    </row>
    <row r="20" spans="1:64" ht="15.75" customHeight="1">
      <c r="A20" s="716"/>
      <c r="B20" s="717"/>
      <c r="C20" s="718"/>
      <c r="D20" s="719"/>
      <c r="E20" s="719"/>
      <c r="F20" s="720"/>
      <c r="G20" s="721">
        <v>31.5</v>
      </c>
      <c r="H20" s="726"/>
      <c r="I20" s="722"/>
      <c r="J20" s="718"/>
      <c r="K20" s="719"/>
      <c r="L20" s="719"/>
      <c r="M20" s="719"/>
      <c r="N20" s="719"/>
      <c r="O20" s="726"/>
      <c r="P20" s="719"/>
      <c r="Q20" s="719"/>
      <c r="R20" s="719"/>
      <c r="S20" s="724">
        <f>AG21-AG19</f>
        <v>31.598999999999997</v>
      </c>
      <c r="T20" s="719"/>
      <c r="U20" s="719"/>
      <c r="V20" s="719"/>
      <c r="W20" s="719"/>
      <c r="X20" s="719"/>
      <c r="Y20" s="719"/>
      <c r="Z20" s="719"/>
      <c r="AA20" s="719"/>
      <c r="AB20" s="719"/>
      <c r="AC20" s="719"/>
      <c r="AD20" s="719"/>
      <c r="AE20" s="719"/>
      <c r="AF20" s="719"/>
      <c r="AG20" s="718"/>
      <c r="AH20" s="719"/>
      <c r="AI20" s="719"/>
      <c r="AJ20" s="719"/>
      <c r="AK20" s="719"/>
      <c r="AL20" s="719"/>
      <c r="AM20" s="719"/>
      <c r="AN20" s="719"/>
      <c r="AO20" s="719"/>
      <c r="AP20" s="719"/>
      <c r="AQ20" s="719">
        <f>+FL_1($T$21,$T$19,$G$20,1200,9.28, 1*$F$21)</f>
        <v>0.64404156555190584</v>
      </c>
      <c r="AR20" s="719"/>
      <c r="AS20" s="719"/>
      <c r="AT20" s="719"/>
      <c r="AU20" s="719"/>
      <c r="AV20" s="719"/>
      <c r="AW20" s="719"/>
      <c r="AX20" s="719"/>
      <c r="AY20" s="719"/>
      <c r="AZ20" s="483"/>
      <c r="BB20" s="1284" t="s">
        <v>3043</v>
      </c>
      <c r="BC20" s="1300"/>
      <c r="BD20" s="1279"/>
      <c r="BE20" s="1284" t="s">
        <v>1065</v>
      </c>
      <c r="BF20" s="1285" t="s">
        <v>144</v>
      </c>
      <c r="BH20" s="545" t="s">
        <v>1139</v>
      </c>
      <c r="BL20" s="554">
        <f>SUM(BL14:BL19)</f>
        <v>0</v>
      </c>
    </row>
    <row r="21" spans="1:64" ht="15.75" customHeight="1">
      <c r="A21" s="716"/>
      <c r="B21" s="717" t="s">
        <v>2031</v>
      </c>
      <c r="C21" s="718">
        <f>C19+G20</f>
        <v>91.5</v>
      </c>
      <c r="D21" s="719"/>
      <c r="E21" s="719">
        <v>-20</v>
      </c>
      <c r="F21" s="720">
        <v>-500</v>
      </c>
      <c r="G21" s="721"/>
      <c r="H21" s="726" t="s">
        <v>138</v>
      </c>
      <c r="I21" s="726" t="s">
        <v>2827</v>
      </c>
      <c r="J21" s="727"/>
      <c r="K21" s="719"/>
      <c r="L21" s="719" t="s">
        <v>241</v>
      </c>
      <c r="M21" s="719"/>
      <c r="N21" s="719" t="s">
        <v>696</v>
      </c>
      <c r="O21" s="726"/>
      <c r="P21" s="719"/>
      <c r="Q21" s="719">
        <v>22</v>
      </c>
      <c r="R21" s="719">
        <v>-500</v>
      </c>
      <c r="S21" s="719"/>
      <c r="T21" s="719">
        <v>30</v>
      </c>
      <c r="U21" s="719"/>
      <c r="V21" s="719"/>
      <c r="W21" s="719">
        <v>1.4</v>
      </c>
      <c r="X21" s="719"/>
      <c r="Y21" s="719"/>
      <c r="Z21" s="719"/>
      <c r="AA21" s="719"/>
      <c r="AB21" s="719"/>
      <c r="AC21" s="719" t="s">
        <v>2616</v>
      </c>
      <c r="AD21" s="719"/>
      <c r="AE21" s="719"/>
      <c r="AF21" s="719">
        <v>200</v>
      </c>
      <c r="AG21" s="718">
        <v>91.07</v>
      </c>
      <c r="AH21" s="719">
        <v>1471</v>
      </c>
      <c r="AI21" s="719">
        <v>-4943</v>
      </c>
      <c r="AJ21" s="719"/>
      <c r="AK21" s="719"/>
      <c r="AL21" s="719"/>
      <c r="AM21" s="719" t="s">
        <v>2609</v>
      </c>
      <c r="AN21" s="719">
        <v>5.25</v>
      </c>
      <c r="AO21" s="719"/>
      <c r="AP21" s="719"/>
      <c r="AQ21" s="719"/>
      <c r="AR21" s="719"/>
      <c r="AS21" s="719"/>
      <c r="AT21" s="719">
        <f>+ab($T$21,$T$19,$T$23,$G$20,$G$22, 1*$F$21,1200)</f>
        <v>-2.7740276375289059</v>
      </c>
      <c r="AU21" s="719"/>
      <c r="AV21" s="719"/>
      <c r="AW21" s="719"/>
      <c r="AX21" s="719"/>
      <c r="AY21" s="719"/>
      <c r="AZ21" s="483"/>
      <c r="BB21" s="1284"/>
      <c r="BC21" s="1285"/>
      <c r="BD21" s="1279"/>
      <c r="BE21" s="1284" t="s">
        <v>1094</v>
      </c>
      <c r="BF21" s="1285" t="s">
        <v>145</v>
      </c>
      <c r="BH21" s="517"/>
      <c r="BL21" s="519"/>
    </row>
    <row r="22" spans="1:64" ht="15.75" customHeight="1">
      <c r="A22" s="716"/>
      <c r="B22" s="717"/>
      <c r="C22" s="718"/>
      <c r="D22" s="719"/>
      <c r="E22" s="719"/>
      <c r="F22" s="720"/>
      <c r="G22" s="721">
        <v>29</v>
      </c>
      <c r="H22" s="726"/>
      <c r="I22" s="726"/>
      <c r="J22" s="718">
        <f>C21+10</f>
        <v>101.5</v>
      </c>
      <c r="K22" s="719" t="s">
        <v>2587</v>
      </c>
      <c r="L22" s="719"/>
      <c r="M22" s="719"/>
      <c r="N22" s="719"/>
      <c r="O22" s="726"/>
      <c r="P22" s="719"/>
      <c r="Q22" s="719"/>
      <c r="R22" s="719"/>
      <c r="S22" s="724">
        <f>AG23-AG21</f>
        <v>28.134</v>
      </c>
      <c r="T22" s="719"/>
      <c r="U22" s="719"/>
      <c r="V22" s="719"/>
      <c r="W22" s="719"/>
      <c r="X22" s="719"/>
      <c r="Y22" s="719"/>
      <c r="Z22" s="719"/>
      <c r="AA22" s="719"/>
      <c r="AB22" s="719"/>
      <c r="AC22" s="719"/>
      <c r="AD22" s="719"/>
      <c r="AE22" s="719"/>
      <c r="AF22" s="719"/>
      <c r="AG22" s="718"/>
      <c r="AH22" s="719"/>
      <c r="AI22" s="719"/>
      <c r="AJ22" s="719"/>
      <c r="AK22" s="719"/>
      <c r="AL22" s="719"/>
      <c r="AM22" s="719"/>
      <c r="AN22" s="719"/>
      <c r="AO22" s="719"/>
      <c r="AP22" s="719"/>
      <c r="AQ22" s="719">
        <f>+FL_1($U$23,$T$21,$G$22,1200,9.28, 1*$F$23)</f>
        <v>0.50016326182193094</v>
      </c>
      <c r="AR22" s="719"/>
      <c r="AS22" s="719"/>
      <c r="AT22" s="719"/>
      <c r="AU22" s="719"/>
      <c r="AV22" s="719"/>
      <c r="AW22" s="719"/>
      <c r="AX22" s="719"/>
      <c r="AY22" s="719"/>
      <c r="AZ22" s="483"/>
      <c r="BB22" s="1286" t="s">
        <v>1026</v>
      </c>
      <c r="BC22" s="1287"/>
      <c r="BD22" s="1279"/>
      <c r="BE22" s="1284" t="s">
        <v>1066</v>
      </c>
      <c r="BF22" s="1285" t="s">
        <v>140</v>
      </c>
      <c r="BH22" s="545" t="s">
        <v>1142</v>
      </c>
      <c r="BI22" s="546"/>
      <c r="BJ22" s="546"/>
      <c r="BK22" s="546"/>
      <c r="BL22" s="547">
        <f>(SUM(BJ14:BJ19)-SUM(BI14:BI19))/1000</f>
        <v>0</v>
      </c>
    </row>
    <row r="23" spans="1:64" ht="15.75" customHeight="1" thickBot="1">
      <c r="A23" s="716"/>
      <c r="B23" s="717" t="s">
        <v>2991</v>
      </c>
      <c r="C23" s="718">
        <f>C21+G22</f>
        <v>120.5</v>
      </c>
      <c r="D23" s="719"/>
      <c r="E23" s="719">
        <v>-20</v>
      </c>
      <c r="F23" s="720">
        <v>-500</v>
      </c>
      <c r="G23" s="721"/>
      <c r="H23" s="726" t="s">
        <v>668</v>
      </c>
      <c r="I23" s="722"/>
      <c r="J23" s="727"/>
      <c r="K23" s="719"/>
      <c r="L23" s="719" t="s">
        <v>465</v>
      </c>
      <c r="M23" s="719"/>
      <c r="N23" s="726" t="s">
        <v>697</v>
      </c>
      <c r="O23" s="719" t="s">
        <v>696</v>
      </c>
      <c r="P23" s="719"/>
      <c r="Q23" s="719">
        <v>22</v>
      </c>
      <c r="R23" s="719">
        <v>-500</v>
      </c>
      <c r="S23" s="724"/>
      <c r="T23" s="719">
        <v>55</v>
      </c>
      <c r="U23" s="719">
        <v>10</v>
      </c>
      <c r="V23" s="719"/>
      <c r="W23" s="719">
        <v>1.4</v>
      </c>
      <c r="X23" s="719">
        <v>2.2999999999999998</v>
      </c>
      <c r="Y23" s="719"/>
      <c r="Z23" s="724">
        <v>0.5</v>
      </c>
      <c r="AA23" s="724"/>
      <c r="AB23" s="719"/>
      <c r="AC23" s="719"/>
      <c r="AD23" s="719" t="s">
        <v>3003</v>
      </c>
      <c r="AE23" s="719"/>
      <c r="AF23" s="719">
        <v>200</v>
      </c>
      <c r="AG23" s="718">
        <v>119.20399999999999</v>
      </c>
      <c r="AH23" s="719">
        <v>1476</v>
      </c>
      <c r="AI23" s="719">
        <v>-5047</v>
      </c>
      <c r="AJ23" s="719"/>
      <c r="AK23" s="719"/>
      <c r="AL23" s="719"/>
      <c r="AM23" s="719" t="s">
        <v>2609</v>
      </c>
      <c r="AN23" s="719">
        <v>5.25</v>
      </c>
      <c r="AO23" s="719"/>
      <c r="AP23" s="719"/>
      <c r="AQ23" s="719"/>
      <c r="AR23" s="719"/>
      <c r="AS23" s="719"/>
      <c r="AT23" s="719">
        <f>+ab($U$23,$T$21,$U$25,$G$22,$G$24, 1*$F$23,1200)</f>
        <v>-3.1097311742762561</v>
      </c>
      <c r="AU23" s="719"/>
      <c r="AV23" s="719"/>
      <c r="AW23" s="719"/>
      <c r="AX23" s="719"/>
      <c r="AY23" s="719"/>
      <c r="AZ23" s="483"/>
      <c r="BB23" s="1284" t="s">
        <v>1029</v>
      </c>
      <c r="BC23" s="1285" t="s">
        <v>138</v>
      </c>
      <c r="BD23" s="1279"/>
      <c r="BE23" s="1284" t="s">
        <v>1067</v>
      </c>
      <c r="BF23" s="1285" t="s">
        <v>695</v>
      </c>
      <c r="BH23" s="517"/>
      <c r="BL23" s="519"/>
    </row>
    <row r="24" spans="1:64" ht="15.75" customHeight="1">
      <c r="A24" s="716"/>
      <c r="B24" s="717"/>
      <c r="C24" s="718"/>
      <c r="D24" s="719"/>
      <c r="E24" s="719"/>
      <c r="F24" s="720"/>
      <c r="G24" s="721">
        <v>32</v>
      </c>
      <c r="H24" s="726"/>
      <c r="I24" s="722"/>
      <c r="J24" s="727"/>
      <c r="K24" s="719"/>
      <c r="L24" s="719"/>
      <c r="M24" s="719"/>
      <c r="N24" s="726"/>
      <c r="O24" s="726"/>
      <c r="P24" s="719"/>
      <c r="Q24" s="719">
        <v>20</v>
      </c>
      <c r="R24" s="719">
        <v>-500</v>
      </c>
      <c r="S24" s="724">
        <f t="shared" ref="S24" si="1">AG25-AG23</f>
        <v>32.147000000000006</v>
      </c>
      <c r="T24" s="719"/>
      <c r="U24" s="719"/>
      <c r="V24" s="719"/>
      <c r="W24" s="719"/>
      <c r="X24" s="719"/>
      <c r="Y24" s="719"/>
      <c r="Z24" s="724"/>
      <c r="AA24" s="724"/>
      <c r="AB24" s="719"/>
      <c r="AC24" s="719"/>
      <c r="AD24" s="719"/>
      <c r="AE24" s="719"/>
      <c r="AF24" s="719">
        <v>200</v>
      </c>
      <c r="AG24" s="718">
        <v>120.72199999999999</v>
      </c>
      <c r="AH24" s="719">
        <v>1468</v>
      </c>
      <c r="AI24" s="719">
        <v>-5036</v>
      </c>
      <c r="AJ24" s="719"/>
      <c r="AK24" s="719"/>
      <c r="AL24" s="719"/>
      <c r="AM24" s="719"/>
      <c r="AN24" s="719"/>
      <c r="AO24" s="719"/>
      <c r="AP24" s="719"/>
      <c r="AQ24" s="719">
        <f>+FL_1($U$25,$U$23,$G$24,1200,9.28, 1*$F$25)</f>
        <v>0.36209216791827725</v>
      </c>
      <c r="AR24" s="719"/>
      <c r="AS24" s="719"/>
      <c r="AT24" s="719"/>
      <c r="AU24" s="719"/>
      <c r="AV24" s="719"/>
      <c r="AW24" s="719"/>
      <c r="AX24" s="719"/>
      <c r="AY24" s="719"/>
      <c r="AZ24" s="483"/>
      <c r="BB24" s="1284" t="s">
        <v>1030</v>
      </c>
      <c r="BC24" s="1285" t="s">
        <v>1028</v>
      </c>
      <c r="BD24" s="1301"/>
      <c r="BE24" s="1284" t="s">
        <v>1068</v>
      </c>
      <c r="BF24" s="1285" t="s">
        <v>696</v>
      </c>
      <c r="BH24" s="518"/>
      <c r="BI24" s="531"/>
      <c r="BJ24" s="531"/>
      <c r="BK24" s="532">
        <v>0</v>
      </c>
      <c r="BL24" s="684">
        <f t="shared" ref="BL24:BL26" si="2">+(BJ24-BI24)*BK24/1000</f>
        <v>0</v>
      </c>
    </row>
    <row r="25" spans="1:64" ht="15.75" customHeight="1">
      <c r="A25" s="716"/>
      <c r="B25" s="717" t="s">
        <v>2992</v>
      </c>
      <c r="C25" s="718">
        <f>C23+G24</f>
        <v>152.5</v>
      </c>
      <c r="D25" s="719"/>
      <c r="E25" s="719">
        <v>-20</v>
      </c>
      <c r="F25" s="720">
        <v>-500</v>
      </c>
      <c r="G25" s="721"/>
      <c r="H25" s="726" t="s">
        <v>668</v>
      </c>
      <c r="I25" s="726"/>
      <c r="J25" s="727"/>
      <c r="K25" s="719"/>
      <c r="L25" s="719" t="s">
        <v>465</v>
      </c>
      <c r="M25" s="719"/>
      <c r="N25" s="719" t="s">
        <v>696</v>
      </c>
      <c r="O25" s="719" t="s">
        <v>696</v>
      </c>
      <c r="P25" s="719"/>
      <c r="Q25" s="719">
        <v>20</v>
      </c>
      <c r="R25" s="719">
        <v>-500</v>
      </c>
      <c r="S25" s="724"/>
      <c r="T25" s="719">
        <v>35</v>
      </c>
      <c r="U25" s="719">
        <v>-10</v>
      </c>
      <c r="V25" s="719"/>
      <c r="W25" s="719">
        <v>1.4</v>
      </c>
      <c r="X25" s="719">
        <v>2.2999999999999998</v>
      </c>
      <c r="Y25" s="719"/>
      <c r="Z25" s="724">
        <v>0.1</v>
      </c>
      <c r="AA25" s="724"/>
      <c r="AB25" s="719"/>
      <c r="AC25" s="719" t="s">
        <v>3003</v>
      </c>
      <c r="AD25" s="719" t="s">
        <v>3148</v>
      </c>
      <c r="AE25" s="719"/>
      <c r="AF25" s="719">
        <v>200</v>
      </c>
      <c r="AG25" s="718">
        <v>151.351</v>
      </c>
      <c r="AH25" s="719">
        <v>1506</v>
      </c>
      <c r="AI25" s="719">
        <v>-4946</v>
      </c>
      <c r="AJ25" s="719"/>
      <c r="AK25" s="719"/>
      <c r="AL25" s="719"/>
      <c r="AM25" s="719" t="s">
        <v>2609</v>
      </c>
      <c r="AN25" s="719">
        <v>5.25</v>
      </c>
      <c r="AO25" s="719"/>
      <c r="AP25" s="719"/>
      <c r="AQ25" s="719"/>
      <c r="AR25" s="719"/>
      <c r="AS25" s="719"/>
      <c r="AT25" s="719">
        <f>+ab($U$25,$U$23,$U$27,$G$24,$G$26, 1*$F$25,1200)</f>
        <v>-2.8347766453713406</v>
      </c>
      <c r="AU25" s="719"/>
      <c r="AV25" s="719"/>
      <c r="AW25" s="719"/>
      <c r="AX25" s="719"/>
      <c r="AY25" s="719"/>
      <c r="AZ25" s="483"/>
      <c r="BB25" s="1284" t="s">
        <v>1032</v>
      </c>
      <c r="BC25" s="1285" t="s">
        <v>668</v>
      </c>
      <c r="BD25" s="1301"/>
      <c r="BE25" s="1284" t="s">
        <v>1069</v>
      </c>
      <c r="BF25" s="1285" t="s">
        <v>697</v>
      </c>
      <c r="BH25" s="518"/>
      <c r="BI25" s="531"/>
      <c r="BJ25" s="531"/>
      <c r="BK25" s="532">
        <v>0</v>
      </c>
      <c r="BL25" s="686">
        <f t="shared" si="2"/>
        <v>0</v>
      </c>
    </row>
    <row r="26" spans="1:64" ht="15.75" customHeight="1">
      <c r="A26" s="716"/>
      <c r="B26" s="717"/>
      <c r="C26" s="718"/>
      <c r="D26" s="719"/>
      <c r="E26" s="719"/>
      <c r="F26" s="720"/>
      <c r="G26" s="721">
        <v>31</v>
      </c>
      <c r="H26" s="726"/>
      <c r="I26" s="726"/>
      <c r="J26" s="727"/>
      <c r="K26" s="719"/>
      <c r="L26" s="719"/>
      <c r="M26" s="719"/>
      <c r="N26" s="726"/>
      <c r="O26" s="726"/>
      <c r="P26" s="719"/>
      <c r="Q26" s="719">
        <v>20</v>
      </c>
      <c r="R26" s="719">
        <v>-500</v>
      </c>
      <c r="S26" s="724">
        <f t="shared" ref="S26" si="3">AG27-AG25</f>
        <v>30.99799999999999</v>
      </c>
      <c r="T26" s="719"/>
      <c r="U26" s="719"/>
      <c r="V26" s="719"/>
      <c r="W26" s="719"/>
      <c r="X26" s="719"/>
      <c r="Y26" s="719"/>
      <c r="Z26" s="724"/>
      <c r="AA26" s="724"/>
      <c r="AB26" s="719"/>
      <c r="AC26" s="719"/>
      <c r="AD26" s="719"/>
      <c r="AE26" s="719"/>
      <c r="AF26" s="719">
        <v>200</v>
      </c>
      <c r="AG26" s="718">
        <v>152.92400000000001</v>
      </c>
      <c r="AH26" s="719">
        <v>1497</v>
      </c>
      <c r="AI26" s="719">
        <v>-4939</v>
      </c>
      <c r="AJ26" s="719"/>
      <c r="AK26" s="719"/>
      <c r="AL26" s="719"/>
      <c r="AM26" s="719"/>
      <c r="AN26" s="719"/>
      <c r="AO26" s="719"/>
      <c r="AP26" s="719"/>
      <c r="AQ26" s="719">
        <f>+FL_1($T$27,$U$25,$G$26,1200,9.28, 1*$F$27)</f>
        <v>0.46321128556179136</v>
      </c>
      <c r="AR26" s="719"/>
      <c r="AS26" s="719"/>
      <c r="AT26" s="719"/>
      <c r="AU26" s="719"/>
      <c r="AV26" s="719"/>
      <c r="AW26" s="719"/>
      <c r="AX26" s="719"/>
      <c r="AY26" s="719"/>
      <c r="AZ26" s="483"/>
      <c r="BB26" s="1284" t="s">
        <v>1031</v>
      </c>
      <c r="BC26" s="1285" t="s">
        <v>669</v>
      </c>
      <c r="BD26" s="1301"/>
      <c r="BE26" s="1284" t="s">
        <v>1070</v>
      </c>
      <c r="BF26" s="1285" t="s">
        <v>952</v>
      </c>
      <c r="BH26" s="518"/>
      <c r="BI26" s="531"/>
      <c r="BJ26" s="531"/>
      <c r="BK26" s="532">
        <v>0</v>
      </c>
      <c r="BL26" s="686">
        <f t="shared" si="2"/>
        <v>0</v>
      </c>
    </row>
    <row r="27" spans="1:64" ht="15.75" customHeight="1">
      <c r="A27" s="716"/>
      <c r="B27" s="717" t="s">
        <v>2032</v>
      </c>
      <c r="C27" s="718">
        <f>C25+G26</f>
        <v>183.5</v>
      </c>
      <c r="D27" s="719"/>
      <c r="E27" s="719">
        <v>-20</v>
      </c>
      <c r="F27" s="720">
        <v>-500</v>
      </c>
      <c r="G27" s="721"/>
      <c r="H27" s="726" t="s">
        <v>668</v>
      </c>
      <c r="I27" s="726"/>
      <c r="J27" s="727"/>
      <c r="K27" s="719"/>
      <c r="L27" s="719" t="s">
        <v>465</v>
      </c>
      <c r="M27" s="719"/>
      <c r="N27" s="719" t="s">
        <v>696</v>
      </c>
      <c r="O27" s="719" t="s">
        <v>696</v>
      </c>
      <c r="P27" s="719"/>
      <c r="Q27" s="719">
        <v>22</v>
      </c>
      <c r="R27" s="719">
        <v>-500</v>
      </c>
      <c r="S27" s="724"/>
      <c r="T27" s="719">
        <v>30</v>
      </c>
      <c r="U27" s="719">
        <v>-15</v>
      </c>
      <c r="V27" s="719"/>
      <c r="W27" s="719">
        <v>1.4</v>
      </c>
      <c r="X27" s="719">
        <v>2.2999999999999998</v>
      </c>
      <c r="Y27" s="719"/>
      <c r="Z27" s="724"/>
      <c r="AA27" s="724">
        <v>0.1</v>
      </c>
      <c r="AB27" s="719"/>
      <c r="AC27" s="719" t="s">
        <v>3003</v>
      </c>
      <c r="AD27" s="719" t="s">
        <v>493</v>
      </c>
      <c r="AE27" s="719"/>
      <c r="AF27" s="719">
        <v>200</v>
      </c>
      <c r="AG27" s="718">
        <v>182.34899999999999</v>
      </c>
      <c r="AH27" s="719">
        <v>1491</v>
      </c>
      <c r="AI27" s="719">
        <v>-5048</v>
      </c>
      <c r="AJ27" s="719"/>
      <c r="AK27" s="719"/>
      <c r="AL27" s="719"/>
      <c r="AM27" s="719" t="s">
        <v>2609</v>
      </c>
      <c r="AN27" s="719">
        <v>5.25</v>
      </c>
      <c r="AO27" s="719"/>
      <c r="AP27" s="719"/>
      <c r="AQ27" s="719"/>
      <c r="AR27" s="719"/>
      <c r="AS27" s="719"/>
      <c r="AT27" s="719">
        <f>+ab($T$27,$T$25,$T$29,$G$26,$G$28, 1*$F$27,1200)</f>
        <v>-3.0137856638367424</v>
      </c>
      <c r="AU27" s="719"/>
      <c r="AV27" s="719"/>
      <c r="AW27" s="719"/>
      <c r="AX27" s="719"/>
      <c r="AY27" s="719"/>
      <c r="AZ27" s="483"/>
      <c r="BB27" s="1284" t="s">
        <v>1034</v>
      </c>
      <c r="BC27" s="1285" t="s">
        <v>996</v>
      </c>
      <c r="BD27" s="1301"/>
      <c r="BE27" s="1284" t="s">
        <v>1071</v>
      </c>
      <c r="BF27" s="1285" t="s">
        <v>953</v>
      </c>
      <c r="BH27" s="518"/>
      <c r="BI27" s="531"/>
      <c r="BJ27" s="531"/>
      <c r="BK27" s="532">
        <v>0</v>
      </c>
      <c r="BL27" s="686"/>
    </row>
    <row r="28" spans="1:64" ht="15.75" customHeight="1">
      <c r="A28" s="716"/>
      <c r="B28" s="717"/>
      <c r="C28" s="718"/>
      <c r="D28" s="719"/>
      <c r="E28" s="719"/>
      <c r="F28" s="720"/>
      <c r="G28" s="721">
        <v>31</v>
      </c>
      <c r="H28" s="726"/>
      <c r="I28" s="722"/>
      <c r="J28" s="727"/>
      <c r="K28" s="719"/>
      <c r="L28" s="719"/>
      <c r="M28" s="719"/>
      <c r="N28" s="726"/>
      <c r="O28" s="726"/>
      <c r="P28" s="719"/>
      <c r="Q28" s="719">
        <v>21</v>
      </c>
      <c r="R28" s="719">
        <v>-500</v>
      </c>
      <c r="S28" s="724">
        <f t="shared" ref="S28" si="4">AG29-AG27</f>
        <v>31.217000000000013</v>
      </c>
      <c r="T28" s="719"/>
      <c r="U28" s="719"/>
      <c r="V28" s="719"/>
      <c r="W28" s="719"/>
      <c r="X28" s="719"/>
      <c r="Y28" s="719"/>
      <c r="Z28" s="724"/>
      <c r="AA28" s="724"/>
      <c r="AB28" s="719"/>
      <c r="AC28" s="719"/>
      <c r="AD28" s="719"/>
      <c r="AE28" s="719"/>
      <c r="AF28" s="719">
        <v>200</v>
      </c>
      <c r="AG28" s="718">
        <v>183.887</v>
      </c>
      <c r="AH28" s="719">
        <v>1503</v>
      </c>
      <c r="AI28" s="719">
        <v>-5010</v>
      </c>
      <c r="AJ28" s="719"/>
      <c r="AK28" s="719"/>
      <c r="AL28" s="719"/>
      <c r="AM28" s="719"/>
      <c r="AN28" s="719"/>
      <c r="AO28" s="719"/>
      <c r="AP28" s="719"/>
      <c r="AQ28" s="719">
        <f>+FL_1($T$29,$T$27,$G$28,1200,9.28, 1*$F$29)</f>
        <v>0.63320441448029774</v>
      </c>
      <c r="AR28" s="719"/>
      <c r="AS28" s="719"/>
      <c r="AT28" s="719"/>
      <c r="AU28" s="719"/>
      <c r="AV28" s="719"/>
      <c r="AW28" s="719"/>
      <c r="AX28" s="719"/>
      <c r="AY28" s="719"/>
      <c r="AZ28" s="483"/>
      <c r="BB28" s="1284" t="s">
        <v>1033</v>
      </c>
      <c r="BC28" s="1285" t="s">
        <v>997</v>
      </c>
      <c r="BD28" s="1301"/>
      <c r="BE28" s="1284" t="s">
        <v>1072</v>
      </c>
      <c r="BF28" s="1285" t="s">
        <v>954</v>
      </c>
      <c r="BH28" s="518"/>
      <c r="BI28" s="531"/>
      <c r="BJ28" s="531"/>
      <c r="BK28" s="532">
        <v>0</v>
      </c>
      <c r="BL28" s="686"/>
    </row>
    <row r="29" spans="1:64" ht="15.75" customHeight="1">
      <c r="A29" s="716" t="s">
        <v>2995</v>
      </c>
      <c r="B29" s="717" t="s">
        <v>2033</v>
      </c>
      <c r="C29" s="718">
        <f>C27+G28</f>
        <v>214.5</v>
      </c>
      <c r="D29" s="719"/>
      <c r="E29" s="719">
        <v>-20</v>
      </c>
      <c r="F29" s="720">
        <v>-500</v>
      </c>
      <c r="G29" s="721"/>
      <c r="H29" s="726" t="s">
        <v>668</v>
      </c>
      <c r="I29" s="722" t="s">
        <v>2645</v>
      </c>
      <c r="J29" s="727"/>
      <c r="K29" s="719"/>
      <c r="L29" s="719" t="s">
        <v>465</v>
      </c>
      <c r="M29" s="719"/>
      <c r="N29" s="719" t="s">
        <v>696</v>
      </c>
      <c r="O29" s="726" t="s">
        <v>697</v>
      </c>
      <c r="P29" s="719"/>
      <c r="Q29" s="719">
        <v>20</v>
      </c>
      <c r="R29" s="719">
        <v>-500</v>
      </c>
      <c r="S29" s="724"/>
      <c r="T29" s="719">
        <v>30</v>
      </c>
      <c r="U29" s="719">
        <v>-15</v>
      </c>
      <c r="V29" s="719"/>
      <c r="W29" s="719">
        <v>1.4</v>
      </c>
      <c r="X29" s="719">
        <v>2.2999999999999998</v>
      </c>
      <c r="Y29" s="719"/>
      <c r="Z29" s="724"/>
      <c r="AA29" s="724">
        <v>0.5</v>
      </c>
      <c r="AB29" s="719"/>
      <c r="AC29" s="719" t="s">
        <v>3003</v>
      </c>
      <c r="AD29" s="719"/>
      <c r="AE29" s="719"/>
      <c r="AF29" s="719">
        <v>200</v>
      </c>
      <c r="AG29" s="718">
        <v>213.566</v>
      </c>
      <c r="AH29" s="719">
        <v>1458</v>
      </c>
      <c r="AI29" s="719">
        <v>-5006</v>
      </c>
      <c r="AJ29" s="719" t="s">
        <v>2943</v>
      </c>
      <c r="AK29" s="719"/>
      <c r="AL29" s="719"/>
      <c r="AM29" s="719" t="s">
        <v>2609</v>
      </c>
      <c r="AN29" s="719">
        <v>5.25</v>
      </c>
      <c r="AO29" s="719"/>
      <c r="AP29" s="719"/>
      <c r="AQ29" s="719"/>
      <c r="AR29" s="719"/>
      <c r="AS29" s="719"/>
      <c r="AT29" s="719">
        <f>+ab($T$29,$T$27,$T$31,$G$28,$G$30, 1*$F$29,1200)</f>
        <v>-3.0920377835765391</v>
      </c>
      <c r="AU29" s="719"/>
      <c r="AV29" s="719"/>
      <c r="AW29" s="719"/>
      <c r="AX29" s="719"/>
      <c r="AY29" s="719"/>
      <c r="AZ29" s="483"/>
      <c r="BB29" s="1284" t="s">
        <v>1035</v>
      </c>
      <c r="BC29" s="1285" t="s">
        <v>995</v>
      </c>
      <c r="BD29" s="1301"/>
      <c r="BE29" s="1284"/>
      <c r="BF29" s="1285"/>
      <c r="BH29" s="518"/>
      <c r="BI29" s="531"/>
      <c r="BJ29" s="531"/>
      <c r="BK29" s="532">
        <v>0</v>
      </c>
      <c r="BL29" s="686"/>
    </row>
    <row r="30" spans="1:64" ht="15.75" customHeight="1">
      <c r="A30" s="716"/>
      <c r="B30" s="717"/>
      <c r="C30" s="718"/>
      <c r="D30" s="719"/>
      <c r="E30" s="719"/>
      <c r="F30" s="720"/>
      <c r="G30" s="721">
        <v>31</v>
      </c>
      <c r="H30" s="726"/>
      <c r="I30" s="722">
        <f>'HR Track 1'!G714+'HR Track 1'!G716+SUM('HR Track 3'!G18:G30)</f>
        <v>309</v>
      </c>
      <c r="J30" s="718">
        <f>C31-10</f>
        <v>235.5</v>
      </c>
      <c r="K30" s="719" t="s">
        <v>1097</v>
      </c>
      <c r="L30" s="719"/>
      <c r="M30" s="719"/>
      <c r="N30" s="719"/>
      <c r="O30" s="726"/>
      <c r="P30" s="719"/>
      <c r="Q30" s="719">
        <v>21</v>
      </c>
      <c r="R30" s="719">
        <v>-500</v>
      </c>
      <c r="S30" s="724">
        <f t="shared" ref="S30" si="5">AG31-AG29</f>
        <v>31.788000000000011</v>
      </c>
      <c r="T30" s="719"/>
      <c r="U30" s="719"/>
      <c r="V30" s="719"/>
      <c r="W30" s="719"/>
      <c r="X30" s="719"/>
      <c r="Y30" s="719"/>
      <c r="Z30" s="719"/>
      <c r="AA30" s="719"/>
      <c r="AB30" s="719"/>
      <c r="AC30" s="719"/>
      <c r="AD30" s="719"/>
      <c r="AE30" s="719"/>
      <c r="AF30" s="719">
        <v>200</v>
      </c>
      <c r="AG30" s="718">
        <v>215.084</v>
      </c>
      <c r="AH30" s="719">
        <v>1470</v>
      </c>
      <c r="AI30" s="719">
        <v>-5007</v>
      </c>
      <c r="AJ30" s="719"/>
      <c r="AK30" s="719"/>
      <c r="AL30" s="719"/>
      <c r="AM30" s="719"/>
      <c r="AN30" s="719"/>
      <c r="AO30" s="719"/>
      <c r="AP30" s="719"/>
      <c r="AQ30" s="719">
        <f>+FL_1($T$31,$T$29,$G$30,1200,9.28, 1*$F$31)</f>
        <v>0.63320441448029774</v>
      </c>
      <c r="AR30" s="719"/>
      <c r="AS30" s="719"/>
      <c r="AT30" s="719"/>
      <c r="AU30" s="719"/>
      <c r="AV30" s="719"/>
      <c r="AW30" s="719"/>
      <c r="AX30" s="719"/>
      <c r="AY30" s="719"/>
      <c r="AZ30" s="483"/>
      <c r="BB30" s="1284" t="s">
        <v>2468</v>
      </c>
      <c r="BC30" s="1285" t="s">
        <v>1101</v>
      </c>
      <c r="BD30" s="1301"/>
      <c r="BE30" s="1286" t="s">
        <v>1045</v>
      </c>
      <c r="BF30" s="1287"/>
      <c r="BH30" s="518"/>
      <c r="BI30" s="531"/>
      <c r="BJ30" s="531"/>
      <c r="BK30" s="532">
        <v>0</v>
      </c>
      <c r="BL30" s="686"/>
    </row>
    <row r="31" spans="1:64" ht="15.75" customHeight="1">
      <c r="A31" s="716"/>
      <c r="B31" s="717" t="s">
        <v>2034</v>
      </c>
      <c r="C31" s="718">
        <f>C29+G30</f>
        <v>245.5</v>
      </c>
      <c r="D31" s="719"/>
      <c r="E31" s="719">
        <v>-20</v>
      </c>
      <c r="F31" s="720">
        <v>-500</v>
      </c>
      <c r="G31" s="721"/>
      <c r="H31" s="726" t="s">
        <v>138</v>
      </c>
      <c r="I31" s="726" t="s">
        <v>947</v>
      </c>
      <c r="J31" s="727"/>
      <c r="K31" s="719"/>
      <c r="L31" s="719" t="s">
        <v>241</v>
      </c>
      <c r="M31" s="719"/>
      <c r="N31" s="719" t="s">
        <v>696</v>
      </c>
      <c r="O31" s="726"/>
      <c r="P31" s="719"/>
      <c r="Q31" s="719">
        <v>18</v>
      </c>
      <c r="R31" s="719">
        <v>-500</v>
      </c>
      <c r="S31" s="719"/>
      <c r="T31" s="719">
        <v>30</v>
      </c>
      <c r="U31" s="719"/>
      <c r="V31" s="719"/>
      <c r="W31" s="719">
        <v>1.4</v>
      </c>
      <c r="X31" s="719"/>
      <c r="Y31" s="719"/>
      <c r="Z31" s="719"/>
      <c r="AA31" s="719"/>
      <c r="AB31" s="719"/>
      <c r="AC31" s="719" t="s">
        <v>3003</v>
      </c>
      <c r="AD31" s="719"/>
      <c r="AE31" s="719"/>
      <c r="AF31" s="719">
        <v>200</v>
      </c>
      <c r="AG31" s="718">
        <v>245.35400000000001</v>
      </c>
      <c r="AH31" s="719">
        <v>1477</v>
      </c>
      <c r="AI31" s="719">
        <v>-4833</v>
      </c>
      <c r="AJ31" s="719"/>
      <c r="AK31" s="719"/>
      <c r="AL31" s="719"/>
      <c r="AM31" s="719" t="s">
        <v>2609</v>
      </c>
      <c r="AN31" s="719">
        <v>5.25</v>
      </c>
      <c r="AO31" s="719"/>
      <c r="AP31" s="719"/>
      <c r="AQ31" s="719"/>
      <c r="AR31" s="719"/>
      <c r="AS31" s="719"/>
      <c r="AT31" s="719">
        <f>+ab($T$31,$T$29,$T$33,$G$30,$G$32, 1*$F$31,1200)</f>
        <v>-3.0920377835765391</v>
      </c>
      <c r="AU31" s="719"/>
      <c r="AV31" s="719"/>
      <c r="AW31" s="719"/>
      <c r="AX31" s="719"/>
      <c r="AY31" s="719"/>
      <c r="AZ31" s="483"/>
      <c r="BB31" s="1284" t="s">
        <v>1081</v>
      </c>
      <c r="BC31" s="1285" t="s">
        <v>143</v>
      </c>
      <c r="BD31" s="1301"/>
      <c r="BE31" s="1284" t="s">
        <v>1062</v>
      </c>
      <c r="BF31" s="1285" t="s">
        <v>1001</v>
      </c>
      <c r="BH31" s="518"/>
      <c r="BI31" s="531"/>
      <c r="BJ31" s="531"/>
      <c r="BK31" s="532">
        <v>0</v>
      </c>
      <c r="BL31" s="686"/>
    </row>
    <row r="32" spans="1:64" ht="15.75" customHeight="1">
      <c r="A32" s="716"/>
      <c r="B32" s="717"/>
      <c r="C32" s="718"/>
      <c r="D32" s="719"/>
      <c r="E32" s="719"/>
      <c r="F32" s="720"/>
      <c r="G32" s="721">
        <v>31</v>
      </c>
      <c r="H32" s="719" t="s">
        <v>1101</v>
      </c>
      <c r="I32" s="722">
        <f>+SUM(G22:G32)</f>
        <v>185</v>
      </c>
      <c r="J32" s="718">
        <f>C31+1</f>
        <v>246.5</v>
      </c>
      <c r="K32" s="719" t="s">
        <v>1102</v>
      </c>
      <c r="L32" s="719"/>
      <c r="M32" s="719"/>
      <c r="N32" s="719"/>
      <c r="O32" s="726"/>
      <c r="P32" s="719"/>
      <c r="Q32" s="719"/>
      <c r="R32" s="719"/>
      <c r="S32" s="724">
        <f>AG33-AG31</f>
        <v>30.921999999999997</v>
      </c>
      <c r="T32" s="719"/>
      <c r="U32" s="719"/>
      <c r="V32" s="719"/>
      <c r="W32" s="719"/>
      <c r="X32" s="719"/>
      <c r="Y32" s="719"/>
      <c r="Z32" s="719"/>
      <c r="AA32" s="719"/>
      <c r="AB32" s="719"/>
      <c r="AC32" s="719"/>
      <c r="AD32" s="719"/>
      <c r="AE32" s="719"/>
      <c r="AF32" s="719"/>
      <c r="AG32" s="718"/>
      <c r="AH32" s="719"/>
      <c r="AI32" s="719"/>
      <c r="AJ32" s="719"/>
      <c r="AK32" s="719"/>
      <c r="AL32" s="719"/>
      <c r="AM32" s="719"/>
      <c r="AN32" s="719"/>
      <c r="AO32" s="719"/>
      <c r="AP32" s="719"/>
      <c r="AQ32" s="719">
        <f>+FL_2($T$33,$T$31,$G$32,1200,9.28, 1*$F$33)</f>
        <v>0.3</v>
      </c>
      <c r="AR32" s="719"/>
      <c r="AS32" s="719"/>
      <c r="AT32" s="719"/>
      <c r="AU32" s="719"/>
      <c r="AV32" s="719"/>
      <c r="AW32" s="719"/>
      <c r="AX32" s="719"/>
      <c r="AY32" s="719"/>
      <c r="AZ32" s="483"/>
      <c r="BB32" s="1284" t="s">
        <v>1082</v>
      </c>
      <c r="BC32" s="1285" t="s">
        <v>142</v>
      </c>
      <c r="BD32" s="1301"/>
      <c r="BE32" s="1284" t="s">
        <v>1063</v>
      </c>
      <c r="BF32" s="1285" t="s">
        <v>1000</v>
      </c>
      <c r="BL32" s="555"/>
    </row>
    <row r="33" spans="1:64" ht="15.75" customHeight="1">
      <c r="A33" s="716"/>
      <c r="B33" s="717" t="s">
        <v>2035</v>
      </c>
      <c r="C33" s="718">
        <f>C31+G32</f>
        <v>276.5</v>
      </c>
      <c r="D33" s="719"/>
      <c r="E33" s="719"/>
      <c r="F33" s="720">
        <f>-10000/(288-C33)</f>
        <v>-869.56521739130437</v>
      </c>
      <c r="G33" s="721"/>
      <c r="H33" s="719" t="s">
        <v>997</v>
      </c>
      <c r="I33" s="726"/>
      <c r="J33" s="727"/>
      <c r="K33" s="719"/>
      <c r="L33" s="719" t="s">
        <v>241</v>
      </c>
      <c r="M33" s="719"/>
      <c r="N33" s="719" t="s">
        <v>696</v>
      </c>
      <c r="O33" s="726"/>
      <c r="P33" s="719"/>
      <c r="Q33" s="719">
        <v>13</v>
      </c>
      <c r="R33" s="719">
        <v>-809.72</v>
      </c>
      <c r="S33" s="719"/>
      <c r="T33" s="719">
        <v>30</v>
      </c>
      <c r="U33" s="719"/>
      <c r="V33" s="719"/>
      <c r="W33" s="719">
        <v>1.4</v>
      </c>
      <c r="X33" s="719"/>
      <c r="Y33" s="719"/>
      <c r="Z33" s="719"/>
      <c r="AA33" s="719"/>
      <c r="AB33" s="719"/>
      <c r="AC33" s="719" t="s">
        <v>2978</v>
      </c>
      <c r="AD33" s="719"/>
      <c r="AE33" s="719"/>
      <c r="AF33" s="719">
        <v>200</v>
      </c>
      <c r="AG33" s="718">
        <v>276.27600000000001</v>
      </c>
      <c r="AH33" s="719">
        <v>1478</v>
      </c>
      <c r="AI33" s="719">
        <v>-4933</v>
      </c>
      <c r="AJ33" s="719"/>
      <c r="AK33" s="719"/>
      <c r="AL33" s="719"/>
      <c r="AM33" s="719" t="s">
        <v>2609</v>
      </c>
      <c r="AN33" s="719">
        <v>5.25</v>
      </c>
      <c r="AO33" s="719"/>
      <c r="AP33" s="719"/>
      <c r="AQ33" s="719"/>
      <c r="AR33" s="719"/>
      <c r="AS33" s="719"/>
      <c r="AT33" s="719">
        <f>+ab($T$33,$T$31,$T$35,$G$32,$G$34, 1*$F$33,1200)</f>
        <v>-4.6103749525829159</v>
      </c>
      <c r="AU33" s="719"/>
      <c r="AV33" s="719"/>
      <c r="AW33" s="719"/>
      <c r="AX33" s="719"/>
      <c r="AY33" s="719"/>
      <c r="AZ33" s="483"/>
      <c r="BB33" s="1284"/>
      <c r="BC33" s="1285"/>
      <c r="BD33" s="1279"/>
      <c r="BE33" s="1284" t="s">
        <v>3044</v>
      </c>
      <c r="BF33" s="1285" t="s">
        <v>1004</v>
      </c>
      <c r="BH33" s="519" t="s">
        <v>973</v>
      </c>
      <c r="BL33" s="555">
        <f>SUM(BL24:BL32)</f>
        <v>0</v>
      </c>
    </row>
    <row r="34" spans="1:64" ht="15.75" customHeight="1">
      <c r="A34" s="716"/>
      <c r="B34" s="717"/>
      <c r="C34" s="718"/>
      <c r="D34" s="719"/>
      <c r="E34" s="719"/>
      <c r="F34" s="720"/>
      <c r="G34" s="721">
        <v>39</v>
      </c>
      <c r="H34" s="719"/>
      <c r="I34" s="722">
        <f>SUM(G34:G50)</f>
        <v>429</v>
      </c>
      <c r="J34" s="718">
        <f>C35-1</f>
        <v>314.5</v>
      </c>
      <c r="K34" s="719" t="s">
        <v>1102</v>
      </c>
      <c r="L34" s="719"/>
      <c r="M34" s="719"/>
      <c r="N34" s="719"/>
      <c r="O34" s="726"/>
      <c r="P34" s="719"/>
      <c r="Q34" s="719"/>
      <c r="R34" s="719"/>
      <c r="S34" s="724">
        <f t="shared" ref="S34" si="6">AG35-AG33</f>
        <v>39.19599999999997</v>
      </c>
      <c r="T34" s="719"/>
      <c r="U34" s="719"/>
      <c r="V34" s="719"/>
      <c r="W34" s="719"/>
      <c r="X34" s="719"/>
      <c r="Y34" s="719"/>
      <c r="Z34" s="719"/>
      <c r="AA34" s="719"/>
      <c r="AB34" s="719"/>
      <c r="AC34" s="719"/>
      <c r="AD34" s="719"/>
      <c r="AE34" s="719"/>
      <c r="AF34" s="719"/>
      <c r="AG34" s="718"/>
      <c r="AH34" s="719"/>
      <c r="AI34" s="719"/>
      <c r="AJ34" s="719"/>
      <c r="AK34" s="719"/>
      <c r="AL34" s="719"/>
      <c r="AM34" s="719"/>
      <c r="AN34" s="719"/>
      <c r="AO34" s="719"/>
      <c r="AP34" s="719"/>
      <c r="AQ34" s="719">
        <f>+FL_2($T$35,$T$33,$G$34,1200,9.28, 1*$F$35)</f>
        <v>0.17690729353846152</v>
      </c>
      <c r="AR34" s="719"/>
      <c r="AS34" s="719"/>
      <c r="AT34" s="719"/>
      <c r="AU34" s="719"/>
      <c r="AV34" s="719"/>
      <c r="AW34" s="719"/>
      <c r="AX34" s="719"/>
      <c r="AY34" s="719"/>
      <c r="AZ34" s="483"/>
      <c r="BB34" s="1284"/>
      <c r="BC34" s="1285"/>
      <c r="BD34" s="1279"/>
      <c r="BE34" s="1284" t="s">
        <v>3045</v>
      </c>
      <c r="BF34" s="1285" t="s">
        <v>3046</v>
      </c>
      <c r="BL34" s="555"/>
    </row>
    <row r="35" spans="1:64" ht="15.75" customHeight="1">
      <c r="A35" s="716"/>
      <c r="B35" s="717" t="s">
        <v>2036</v>
      </c>
      <c r="C35" s="718">
        <f>C33+G34</f>
        <v>315.5</v>
      </c>
      <c r="D35" s="719"/>
      <c r="E35" s="719"/>
      <c r="F35" s="720">
        <v>0</v>
      </c>
      <c r="G35" s="721"/>
      <c r="H35" s="719" t="s">
        <v>1101</v>
      </c>
      <c r="I35" s="722"/>
      <c r="J35" s="718"/>
      <c r="K35" s="719"/>
      <c r="L35" s="719" t="s">
        <v>241</v>
      </c>
      <c r="M35" s="719"/>
      <c r="N35" s="719" t="s">
        <v>696</v>
      </c>
      <c r="O35" s="726"/>
      <c r="P35" s="719"/>
      <c r="Q35" s="719">
        <v>0</v>
      </c>
      <c r="R35" s="719">
        <v>0</v>
      </c>
      <c r="S35" s="719"/>
      <c r="T35" s="719">
        <v>35</v>
      </c>
      <c r="U35" s="719"/>
      <c r="V35" s="719"/>
      <c r="W35" s="719">
        <v>1.4</v>
      </c>
      <c r="X35" s="719"/>
      <c r="Y35" s="719"/>
      <c r="Z35" s="719"/>
      <c r="AA35" s="719"/>
      <c r="AB35" s="719"/>
      <c r="AC35" s="719" t="s">
        <v>2616</v>
      </c>
      <c r="AD35" s="719"/>
      <c r="AE35" s="719"/>
      <c r="AF35" s="719">
        <v>200</v>
      </c>
      <c r="AG35" s="718">
        <v>315.47199999999998</v>
      </c>
      <c r="AH35" s="719">
        <v>1516</v>
      </c>
      <c r="AI35" s="719">
        <v>-4885</v>
      </c>
      <c r="AJ35" s="719"/>
      <c r="AK35" s="719"/>
      <c r="AL35" s="719"/>
      <c r="AM35" s="719" t="s">
        <v>2609</v>
      </c>
      <c r="AN35" s="719">
        <v>5.25</v>
      </c>
      <c r="AO35" s="719"/>
      <c r="AP35" s="719"/>
      <c r="AQ35" s="719"/>
      <c r="AR35" s="719"/>
      <c r="AS35" s="719"/>
      <c r="AT35" s="719">
        <f>+ab($T$35,$T$33,$T$37,$G$34,$G$36, 1*$F$35,1200)</f>
        <v>11.697723833343931</v>
      </c>
      <c r="AU35" s="719"/>
      <c r="AV35" s="719"/>
      <c r="AW35" s="719"/>
      <c r="AX35" s="719"/>
      <c r="AY35" s="719"/>
      <c r="AZ35" s="483"/>
      <c r="BB35" s="1286" t="s">
        <v>3047</v>
      </c>
      <c r="BC35" s="1287"/>
      <c r="BD35" s="1279"/>
      <c r="BE35" s="1284" t="s">
        <v>2454</v>
      </c>
      <c r="BF35" s="1285" t="s">
        <v>2455</v>
      </c>
      <c r="BH35" s="517"/>
      <c r="BL35" s="555"/>
    </row>
    <row r="36" spans="1:64" ht="15.75" customHeight="1">
      <c r="A36" s="716"/>
      <c r="B36" s="717"/>
      <c r="C36" s="718"/>
      <c r="D36" s="719"/>
      <c r="E36" s="719"/>
      <c r="F36" s="720"/>
      <c r="G36" s="721">
        <v>47</v>
      </c>
      <c r="H36" s="726"/>
      <c r="I36" s="722"/>
      <c r="J36" s="718"/>
      <c r="K36" s="719"/>
      <c r="L36" s="719"/>
      <c r="M36" s="719"/>
      <c r="N36" s="719"/>
      <c r="O36" s="726"/>
      <c r="P36" s="719"/>
      <c r="Q36" s="719"/>
      <c r="R36" s="719"/>
      <c r="S36" s="724">
        <f t="shared" ref="S36" si="7">AG37-AG35</f>
        <v>46.77600000000001</v>
      </c>
      <c r="T36" s="719"/>
      <c r="U36" s="719"/>
      <c r="V36" s="719"/>
      <c r="W36" s="719"/>
      <c r="X36" s="719"/>
      <c r="Y36" s="719"/>
      <c r="Z36" s="719"/>
      <c r="AA36" s="719"/>
      <c r="AB36" s="719"/>
      <c r="AC36" s="719"/>
      <c r="AD36" s="719"/>
      <c r="AE36" s="719"/>
      <c r="AF36" s="719"/>
      <c r="AG36" s="718"/>
      <c r="AH36" s="719"/>
      <c r="AI36" s="719"/>
      <c r="AJ36" s="719"/>
      <c r="AK36" s="719"/>
      <c r="AL36" s="719"/>
      <c r="AM36" s="719"/>
      <c r="AN36" s="719"/>
      <c r="AO36" s="719"/>
      <c r="AP36" s="719"/>
      <c r="AQ36" s="719">
        <f>+FL_1($T$37,$T$35,$G$36,1200,9.28, 1*$F$37)</f>
        <v>0.35695465849645375</v>
      </c>
      <c r="AR36" s="719"/>
      <c r="AS36" s="719"/>
      <c r="AT36" s="719"/>
      <c r="AU36" s="719"/>
      <c r="AV36" s="719"/>
      <c r="AW36" s="719"/>
      <c r="AX36" s="719"/>
      <c r="AY36" s="719"/>
      <c r="AZ36" s="483"/>
      <c r="BB36" s="1284" t="s">
        <v>1037</v>
      </c>
      <c r="BC36" s="1285" t="s">
        <v>673</v>
      </c>
      <c r="BD36" s="1301"/>
      <c r="BE36" s="1284" t="s">
        <v>3048</v>
      </c>
      <c r="BF36" s="1285" t="s">
        <v>3049</v>
      </c>
      <c r="BH36" s="545" t="s">
        <v>1141</v>
      </c>
      <c r="BI36" s="546"/>
      <c r="BJ36" s="546"/>
      <c r="BK36" s="546"/>
      <c r="BL36" s="802">
        <f>(SUM(BJ24:BJ31)-SUM(BI24:BI31))/1000</f>
        <v>0</v>
      </c>
    </row>
    <row r="37" spans="1:64" ht="15.75" customHeight="1">
      <c r="A37" s="726"/>
      <c r="B37" s="735" t="s">
        <v>2037</v>
      </c>
      <c r="C37" s="718">
        <f>C35+G36</f>
        <v>362.5</v>
      </c>
      <c r="D37" s="735"/>
      <c r="E37" s="720"/>
      <c r="F37" s="720">
        <v>0</v>
      </c>
      <c r="G37" s="721"/>
      <c r="H37" s="726"/>
      <c r="I37" s="722" t="s">
        <v>2053</v>
      </c>
      <c r="J37" s="718">
        <f>C37</f>
        <v>362.5</v>
      </c>
      <c r="K37" s="719" t="s">
        <v>1102</v>
      </c>
      <c r="L37" s="719" t="s">
        <v>2999</v>
      </c>
      <c r="M37" s="719"/>
      <c r="N37" s="719" t="s">
        <v>695</v>
      </c>
      <c r="O37" s="726"/>
      <c r="P37" s="726"/>
      <c r="Q37" s="719">
        <v>0</v>
      </c>
      <c r="R37" s="719">
        <v>0</v>
      </c>
      <c r="S37" s="719"/>
      <c r="T37" s="719">
        <v>-35</v>
      </c>
      <c r="U37" s="719"/>
      <c r="V37" s="719"/>
      <c r="W37" s="721">
        <v>1</v>
      </c>
      <c r="X37" s="719"/>
      <c r="Y37" s="719"/>
      <c r="Z37" s="719"/>
      <c r="AA37" s="719"/>
      <c r="AB37" s="719"/>
      <c r="AC37" s="719" t="s">
        <v>2979</v>
      </c>
      <c r="AD37" s="719"/>
      <c r="AE37" s="719"/>
      <c r="AF37" s="719">
        <v>400</v>
      </c>
      <c r="AG37" s="718">
        <v>362.24799999999999</v>
      </c>
      <c r="AH37" s="719">
        <v>2252</v>
      </c>
      <c r="AI37" s="719">
        <v>-4821</v>
      </c>
      <c r="AJ37" s="787"/>
      <c r="AK37" s="719"/>
      <c r="AL37" s="719"/>
      <c r="AM37" s="719" t="s">
        <v>2610</v>
      </c>
      <c r="AN37" s="719">
        <v>5.25</v>
      </c>
      <c r="AO37" s="719"/>
      <c r="AP37" s="719"/>
      <c r="AQ37" s="719"/>
      <c r="AR37" s="719"/>
      <c r="AS37" s="719"/>
      <c r="AT37" s="719">
        <f>+ab($T$37,$T$35,$T$39,$G$36,$G$38, 1*$F$37,1200)</f>
        <v>-6.6118556104922916</v>
      </c>
      <c r="AU37" s="719"/>
      <c r="AV37" s="719"/>
      <c r="AW37" s="719"/>
      <c r="AX37" s="719"/>
      <c r="AY37" s="719"/>
      <c r="AZ37" s="483"/>
      <c r="BB37" s="1284" t="s">
        <v>1038</v>
      </c>
      <c r="BC37" s="1285" t="s">
        <v>674</v>
      </c>
      <c r="BD37" s="1301"/>
      <c r="BE37" s="1284" t="s">
        <v>1047</v>
      </c>
      <c r="BF37" s="1285" t="s">
        <v>1002</v>
      </c>
    </row>
    <row r="38" spans="1:64" ht="15.75" customHeight="1">
      <c r="A38" s="726"/>
      <c r="B38" s="735"/>
      <c r="C38" s="718"/>
      <c r="D38" s="735"/>
      <c r="E38" s="720"/>
      <c r="F38" s="720"/>
      <c r="G38" s="721">
        <v>50</v>
      </c>
      <c r="H38" s="726"/>
      <c r="I38" s="722"/>
      <c r="J38" s="718"/>
      <c r="K38" s="719"/>
      <c r="L38" s="719"/>
      <c r="M38" s="719"/>
      <c r="N38" s="719"/>
      <c r="O38" s="726"/>
      <c r="P38" s="726"/>
      <c r="Q38" s="719"/>
      <c r="R38" s="719"/>
      <c r="S38" s="724">
        <f t="shared" ref="S38" si="8">AG39-AG37</f>
        <v>50.144999999999982</v>
      </c>
      <c r="T38" s="719"/>
      <c r="U38" s="719"/>
      <c r="V38" s="719"/>
      <c r="W38" s="721"/>
      <c r="X38" s="719"/>
      <c r="Y38" s="719"/>
      <c r="Z38" s="719"/>
      <c r="AA38" s="719"/>
      <c r="AB38" s="719"/>
      <c r="AC38" s="719"/>
      <c r="AD38" s="719"/>
      <c r="AE38" s="719"/>
      <c r="AF38" s="719"/>
      <c r="AG38" s="718"/>
      <c r="AH38" s="719"/>
      <c r="AI38" s="719"/>
      <c r="AJ38" s="787"/>
      <c r="AK38" s="719"/>
      <c r="AL38" s="719"/>
      <c r="AM38" s="719"/>
      <c r="AN38" s="719"/>
      <c r="AO38" s="719"/>
      <c r="AP38" s="719"/>
      <c r="AQ38" s="719">
        <f>+FL_1($T$39,$T$37,$G$38,1200,9.28, 1*$F$39)</f>
        <v>0.36839079999999996</v>
      </c>
      <c r="AR38" s="719"/>
      <c r="AS38" s="719"/>
      <c r="AT38" s="719"/>
      <c r="AU38" s="719"/>
      <c r="AV38" s="719"/>
      <c r="AW38" s="719"/>
      <c r="AX38" s="719"/>
      <c r="AY38" s="719"/>
      <c r="AZ38" s="483"/>
      <c r="BB38" s="1284" t="s">
        <v>1039</v>
      </c>
      <c r="BC38" s="1285" t="s">
        <v>948</v>
      </c>
      <c r="BD38" s="1301"/>
      <c r="BE38" s="1284" t="s">
        <v>2465</v>
      </c>
      <c r="BF38" s="1285" t="s">
        <v>2466</v>
      </c>
    </row>
    <row r="39" spans="1:64" ht="15.75" customHeight="1">
      <c r="A39" s="726"/>
      <c r="B39" s="735" t="s">
        <v>2038</v>
      </c>
      <c r="C39" s="718">
        <f>C37+G38</f>
        <v>412.5</v>
      </c>
      <c r="D39" s="735"/>
      <c r="E39" s="720"/>
      <c r="F39" s="720">
        <v>0</v>
      </c>
      <c r="G39" s="721"/>
      <c r="H39" s="726"/>
      <c r="I39" s="722"/>
      <c r="J39" s="727"/>
      <c r="K39" s="719"/>
      <c r="L39" s="719" t="s">
        <v>2999</v>
      </c>
      <c r="M39" s="719"/>
      <c r="N39" s="719" t="s">
        <v>696</v>
      </c>
      <c r="O39" s="726"/>
      <c r="P39" s="726"/>
      <c r="Q39" s="719">
        <v>0</v>
      </c>
      <c r="R39" s="719">
        <v>0</v>
      </c>
      <c r="S39" s="719"/>
      <c r="T39" s="719">
        <v>35</v>
      </c>
      <c r="U39" s="719"/>
      <c r="V39" s="719"/>
      <c r="W39" s="721">
        <v>1</v>
      </c>
      <c r="X39" s="719"/>
      <c r="Y39" s="719"/>
      <c r="Z39" s="719"/>
      <c r="AA39" s="719"/>
      <c r="AB39" s="719"/>
      <c r="AC39" s="719" t="s">
        <v>2977</v>
      </c>
      <c r="AD39" s="719"/>
      <c r="AE39" s="719"/>
      <c r="AF39" s="719">
        <v>400</v>
      </c>
      <c r="AG39" s="718">
        <v>412.39299999999997</v>
      </c>
      <c r="AH39" s="719">
        <v>2259</v>
      </c>
      <c r="AI39" s="719">
        <v>-4812</v>
      </c>
      <c r="AJ39" s="787"/>
      <c r="AK39" s="719"/>
      <c r="AL39" s="719"/>
      <c r="AM39" s="719" t="s">
        <v>2610</v>
      </c>
      <c r="AN39" s="719">
        <v>5.25</v>
      </c>
      <c r="AO39" s="719"/>
      <c r="AP39" s="719"/>
      <c r="AQ39" s="719"/>
      <c r="AR39" s="719"/>
      <c r="AS39" s="719"/>
      <c r="AT39" s="719">
        <f>+ab($T$39,$T$37,$T$41,$G$38,$G$40, 1*$F$39,1200)</f>
        <v>6.6118336101233641</v>
      </c>
      <c r="AU39" s="719"/>
      <c r="AV39" s="719"/>
      <c r="AW39" s="719"/>
      <c r="AX39" s="719"/>
      <c r="AY39" s="719"/>
      <c r="AZ39" s="483"/>
      <c r="BB39" s="1284" t="s">
        <v>1040</v>
      </c>
      <c r="BC39" s="1285" t="s">
        <v>947</v>
      </c>
      <c r="BD39" s="1301"/>
      <c r="BE39" s="1284" t="s">
        <v>2216</v>
      </c>
      <c r="BF39" s="1285" t="s">
        <v>2453</v>
      </c>
    </row>
    <row r="40" spans="1:64" ht="15.75" customHeight="1">
      <c r="A40" s="726"/>
      <c r="B40" s="735"/>
      <c r="C40" s="718"/>
      <c r="D40" s="735"/>
      <c r="E40" s="720"/>
      <c r="F40" s="720"/>
      <c r="G40" s="721">
        <v>47</v>
      </c>
      <c r="H40" s="726"/>
      <c r="I40" s="726"/>
      <c r="J40" s="727"/>
      <c r="K40" s="719"/>
      <c r="L40" s="719"/>
      <c r="M40" s="719"/>
      <c r="N40" s="719"/>
      <c r="O40" s="726"/>
      <c r="P40" s="726"/>
      <c r="Q40" s="719"/>
      <c r="R40" s="719"/>
      <c r="S40" s="724">
        <f t="shared" ref="S40" si="9">AG41-AG39</f>
        <v>47.75</v>
      </c>
      <c r="T40" s="719"/>
      <c r="U40" s="719"/>
      <c r="V40" s="719"/>
      <c r="W40" s="721"/>
      <c r="X40" s="719"/>
      <c r="Y40" s="719"/>
      <c r="Z40" s="719"/>
      <c r="AA40" s="719"/>
      <c r="AB40" s="719"/>
      <c r="AC40" s="719"/>
      <c r="AD40" s="719"/>
      <c r="AE40" s="719"/>
      <c r="AF40" s="719"/>
      <c r="AG40" s="718"/>
      <c r="AH40" s="719"/>
      <c r="AI40" s="719"/>
      <c r="AJ40" s="787"/>
      <c r="AK40" s="719"/>
      <c r="AL40" s="719"/>
      <c r="AM40" s="719"/>
      <c r="AN40" s="719"/>
      <c r="AO40" s="719"/>
      <c r="AP40" s="719"/>
      <c r="AQ40" s="719">
        <f>+FL_1($T$41,$T$39,$G$40,1200,9.28, 1*$F$41)</f>
        <v>0.35695465849645375</v>
      </c>
      <c r="AR40" s="719"/>
      <c r="AS40" s="719"/>
      <c r="AT40" s="719"/>
      <c r="AU40" s="719"/>
      <c r="AV40" s="719"/>
      <c r="AW40" s="719"/>
      <c r="AX40" s="719"/>
      <c r="AY40" s="719"/>
      <c r="AZ40" s="483"/>
      <c r="BB40" s="1284" t="s">
        <v>3050</v>
      </c>
      <c r="BC40" s="1285" t="s">
        <v>2831</v>
      </c>
      <c r="BD40" s="1301"/>
      <c r="BE40" s="1284" t="s">
        <v>2217</v>
      </c>
      <c r="BF40" s="1285" t="s">
        <v>2456</v>
      </c>
    </row>
    <row r="41" spans="1:64" ht="15.75" customHeight="1">
      <c r="A41" s="726"/>
      <c r="B41" s="735" t="s">
        <v>2039</v>
      </c>
      <c r="C41" s="718">
        <f>C39+G40</f>
        <v>459.5</v>
      </c>
      <c r="D41" s="735"/>
      <c r="E41" s="720"/>
      <c r="F41" s="720">
        <v>0</v>
      </c>
      <c r="G41" s="721"/>
      <c r="H41" s="726"/>
      <c r="I41" s="722"/>
      <c r="J41" s="727"/>
      <c r="K41" s="719"/>
      <c r="L41" s="719" t="s">
        <v>2999</v>
      </c>
      <c r="M41" s="719"/>
      <c r="N41" s="719" t="s">
        <v>695</v>
      </c>
      <c r="O41" s="726"/>
      <c r="P41" s="726"/>
      <c r="Q41" s="719">
        <v>0</v>
      </c>
      <c r="R41" s="719">
        <v>0</v>
      </c>
      <c r="S41" s="719"/>
      <c r="T41" s="719">
        <v>-35</v>
      </c>
      <c r="U41" s="719"/>
      <c r="V41" s="719"/>
      <c r="W41" s="721">
        <v>1</v>
      </c>
      <c r="X41" s="719"/>
      <c r="Y41" s="719"/>
      <c r="Z41" s="719"/>
      <c r="AA41" s="719"/>
      <c r="AB41" s="719"/>
      <c r="AC41" s="719" t="s">
        <v>2978</v>
      </c>
      <c r="AD41" s="719"/>
      <c r="AE41" s="719"/>
      <c r="AF41" s="719">
        <v>400</v>
      </c>
      <c r="AG41" s="718">
        <v>460.14299999999997</v>
      </c>
      <c r="AH41" s="719">
        <v>2258</v>
      </c>
      <c r="AI41" s="719">
        <v>-4865</v>
      </c>
      <c r="AJ41" s="787"/>
      <c r="AK41" s="719"/>
      <c r="AL41" s="719"/>
      <c r="AM41" s="719" t="s">
        <v>2610</v>
      </c>
      <c r="AN41" s="719">
        <v>5.25</v>
      </c>
      <c r="AO41" s="719"/>
      <c r="AP41" s="719"/>
      <c r="AQ41" s="719"/>
      <c r="AR41" s="719"/>
      <c r="AS41" s="719"/>
      <c r="AT41" s="719">
        <f>+ab($T$41,$T$39,$T$43,$G$40,$G$42, 1*$F$41,1200)</f>
        <v>-6.0575322553083533</v>
      </c>
      <c r="AU41" s="719"/>
      <c r="AV41" s="719"/>
      <c r="AW41" s="719"/>
      <c r="AX41" s="719"/>
      <c r="AY41" s="719"/>
      <c r="AZ41" s="483"/>
      <c r="BB41" s="1284" t="s">
        <v>3051</v>
      </c>
      <c r="BC41" s="1285" t="s">
        <v>2827</v>
      </c>
      <c r="BD41" s="1301"/>
      <c r="BE41" s="1284" t="s">
        <v>2213</v>
      </c>
      <c r="BF41" s="1285" t="s">
        <v>985</v>
      </c>
    </row>
    <row r="42" spans="1:64" ht="15.75" customHeight="1">
      <c r="A42" s="788"/>
      <c r="B42" s="788"/>
      <c r="C42" s="788"/>
      <c r="D42" s="735"/>
      <c r="E42" s="720"/>
      <c r="F42" s="720"/>
      <c r="G42" s="721">
        <v>42</v>
      </c>
      <c r="H42" s="726"/>
      <c r="I42" s="726"/>
      <c r="J42" s="727"/>
      <c r="K42" s="719"/>
      <c r="L42" s="719"/>
      <c r="M42" s="719"/>
      <c r="N42" s="719"/>
      <c r="O42" s="726"/>
      <c r="P42" s="726"/>
      <c r="Q42" s="719"/>
      <c r="R42" s="719"/>
      <c r="S42" s="724">
        <f t="shared" ref="S42" si="10">AG43-AG41</f>
        <v>41.632000000000005</v>
      </c>
      <c r="T42" s="719"/>
      <c r="U42" s="719"/>
      <c r="V42" s="719"/>
      <c r="W42" s="721"/>
      <c r="X42" s="719"/>
      <c r="Y42" s="719"/>
      <c r="Z42" s="719"/>
      <c r="AA42" s="719"/>
      <c r="AB42" s="719"/>
      <c r="AC42" s="719"/>
      <c r="AD42" s="719"/>
      <c r="AE42" s="719"/>
      <c r="AF42" s="719"/>
      <c r="AG42" s="718"/>
      <c r="AH42" s="719"/>
      <c r="AI42" s="719"/>
      <c r="AJ42" s="787"/>
      <c r="AK42" s="719"/>
      <c r="AL42" s="719"/>
      <c r="AM42" s="719"/>
      <c r="AN42" s="719"/>
      <c r="AO42" s="719"/>
      <c r="AP42" s="719"/>
      <c r="AQ42" s="719">
        <f>+FL_2($T$43,$T$41,$G$42,1200,9.28, 1*$F$43)</f>
        <v>-0.35</v>
      </c>
      <c r="AR42" s="719"/>
      <c r="AS42" s="719"/>
      <c r="AT42" s="719"/>
      <c r="AU42" s="719"/>
      <c r="AV42" s="719"/>
      <c r="AW42" s="719"/>
      <c r="AX42" s="719"/>
      <c r="AY42" s="719"/>
      <c r="AZ42" s="483"/>
      <c r="BB42" s="1284" t="s">
        <v>3052</v>
      </c>
      <c r="BC42" s="1285" t="s">
        <v>2828</v>
      </c>
      <c r="BD42" s="1301"/>
      <c r="BE42" s="1284" t="s">
        <v>3053</v>
      </c>
      <c r="BF42" s="1285" t="s">
        <v>3054</v>
      </c>
    </row>
    <row r="43" spans="1:64" ht="15.75" customHeight="1">
      <c r="A43" s="788"/>
      <c r="B43" s="717" t="s">
        <v>2040</v>
      </c>
      <c r="C43" s="718">
        <f>C41+G42</f>
        <v>501.5</v>
      </c>
      <c r="D43" s="719"/>
      <c r="E43" s="719"/>
      <c r="F43" s="720">
        <v>0</v>
      </c>
      <c r="G43" s="721"/>
      <c r="H43" s="726"/>
      <c r="I43" s="726"/>
      <c r="J43" s="727"/>
      <c r="K43" s="719"/>
      <c r="L43" s="719" t="s">
        <v>2999</v>
      </c>
      <c r="M43" s="719"/>
      <c r="N43" s="719" t="s">
        <v>696</v>
      </c>
      <c r="O43" s="726"/>
      <c r="P43" s="726"/>
      <c r="Q43" s="719">
        <v>0</v>
      </c>
      <c r="R43" s="719">
        <v>0</v>
      </c>
      <c r="S43" s="719"/>
      <c r="T43" s="719">
        <v>35</v>
      </c>
      <c r="U43" s="719"/>
      <c r="V43" s="719"/>
      <c r="W43" s="721">
        <v>1</v>
      </c>
      <c r="X43" s="719"/>
      <c r="Y43" s="719"/>
      <c r="Z43" s="719"/>
      <c r="AA43" s="719"/>
      <c r="AB43" s="719"/>
      <c r="AC43" s="719" t="s">
        <v>2977</v>
      </c>
      <c r="AD43" s="719"/>
      <c r="AE43" s="719"/>
      <c r="AF43" s="719">
        <v>400</v>
      </c>
      <c r="AG43" s="718">
        <v>501.77499999999998</v>
      </c>
      <c r="AH43" s="719">
        <v>2225</v>
      </c>
      <c r="AI43" s="719">
        <v>-4812</v>
      </c>
      <c r="AJ43" s="787"/>
      <c r="AK43" s="719"/>
      <c r="AL43" s="719"/>
      <c r="AM43" s="719" t="s">
        <v>2610</v>
      </c>
      <c r="AN43" s="719">
        <v>5.25</v>
      </c>
      <c r="AO43" s="719"/>
      <c r="AP43" s="719"/>
      <c r="AQ43" s="719"/>
      <c r="AR43" s="719"/>
      <c r="AS43" s="719"/>
      <c r="AT43" s="719">
        <f>+ab($T$43,$T$41,$T$45,$G$42,$G$44, 1*$F$43,1200)</f>
        <v>6.3966350878386109</v>
      </c>
      <c r="AU43" s="719"/>
      <c r="AV43" s="719"/>
      <c r="AW43" s="719"/>
      <c r="AX43" s="719"/>
      <c r="AY43" s="719"/>
      <c r="AZ43" s="483"/>
      <c r="BB43" s="1284" t="s">
        <v>1083</v>
      </c>
      <c r="BC43" s="1285" t="s">
        <v>2051</v>
      </c>
      <c r="BD43" s="1301"/>
      <c r="BE43" s="1284"/>
      <c r="BF43" s="1285"/>
    </row>
    <row r="44" spans="1:64" ht="15.75" customHeight="1">
      <c r="A44" s="788"/>
      <c r="B44" s="717"/>
      <c r="C44" s="718"/>
      <c r="D44" s="719"/>
      <c r="E44" s="719"/>
      <c r="F44" s="720"/>
      <c r="G44" s="721">
        <v>53</v>
      </c>
      <c r="H44" s="726"/>
      <c r="I44" s="726"/>
      <c r="J44" s="727"/>
      <c r="K44" s="719"/>
      <c r="L44" s="719"/>
      <c r="M44" s="719"/>
      <c r="N44" s="719"/>
      <c r="O44" s="726"/>
      <c r="P44" s="719"/>
      <c r="Q44" s="719"/>
      <c r="R44" s="719"/>
      <c r="S44" s="724">
        <f t="shared" ref="S44" si="11">AG45-AG43</f>
        <v>52.628000000000043</v>
      </c>
      <c r="T44" s="719"/>
      <c r="U44" s="719"/>
      <c r="V44" s="719"/>
      <c r="W44" s="721"/>
      <c r="X44" s="719"/>
      <c r="Y44" s="719"/>
      <c r="Z44" s="719"/>
      <c r="AA44" s="719"/>
      <c r="AB44" s="719"/>
      <c r="AC44" s="719"/>
      <c r="AD44" s="719"/>
      <c r="AE44" s="719"/>
      <c r="AF44" s="719"/>
      <c r="AG44" s="718"/>
      <c r="AH44" s="719"/>
      <c r="AI44" s="719"/>
      <c r="AJ44" s="719"/>
      <c r="AK44" s="719"/>
      <c r="AL44" s="719"/>
      <c r="AM44" s="719"/>
      <c r="AN44" s="719"/>
      <c r="AO44" s="719"/>
      <c r="AP44" s="719"/>
      <c r="AQ44" s="719">
        <f>+FL_1($T$45,$T$43,$G$44,1200,9.28, 1*$F$45)</f>
        <v>0.38432069766037741</v>
      </c>
      <c r="AR44" s="719"/>
      <c r="AS44" s="719"/>
      <c r="AT44" s="719"/>
      <c r="AU44" s="719"/>
      <c r="AV44" s="719"/>
      <c r="AW44" s="719"/>
      <c r="AX44" s="719"/>
      <c r="AY44" s="719"/>
      <c r="AZ44" s="483"/>
      <c r="BB44" s="1284" t="s">
        <v>1086</v>
      </c>
      <c r="BC44" s="1285" t="s">
        <v>2050</v>
      </c>
      <c r="BD44" s="1301"/>
      <c r="BE44" s="1284" t="s">
        <v>1050</v>
      </c>
      <c r="BF44" s="1285" t="s">
        <v>1009</v>
      </c>
    </row>
    <row r="45" spans="1:64" ht="15.75" customHeight="1">
      <c r="A45" s="716"/>
      <c r="B45" s="717" t="s">
        <v>2041</v>
      </c>
      <c r="C45" s="718">
        <f>C43+G44</f>
        <v>554.5</v>
      </c>
      <c r="D45" s="719"/>
      <c r="E45" s="719"/>
      <c r="F45" s="720">
        <v>0</v>
      </c>
      <c r="G45" s="721"/>
      <c r="H45" s="726"/>
      <c r="I45" s="726"/>
      <c r="J45" s="727"/>
      <c r="K45" s="719"/>
      <c r="L45" s="719" t="s">
        <v>2999</v>
      </c>
      <c r="M45" s="719"/>
      <c r="N45" s="719" t="s">
        <v>695</v>
      </c>
      <c r="O45" s="726"/>
      <c r="P45" s="719"/>
      <c r="Q45" s="719">
        <v>0</v>
      </c>
      <c r="R45" s="719">
        <v>0</v>
      </c>
      <c r="S45" s="719"/>
      <c r="T45" s="719">
        <v>-35</v>
      </c>
      <c r="U45" s="719"/>
      <c r="V45" s="719"/>
      <c r="W45" s="721">
        <v>1</v>
      </c>
      <c r="X45" s="719"/>
      <c r="Y45" s="719"/>
      <c r="Z45" s="719"/>
      <c r="AA45" s="719"/>
      <c r="AB45" s="719"/>
      <c r="AC45" s="719" t="s">
        <v>2979</v>
      </c>
      <c r="AD45" s="719"/>
      <c r="AE45" s="719"/>
      <c r="AF45" s="719">
        <v>400</v>
      </c>
      <c r="AG45" s="718">
        <v>554.40300000000002</v>
      </c>
      <c r="AH45" s="719">
        <v>2298</v>
      </c>
      <c r="AI45" s="719">
        <v>-4824</v>
      </c>
      <c r="AJ45" s="719"/>
      <c r="AK45" s="719"/>
      <c r="AL45" s="719"/>
      <c r="AM45" s="719" t="s">
        <v>2610</v>
      </c>
      <c r="AN45" s="719">
        <v>5.25</v>
      </c>
      <c r="AO45" s="719"/>
      <c r="AP45" s="719"/>
      <c r="AQ45" s="719"/>
      <c r="AR45" s="719"/>
      <c r="AS45" s="719"/>
      <c r="AT45" s="719">
        <f>+ab($T$45,$T$43,$T$47,$G$44,$G$46, 1*$F$45,1200)</f>
        <v>-7.1578645351674961</v>
      </c>
      <c r="AU45" s="719"/>
      <c r="AV45" s="719"/>
      <c r="AW45" s="719"/>
      <c r="AX45" s="719"/>
      <c r="AY45" s="719"/>
      <c r="AZ45" s="483"/>
      <c r="BB45" s="1284" t="s">
        <v>1084</v>
      </c>
      <c r="BC45" s="1285" t="s">
        <v>2052</v>
      </c>
      <c r="BD45" s="1301"/>
      <c r="BE45" s="1284" t="s">
        <v>1051</v>
      </c>
      <c r="BF45" s="1285" t="s">
        <v>1048</v>
      </c>
    </row>
    <row r="46" spans="1:64" ht="15.75" customHeight="1">
      <c r="A46" s="716"/>
      <c r="B46" s="717"/>
      <c r="C46" s="789"/>
      <c r="D46" s="719"/>
      <c r="E46" s="719"/>
      <c r="F46" s="720"/>
      <c r="G46" s="721">
        <v>52</v>
      </c>
      <c r="H46" s="726"/>
      <c r="I46" s="726"/>
      <c r="J46" s="726"/>
      <c r="K46" s="719"/>
      <c r="L46" s="719"/>
      <c r="M46" s="719"/>
      <c r="N46" s="719"/>
      <c r="O46" s="726"/>
      <c r="P46" s="719"/>
      <c r="Q46" s="719"/>
      <c r="R46" s="719"/>
      <c r="S46" s="724">
        <f t="shared" ref="S46" si="12">AG47-AG45</f>
        <v>52.644000000000005</v>
      </c>
      <c r="T46" s="719"/>
      <c r="U46" s="719"/>
      <c r="V46" s="719"/>
      <c r="W46" s="721"/>
      <c r="X46" s="719"/>
      <c r="Y46" s="719"/>
      <c r="Z46" s="719"/>
      <c r="AA46" s="719"/>
      <c r="AB46" s="719"/>
      <c r="AC46" s="719"/>
      <c r="AD46" s="719"/>
      <c r="AE46" s="719"/>
      <c r="AF46" s="719"/>
      <c r="AG46" s="718"/>
      <c r="AH46" s="719"/>
      <c r="AI46" s="719"/>
      <c r="AJ46" s="719"/>
      <c r="AK46" s="719"/>
      <c r="AL46" s="719"/>
      <c r="AM46" s="719"/>
      <c r="AN46" s="719"/>
      <c r="AO46" s="719"/>
      <c r="AP46" s="719"/>
      <c r="AQ46" s="719">
        <f>+FL_1($T$47,$T$45,$G$46,1200,9.28, 1*$F$47)</f>
        <v>0.37855025261538461</v>
      </c>
      <c r="AR46" s="719"/>
      <c r="AS46" s="719"/>
      <c r="AT46" s="719"/>
      <c r="AU46" s="719"/>
      <c r="AV46" s="719"/>
      <c r="AW46" s="719"/>
      <c r="AX46" s="719"/>
      <c r="AY46" s="719"/>
      <c r="AZ46" s="483"/>
      <c r="BB46" s="1284" t="s">
        <v>1085</v>
      </c>
      <c r="BC46" s="1285" t="s">
        <v>2053</v>
      </c>
      <c r="BD46" s="1301"/>
      <c r="BE46" s="1284" t="s">
        <v>1052</v>
      </c>
      <c r="BF46" s="1285" t="s">
        <v>1003</v>
      </c>
    </row>
    <row r="47" spans="1:64" ht="15.75" customHeight="1">
      <c r="A47" s="716"/>
      <c r="B47" s="717" t="s">
        <v>2042</v>
      </c>
      <c r="C47" s="789">
        <f>C45+G46</f>
        <v>606.5</v>
      </c>
      <c r="D47" s="719"/>
      <c r="E47" s="719"/>
      <c r="F47" s="720">
        <v>0</v>
      </c>
      <c r="G47" s="721"/>
      <c r="H47" s="726"/>
      <c r="I47" s="726"/>
      <c r="J47" s="726"/>
      <c r="K47" s="719"/>
      <c r="L47" s="719" t="s">
        <v>2999</v>
      </c>
      <c r="M47" s="719"/>
      <c r="N47" s="719" t="s">
        <v>696</v>
      </c>
      <c r="O47" s="726"/>
      <c r="P47" s="719"/>
      <c r="Q47" s="719">
        <v>0</v>
      </c>
      <c r="R47" s="719">
        <v>0</v>
      </c>
      <c r="S47" s="719"/>
      <c r="T47" s="719">
        <v>35</v>
      </c>
      <c r="U47" s="719"/>
      <c r="V47" s="719"/>
      <c r="W47" s="721">
        <v>1</v>
      </c>
      <c r="X47" s="719"/>
      <c r="Y47" s="719"/>
      <c r="Z47" s="719"/>
      <c r="AA47" s="719"/>
      <c r="AB47" s="719"/>
      <c r="AC47" s="719" t="s">
        <v>2977</v>
      </c>
      <c r="AD47" s="719"/>
      <c r="AE47" s="719"/>
      <c r="AF47" s="719">
        <v>400</v>
      </c>
      <c r="AG47" s="718">
        <v>607.04700000000003</v>
      </c>
      <c r="AH47" s="719">
        <v>2274</v>
      </c>
      <c r="AI47" s="719">
        <v>-4823</v>
      </c>
      <c r="AJ47" s="719"/>
      <c r="AK47" s="719"/>
      <c r="AL47" s="719"/>
      <c r="AM47" s="719" t="s">
        <v>2610</v>
      </c>
      <c r="AN47" s="719">
        <v>5.25</v>
      </c>
      <c r="AO47" s="719"/>
      <c r="AP47" s="719"/>
      <c r="AQ47" s="719"/>
      <c r="AR47" s="719"/>
      <c r="AS47" s="719"/>
      <c r="AT47" s="719">
        <f>+ab($T$47,$T$45,$T$49,$G$46,$G$48, 1*$F$47,1200)</f>
        <v>6.9882640244526693</v>
      </c>
      <c r="AU47" s="719"/>
      <c r="AV47" s="719"/>
      <c r="AW47" s="719"/>
      <c r="AX47" s="719"/>
      <c r="AY47" s="719"/>
      <c r="AZ47" s="483"/>
      <c r="BB47" s="1284" t="s">
        <v>1087</v>
      </c>
      <c r="BC47" s="1285" t="s">
        <v>1046</v>
      </c>
      <c r="BD47" s="1301"/>
      <c r="BE47" s="1284" t="s">
        <v>1053</v>
      </c>
      <c r="BF47" s="1285" t="s">
        <v>1013</v>
      </c>
    </row>
    <row r="48" spans="1:64" ht="15.75" customHeight="1">
      <c r="A48" s="716"/>
      <c r="B48" s="717"/>
      <c r="C48" s="789"/>
      <c r="D48" s="719"/>
      <c r="E48" s="719"/>
      <c r="F48" s="720"/>
      <c r="G48" s="721">
        <v>50.5</v>
      </c>
      <c r="H48" s="726"/>
      <c r="I48" s="726"/>
      <c r="J48" s="726"/>
      <c r="K48" s="719"/>
      <c r="L48" s="719"/>
      <c r="M48" s="719"/>
      <c r="N48" s="719"/>
      <c r="O48" s="726"/>
      <c r="P48" s="719"/>
      <c r="Q48" s="719"/>
      <c r="R48" s="719"/>
      <c r="S48" s="724">
        <f t="shared" ref="S48" si="13">AG49-AG47</f>
        <v>50.168000000000006</v>
      </c>
      <c r="T48" s="719"/>
      <c r="U48" s="719"/>
      <c r="V48" s="719"/>
      <c r="W48" s="721"/>
      <c r="X48" s="719"/>
      <c r="Y48" s="719"/>
      <c r="Z48" s="719"/>
      <c r="AA48" s="719"/>
      <c r="AB48" s="719"/>
      <c r="AC48" s="719"/>
      <c r="AD48" s="719"/>
      <c r="AE48" s="719"/>
      <c r="AF48" s="719"/>
      <c r="AG48" s="718"/>
      <c r="AH48" s="719"/>
      <c r="AI48" s="719"/>
      <c r="AJ48" s="719"/>
      <c r="AK48" s="719"/>
      <c r="AL48" s="719"/>
      <c r="AM48" s="719"/>
      <c r="AN48" s="719"/>
      <c r="AO48" s="719"/>
      <c r="AP48" s="719"/>
      <c r="AQ48" s="719">
        <f>+FL_1($T$49,$T$47,$G$48,1200,9.28, 1*$F$49)</f>
        <v>0.37075133160396045</v>
      </c>
      <c r="AR48" s="719"/>
      <c r="AS48" s="719"/>
      <c r="AT48" s="719"/>
      <c r="AU48" s="719"/>
      <c r="AV48" s="719"/>
      <c r="AW48" s="719"/>
      <c r="AX48" s="719"/>
      <c r="AY48" s="719"/>
      <c r="AZ48" s="483"/>
      <c r="BB48" s="1284" t="s">
        <v>2644</v>
      </c>
      <c r="BC48" s="1285" t="s">
        <v>2645</v>
      </c>
      <c r="BD48" s="1301"/>
      <c r="BE48" s="1284" t="s">
        <v>1054</v>
      </c>
      <c r="BF48" s="1285" t="s">
        <v>1007</v>
      </c>
    </row>
    <row r="49" spans="1:61" ht="15.75" customHeight="1">
      <c r="A49" s="716"/>
      <c r="B49" s="717" t="s">
        <v>2043</v>
      </c>
      <c r="C49" s="789">
        <f>C47+G48</f>
        <v>657</v>
      </c>
      <c r="D49" s="719"/>
      <c r="E49" s="719"/>
      <c r="F49" s="720">
        <v>0</v>
      </c>
      <c r="G49" s="721"/>
      <c r="H49" s="726"/>
      <c r="I49" s="722"/>
      <c r="J49" s="718"/>
      <c r="K49" s="719"/>
      <c r="L49" s="719" t="s">
        <v>2999</v>
      </c>
      <c r="M49" s="719"/>
      <c r="N49" s="719" t="s">
        <v>695</v>
      </c>
      <c r="O49" s="719"/>
      <c r="P49" s="719"/>
      <c r="Q49" s="719">
        <v>0</v>
      </c>
      <c r="R49" s="719">
        <v>0</v>
      </c>
      <c r="S49" s="719"/>
      <c r="T49" s="719">
        <v>-35</v>
      </c>
      <c r="U49" s="719"/>
      <c r="V49" s="719"/>
      <c r="W49" s="721">
        <v>1</v>
      </c>
      <c r="X49" s="719"/>
      <c r="Y49" s="719"/>
      <c r="Z49" s="719"/>
      <c r="AA49" s="719"/>
      <c r="AB49" s="719"/>
      <c r="AC49" s="719" t="s">
        <v>2614</v>
      </c>
      <c r="AD49" s="719"/>
      <c r="AE49" s="719"/>
      <c r="AF49" s="719">
        <v>400</v>
      </c>
      <c r="AG49" s="718">
        <v>657.21500000000003</v>
      </c>
      <c r="AH49" s="719">
        <v>2246</v>
      </c>
      <c r="AI49" s="719">
        <v>-4801</v>
      </c>
      <c r="AJ49" s="719"/>
      <c r="AK49" s="719"/>
      <c r="AL49" s="719"/>
      <c r="AM49" s="719" t="s">
        <v>2610</v>
      </c>
      <c r="AN49" s="719">
        <v>5.25</v>
      </c>
      <c r="AO49" s="719"/>
      <c r="AP49" s="719"/>
      <c r="AQ49" s="719"/>
      <c r="AR49" s="719"/>
      <c r="AS49" s="719"/>
      <c r="AT49" s="719">
        <f>+ab($T$49,$T$47,$T$51,$G$48,$G$50, 1*$F$49,1200)</f>
        <v>-9.028525962631937</v>
      </c>
      <c r="AU49" s="719"/>
      <c r="AV49" s="719"/>
      <c r="AW49" s="719"/>
      <c r="AX49" s="719"/>
      <c r="AY49" s="719"/>
      <c r="AZ49" s="483"/>
      <c r="BB49" s="1284"/>
      <c r="BC49" s="1285"/>
      <c r="BD49" s="1301"/>
      <c r="BE49" s="1284" t="s">
        <v>1055</v>
      </c>
      <c r="BF49" s="1285" t="s">
        <v>1049</v>
      </c>
    </row>
    <row r="50" spans="1:61" ht="15.75" customHeight="1">
      <c r="A50" s="716" t="s">
        <v>2968</v>
      </c>
      <c r="B50" s="717"/>
      <c r="C50" s="789"/>
      <c r="D50" s="719"/>
      <c r="E50" s="719"/>
      <c r="F50" s="720"/>
      <c r="G50" s="721">
        <v>48.5</v>
      </c>
      <c r="H50" s="726"/>
      <c r="I50" s="722"/>
      <c r="J50" s="718"/>
      <c r="K50" s="719"/>
      <c r="L50" s="726"/>
      <c r="M50" s="719"/>
      <c r="N50" s="719"/>
      <c r="O50" s="719"/>
      <c r="P50" s="719"/>
      <c r="Q50" s="719"/>
      <c r="R50" s="719"/>
      <c r="S50" s="719"/>
      <c r="T50" s="719"/>
      <c r="U50" s="719"/>
      <c r="V50" s="719"/>
      <c r="W50" s="719"/>
      <c r="X50" s="719"/>
      <c r="Y50" s="719"/>
      <c r="Z50" s="719"/>
      <c r="AA50" s="719"/>
      <c r="AB50" s="719"/>
      <c r="AC50" s="719"/>
      <c r="AD50" s="719"/>
      <c r="AE50" s="719"/>
      <c r="AF50" s="719"/>
      <c r="AG50" s="718"/>
      <c r="AH50" s="719"/>
      <c r="AI50" s="719"/>
      <c r="AJ50" s="719" t="s">
        <v>2665</v>
      </c>
      <c r="AK50" s="719"/>
      <c r="AL50" s="719"/>
      <c r="AM50" s="719"/>
      <c r="AN50" s="719"/>
      <c r="AO50" s="719"/>
      <c r="AP50" s="719"/>
      <c r="AQ50" s="719"/>
      <c r="AR50" s="719"/>
      <c r="AS50" s="719"/>
      <c r="AT50" s="719"/>
      <c r="AU50" s="719"/>
      <c r="AV50" s="719"/>
      <c r="AW50" s="719"/>
      <c r="AX50" s="719"/>
      <c r="AY50" s="719"/>
      <c r="AZ50" s="483"/>
      <c r="BB50" s="1286" t="s">
        <v>1041</v>
      </c>
      <c r="BC50" s="1287"/>
      <c r="BD50" s="1301"/>
      <c r="BE50" s="1284" t="s">
        <v>1056</v>
      </c>
      <c r="BF50" s="1285" t="s">
        <v>1012</v>
      </c>
    </row>
    <row r="51" spans="1:61" ht="15.75" customHeight="1">
      <c r="A51" s="716" t="s">
        <v>479</v>
      </c>
      <c r="B51" s="717" t="s">
        <v>2044</v>
      </c>
      <c r="C51" s="789">
        <f>C49+G50</f>
        <v>705.5</v>
      </c>
      <c r="D51" s="719"/>
      <c r="E51" s="719"/>
      <c r="F51" s="720">
        <v>0</v>
      </c>
      <c r="G51" s="721"/>
      <c r="H51" s="726" t="s">
        <v>138</v>
      </c>
      <c r="I51" s="726" t="s">
        <v>2831</v>
      </c>
      <c r="J51" s="718">
        <f>C51</f>
        <v>705.5</v>
      </c>
      <c r="K51" s="719" t="s">
        <v>2587</v>
      </c>
      <c r="L51" s="719"/>
      <c r="M51" s="719"/>
      <c r="N51" s="726"/>
      <c r="O51" s="719"/>
      <c r="P51" s="719"/>
      <c r="Q51" s="719"/>
      <c r="R51" s="719"/>
      <c r="S51" s="719"/>
      <c r="T51" s="719">
        <v>0</v>
      </c>
      <c r="U51" s="719"/>
      <c r="V51" s="719"/>
      <c r="W51" s="719"/>
      <c r="X51" s="719"/>
      <c r="Y51" s="719"/>
      <c r="Z51" s="719"/>
      <c r="AA51" s="719"/>
      <c r="AB51" s="719"/>
      <c r="AC51" s="719"/>
      <c r="AD51" s="719"/>
      <c r="AE51" s="719"/>
      <c r="AF51" s="719"/>
      <c r="AG51" s="718"/>
      <c r="AH51" s="719"/>
      <c r="AI51" s="719"/>
      <c r="AJ51" s="719" t="s">
        <v>2456</v>
      </c>
      <c r="AK51" s="719"/>
      <c r="AL51" s="719"/>
      <c r="AM51" s="719"/>
      <c r="AN51" s="719"/>
      <c r="AO51" s="719"/>
      <c r="AP51" s="719"/>
      <c r="AQ51" s="719"/>
      <c r="AR51" s="719"/>
      <c r="AS51" s="719"/>
      <c r="AT51" s="719"/>
      <c r="AU51" s="719"/>
      <c r="AV51" s="719"/>
      <c r="AW51" s="719"/>
      <c r="AX51" s="719"/>
      <c r="AY51" s="719"/>
      <c r="AZ51" s="483"/>
      <c r="BB51" s="1284" t="s">
        <v>1088</v>
      </c>
      <c r="BC51" s="1285"/>
      <c r="BD51" s="1301"/>
      <c r="BE51" s="1284"/>
      <c r="BF51" s="1285"/>
    </row>
    <row r="52" spans="1:61" ht="15.75" customHeight="1">
      <c r="A52" s="716" t="s">
        <v>1136</v>
      </c>
      <c r="B52" s="717"/>
      <c r="C52" s="789"/>
      <c r="D52" s="719"/>
      <c r="E52" s="719"/>
      <c r="F52" s="720"/>
      <c r="G52" s="721"/>
      <c r="H52" s="726"/>
      <c r="I52" s="722"/>
      <c r="J52" s="718"/>
      <c r="K52" s="719"/>
      <c r="L52" s="719"/>
      <c r="M52" s="719"/>
      <c r="N52" s="719"/>
      <c r="O52" s="719"/>
      <c r="P52" s="719"/>
      <c r="Q52" s="719"/>
      <c r="R52" s="719"/>
      <c r="S52" s="719"/>
      <c r="T52" s="719"/>
      <c r="U52" s="719"/>
      <c r="V52" s="719"/>
      <c r="W52" s="719"/>
      <c r="X52" s="719"/>
      <c r="Y52" s="719"/>
      <c r="Z52" s="719"/>
      <c r="AA52" s="719"/>
      <c r="AB52" s="719"/>
      <c r="AC52" s="719"/>
      <c r="AD52" s="719"/>
      <c r="AE52" s="719"/>
      <c r="AF52" s="719"/>
      <c r="AG52" s="718"/>
      <c r="AH52" s="719"/>
      <c r="AI52" s="719"/>
      <c r="AJ52" s="719"/>
      <c r="AK52" s="719"/>
      <c r="AL52" s="719"/>
      <c r="AM52" s="719"/>
      <c r="AN52" s="719"/>
      <c r="AO52" s="719"/>
      <c r="AP52" s="719"/>
      <c r="AQ52" s="719"/>
      <c r="AR52" s="719"/>
      <c r="AS52" s="719"/>
      <c r="AT52" s="719"/>
      <c r="AU52" s="719"/>
      <c r="AV52" s="719"/>
      <c r="AW52" s="719"/>
      <c r="AX52" s="719"/>
      <c r="AY52" s="719"/>
      <c r="AZ52" s="483"/>
      <c r="BB52" s="1284" t="s">
        <v>3030</v>
      </c>
      <c r="BC52" s="1285" t="s">
        <v>3055</v>
      </c>
      <c r="BD52" s="1301"/>
      <c r="BE52" s="1286" t="s">
        <v>1057</v>
      </c>
      <c r="BF52" s="1287"/>
    </row>
    <row r="53" spans="1:61" ht="15.75" customHeight="1">
      <c r="A53" s="500"/>
      <c r="B53" s="480"/>
      <c r="C53" s="508"/>
      <c r="D53" s="47"/>
      <c r="E53" s="47"/>
      <c r="F53" s="478"/>
      <c r="G53" s="479"/>
      <c r="H53" s="9"/>
      <c r="I53" s="11"/>
      <c r="J53" s="481"/>
      <c r="K53" s="47"/>
      <c r="L53" s="47"/>
      <c r="M53" s="47"/>
      <c r="N53" s="47"/>
      <c r="O53" s="47"/>
      <c r="P53" s="47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47"/>
      <c r="AK53" s="47"/>
      <c r="AL53" s="47"/>
      <c r="AM53" s="47"/>
      <c r="AZ53" s="483"/>
      <c r="BB53" s="1284" t="s">
        <v>1089</v>
      </c>
      <c r="BC53" s="1285"/>
      <c r="BD53" s="1301"/>
      <c r="BE53" s="1284" t="s">
        <v>1058</v>
      </c>
      <c r="BF53" s="1285" t="s">
        <v>1043</v>
      </c>
    </row>
    <row r="54" spans="1:61" ht="15.75" customHeight="1">
      <c r="A54" s="500"/>
      <c r="B54" s="480"/>
      <c r="C54" s="508"/>
      <c r="D54" s="47"/>
      <c r="E54" s="47"/>
      <c r="F54" s="478"/>
      <c r="G54" s="479"/>
      <c r="H54" s="9"/>
      <c r="I54" s="11"/>
      <c r="J54" s="481"/>
      <c r="K54" s="47"/>
      <c r="L54" s="47"/>
      <c r="M54" s="47"/>
      <c r="N54" s="47"/>
      <c r="O54" s="47"/>
      <c r="P54" s="47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47"/>
      <c r="AK54" s="47"/>
      <c r="AL54" s="47"/>
      <c r="AM54" s="47"/>
      <c r="AZ54" s="483"/>
      <c r="BB54" s="1284" t="s">
        <v>3030</v>
      </c>
      <c r="BC54" s="1285" t="s">
        <v>3056</v>
      </c>
      <c r="BD54" s="1301"/>
      <c r="BE54" s="1284" t="s">
        <v>1059</v>
      </c>
      <c r="BF54" s="1285" t="s">
        <v>3057</v>
      </c>
      <c r="BH54" s="517"/>
    </row>
    <row r="55" spans="1:61" ht="15.75" customHeight="1">
      <c r="A55" s="500"/>
      <c r="B55" s="480"/>
      <c r="C55" s="508"/>
      <c r="D55" s="47"/>
      <c r="E55" s="47"/>
      <c r="F55" s="478"/>
      <c r="G55" s="479"/>
      <c r="H55" s="9"/>
      <c r="J55" s="481"/>
      <c r="K55" s="47"/>
      <c r="L55" s="47"/>
      <c r="M55" s="47"/>
      <c r="N55" s="47"/>
      <c r="O55" s="47"/>
      <c r="P55" s="47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47"/>
      <c r="AK55" s="47"/>
      <c r="AL55" s="47"/>
      <c r="AM55" s="47"/>
      <c r="AZ55" s="483"/>
      <c r="BB55" s="1284" t="s">
        <v>1091</v>
      </c>
      <c r="BC55" s="1285" t="s">
        <v>671</v>
      </c>
      <c r="BD55" s="1279"/>
      <c r="BE55" s="1284" t="s">
        <v>1060</v>
      </c>
      <c r="BF55" s="1285" t="s">
        <v>3058</v>
      </c>
      <c r="BH55" s="517"/>
    </row>
    <row r="56" spans="1:61" ht="15.75" customHeight="1">
      <c r="A56" s="500"/>
      <c r="B56" s="480"/>
      <c r="C56" s="508"/>
      <c r="D56" s="47"/>
      <c r="E56" s="47"/>
      <c r="F56" s="478"/>
      <c r="G56" s="479"/>
      <c r="I56" s="10"/>
      <c r="J56" s="481"/>
      <c r="K56" s="47"/>
      <c r="L56" s="47"/>
      <c r="M56" s="47"/>
      <c r="N56" s="47"/>
      <c r="O56" s="47"/>
      <c r="P56" s="47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47"/>
      <c r="AK56" s="47"/>
      <c r="AL56" s="47"/>
      <c r="AM56" s="47"/>
      <c r="AZ56" s="483"/>
      <c r="BB56" s="1284" t="s">
        <v>1090</v>
      </c>
      <c r="BC56" s="1285" t="s">
        <v>678</v>
      </c>
      <c r="BD56" s="1279"/>
      <c r="BE56" s="1284" t="s">
        <v>1061</v>
      </c>
      <c r="BF56" s="1285" t="s">
        <v>141</v>
      </c>
      <c r="BH56" s="517"/>
    </row>
    <row r="57" spans="1:61" ht="15.75" customHeight="1">
      <c r="A57" s="500"/>
      <c r="B57" s="480"/>
      <c r="C57" s="508"/>
      <c r="D57" s="47"/>
      <c r="E57" s="47"/>
      <c r="F57" s="478"/>
      <c r="G57" s="479"/>
      <c r="H57" s="9"/>
      <c r="I57" s="11"/>
      <c r="J57" s="481"/>
      <c r="K57" s="47"/>
      <c r="L57" s="47"/>
      <c r="M57" s="47"/>
      <c r="N57" s="47"/>
      <c r="O57" s="47"/>
      <c r="P57" s="47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47"/>
      <c r="AK57" s="47"/>
      <c r="AL57" s="47"/>
      <c r="AM57" s="47"/>
      <c r="BB57" s="1284" t="s">
        <v>3059</v>
      </c>
      <c r="BC57" s="1285" t="s">
        <v>3060</v>
      </c>
      <c r="BD57" s="1279"/>
      <c r="BE57" s="1302"/>
      <c r="BF57" s="1303"/>
      <c r="BH57" s="517"/>
    </row>
    <row r="58" spans="1:61" ht="15.75" customHeight="1">
      <c r="A58" s="500"/>
      <c r="B58" s="480"/>
      <c r="C58" s="508"/>
      <c r="D58" s="47"/>
      <c r="E58" s="47"/>
      <c r="F58" s="478"/>
      <c r="G58" s="479"/>
      <c r="H58" s="9"/>
      <c r="I58" s="10"/>
      <c r="J58" s="481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7"/>
      <c r="AK58" s="47"/>
      <c r="AL58" s="47"/>
      <c r="AM58" s="47"/>
      <c r="BB58" s="1284" t="s">
        <v>3061</v>
      </c>
      <c r="BC58" s="1285" t="s">
        <v>3062</v>
      </c>
      <c r="BD58" s="1279"/>
      <c r="BE58" s="1286" t="s">
        <v>692</v>
      </c>
      <c r="BF58" s="1287"/>
      <c r="BH58" s="517"/>
      <c r="BI58" s="519"/>
    </row>
    <row r="59" spans="1:61" ht="15.75" customHeight="1">
      <c r="A59" s="500"/>
      <c r="B59" s="480"/>
      <c r="C59" s="508"/>
      <c r="D59" s="47"/>
      <c r="E59" s="47"/>
      <c r="F59" s="478"/>
      <c r="G59" s="479"/>
      <c r="J59" s="481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BB59" s="1284" t="s">
        <v>2471</v>
      </c>
      <c r="BC59" s="1285" t="s">
        <v>1097</v>
      </c>
      <c r="BD59" s="1279"/>
      <c r="BE59" s="1284" t="s">
        <v>2563</v>
      </c>
      <c r="BF59" s="1285" t="s">
        <v>2054</v>
      </c>
      <c r="BH59" s="517"/>
    </row>
    <row r="60" spans="1:61" ht="15.75" customHeight="1">
      <c r="A60" s="500"/>
      <c r="B60" s="480"/>
      <c r="C60" s="508"/>
      <c r="D60" s="47"/>
      <c r="E60" s="47"/>
      <c r="F60" s="478"/>
      <c r="G60" s="479"/>
      <c r="H60" s="9"/>
      <c r="J60" s="481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BB60" s="1284" t="s">
        <v>2470</v>
      </c>
      <c r="BC60" s="1285" t="s">
        <v>1102</v>
      </c>
      <c r="BD60" s="1279"/>
      <c r="BE60" s="1284" t="s">
        <v>2564</v>
      </c>
      <c r="BF60" s="1285" t="s">
        <v>2055</v>
      </c>
      <c r="BH60" s="517"/>
    </row>
    <row r="61" spans="1:61" ht="15.75" customHeight="1">
      <c r="A61" s="500"/>
      <c r="B61" s="480"/>
      <c r="C61" s="508"/>
      <c r="D61" s="47"/>
      <c r="E61" s="47"/>
      <c r="F61" s="478"/>
      <c r="G61" s="479"/>
      <c r="H61" s="9"/>
      <c r="I61" s="10"/>
      <c r="J61" s="481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BB61" s="1284" t="s">
        <v>3063</v>
      </c>
      <c r="BC61" s="1285" t="s">
        <v>3064</v>
      </c>
      <c r="BD61" s="1279"/>
      <c r="BE61" s="1284" t="s">
        <v>2565</v>
      </c>
      <c r="BF61" s="1285" t="s">
        <v>2567</v>
      </c>
      <c r="BH61" s="517"/>
    </row>
    <row r="62" spans="1:61" ht="15.75" customHeight="1">
      <c r="A62" s="500"/>
      <c r="B62" s="480"/>
      <c r="C62" s="508"/>
      <c r="D62" s="47"/>
      <c r="E62" s="47"/>
      <c r="F62" s="478"/>
      <c r="G62" s="479"/>
      <c r="H62" s="9"/>
      <c r="I62" s="10"/>
      <c r="J62" s="481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BB62" s="1284" t="s">
        <v>3065</v>
      </c>
      <c r="BC62" s="1285" t="s">
        <v>3066</v>
      </c>
      <c r="BD62" s="1279"/>
      <c r="BE62" s="1284" t="s">
        <v>2566</v>
      </c>
      <c r="BF62" s="1285" t="s">
        <v>2568</v>
      </c>
      <c r="BH62" s="517"/>
    </row>
    <row r="63" spans="1:61" ht="15.75" customHeight="1" thickBot="1">
      <c r="A63" s="500"/>
      <c r="B63" s="480"/>
      <c r="C63" s="508"/>
      <c r="D63" s="47"/>
      <c r="E63" s="47"/>
      <c r="F63" s="478"/>
      <c r="G63" s="479"/>
      <c r="H63" s="9"/>
      <c r="I63" s="10"/>
      <c r="J63" s="481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BB63" s="1284" t="s">
        <v>2472</v>
      </c>
      <c r="BC63" s="1285" t="s">
        <v>2469</v>
      </c>
      <c r="BD63" s="1279"/>
      <c r="BE63" s="1304"/>
      <c r="BF63" s="1305"/>
    </row>
    <row r="64" spans="1:61" ht="15.75" customHeight="1">
      <c r="A64" s="500"/>
      <c r="B64" s="480"/>
      <c r="C64" s="508"/>
      <c r="D64" s="47"/>
      <c r="E64" s="47"/>
      <c r="F64" s="478"/>
      <c r="G64" s="479"/>
      <c r="H64" s="9"/>
      <c r="I64" s="10"/>
      <c r="J64" s="481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Z64" s="47"/>
      <c r="BB64" s="1284"/>
      <c r="BC64" s="1303"/>
      <c r="BD64" s="1279"/>
      <c r="BE64" s="1301"/>
      <c r="BF64" s="1301"/>
    </row>
    <row r="65" spans="1:58" ht="15.75" customHeight="1">
      <c r="A65" s="500"/>
      <c r="B65" s="480"/>
      <c r="C65" s="508"/>
      <c r="D65" s="47"/>
      <c r="E65" s="47"/>
      <c r="F65" s="478"/>
      <c r="G65" s="479"/>
      <c r="H65" s="9"/>
      <c r="I65" s="10"/>
      <c r="J65" s="481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Z65" s="47"/>
      <c r="BB65" s="1286" t="s">
        <v>1042</v>
      </c>
      <c r="BC65" s="1287"/>
      <c r="BD65" s="1279"/>
      <c r="BE65" s="1301"/>
      <c r="BF65" s="1301"/>
    </row>
    <row r="66" spans="1:58" ht="15.75" customHeight="1">
      <c r="A66" s="500"/>
      <c r="B66" s="480"/>
      <c r="C66" s="508"/>
      <c r="D66" s="47"/>
      <c r="E66" s="47"/>
      <c r="F66" s="478"/>
      <c r="G66" s="479"/>
      <c r="H66" s="9"/>
      <c r="I66" s="10"/>
      <c r="J66" s="481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Z66" s="47"/>
      <c r="BB66" s="1284" t="s">
        <v>3067</v>
      </c>
      <c r="BC66" s="1285" t="s">
        <v>3068</v>
      </c>
      <c r="BD66" s="1279"/>
      <c r="BE66" s="1301"/>
      <c r="BF66" s="1301"/>
    </row>
    <row r="67" spans="1:58" ht="15.75" customHeight="1">
      <c r="A67" s="500"/>
      <c r="B67" s="480"/>
      <c r="C67" s="508"/>
      <c r="D67" s="47"/>
      <c r="E67" s="47"/>
      <c r="F67" s="478"/>
      <c r="G67" s="479"/>
      <c r="H67" s="9"/>
      <c r="I67" s="10"/>
      <c r="J67" s="481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Z67" s="47"/>
      <c r="BB67" s="1284" t="s">
        <v>1076</v>
      </c>
      <c r="BC67" s="1285" t="s">
        <v>139</v>
      </c>
      <c r="BD67" s="1279"/>
      <c r="BE67" s="1301"/>
      <c r="BF67" s="1301"/>
    </row>
    <row r="68" spans="1:58" ht="15.75" customHeight="1">
      <c r="A68" s="500"/>
      <c r="B68" s="480"/>
      <c r="C68" s="508"/>
      <c r="D68" s="47"/>
      <c r="E68" s="47"/>
      <c r="F68" s="478"/>
      <c r="G68" s="479"/>
      <c r="H68" s="9"/>
      <c r="I68" s="10"/>
      <c r="J68" s="481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Z68" s="47"/>
      <c r="BB68" s="1284" t="s">
        <v>1077</v>
      </c>
      <c r="BC68" s="1285" t="s">
        <v>231</v>
      </c>
      <c r="BD68" s="1279"/>
      <c r="BE68" s="1301"/>
      <c r="BF68" s="1301"/>
    </row>
    <row r="69" spans="1:58" ht="15.75" customHeight="1">
      <c r="A69" s="500"/>
      <c r="B69" s="480"/>
      <c r="C69" s="508"/>
      <c r="D69" s="47"/>
      <c r="E69" s="47"/>
      <c r="F69" s="478"/>
      <c r="G69" s="479"/>
      <c r="H69" s="9"/>
      <c r="I69" s="10"/>
      <c r="J69" s="481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Z69" s="47"/>
      <c r="BB69" s="1284" t="s">
        <v>1078</v>
      </c>
      <c r="BC69" s="1285" t="s">
        <v>241</v>
      </c>
      <c r="BD69" s="1279"/>
      <c r="BE69" s="1279"/>
      <c r="BF69" s="1279"/>
    </row>
    <row r="70" spans="1:58" ht="15.75" customHeight="1">
      <c r="A70" s="500"/>
      <c r="B70" s="480"/>
      <c r="C70" s="508"/>
      <c r="D70" s="47"/>
      <c r="E70" s="47"/>
      <c r="F70" s="478"/>
      <c r="G70" s="479"/>
      <c r="H70" s="9"/>
      <c r="I70" s="10"/>
      <c r="J70" s="481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Z70" s="47"/>
      <c r="BB70" s="1284" t="s">
        <v>3069</v>
      </c>
      <c r="BC70" s="1285" t="s">
        <v>465</v>
      </c>
      <c r="BD70" s="1279"/>
      <c r="BE70" s="1279"/>
      <c r="BF70" s="1279"/>
    </row>
    <row r="71" spans="1:58" ht="15.75" customHeight="1">
      <c r="A71" s="500"/>
      <c r="B71" s="480"/>
      <c r="C71" s="508"/>
      <c r="D71" s="47"/>
      <c r="E71" s="47"/>
      <c r="F71" s="478"/>
      <c r="G71" s="479"/>
      <c r="H71" s="9"/>
      <c r="I71" s="10"/>
      <c r="J71" s="481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Z71" s="47"/>
      <c r="BB71" s="1284" t="s">
        <v>3070</v>
      </c>
      <c r="BC71" s="1285" t="s">
        <v>3071</v>
      </c>
      <c r="BD71" s="1279"/>
      <c r="BE71" s="1279"/>
      <c r="BF71" s="1279"/>
    </row>
    <row r="72" spans="1:58" ht="15.75" customHeight="1">
      <c r="A72" s="500"/>
      <c r="B72" s="480"/>
      <c r="C72" s="508"/>
      <c r="D72" s="47"/>
      <c r="E72" s="47"/>
      <c r="F72" s="478"/>
      <c r="G72" s="479"/>
      <c r="H72" s="9"/>
      <c r="I72" s="10"/>
      <c r="J72" s="481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BB72" s="1284" t="s">
        <v>3072</v>
      </c>
      <c r="BC72" s="1285" t="s">
        <v>3073</v>
      </c>
      <c r="BD72" s="1279"/>
      <c r="BE72" s="1279"/>
      <c r="BF72" s="1279"/>
    </row>
    <row r="73" spans="1:58" ht="15.75" customHeight="1">
      <c r="A73" s="500"/>
      <c r="B73" s="480"/>
      <c r="C73" s="508"/>
      <c r="D73" s="47"/>
      <c r="E73" s="47"/>
      <c r="F73" s="478"/>
      <c r="G73" s="479"/>
      <c r="H73" s="9"/>
      <c r="I73" s="10"/>
      <c r="J73" s="481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BB73" s="1284" t="s">
        <v>3074</v>
      </c>
      <c r="BC73" s="1285" t="s">
        <v>3075</v>
      </c>
      <c r="BD73" s="1279"/>
      <c r="BE73" s="1279"/>
      <c r="BF73" s="1279"/>
    </row>
    <row r="74" spans="1:58" ht="15.75" customHeight="1">
      <c r="A74" s="500"/>
      <c r="B74" s="480"/>
      <c r="C74" s="508"/>
      <c r="D74" s="47"/>
      <c r="E74" s="47"/>
      <c r="F74" s="478"/>
      <c r="G74" s="479"/>
      <c r="H74" s="9"/>
      <c r="I74" s="10"/>
      <c r="J74" s="481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BB74" s="1284" t="s">
        <v>3076</v>
      </c>
      <c r="BC74" s="1285" t="s">
        <v>3077</v>
      </c>
      <c r="BD74" s="1279"/>
      <c r="BE74" s="1301"/>
      <c r="BF74" s="1301"/>
    </row>
    <row r="75" spans="1:58" ht="15.75" customHeight="1">
      <c r="A75" s="500"/>
      <c r="B75" s="480"/>
      <c r="C75" s="508"/>
      <c r="D75" s="47"/>
      <c r="E75" s="47"/>
      <c r="F75" s="478"/>
      <c r="G75" s="479"/>
      <c r="H75" s="9"/>
      <c r="I75" s="10"/>
      <c r="J75" s="481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BB75" s="1284" t="s">
        <v>3074</v>
      </c>
      <c r="BC75" s="1285" t="s">
        <v>2999</v>
      </c>
      <c r="BD75" s="1279"/>
      <c r="BE75" s="1279"/>
      <c r="BF75" s="1279"/>
    </row>
    <row r="76" spans="1:58" ht="15.75" customHeight="1">
      <c r="A76" s="500"/>
      <c r="B76" s="480"/>
      <c r="C76" s="508"/>
      <c r="D76" s="47"/>
      <c r="E76" s="47"/>
      <c r="F76" s="478"/>
      <c r="G76" s="479"/>
      <c r="H76" s="9"/>
      <c r="I76" s="10"/>
      <c r="J76" s="481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BB76" s="1284" t="s">
        <v>3076</v>
      </c>
      <c r="BC76" s="1285" t="s">
        <v>3000</v>
      </c>
      <c r="BD76" s="1279"/>
      <c r="BE76" s="1279"/>
      <c r="BF76" s="1279"/>
    </row>
    <row r="77" spans="1:58" ht="15.75" customHeight="1">
      <c r="A77" s="500"/>
      <c r="B77" s="480"/>
      <c r="C77" s="508"/>
      <c r="D77" s="47"/>
      <c r="E77" s="47"/>
      <c r="F77" s="478"/>
      <c r="G77" s="479"/>
      <c r="H77" s="9"/>
      <c r="I77" s="10"/>
      <c r="J77" s="481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BB77" s="1284" t="s">
        <v>1080</v>
      </c>
      <c r="BC77" s="1285" t="s">
        <v>941</v>
      </c>
      <c r="BD77" s="1279"/>
      <c r="BE77" s="1279"/>
      <c r="BF77" s="1279"/>
    </row>
    <row r="78" spans="1:58" ht="15.75" customHeight="1">
      <c r="A78" s="500"/>
      <c r="B78" s="480"/>
      <c r="C78" s="508"/>
      <c r="D78" s="47"/>
      <c r="E78" s="47"/>
      <c r="F78" s="478"/>
      <c r="G78" s="479"/>
      <c r="H78" s="9"/>
      <c r="I78" s="10"/>
      <c r="J78" s="481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BB78" s="1284" t="s">
        <v>3078</v>
      </c>
      <c r="BC78" s="1285" t="s">
        <v>3079</v>
      </c>
      <c r="BD78" s="1279"/>
      <c r="BE78" s="1279"/>
      <c r="BF78" s="1279"/>
    </row>
    <row r="79" spans="1:58" ht="15.75" customHeight="1" thickBot="1">
      <c r="A79" s="500"/>
      <c r="B79" s="480"/>
      <c r="C79" s="508"/>
      <c r="D79" s="47"/>
      <c r="E79" s="47"/>
      <c r="F79" s="478"/>
      <c r="G79" s="479"/>
      <c r="H79" s="9"/>
      <c r="I79" s="10"/>
      <c r="J79" s="481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BB79" s="1304"/>
      <c r="BC79" s="1306"/>
      <c r="BD79" s="1279"/>
      <c r="BE79" s="1301"/>
      <c r="BF79" s="1301"/>
    </row>
    <row r="80" spans="1:58" ht="15.75" customHeight="1">
      <c r="A80" s="500"/>
      <c r="B80" s="480"/>
      <c r="C80" s="508"/>
      <c r="D80" s="47"/>
      <c r="E80" s="47"/>
      <c r="F80" s="478"/>
      <c r="G80" s="479"/>
      <c r="H80" s="9"/>
      <c r="I80" s="10"/>
      <c r="J80" s="481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</row>
    <row r="81" spans="1:58" ht="15.75" customHeight="1">
      <c r="A81" s="500"/>
      <c r="B81" s="480"/>
      <c r="C81" s="508"/>
      <c r="D81" s="47"/>
      <c r="E81" s="47"/>
      <c r="F81" s="478"/>
      <c r="G81" s="479"/>
      <c r="H81" s="9"/>
      <c r="I81" s="10"/>
      <c r="J81" s="481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</row>
    <row r="82" spans="1:58" ht="15.75" customHeight="1">
      <c r="A82" s="500"/>
      <c r="B82" s="480"/>
      <c r="C82" s="508"/>
      <c r="D82" s="47"/>
      <c r="E82" s="47"/>
      <c r="F82" s="478"/>
      <c r="G82" s="479"/>
      <c r="H82" s="9"/>
      <c r="I82" s="10"/>
      <c r="J82" s="481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</row>
    <row r="83" spans="1:58" ht="15.75" customHeight="1">
      <c r="A83" s="500"/>
      <c r="B83" s="480"/>
      <c r="C83" s="508"/>
      <c r="D83" s="47"/>
      <c r="E83" s="47"/>
      <c r="F83" s="478"/>
      <c r="G83" s="479"/>
      <c r="H83" s="9"/>
      <c r="I83" s="10"/>
      <c r="J83" s="481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BD83" s="560"/>
    </row>
    <row r="84" spans="1:58" ht="15.75" customHeight="1">
      <c r="A84" s="500"/>
      <c r="B84" s="480"/>
      <c r="C84" s="508"/>
      <c r="D84" s="47"/>
      <c r="E84" s="47"/>
      <c r="F84" s="478"/>
      <c r="G84" s="479"/>
      <c r="H84" s="9"/>
      <c r="I84" s="10"/>
      <c r="J84" s="481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BC84" s="560"/>
    </row>
    <row r="85" spans="1:58" ht="15.75" customHeight="1">
      <c r="A85" s="500"/>
      <c r="B85" s="480"/>
      <c r="C85" s="508"/>
      <c r="D85" s="47"/>
      <c r="E85" s="47"/>
      <c r="F85" s="478"/>
      <c r="G85" s="479"/>
      <c r="H85" s="9"/>
      <c r="I85" s="10"/>
      <c r="J85" s="481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</row>
    <row r="86" spans="1:58" ht="15.75" customHeight="1">
      <c r="A86" s="500"/>
      <c r="B86" s="480"/>
      <c r="C86" s="508"/>
      <c r="D86" s="47"/>
      <c r="E86" s="47"/>
      <c r="F86" s="478"/>
      <c r="G86" s="479"/>
      <c r="H86" s="9"/>
      <c r="I86" s="10"/>
      <c r="J86" s="481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</row>
    <row r="87" spans="1:58" ht="15.75" customHeight="1">
      <c r="A87" s="500"/>
      <c r="B87" s="480"/>
      <c r="C87" s="481"/>
      <c r="D87" s="47"/>
      <c r="E87" s="47"/>
      <c r="F87" s="478"/>
      <c r="G87" s="479"/>
      <c r="H87" s="9"/>
      <c r="I87" s="10"/>
      <c r="J87" s="481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</row>
    <row r="88" spans="1:58" ht="15.75" customHeight="1">
      <c r="A88" s="9"/>
      <c r="B88" s="477"/>
      <c r="C88" s="478"/>
      <c r="D88" s="477"/>
      <c r="E88" s="478"/>
      <c r="F88" s="478"/>
      <c r="G88" s="478"/>
      <c r="H88" s="9"/>
      <c r="J88" s="9"/>
      <c r="K88" s="47"/>
      <c r="L88" s="47"/>
      <c r="M88" s="47"/>
      <c r="N88" s="9"/>
      <c r="O88" s="9"/>
      <c r="P88" s="9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585"/>
      <c r="AK88" s="47"/>
      <c r="AL88" s="47"/>
      <c r="AM88" s="47"/>
      <c r="BE88" s="560"/>
      <c r="BF88" s="560"/>
    </row>
    <row r="89" spans="1:58" ht="15.75" customHeight="1">
      <c r="A89" s="9"/>
      <c r="B89" s="477"/>
      <c r="C89" s="478"/>
      <c r="D89" s="477"/>
      <c r="E89" s="478"/>
      <c r="F89" s="478"/>
      <c r="G89" s="478"/>
      <c r="H89" s="9"/>
      <c r="J89" s="9"/>
      <c r="K89" s="47"/>
      <c r="L89" s="47"/>
      <c r="M89" s="47"/>
      <c r="N89" s="9"/>
      <c r="O89" s="9"/>
      <c r="P89" s="9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585"/>
      <c r="AK89" s="47"/>
      <c r="AL89" s="47"/>
      <c r="AM89" s="47"/>
    </row>
    <row r="90" spans="1:58" ht="15.75" customHeight="1">
      <c r="A90" s="9"/>
      <c r="B90" s="477"/>
      <c r="C90" s="478"/>
      <c r="D90" s="477"/>
      <c r="E90" s="478"/>
      <c r="F90" s="478"/>
      <c r="G90" s="478"/>
      <c r="H90" s="9"/>
      <c r="J90" s="9"/>
      <c r="K90" s="47"/>
      <c r="L90" s="47"/>
      <c r="M90" s="47"/>
      <c r="N90" s="9"/>
      <c r="O90" s="9"/>
      <c r="P90" s="9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585"/>
      <c r="AK90" s="47"/>
      <c r="AL90" s="47"/>
      <c r="AM90" s="47"/>
    </row>
    <row r="91" spans="1:58" ht="15.75" customHeight="1">
      <c r="A91" s="9"/>
      <c r="B91" s="477"/>
      <c r="C91" s="478"/>
      <c r="D91" s="477"/>
      <c r="E91" s="478"/>
      <c r="F91" s="478"/>
      <c r="G91" s="478"/>
      <c r="H91" s="9"/>
      <c r="J91" s="9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</row>
    <row r="92" spans="1:58" ht="15.75" customHeight="1">
      <c r="A92" s="500"/>
      <c r="B92" s="480"/>
      <c r="C92" s="481"/>
      <c r="D92" s="47"/>
      <c r="E92" s="47"/>
      <c r="F92" s="478"/>
      <c r="G92" s="479"/>
      <c r="H92" s="9"/>
      <c r="I92" s="10"/>
      <c r="J92" s="481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</row>
    <row r="93" spans="1:58" ht="15.75" customHeight="1">
      <c r="A93" s="500"/>
      <c r="B93" s="480"/>
      <c r="C93" s="481"/>
      <c r="D93" s="47"/>
      <c r="E93" s="47"/>
      <c r="F93" s="478"/>
      <c r="G93" s="479"/>
      <c r="H93" s="9"/>
      <c r="J93" s="481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</row>
    <row r="94" spans="1:58" ht="15.75" customHeight="1">
      <c r="A94" s="500"/>
      <c r="B94" s="480"/>
      <c r="C94" s="481"/>
      <c r="D94" s="47"/>
      <c r="E94" s="47"/>
      <c r="F94" s="478"/>
      <c r="G94" s="479"/>
      <c r="H94" s="9"/>
      <c r="J94" s="481"/>
      <c r="K94" s="47"/>
      <c r="L94" s="47"/>
      <c r="M94" s="47"/>
      <c r="N94" s="47"/>
      <c r="O94" s="47"/>
      <c r="P94" s="47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</row>
    <row r="95" spans="1:58" ht="15.75" customHeight="1">
      <c r="A95" s="500"/>
      <c r="B95" s="480"/>
      <c r="C95" s="481"/>
      <c r="D95" s="47"/>
      <c r="E95" s="47"/>
      <c r="F95" s="478"/>
      <c r="G95" s="479"/>
      <c r="H95" s="9"/>
      <c r="J95" s="481"/>
      <c r="K95" s="47"/>
      <c r="L95" s="47"/>
      <c r="M95" s="47"/>
      <c r="N95" s="47"/>
      <c r="O95" s="47"/>
      <c r="P95" s="47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</row>
    <row r="96" spans="1:58" ht="15.75" customHeight="1">
      <c r="A96" s="500"/>
      <c r="B96" s="480"/>
      <c r="C96" s="481"/>
      <c r="D96" s="47"/>
      <c r="E96" s="47"/>
      <c r="F96" s="478"/>
      <c r="G96" s="479"/>
      <c r="H96" s="9"/>
      <c r="I96" s="10"/>
      <c r="J96" s="481"/>
      <c r="K96" s="47"/>
      <c r="L96" s="47"/>
      <c r="M96" s="47"/>
      <c r="N96" s="47"/>
      <c r="O96" s="47"/>
      <c r="P96" s="47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</row>
    <row r="97" spans="1:39" ht="15.75" customHeight="1">
      <c r="A97" s="500"/>
      <c r="B97" s="480"/>
      <c r="C97" s="481"/>
      <c r="D97" s="47"/>
      <c r="E97" s="47"/>
      <c r="F97" s="478"/>
      <c r="G97" s="479"/>
      <c r="H97" s="9"/>
      <c r="I97" s="10"/>
      <c r="J97" s="481"/>
      <c r="K97" s="47"/>
      <c r="L97" s="47"/>
      <c r="M97" s="47"/>
      <c r="N97" s="47"/>
      <c r="O97" s="47"/>
      <c r="P97" s="47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</row>
    <row r="98" spans="1:39" ht="15.75" customHeight="1">
      <c r="A98" s="500"/>
      <c r="B98" s="480"/>
      <c r="C98" s="502"/>
      <c r="D98" s="47"/>
      <c r="E98" s="47"/>
      <c r="F98" s="478"/>
      <c r="G98" s="479"/>
      <c r="H98" s="9"/>
      <c r="J98" s="481"/>
      <c r="K98" s="47"/>
      <c r="L98" s="47"/>
      <c r="M98" s="47"/>
      <c r="N98" s="47"/>
      <c r="O98" s="47"/>
      <c r="P98" s="47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</row>
    <row r="99" spans="1:39" ht="15.75" customHeight="1">
      <c r="A99" s="500"/>
      <c r="B99" s="480"/>
      <c r="C99" s="481"/>
      <c r="D99" s="47"/>
      <c r="E99" s="47"/>
      <c r="F99" s="478"/>
      <c r="G99" s="479"/>
      <c r="H99" s="9"/>
      <c r="I99" s="10"/>
      <c r="J99" s="481"/>
      <c r="K99" s="47"/>
      <c r="L99" s="47"/>
      <c r="M99" s="47"/>
      <c r="N99" s="47"/>
      <c r="O99" s="47"/>
      <c r="P99" s="47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</row>
    <row r="100" spans="1:39" ht="15.75" customHeight="1">
      <c r="A100" s="500"/>
      <c r="B100" s="480"/>
      <c r="C100" s="481"/>
      <c r="D100" s="47"/>
      <c r="E100" s="47"/>
      <c r="F100" s="478"/>
      <c r="G100" s="479"/>
      <c r="H100" s="47"/>
      <c r="J100" s="481"/>
      <c r="K100" s="47"/>
      <c r="L100" s="47"/>
      <c r="M100" s="47"/>
      <c r="N100" s="47"/>
      <c r="O100" s="47"/>
      <c r="P100" s="47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</row>
    <row r="101" spans="1:39" ht="15.75" customHeight="1">
      <c r="A101" s="500"/>
      <c r="B101" s="480"/>
      <c r="C101" s="481"/>
      <c r="D101" s="47"/>
      <c r="E101" s="47"/>
      <c r="F101" s="478"/>
      <c r="G101" s="479"/>
      <c r="H101" s="9"/>
      <c r="I101" s="10"/>
      <c r="J101" s="481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</row>
    <row r="102" spans="1:39" ht="15.75" customHeight="1">
      <c r="A102" s="500"/>
      <c r="B102" s="480"/>
      <c r="C102" s="481"/>
      <c r="D102" s="47"/>
      <c r="E102" s="47"/>
      <c r="F102" s="478"/>
      <c r="G102" s="479"/>
      <c r="H102" s="9"/>
      <c r="J102" s="481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</row>
    <row r="103" spans="1:39" ht="15.75" customHeight="1">
      <c r="A103" s="500"/>
      <c r="B103" s="480"/>
      <c r="C103" s="481"/>
      <c r="D103" s="47"/>
      <c r="E103" s="47"/>
      <c r="F103" s="478"/>
      <c r="G103" s="479"/>
      <c r="H103" s="9"/>
      <c r="I103" s="10"/>
      <c r="J103" s="481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</row>
    <row r="104" spans="1:39" ht="15.75" customHeight="1">
      <c r="A104" s="500"/>
      <c r="B104" s="480"/>
      <c r="C104" s="502"/>
      <c r="D104" s="47"/>
      <c r="E104" s="47"/>
      <c r="F104" s="478"/>
      <c r="G104" s="479"/>
      <c r="H104" s="47"/>
      <c r="I104" s="478"/>
      <c r="J104" s="481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</row>
    <row r="105" spans="1:39" ht="15.75" customHeight="1">
      <c r="A105" s="500"/>
      <c r="B105" s="480"/>
      <c r="C105" s="481"/>
      <c r="D105" s="47"/>
      <c r="E105" s="47"/>
      <c r="F105" s="478"/>
      <c r="G105" s="479"/>
      <c r="H105" s="9"/>
      <c r="J105" s="481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</row>
    <row r="106" spans="1:39" ht="15.75" customHeight="1">
      <c r="A106" s="500"/>
      <c r="B106" s="480"/>
      <c r="C106" s="481"/>
      <c r="D106" s="47"/>
      <c r="E106" s="47"/>
      <c r="F106" s="478"/>
      <c r="G106" s="479"/>
      <c r="H106" s="47"/>
      <c r="I106" s="10"/>
      <c r="J106" s="481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</row>
    <row r="107" spans="1:39" ht="15.75" customHeight="1">
      <c r="A107" s="500"/>
      <c r="B107" s="480"/>
      <c r="C107" s="481"/>
      <c r="D107" s="47"/>
      <c r="E107" s="47"/>
      <c r="F107" s="478"/>
      <c r="G107" s="479"/>
      <c r="H107" s="9"/>
      <c r="I107" s="10"/>
      <c r="J107" s="481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</row>
    <row r="108" spans="1:39" ht="15.75" customHeight="1">
      <c r="A108" s="500"/>
      <c r="B108" s="480"/>
      <c r="C108" s="481"/>
      <c r="D108" s="47"/>
      <c r="E108" s="47"/>
      <c r="F108" s="478"/>
      <c r="G108" s="479"/>
      <c r="H108" s="9"/>
      <c r="I108" s="10"/>
      <c r="J108" s="481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</row>
    <row r="109" spans="1:39" ht="15.75" customHeight="1">
      <c r="A109" s="500"/>
      <c r="B109" s="480"/>
      <c r="C109" s="481"/>
      <c r="D109" s="47"/>
      <c r="E109" s="47"/>
      <c r="F109" s="478"/>
      <c r="G109" s="479"/>
      <c r="H109" s="9"/>
      <c r="I109" s="10"/>
      <c r="J109" s="481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</row>
    <row r="110" spans="1:39" ht="15.75" customHeight="1">
      <c r="A110" s="500"/>
      <c r="B110" s="480"/>
      <c r="C110" s="481"/>
      <c r="D110" s="47"/>
      <c r="E110" s="47"/>
      <c r="F110" s="478"/>
      <c r="G110" s="479"/>
      <c r="H110" s="9"/>
      <c r="J110" s="481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</row>
    <row r="111" spans="1:39" ht="15.75" customHeight="1">
      <c r="A111" s="500"/>
      <c r="B111" s="480"/>
      <c r="C111" s="481"/>
      <c r="D111" s="47"/>
      <c r="E111" s="47"/>
      <c r="F111" s="478"/>
      <c r="G111" s="479"/>
      <c r="H111" s="9"/>
      <c r="I111" s="10"/>
      <c r="J111" s="481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</row>
    <row r="112" spans="1:39" ht="15.75" customHeight="1">
      <c r="A112" s="500"/>
      <c r="B112" s="480"/>
      <c r="C112" s="481"/>
      <c r="D112" s="47"/>
      <c r="E112" s="47"/>
      <c r="F112" s="478"/>
      <c r="G112" s="479"/>
      <c r="H112" s="9"/>
      <c r="J112" s="481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</row>
    <row r="113" spans="1:39" ht="15.75" customHeight="1">
      <c r="A113" s="500"/>
      <c r="B113" s="480"/>
      <c r="C113" s="481"/>
      <c r="D113" s="47"/>
      <c r="E113" s="47"/>
      <c r="F113" s="478"/>
      <c r="G113" s="479"/>
      <c r="H113" s="9"/>
      <c r="I113" s="10"/>
      <c r="J113" s="481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</row>
    <row r="114" spans="1:39" ht="15.75" customHeight="1">
      <c r="A114" s="500"/>
      <c r="B114" s="480"/>
      <c r="C114" s="481"/>
      <c r="D114" s="47"/>
      <c r="E114" s="47"/>
      <c r="F114" s="478"/>
      <c r="G114" s="479"/>
      <c r="H114" s="9"/>
      <c r="J114" s="481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</row>
    <row r="115" spans="1:39" ht="15.75" customHeight="1">
      <c r="A115" s="500"/>
      <c r="B115" s="480"/>
      <c r="C115" s="481"/>
      <c r="D115" s="47"/>
      <c r="E115" s="47"/>
      <c r="F115" s="478"/>
      <c r="G115" s="479"/>
      <c r="H115" s="9"/>
      <c r="I115" s="10"/>
      <c r="J115" s="481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</row>
    <row r="116" spans="1:39" ht="15.75" customHeight="1">
      <c r="A116" s="500"/>
      <c r="B116" s="480"/>
      <c r="C116" s="481"/>
      <c r="D116" s="47"/>
      <c r="E116" s="47"/>
      <c r="F116" s="478"/>
      <c r="G116" s="479"/>
      <c r="H116" s="9"/>
      <c r="J116" s="481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</row>
    <row r="117" spans="1:39" ht="15.75" customHeight="1">
      <c r="A117" s="500"/>
      <c r="B117" s="480"/>
      <c r="C117" s="481"/>
      <c r="D117" s="47"/>
      <c r="E117" s="47"/>
      <c r="F117" s="478"/>
      <c r="G117" s="479"/>
      <c r="H117" s="9"/>
      <c r="I117" s="10"/>
      <c r="J117" s="481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</row>
    <row r="118" spans="1:39" ht="15.75" customHeight="1">
      <c r="A118" s="500"/>
      <c r="B118" s="480"/>
      <c r="C118" s="481"/>
      <c r="D118" s="47"/>
      <c r="E118" s="47"/>
      <c r="F118" s="478"/>
      <c r="G118" s="479"/>
      <c r="H118" s="9"/>
      <c r="I118" s="10"/>
      <c r="J118" s="481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</row>
    <row r="119" spans="1:39" ht="15.75" customHeight="1">
      <c r="A119" s="500"/>
      <c r="B119" s="480"/>
      <c r="C119" s="481"/>
      <c r="D119" s="47"/>
      <c r="E119" s="47"/>
      <c r="F119" s="478"/>
      <c r="G119" s="479"/>
      <c r="H119" s="9"/>
      <c r="I119" s="10"/>
      <c r="J119" s="481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</row>
    <row r="120" spans="1:39" ht="15.75" customHeight="1">
      <c r="A120" s="500"/>
      <c r="B120" s="480"/>
      <c r="C120" s="481"/>
      <c r="D120" s="47"/>
      <c r="E120" s="47"/>
      <c r="F120" s="478"/>
      <c r="G120" s="479"/>
      <c r="H120" s="9"/>
      <c r="J120" s="481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</row>
    <row r="121" spans="1:39" ht="15.75" customHeight="1">
      <c r="A121" s="500"/>
      <c r="B121" s="480"/>
      <c r="C121" s="481"/>
      <c r="D121" s="47"/>
      <c r="E121" s="47"/>
      <c r="F121" s="478"/>
      <c r="G121" s="479"/>
      <c r="H121" s="9"/>
      <c r="I121" s="10"/>
      <c r="J121" s="481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</row>
    <row r="122" spans="1:39" ht="15.75" customHeight="1">
      <c r="A122" s="500"/>
      <c r="B122" s="480"/>
      <c r="C122" s="481"/>
      <c r="D122" s="47"/>
      <c r="E122" s="47"/>
      <c r="F122" s="478"/>
      <c r="G122" s="479"/>
      <c r="H122" s="9"/>
      <c r="I122" s="10"/>
      <c r="J122" s="481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</row>
    <row r="123" spans="1:39" ht="15.75" customHeight="1">
      <c r="A123" s="500"/>
      <c r="B123" s="480"/>
      <c r="C123" s="481"/>
      <c r="D123" s="47"/>
      <c r="E123" s="47"/>
      <c r="F123" s="478"/>
      <c r="G123" s="479"/>
      <c r="H123" s="9"/>
      <c r="I123" s="10"/>
      <c r="J123" s="481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</row>
    <row r="124" spans="1:39" ht="15.75" customHeight="1">
      <c r="A124" s="500"/>
      <c r="B124" s="480"/>
      <c r="C124" s="481"/>
      <c r="D124" s="47"/>
      <c r="E124" s="47"/>
      <c r="F124" s="478"/>
      <c r="G124" s="479"/>
      <c r="H124" s="9"/>
      <c r="I124" s="10"/>
      <c r="J124" s="481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</row>
    <row r="125" spans="1:39" ht="15.75" customHeight="1">
      <c r="A125" s="500"/>
      <c r="B125" s="480"/>
      <c r="C125" s="481"/>
      <c r="D125" s="47"/>
      <c r="E125" s="47"/>
      <c r="F125" s="478"/>
      <c r="G125" s="479"/>
      <c r="H125" s="9"/>
      <c r="I125" s="10"/>
      <c r="J125" s="481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</row>
    <row r="126" spans="1:39" ht="15.75" customHeight="1">
      <c r="A126" s="500"/>
      <c r="B126" s="480"/>
      <c r="C126" s="481"/>
      <c r="D126" s="47"/>
      <c r="E126" s="47"/>
      <c r="F126" s="478"/>
      <c r="G126" s="479"/>
      <c r="H126" s="9"/>
      <c r="I126" s="10"/>
      <c r="J126" s="481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</row>
    <row r="127" spans="1:39" ht="15.75" customHeight="1">
      <c r="A127" s="500"/>
      <c r="B127" s="480"/>
      <c r="C127" s="481"/>
      <c r="D127" s="47"/>
      <c r="E127" s="47"/>
      <c r="F127" s="478"/>
      <c r="G127" s="479"/>
      <c r="H127" s="9"/>
      <c r="I127" s="10"/>
      <c r="J127" s="481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</row>
    <row r="128" spans="1:39" ht="15.75" customHeight="1">
      <c r="A128" s="500"/>
      <c r="B128" s="480"/>
      <c r="C128" s="481"/>
      <c r="D128" s="47"/>
      <c r="E128" s="47"/>
      <c r="F128" s="478"/>
      <c r="G128" s="479"/>
      <c r="H128" s="9"/>
      <c r="I128" s="10"/>
      <c r="J128" s="481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</row>
    <row r="129" spans="1:58" ht="15.75" customHeight="1">
      <c r="A129" s="500"/>
      <c r="B129" s="480"/>
      <c r="C129" s="481"/>
      <c r="D129" s="47"/>
      <c r="E129" s="47"/>
      <c r="F129" s="478"/>
      <c r="G129" s="479"/>
      <c r="H129" s="9"/>
      <c r="I129" s="10"/>
      <c r="J129" s="481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</row>
    <row r="130" spans="1:58" ht="15.75" customHeight="1">
      <c r="A130" s="500"/>
      <c r="B130" s="480"/>
      <c r="C130" s="481"/>
      <c r="D130" s="47"/>
      <c r="E130" s="47"/>
      <c r="F130" s="478"/>
      <c r="G130" s="479"/>
      <c r="H130" s="9"/>
      <c r="I130" s="10"/>
      <c r="J130" s="481"/>
      <c r="K130" s="47"/>
      <c r="L130" s="47"/>
      <c r="M130" s="47"/>
      <c r="N130" s="47"/>
      <c r="O130" s="47"/>
      <c r="P130" s="47"/>
      <c r="Q130" s="47"/>
      <c r="R130" s="47"/>
      <c r="S130" s="47"/>
      <c r="T130" s="47"/>
      <c r="U130" s="47"/>
      <c r="V130" s="47"/>
      <c r="W130" s="47"/>
      <c r="X130" s="47"/>
      <c r="Y130" s="47"/>
      <c r="Z130" s="47"/>
      <c r="AA130" s="47"/>
      <c r="AB130" s="47"/>
      <c r="AC130" s="47"/>
      <c r="AD130" s="47"/>
      <c r="AE130" s="47"/>
      <c r="AF130" s="47"/>
      <c r="AG130" s="47"/>
      <c r="AH130" s="47"/>
      <c r="AI130" s="47"/>
      <c r="AJ130" s="47"/>
      <c r="AK130" s="47"/>
      <c r="AL130" s="47"/>
      <c r="AM130" s="47"/>
    </row>
    <row r="131" spans="1:58" ht="15.75" customHeight="1">
      <c r="A131" s="500"/>
      <c r="B131" s="480"/>
      <c r="C131" s="481"/>
      <c r="D131" s="47"/>
      <c r="E131" s="47"/>
      <c r="F131" s="478"/>
      <c r="G131" s="479"/>
      <c r="H131" s="9"/>
      <c r="I131" s="10"/>
      <c r="J131" s="481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</row>
    <row r="132" spans="1:58" ht="15.75" customHeight="1">
      <c r="A132" s="500"/>
      <c r="B132" s="480"/>
      <c r="C132" s="481"/>
      <c r="D132" s="47"/>
      <c r="E132" s="47"/>
      <c r="F132" s="478"/>
      <c r="G132" s="479"/>
      <c r="H132" s="9"/>
      <c r="I132" s="10"/>
      <c r="J132" s="481"/>
      <c r="K132" s="47"/>
      <c r="L132" s="47"/>
      <c r="M132" s="47"/>
      <c r="N132" s="47"/>
      <c r="O132" s="47"/>
      <c r="P132" s="47"/>
      <c r="Q132" s="47"/>
      <c r="R132" s="47"/>
      <c r="S132" s="47"/>
      <c r="T132" s="47"/>
      <c r="U132" s="47"/>
      <c r="V132" s="47"/>
      <c r="W132" s="47"/>
      <c r="X132" s="47"/>
      <c r="Y132" s="47"/>
      <c r="Z132" s="47"/>
      <c r="AA132" s="47"/>
      <c r="AB132" s="47"/>
      <c r="AC132" s="47"/>
      <c r="AD132" s="47"/>
      <c r="AE132" s="47"/>
      <c r="AF132" s="47"/>
      <c r="AG132" s="47"/>
      <c r="AH132" s="47"/>
      <c r="AI132" s="47"/>
      <c r="AJ132" s="47"/>
      <c r="AK132" s="47"/>
      <c r="AL132" s="47"/>
      <c r="AM132" s="47"/>
    </row>
    <row r="133" spans="1:58" ht="15.75" customHeight="1">
      <c r="A133" s="500"/>
      <c r="B133" s="480"/>
      <c r="C133" s="481"/>
      <c r="D133" s="47"/>
      <c r="E133" s="47"/>
      <c r="F133" s="478"/>
      <c r="G133" s="479"/>
      <c r="H133" s="9"/>
      <c r="I133" s="10"/>
      <c r="J133" s="481"/>
      <c r="K133" s="47"/>
      <c r="L133" s="47"/>
      <c r="M133" s="47"/>
      <c r="N133" s="47"/>
      <c r="O133" s="47"/>
      <c r="P133" s="47"/>
      <c r="Q133" s="47"/>
      <c r="R133" s="47"/>
      <c r="S133" s="47"/>
      <c r="T133" s="47"/>
      <c r="U133" s="47"/>
      <c r="V133" s="47"/>
      <c r="W133" s="47"/>
      <c r="X133" s="47"/>
      <c r="Y133" s="47"/>
      <c r="Z133" s="47"/>
      <c r="AA133" s="47"/>
      <c r="AB133" s="47"/>
      <c r="AC133" s="47"/>
      <c r="AD133" s="47"/>
      <c r="AE133" s="47"/>
      <c r="AF133" s="47"/>
      <c r="AG133" s="47"/>
      <c r="AH133" s="47"/>
      <c r="AI133" s="47"/>
      <c r="AJ133" s="47"/>
      <c r="AK133" s="47"/>
      <c r="AL133" s="47"/>
      <c r="AM133" s="47"/>
    </row>
    <row r="134" spans="1:58" ht="15.75" customHeight="1">
      <c r="A134" s="500"/>
      <c r="B134" s="480"/>
      <c r="C134" s="481"/>
      <c r="D134" s="47"/>
      <c r="E134" s="47"/>
      <c r="F134" s="478"/>
      <c r="G134" s="479"/>
      <c r="H134" s="9"/>
      <c r="I134" s="10"/>
      <c r="J134" s="481"/>
      <c r="K134" s="47"/>
      <c r="L134" s="47"/>
      <c r="M134" s="47"/>
      <c r="N134" s="47"/>
      <c r="O134" s="47"/>
      <c r="P134" s="47"/>
      <c r="Q134" s="47"/>
      <c r="R134" s="47"/>
      <c r="S134" s="47"/>
      <c r="T134" s="47"/>
      <c r="U134" s="47"/>
      <c r="V134" s="47"/>
      <c r="W134" s="47"/>
      <c r="X134" s="47"/>
      <c r="Y134" s="47"/>
      <c r="Z134" s="47"/>
      <c r="AA134" s="47"/>
      <c r="AB134" s="47"/>
      <c r="AC134" s="47"/>
      <c r="AD134" s="47"/>
      <c r="AE134" s="47"/>
      <c r="AF134" s="47"/>
      <c r="AG134" s="47"/>
      <c r="AH134" s="47"/>
      <c r="AI134" s="47"/>
      <c r="AJ134" s="47"/>
      <c r="AK134" s="47"/>
      <c r="AL134" s="47"/>
      <c r="AM134" s="47"/>
    </row>
    <row r="135" spans="1:58" ht="15.75" customHeight="1">
      <c r="A135" s="500"/>
      <c r="B135" s="480"/>
      <c r="C135" s="481"/>
      <c r="D135" s="47"/>
      <c r="E135" s="47"/>
      <c r="F135" s="478"/>
      <c r="G135" s="479"/>
      <c r="H135" s="9"/>
      <c r="I135" s="10"/>
      <c r="J135" s="481"/>
      <c r="K135" s="47"/>
      <c r="L135" s="47"/>
      <c r="M135" s="47"/>
      <c r="N135" s="47"/>
      <c r="O135" s="47"/>
      <c r="P135" s="47"/>
      <c r="Q135" s="47"/>
      <c r="R135" s="47"/>
      <c r="S135" s="47"/>
      <c r="T135" s="47"/>
      <c r="U135" s="47"/>
      <c r="V135" s="47"/>
      <c r="W135" s="47"/>
      <c r="X135" s="47"/>
      <c r="Y135" s="47"/>
      <c r="Z135" s="47"/>
      <c r="AA135" s="47"/>
      <c r="AB135" s="47"/>
      <c r="AC135" s="47"/>
      <c r="AD135" s="47"/>
      <c r="AE135" s="47"/>
      <c r="AF135" s="47"/>
      <c r="AG135" s="47"/>
      <c r="AH135" s="47"/>
      <c r="AI135" s="47"/>
      <c r="AJ135" s="47"/>
      <c r="AK135" s="47"/>
      <c r="AL135" s="47"/>
      <c r="AM135" s="47"/>
    </row>
    <row r="136" spans="1:58" ht="15.75" customHeight="1">
      <c r="A136" s="500"/>
      <c r="B136" s="480"/>
      <c r="C136" s="481"/>
      <c r="D136" s="47"/>
      <c r="E136" s="47"/>
      <c r="F136" s="478"/>
      <c r="G136" s="479"/>
      <c r="H136" s="9"/>
      <c r="I136" s="10"/>
      <c r="J136" s="481"/>
      <c r="K136" s="47"/>
      <c r="L136" s="47"/>
      <c r="M136" s="47"/>
      <c r="N136" s="47"/>
      <c r="O136" s="47"/>
      <c r="P136" s="47"/>
      <c r="Q136" s="47"/>
      <c r="R136" s="47"/>
      <c r="S136" s="47"/>
      <c r="T136" s="47"/>
      <c r="U136" s="47"/>
      <c r="V136" s="47"/>
      <c r="W136" s="47"/>
      <c r="X136" s="47"/>
      <c r="Y136" s="47"/>
      <c r="Z136" s="47"/>
      <c r="AA136" s="47"/>
      <c r="AB136" s="47"/>
      <c r="AC136" s="47"/>
      <c r="AD136" s="47"/>
      <c r="AE136" s="47"/>
      <c r="AF136" s="47"/>
      <c r="AG136" s="47"/>
      <c r="AH136" s="47"/>
      <c r="AI136" s="47"/>
      <c r="AJ136" s="47"/>
      <c r="AK136" s="47"/>
      <c r="AL136" s="47"/>
      <c r="AM136" s="47"/>
    </row>
    <row r="137" spans="1:58" ht="15.75" customHeight="1">
      <c r="A137" s="9"/>
      <c r="B137" s="477"/>
      <c r="C137" s="478"/>
      <c r="D137" s="477"/>
      <c r="E137" s="478"/>
      <c r="F137" s="478"/>
      <c r="G137" s="478"/>
      <c r="H137" s="9"/>
      <c r="J137" s="9"/>
      <c r="K137" s="47"/>
      <c r="L137" s="47"/>
      <c r="M137" s="47"/>
      <c r="N137" s="9"/>
      <c r="O137" s="9"/>
      <c r="P137" s="9"/>
      <c r="Q137" s="47"/>
      <c r="R137" s="47"/>
      <c r="S137" s="47"/>
      <c r="T137" s="47"/>
      <c r="U137" s="47"/>
      <c r="V137" s="47"/>
      <c r="W137" s="47"/>
      <c r="X137" s="47"/>
      <c r="Y137" s="47"/>
      <c r="Z137" s="47"/>
      <c r="AA137" s="47"/>
      <c r="AB137" s="47"/>
      <c r="AC137" s="47"/>
      <c r="AD137" s="47"/>
      <c r="AE137" s="47"/>
      <c r="AF137" s="47"/>
      <c r="AG137" s="47"/>
      <c r="AH137" s="47"/>
      <c r="AI137" s="47"/>
      <c r="AJ137" s="585"/>
      <c r="AK137" s="47"/>
      <c r="AL137" s="47"/>
      <c r="AM137" s="47"/>
    </row>
    <row r="138" spans="1:58" ht="15.75" customHeight="1">
      <c r="A138" s="9"/>
      <c r="B138" s="477"/>
      <c r="C138" s="478"/>
      <c r="D138" s="477"/>
      <c r="E138" s="478"/>
      <c r="F138" s="478"/>
      <c r="G138" s="478"/>
      <c r="H138" s="9"/>
      <c r="J138" s="9"/>
      <c r="K138" s="47"/>
      <c r="L138" s="47"/>
      <c r="M138" s="47"/>
      <c r="N138" s="9"/>
      <c r="O138" s="9"/>
      <c r="P138" s="9"/>
      <c r="Q138" s="47"/>
      <c r="R138" s="47"/>
      <c r="S138" s="47"/>
      <c r="T138" s="47"/>
      <c r="U138" s="47"/>
      <c r="V138" s="47"/>
      <c r="W138" s="47"/>
      <c r="X138" s="47"/>
      <c r="Y138" s="47"/>
      <c r="Z138" s="47"/>
      <c r="AA138" s="47"/>
      <c r="AB138" s="47"/>
      <c r="AC138" s="47"/>
      <c r="AD138" s="47"/>
      <c r="AE138" s="47"/>
      <c r="AF138" s="47"/>
      <c r="AG138" s="47"/>
      <c r="AH138" s="47"/>
      <c r="AI138" s="47"/>
      <c r="AJ138" s="585"/>
      <c r="AK138" s="47"/>
      <c r="AL138" s="47"/>
      <c r="AM138" s="47"/>
    </row>
    <row r="139" spans="1:58" ht="15.75" customHeight="1">
      <c r="A139" s="9"/>
      <c r="B139" s="477"/>
      <c r="C139" s="478"/>
      <c r="D139" s="477"/>
      <c r="E139" s="478"/>
      <c r="F139" s="478"/>
      <c r="G139" s="478"/>
      <c r="H139" s="9"/>
      <c r="J139" s="9"/>
      <c r="K139" s="47"/>
      <c r="L139" s="47"/>
      <c r="M139" s="47"/>
      <c r="N139" s="9"/>
      <c r="O139" s="9"/>
      <c r="P139" s="9"/>
      <c r="Q139" s="47"/>
      <c r="R139" s="47"/>
      <c r="S139" s="47"/>
      <c r="T139" s="47"/>
      <c r="U139" s="47"/>
      <c r="V139" s="47"/>
      <c r="W139" s="47"/>
      <c r="X139" s="47"/>
      <c r="Y139" s="47"/>
      <c r="Z139" s="47"/>
      <c r="AA139" s="47"/>
      <c r="AB139" s="47"/>
      <c r="AC139" s="47"/>
      <c r="AD139" s="47"/>
      <c r="AE139" s="47"/>
      <c r="AF139" s="47"/>
      <c r="AG139" s="47"/>
      <c r="AH139" s="47"/>
      <c r="AI139" s="47"/>
      <c r="AJ139" s="585"/>
      <c r="AK139" s="47"/>
      <c r="AL139" s="47"/>
      <c r="AM139" s="47"/>
      <c r="BD139" s="560"/>
    </row>
    <row r="140" spans="1:58" ht="15.75" customHeight="1">
      <c r="A140" s="9"/>
      <c r="B140" s="477"/>
      <c r="C140" s="478"/>
      <c r="D140" s="477"/>
      <c r="E140" s="478"/>
      <c r="F140" s="478"/>
      <c r="G140" s="478"/>
      <c r="H140" s="9"/>
      <c r="J140" s="9"/>
      <c r="K140" s="47"/>
      <c r="L140" s="47"/>
      <c r="M140" s="47"/>
      <c r="N140" s="9"/>
      <c r="O140" s="9"/>
      <c r="P140" s="9"/>
      <c r="Q140" s="47"/>
      <c r="R140" s="47"/>
      <c r="S140" s="47"/>
      <c r="T140" s="47"/>
      <c r="U140" s="47"/>
      <c r="V140" s="47"/>
      <c r="W140" s="47"/>
      <c r="X140" s="47"/>
      <c r="Y140" s="47"/>
      <c r="Z140" s="47"/>
      <c r="AA140" s="47"/>
      <c r="AB140" s="47"/>
      <c r="AC140" s="47"/>
      <c r="AD140" s="47"/>
      <c r="AE140" s="47"/>
      <c r="AF140" s="47"/>
      <c r="AG140" s="47"/>
      <c r="AH140" s="47"/>
      <c r="AI140" s="47"/>
      <c r="AJ140" s="585"/>
      <c r="AK140" s="47"/>
      <c r="AL140" s="47"/>
      <c r="AM140" s="47"/>
      <c r="BC140" s="560"/>
    </row>
    <row r="141" spans="1:58" ht="15.75" customHeight="1">
      <c r="A141" s="9"/>
      <c r="B141" s="477"/>
      <c r="C141" s="478"/>
      <c r="D141" s="477"/>
      <c r="E141" s="478"/>
      <c r="F141" s="478"/>
      <c r="G141" s="478"/>
      <c r="H141" s="9"/>
      <c r="J141" s="9"/>
      <c r="K141" s="47"/>
      <c r="L141" s="47"/>
      <c r="M141" s="47"/>
      <c r="N141" s="9"/>
      <c r="O141" s="9"/>
      <c r="P141" s="9"/>
      <c r="Q141" s="47"/>
      <c r="R141" s="47"/>
      <c r="S141" s="47"/>
      <c r="T141" s="47"/>
      <c r="U141" s="47"/>
      <c r="V141" s="47"/>
      <c r="W141" s="47"/>
      <c r="X141" s="47"/>
      <c r="Y141" s="47"/>
      <c r="Z141" s="47"/>
      <c r="AA141" s="47"/>
      <c r="AB141" s="47"/>
      <c r="AC141" s="47"/>
      <c r="AD141" s="47"/>
      <c r="AE141" s="47"/>
      <c r="AF141" s="47"/>
      <c r="AG141" s="47"/>
      <c r="AH141" s="47"/>
      <c r="AI141" s="47"/>
      <c r="AJ141" s="585"/>
      <c r="AK141" s="47"/>
      <c r="AL141" s="47"/>
      <c r="AM141" s="47"/>
    </row>
    <row r="142" spans="1:58" ht="15.75" customHeight="1">
      <c r="A142" s="9"/>
      <c r="B142" s="477"/>
      <c r="C142" s="478"/>
      <c r="D142" s="477"/>
      <c r="E142" s="478"/>
      <c r="F142" s="478"/>
      <c r="G142" s="478"/>
      <c r="H142" s="9"/>
      <c r="J142" s="9"/>
      <c r="K142" s="47"/>
      <c r="L142" s="47"/>
      <c r="M142" s="47"/>
      <c r="N142" s="9"/>
      <c r="O142" s="9"/>
      <c r="P142" s="9"/>
      <c r="Q142" s="47"/>
      <c r="R142" s="47"/>
      <c r="S142" s="47"/>
      <c r="T142" s="47"/>
      <c r="U142" s="47"/>
      <c r="V142" s="47"/>
      <c r="W142" s="47"/>
      <c r="X142" s="47"/>
      <c r="Y142" s="47"/>
      <c r="Z142" s="47"/>
      <c r="AA142" s="47"/>
      <c r="AB142" s="47"/>
      <c r="AC142" s="47"/>
      <c r="AD142" s="47"/>
      <c r="AE142" s="47"/>
      <c r="AF142" s="47"/>
      <c r="AG142" s="47"/>
      <c r="AH142" s="47"/>
      <c r="AI142" s="47"/>
      <c r="AJ142" s="585"/>
      <c r="AK142" s="47"/>
      <c r="AL142" s="47"/>
      <c r="AM142" s="47"/>
    </row>
    <row r="143" spans="1:58" ht="15.75" customHeight="1">
      <c r="A143" s="9"/>
      <c r="B143" s="477"/>
      <c r="C143" s="478"/>
      <c r="D143" s="477"/>
      <c r="E143" s="478"/>
      <c r="F143" s="478"/>
      <c r="G143" s="478"/>
      <c r="H143" s="9"/>
      <c r="J143" s="9"/>
      <c r="K143" s="47"/>
      <c r="L143" s="47"/>
      <c r="M143" s="47"/>
      <c r="N143" s="9"/>
      <c r="O143" s="9"/>
      <c r="P143" s="9"/>
      <c r="Q143" s="47"/>
      <c r="R143" s="47"/>
      <c r="S143" s="47"/>
      <c r="T143" s="47"/>
      <c r="U143" s="47"/>
      <c r="V143" s="47"/>
      <c r="W143" s="47"/>
      <c r="X143" s="47"/>
      <c r="Y143" s="47"/>
      <c r="Z143" s="47"/>
      <c r="AA143" s="47"/>
      <c r="AB143" s="47"/>
      <c r="AC143" s="47"/>
      <c r="AD143" s="47"/>
      <c r="AE143" s="47"/>
      <c r="AF143" s="47"/>
      <c r="AG143" s="47"/>
      <c r="AH143" s="47"/>
      <c r="AI143" s="47"/>
      <c r="AJ143" s="585"/>
      <c r="AK143" s="47"/>
      <c r="AL143" s="47"/>
      <c r="AM143" s="47"/>
    </row>
    <row r="144" spans="1:58" ht="15.75" customHeight="1">
      <c r="A144" s="9"/>
      <c r="B144" s="477"/>
      <c r="C144" s="478"/>
      <c r="D144" s="477"/>
      <c r="E144" s="478"/>
      <c r="F144" s="478"/>
      <c r="G144" s="478"/>
      <c r="H144" s="9"/>
      <c r="J144" s="9"/>
      <c r="K144" s="47"/>
      <c r="L144" s="47"/>
      <c r="M144" s="47"/>
      <c r="N144" s="9"/>
      <c r="O144" s="9"/>
      <c r="P144" s="9"/>
      <c r="Q144" s="47"/>
      <c r="R144" s="47"/>
      <c r="S144" s="47"/>
      <c r="T144" s="47"/>
      <c r="U144" s="47"/>
      <c r="V144" s="47"/>
      <c r="W144" s="47"/>
      <c r="X144" s="47"/>
      <c r="Y144" s="47"/>
      <c r="Z144" s="47"/>
      <c r="AA144" s="47"/>
      <c r="AB144" s="47"/>
      <c r="AC144" s="47"/>
      <c r="AD144" s="47"/>
      <c r="AE144" s="47"/>
      <c r="AF144" s="47"/>
      <c r="AG144" s="47"/>
      <c r="AH144" s="47"/>
      <c r="AI144" s="47"/>
      <c r="AJ144" s="585"/>
      <c r="AK144" s="47"/>
      <c r="AL144" s="47"/>
      <c r="AM144" s="47"/>
      <c r="BE144" s="560"/>
      <c r="BF144" s="560"/>
    </row>
    <row r="145" spans="1:39" ht="15.75" customHeight="1">
      <c r="A145" s="9"/>
      <c r="B145" s="477"/>
      <c r="C145" s="478"/>
      <c r="D145" s="477"/>
      <c r="E145" s="478"/>
      <c r="F145" s="478"/>
      <c r="G145" s="478"/>
      <c r="H145" s="9"/>
      <c r="J145" s="9"/>
      <c r="K145" s="47"/>
      <c r="L145" s="47"/>
      <c r="M145" s="47"/>
      <c r="N145" s="9"/>
      <c r="O145" s="9"/>
      <c r="P145" s="9"/>
      <c r="Q145" s="47"/>
      <c r="R145" s="47"/>
      <c r="S145" s="47"/>
      <c r="T145" s="47"/>
      <c r="U145" s="47"/>
      <c r="V145" s="47"/>
      <c r="W145" s="47"/>
      <c r="X145" s="47"/>
      <c r="Y145" s="47"/>
      <c r="Z145" s="47"/>
      <c r="AA145" s="47"/>
      <c r="AB145" s="47"/>
      <c r="AC145" s="47"/>
      <c r="AD145" s="47"/>
      <c r="AE145" s="47"/>
      <c r="AF145" s="47"/>
      <c r="AG145" s="47"/>
      <c r="AH145" s="47"/>
      <c r="AI145" s="47"/>
      <c r="AJ145" s="585"/>
      <c r="AK145" s="47"/>
      <c r="AL145" s="47"/>
      <c r="AM145" s="47"/>
    </row>
    <row r="146" spans="1:39" ht="15.75" customHeight="1">
      <c r="A146" s="9"/>
      <c r="B146" s="477"/>
      <c r="C146" s="478"/>
      <c r="D146" s="477"/>
      <c r="E146" s="478"/>
      <c r="F146" s="478"/>
      <c r="G146" s="478"/>
      <c r="H146" s="9"/>
      <c r="J146" s="9"/>
      <c r="K146" s="47"/>
      <c r="L146" s="47"/>
      <c r="M146" s="47"/>
      <c r="N146" s="9"/>
      <c r="O146" s="9"/>
      <c r="P146" s="9"/>
      <c r="Q146" s="47"/>
      <c r="R146" s="47"/>
      <c r="S146" s="47"/>
      <c r="T146" s="47"/>
      <c r="U146" s="47"/>
      <c r="V146" s="47"/>
      <c r="W146" s="47"/>
      <c r="X146" s="47"/>
      <c r="Y146" s="47"/>
      <c r="Z146" s="47"/>
      <c r="AA146" s="47"/>
      <c r="AB146" s="47"/>
      <c r="AC146" s="47"/>
      <c r="AD146" s="47"/>
      <c r="AE146" s="47"/>
      <c r="AF146" s="47"/>
      <c r="AG146" s="47"/>
      <c r="AH146" s="47"/>
      <c r="AI146" s="47"/>
      <c r="AJ146" s="585"/>
      <c r="AK146" s="47"/>
      <c r="AL146" s="47"/>
      <c r="AM146" s="47"/>
    </row>
    <row r="147" spans="1:39" ht="15.75" customHeight="1">
      <c r="A147" s="9"/>
      <c r="B147" s="477"/>
      <c r="C147" s="478"/>
      <c r="D147" s="477"/>
      <c r="E147" s="478"/>
      <c r="F147" s="478"/>
      <c r="G147" s="478"/>
      <c r="H147" s="9"/>
      <c r="J147" s="9"/>
      <c r="K147" s="47"/>
      <c r="L147" s="47"/>
      <c r="M147" s="47"/>
      <c r="N147" s="9"/>
      <c r="O147" s="9"/>
      <c r="P147" s="9"/>
      <c r="Q147" s="47"/>
      <c r="R147" s="47"/>
      <c r="S147" s="47"/>
      <c r="T147" s="47"/>
      <c r="U147" s="47"/>
      <c r="V147" s="47"/>
      <c r="W147" s="47"/>
      <c r="X147" s="47"/>
      <c r="Y147" s="47"/>
      <c r="Z147" s="47"/>
      <c r="AA147" s="47"/>
      <c r="AB147" s="47"/>
      <c r="AC147" s="47"/>
      <c r="AD147" s="47"/>
      <c r="AE147" s="47"/>
      <c r="AF147" s="47"/>
      <c r="AG147" s="47"/>
      <c r="AH147" s="47"/>
      <c r="AI147" s="47"/>
      <c r="AJ147" s="585"/>
      <c r="AK147" s="47"/>
      <c r="AL147" s="47"/>
      <c r="AM147" s="47"/>
    </row>
    <row r="148" spans="1:39" ht="15.75" customHeight="1">
      <c r="A148" s="9"/>
      <c r="B148" s="477"/>
      <c r="C148" s="478"/>
      <c r="D148" s="477"/>
      <c r="E148" s="478"/>
      <c r="F148" s="478"/>
      <c r="G148" s="478"/>
      <c r="H148" s="9"/>
      <c r="J148" s="9"/>
      <c r="K148" s="47"/>
      <c r="L148" s="47"/>
      <c r="M148" s="47"/>
      <c r="N148" s="9"/>
      <c r="O148" s="9"/>
      <c r="P148" s="9"/>
      <c r="Q148" s="47"/>
      <c r="R148" s="47"/>
      <c r="S148" s="47"/>
      <c r="T148" s="47"/>
      <c r="U148" s="47"/>
      <c r="V148" s="47"/>
      <c r="W148" s="47"/>
      <c r="X148" s="47"/>
      <c r="Y148" s="47"/>
      <c r="Z148" s="47"/>
      <c r="AA148" s="47"/>
      <c r="AB148" s="47"/>
      <c r="AC148" s="47"/>
      <c r="AD148" s="47"/>
      <c r="AE148" s="47"/>
      <c r="AF148" s="47"/>
      <c r="AG148" s="47"/>
      <c r="AH148" s="47"/>
      <c r="AI148" s="47"/>
      <c r="AJ148" s="585"/>
      <c r="AK148" s="47"/>
      <c r="AL148" s="47"/>
      <c r="AM148" s="47"/>
    </row>
    <row r="149" spans="1:39" ht="15.75" customHeight="1">
      <c r="A149" s="9"/>
      <c r="B149" s="477"/>
      <c r="C149" s="478"/>
      <c r="D149" s="477"/>
      <c r="E149" s="478"/>
      <c r="F149" s="478"/>
      <c r="G149" s="478"/>
      <c r="H149" s="9"/>
      <c r="J149" s="9"/>
      <c r="K149" s="47"/>
      <c r="L149" s="47"/>
      <c r="M149" s="47"/>
      <c r="N149" s="9"/>
      <c r="O149" s="9"/>
      <c r="P149" s="9"/>
      <c r="Q149" s="47"/>
      <c r="R149" s="47"/>
      <c r="S149" s="47"/>
      <c r="T149" s="47"/>
      <c r="U149" s="47"/>
      <c r="V149" s="47"/>
      <c r="W149" s="47"/>
      <c r="X149" s="47"/>
      <c r="Y149" s="47"/>
      <c r="Z149" s="47"/>
      <c r="AA149" s="47"/>
      <c r="AB149" s="47"/>
      <c r="AC149" s="47"/>
      <c r="AD149" s="47"/>
      <c r="AE149" s="47"/>
      <c r="AF149" s="47"/>
      <c r="AG149" s="47"/>
      <c r="AH149" s="47"/>
      <c r="AI149" s="47"/>
      <c r="AJ149" s="585"/>
      <c r="AK149" s="47"/>
      <c r="AL149" s="47"/>
      <c r="AM149" s="47"/>
    </row>
    <row r="150" spans="1:39" ht="15.75" customHeight="1">
      <c r="A150" s="9"/>
      <c r="B150" s="477"/>
      <c r="C150" s="478"/>
      <c r="D150" s="477"/>
      <c r="E150" s="478"/>
      <c r="F150" s="478"/>
      <c r="G150" s="478"/>
      <c r="H150" s="9"/>
      <c r="J150" s="9"/>
      <c r="K150" s="47"/>
      <c r="L150" s="47"/>
      <c r="M150" s="47"/>
      <c r="N150" s="9"/>
      <c r="O150" s="9"/>
      <c r="P150" s="9"/>
      <c r="Q150" s="47"/>
      <c r="R150" s="47"/>
      <c r="S150" s="47"/>
      <c r="T150" s="47"/>
      <c r="U150" s="47"/>
      <c r="V150" s="47"/>
      <c r="W150" s="47"/>
      <c r="X150" s="47"/>
      <c r="Y150" s="47"/>
      <c r="Z150" s="47"/>
      <c r="AA150" s="47"/>
      <c r="AB150" s="47"/>
      <c r="AC150" s="47"/>
      <c r="AD150" s="47"/>
      <c r="AE150" s="47"/>
      <c r="AF150" s="47"/>
      <c r="AG150" s="47"/>
      <c r="AH150" s="47"/>
      <c r="AI150" s="47"/>
      <c r="AJ150" s="585"/>
      <c r="AK150" s="47"/>
      <c r="AL150" s="47"/>
      <c r="AM150" s="47"/>
    </row>
    <row r="151" spans="1:39" ht="15.75" customHeight="1">
      <c r="A151" s="9"/>
      <c r="B151" s="477"/>
      <c r="C151" s="478"/>
      <c r="D151" s="477"/>
      <c r="E151" s="478"/>
      <c r="F151" s="478"/>
      <c r="G151" s="478"/>
      <c r="H151" s="9"/>
      <c r="J151" s="9"/>
      <c r="K151" s="47"/>
      <c r="L151" s="47"/>
      <c r="M151" s="47"/>
      <c r="N151" s="9"/>
      <c r="O151" s="9"/>
      <c r="P151" s="9"/>
      <c r="Q151" s="47"/>
      <c r="R151" s="47"/>
      <c r="S151" s="47"/>
      <c r="T151" s="47"/>
      <c r="U151" s="47"/>
      <c r="V151" s="47"/>
      <c r="W151" s="47"/>
      <c r="X151" s="47"/>
      <c r="Y151" s="47"/>
      <c r="Z151" s="47"/>
      <c r="AA151" s="47"/>
      <c r="AB151" s="47"/>
      <c r="AC151" s="47"/>
      <c r="AD151" s="47"/>
      <c r="AE151" s="47"/>
      <c r="AF151" s="47"/>
      <c r="AG151" s="47"/>
      <c r="AH151" s="47"/>
      <c r="AI151" s="47"/>
      <c r="AJ151" s="585"/>
      <c r="AK151" s="47"/>
      <c r="AL151" s="47"/>
      <c r="AM151" s="47"/>
    </row>
    <row r="152" spans="1:39" ht="15.75" customHeight="1">
      <c r="A152" s="9"/>
      <c r="B152" s="477"/>
      <c r="C152" s="478"/>
      <c r="D152" s="477"/>
      <c r="E152" s="478"/>
      <c r="F152" s="478"/>
      <c r="G152" s="478"/>
      <c r="H152" s="9"/>
      <c r="J152" s="9"/>
      <c r="K152" s="47"/>
      <c r="L152" s="47"/>
      <c r="M152" s="47"/>
      <c r="N152" s="9"/>
      <c r="O152" s="9"/>
      <c r="P152" s="9"/>
      <c r="Q152" s="47"/>
      <c r="R152" s="47"/>
      <c r="S152" s="47"/>
      <c r="T152" s="47"/>
      <c r="U152" s="47"/>
      <c r="V152" s="47"/>
      <c r="W152" s="47"/>
      <c r="X152" s="47"/>
      <c r="Y152" s="47"/>
      <c r="Z152" s="47"/>
      <c r="AA152" s="47"/>
      <c r="AB152" s="47"/>
      <c r="AC152" s="47"/>
      <c r="AD152" s="47"/>
      <c r="AE152" s="47"/>
      <c r="AF152" s="47"/>
      <c r="AG152" s="47"/>
      <c r="AH152" s="47"/>
      <c r="AI152" s="47"/>
      <c r="AJ152" s="585"/>
      <c r="AK152" s="47"/>
      <c r="AL152" s="47"/>
      <c r="AM152" s="47"/>
    </row>
    <row r="153" spans="1:39" ht="15.75" customHeight="1">
      <c r="A153" s="9"/>
      <c r="B153" s="477"/>
      <c r="C153" s="478"/>
      <c r="D153" s="477"/>
      <c r="E153" s="478"/>
      <c r="F153" s="478"/>
      <c r="G153" s="478"/>
      <c r="H153" s="9"/>
      <c r="J153" s="9"/>
      <c r="K153" s="47"/>
      <c r="L153" s="47"/>
      <c r="M153" s="47"/>
      <c r="N153" s="9"/>
      <c r="O153" s="9"/>
      <c r="P153" s="9"/>
      <c r="Q153" s="47"/>
      <c r="R153" s="47"/>
      <c r="S153" s="47"/>
      <c r="T153" s="47"/>
      <c r="U153" s="47"/>
      <c r="V153" s="47"/>
      <c r="W153" s="47"/>
      <c r="X153" s="47"/>
      <c r="Y153" s="47"/>
      <c r="Z153" s="47"/>
      <c r="AA153" s="47"/>
      <c r="AB153" s="47"/>
      <c r="AC153" s="47"/>
      <c r="AD153" s="47"/>
      <c r="AE153" s="47"/>
      <c r="AF153" s="47"/>
      <c r="AG153" s="47"/>
      <c r="AH153" s="47"/>
      <c r="AI153" s="47"/>
      <c r="AJ153" s="585"/>
      <c r="AK153" s="47"/>
      <c r="AL153" s="47"/>
      <c r="AM153" s="47"/>
    </row>
    <row r="154" spans="1:39" ht="15.75" customHeight="1">
      <c r="A154" s="9"/>
      <c r="B154" s="477"/>
      <c r="C154" s="478"/>
      <c r="D154" s="477"/>
      <c r="E154" s="478"/>
      <c r="F154" s="478"/>
      <c r="G154" s="478"/>
      <c r="H154" s="9"/>
      <c r="J154" s="9"/>
      <c r="K154" s="47"/>
      <c r="L154" s="47"/>
      <c r="M154" s="47"/>
      <c r="N154" s="9"/>
      <c r="O154" s="9"/>
      <c r="P154" s="9"/>
      <c r="Q154" s="47"/>
      <c r="R154" s="47"/>
      <c r="S154" s="47"/>
      <c r="T154" s="47"/>
      <c r="U154" s="47"/>
      <c r="V154" s="47"/>
      <c r="W154" s="47"/>
      <c r="X154" s="47"/>
      <c r="Y154" s="47"/>
      <c r="Z154" s="47"/>
      <c r="AA154" s="47"/>
      <c r="AB154" s="47"/>
      <c r="AC154" s="47"/>
      <c r="AD154" s="47"/>
      <c r="AE154" s="47"/>
      <c r="AF154" s="47"/>
      <c r="AG154" s="47"/>
      <c r="AH154" s="47"/>
      <c r="AI154" s="47"/>
      <c r="AJ154" s="585"/>
      <c r="AK154" s="47"/>
      <c r="AL154" s="47"/>
      <c r="AM154" s="47"/>
    </row>
    <row r="155" spans="1:39" ht="15.75" customHeight="1">
      <c r="A155" s="9"/>
      <c r="B155" s="477"/>
      <c r="C155" s="478"/>
      <c r="D155" s="477"/>
      <c r="E155" s="478"/>
      <c r="F155" s="478"/>
      <c r="G155" s="478"/>
      <c r="H155" s="9"/>
      <c r="J155" s="9"/>
      <c r="K155" s="47"/>
      <c r="L155" s="47"/>
      <c r="M155" s="47"/>
      <c r="N155" s="9"/>
      <c r="O155" s="9"/>
      <c r="P155" s="9"/>
      <c r="Q155" s="47"/>
      <c r="R155" s="47"/>
      <c r="S155" s="47"/>
      <c r="T155" s="47"/>
      <c r="U155" s="47"/>
      <c r="V155" s="47"/>
      <c r="W155" s="47"/>
      <c r="X155" s="47"/>
      <c r="Y155" s="47"/>
      <c r="Z155" s="47"/>
      <c r="AA155" s="47"/>
      <c r="AB155" s="47"/>
      <c r="AC155" s="47"/>
      <c r="AD155" s="47"/>
      <c r="AE155" s="47"/>
      <c r="AF155" s="47"/>
      <c r="AG155" s="47"/>
      <c r="AH155" s="47"/>
      <c r="AI155" s="47"/>
      <c r="AJ155" s="585"/>
      <c r="AK155" s="47"/>
      <c r="AL155" s="47"/>
      <c r="AM155" s="47"/>
    </row>
    <row r="156" spans="1:39" ht="15.75" customHeight="1">
      <c r="A156" s="9"/>
      <c r="B156" s="477"/>
      <c r="C156" s="478"/>
      <c r="D156" s="477"/>
      <c r="E156" s="478"/>
      <c r="F156" s="478"/>
      <c r="G156" s="478"/>
      <c r="H156" s="9"/>
      <c r="J156" s="9"/>
      <c r="K156" s="47"/>
      <c r="L156" s="47"/>
      <c r="M156" s="47"/>
      <c r="N156" s="9"/>
      <c r="O156" s="9"/>
      <c r="P156" s="9"/>
      <c r="Q156" s="47"/>
      <c r="R156" s="47"/>
      <c r="S156" s="47"/>
      <c r="T156" s="47"/>
      <c r="U156" s="47"/>
      <c r="V156" s="47"/>
      <c r="W156" s="47"/>
      <c r="X156" s="47"/>
      <c r="Y156" s="47"/>
      <c r="Z156" s="47"/>
      <c r="AA156" s="47"/>
      <c r="AB156" s="47"/>
      <c r="AC156" s="47"/>
      <c r="AD156" s="47"/>
      <c r="AE156" s="47"/>
      <c r="AF156" s="47"/>
      <c r="AG156" s="47"/>
      <c r="AH156" s="47"/>
      <c r="AI156" s="47"/>
      <c r="AJ156" s="585"/>
      <c r="AK156" s="47"/>
      <c r="AL156" s="47"/>
      <c r="AM156" s="47"/>
    </row>
    <row r="157" spans="1:39" ht="15.75" customHeight="1">
      <c r="A157" s="9"/>
      <c r="B157" s="477"/>
      <c r="C157" s="478"/>
      <c r="D157" s="477"/>
      <c r="E157" s="478"/>
      <c r="F157" s="478"/>
      <c r="G157" s="478"/>
      <c r="H157" s="9"/>
      <c r="J157" s="9"/>
      <c r="K157" s="47"/>
      <c r="L157" s="47"/>
      <c r="M157" s="47"/>
      <c r="N157" s="9"/>
      <c r="O157" s="9"/>
      <c r="P157" s="9"/>
      <c r="Q157" s="47"/>
      <c r="R157" s="47"/>
      <c r="S157" s="47"/>
      <c r="T157" s="47"/>
      <c r="U157" s="47"/>
      <c r="V157" s="47"/>
      <c r="W157" s="47"/>
      <c r="X157" s="47"/>
      <c r="Y157" s="47"/>
      <c r="Z157" s="47"/>
      <c r="AA157" s="47"/>
      <c r="AB157" s="47"/>
      <c r="AC157" s="47"/>
      <c r="AD157" s="47"/>
      <c r="AE157" s="47"/>
      <c r="AF157" s="47"/>
      <c r="AG157" s="47"/>
      <c r="AH157" s="47"/>
      <c r="AI157" s="47"/>
      <c r="AJ157" s="585"/>
      <c r="AK157" s="47"/>
      <c r="AL157" s="47"/>
      <c r="AM157" s="47"/>
    </row>
    <row r="158" spans="1:39" ht="15.75" customHeight="1">
      <c r="A158" s="9"/>
      <c r="B158" s="477"/>
      <c r="C158" s="478"/>
      <c r="D158" s="477"/>
      <c r="E158" s="478"/>
      <c r="F158" s="478"/>
      <c r="G158" s="478"/>
      <c r="H158" s="9"/>
      <c r="J158" s="9"/>
      <c r="K158" s="47"/>
      <c r="L158" s="47"/>
      <c r="M158" s="47"/>
      <c r="N158" s="9"/>
      <c r="O158" s="9"/>
      <c r="P158" s="9"/>
      <c r="Q158" s="47"/>
      <c r="R158" s="47"/>
      <c r="S158" s="47"/>
      <c r="T158" s="47"/>
      <c r="U158" s="47"/>
      <c r="V158" s="47"/>
      <c r="W158" s="47"/>
      <c r="X158" s="47"/>
      <c r="Y158" s="47"/>
      <c r="Z158" s="47"/>
      <c r="AA158" s="47"/>
      <c r="AB158" s="47"/>
      <c r="AC158" s="47"/>
      <c r="AD158" s="47"/>
      <c r="AE158" s="47"/>
      <c r="AF158" s="47"/>
      <c r="AG158" s="47"/>
      <c r="AH158" s="47"/>
      <c r="AI158" s="47"/>
      <c r="AJ158" s="585"/>
      <c r="AK158" s="47"/>
      <c r="AL158" s="47"/>
      <c r="AM158" s="47"/>
    </row>
    <row r="159" spans="1:39" ht="15.75" customHeight="1">
      <c r="A159" s="9"/>
      <c r="B159" s="477"/>
      <c r="C159" s="478"/>
      <c r="D159" s="477"/>
      <c r="E159" s="478"/>
      <c r="F159" s="478"/>
      <c r="G159" s="478"/>
      <c r="H159" s="9"/>
      <c r="J159" s="9"/>
      <c r="K159" s="47"/>
      <c r="L159" s="47"/>
      <c r="M159" s="47"/>
      <c r="N159" s="9"/>
      <c r="O159" s="9"/>
      <c r="P159" s="9"/>
      <c r="Q159" s="47"/>
      <c r="R159" s="47"/>
      <c r="S159" s="47"/>
      <c r="T159" s="47"/>
      <c r="U159" s="47"/>
      <c r="V159" s="47"/>
      <c r="W159" s="47"/>
      <c r="X159" s="47"/>
      <c r="Y159" s="47"/>
      <c r="Z159" s="47"/>
      <c r="AA159" s="47"/>
      <c r="AB159" s="47"/>
      <c r="AC159" s="47"/>
      <c r="AD159" s="47"/>
      <c r="AE159" s="47"/>
      <c r="AF159" s="47"/>
      <c r="AG159" s="47"/>
      <c r="AH159" s="47"/>
      <c r="AI159" s="47"/>
      <c r="AJ159" s="585"/>
      <c r="AK159" s="47"/>
      <c r="AL159" s="47"/>
      <c r="AM159" s="47"/>
    </row>
    <row r="160" spans="1:39" ht="15.75" customHeight="1">
      <c r="A160" s="9"/>
      <c r="B160" s="477"/>
      <c r="C160" s="583"/>
      <c r="D160" s="10"/>
      <c r="E160" s="9"/>
      <c r="F160" s="10"/>
      <c r="G160" s="10"/>
      <c r="H160" s="9"/>
      <c r="J160" s="9"/>
      <c r="L160" s="9"/>
      <c r="N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</row>
    <row r="161" spans="1:36" ht="15.75" customHeight="1">
      <c r="A161" s="9"/>
      <c r="B161" s="9"/>
      <c r="C161" s="583"/>
      <c r="D161" s="10"/>
      <c r="E161" s="9"/>
      <c r="F161" s="10"/>
      <c r="G161" s="10"/>
      <c r="H161" s="9"/>
      <c r="J161" s="9"/>
      <c r="N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</row>
    <row r="162" spans="1:36" ht="15.75" customHeight="1">
      <c r="A162" s="9"/>
      <c r="B162" s="477"/>
      <c r="C162" s="583"/>
      <c r="D162" s="10"/>
      <c r="E162" s="9"/>
      <c r="F162" s="10"/>
      <c r="G162" s="10"/>
      <c r="H162" s="9"/>
      <c r="J162" s="9"/>
      <c r="L162" s="9"/>
      <c r="N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</row>
    <row r="163" spans="1:36" ht="15.75" customHeight="1">
      <c r="A163" s="9"/>
      <c r="B163" s="477"/>
      <c r="C163" s="583"/>
      <c r="D163" s="10"/>
      <c r="F163" s="10"/>
      <c r="G163" s="9"/>
      <c r="H163" s="9"/>
      <c r="J163" s="9"/>
      <c r="N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</row>
    <row r="164" spans="1:36" ht="15.75" customHeight="1">
      <c r="A164" s="9"/>
      <c r="B164" s="477"/>
      <c r="C164" s="583"/>
      <c r="D164" s="10"/>
      <c r="E164" s="9"/>
      <c r="F164" s="10"/>
      <c r="G164" s="10"/>
      <c r="H164" s="9"/>
      <c r="J164" s="9"/>
      <c r="L164" s="9"/>
      <c r="N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</row>
    <row r="165" spans="1:36" ht="15.75" customHeight="1">
      <c r="A165" s="9"/>
      <c r="B165" s="477"/>
      <c r="C165" s="583"/>
      <c r="D165" s="10"/>
      <c r="E165" s="9"/>
      <c r="F165" s="10"/>
      <c r="G165" s="10"/>
      <c r="H165" s="9"/>
      <c r="J165" s="9"/>
      <c r="N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</row>
    <row r="166" spans="1:36" ht="15.75" customHeight="1">
      <c r="A166" s="9"/>
      <c r="B166" s="477"/>
      <c r="C166" s="583"/>
      <c r="D166" s="10"/>
      <c r="E166" s="9"/>
      <c r="F166" s="10"/>
      <c r="G166" s="10"/>
      <c r="H166" s="9"/>
      <c r="J166" s="9"/>
      <c r="L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</row>
    <row r="167" spans="1:36" ht="15.75" customHeight="1">
      <c r="A167" s="9"/>
      <c r="B167" s="477"/>
      <c r="C167" s="583"/>
      <c r="D167" s="10"/>
      <c r="F167" s="10"/>
      <c r="G167" s="9"/>
      <c r="H167" s="9"/>
      <c r="J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</row>
    <row r="168" spans="1:36" ht="15.75" customHeight="1">
      <c r="A168" s="9"/>
      <c r="B168" s="477"/>
      <c r="C168" s="583"/>
      <c r="D168" s="10"/>
      <c r="E168" s="9"/>
      <c r="F168" s="10"/>
      <c r="G168" s="10"/>
      <c r="H168" s="9"/>
      <c r="J168" s="9"/>
      <c r="K168" s="9"/>
      <c r="L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</row>
    <row r="169" spans="1:36" ht="15.75" customHeight="1">
      <c r="A169" s="9"/>
      <c r="B169" s="477"/>
      <c r="C169" s="583"/>
      <c r="D169" s="10"/>
      <c r="E169" s="9"/>
      <c r="F169" s="10"/>
      <c r="G169" s="10"/>
      <c r="H169" s="9"/>
      <c r="I169" s="10"/>
      <c r="J169" s="9"/>
      <c r="K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</row>
    <row r="170" spans="1:36" ht="15.75" customHeight="1">
      <c r="A170" s="9"/>
      <c r="B170" s="477"/>
      <c r="C170" s="583"/>
      <c r="D170" s="10"/>
      <c r="E170" s="9"/>
      <c r="F170" s="10"/>
      <c r="G170" s="10"/>
      <c r="H170" s="9"/>
      <c r="J170" s="9"/>
      <c r="L170" s="9"/>
      <c r="N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</row>
    <row r="171" spans="1:36" ht="15.75" customHeight="1">
      <c r="A171" s="9"/>
      <c r="B171" s="477"/>
      <c r="C171" s="583"/>
      <c r="D171" s="10"/>
      <c r="E171" s="9"/>
      <c r="F171" s="10"/>
      <c r="G171" s="10"/>
      <c r="H171" s="9"/>
      <c r="I171" s="10"/>
      <c r="J171" s="9"/>
      <c r="K171" s="9"/>
      <c r="N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</row>
    <row r="172" spans="1:36" ht="15.75" customHeight="1">
      <c r="A172" s="9"/>
      <c r="B172" s="477"/>
      <c r="C172" s="583"/>
      <c r="D172" s="10"/>
      <c r="E172" s="9"/>
      <c r="F172" s="10"/>
      <c r="G172" s="10"/>
      <c r="H172" s="9"/>
      <c r="J172" s="9"/>
      <c r="K172" s="9"/>
      <c r="L172" s="9"/>
      <c r="N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</row>
    <row r="173" spans="1:36" ht="15.75" customHeight="1">
      <c r="A173" s="9"/>
      <c r="B173" s="9"/>
      <c r="C173" s="583"/>
      <c r="D173" s="10"/>
      <c r="F173" s="10"/>
      <c r="G173" s="9"/>
      <c r="H173" s="9"/>
      <c r="J173" s="9"/>
      <c r="N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</row>
    <row r="174" spans="1:36" ht="15.75" customHeight="1">
      <c r="A174" s="9"/>
      <c r="B174" s="477"/>
      <c r="C174" s="583"/>
      <c r="D174" s="10"/>
      <c r="E174" s="9"/>
      <c r="F174" s="10"/>
      <c r="G174" s="10"/>
      <c r="H174" s="9"/>
      <c r="J174" s="9"/>
      <c r="L174" s="9"/>
      <c r="N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</row>
    <row r="175" spans="1:36" ht="15.75" customHeight="1">
      <c r="A175" s="9"/>
      <c r="B175" s="477"/>
      <c r="C175" s="583"/>
      <c r="D175" s="10"/>
      <c r="F175" s="10"/>
      <c r="G175" s="9"/>
      <c r="H175" s="9"/>
      <c r="J175" s="9"/>
      <c r="N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</row>
    <row r="176" spans="1:36" ht="15.75" customHeight="1">
      <c r="A176" s="9"/>
      <c r="B176" s="477"/>
      <c r="C176" s="583"/>
      <c r="D176" s="10"/>
      <c r="E176" s="9"/>
      <c r="F176" s="10"/>
      <c r="G176" s="10"/>
      <c r="H176" s="9"/>
      <c r="J176" s="9"/>
      <c r="L176" s="9"/>
      <c r="N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</row>
    <row r="177" spans="1:56" ht="15.75" customHeight="1">
      <c r="A177" s="9"/>
      <c r="B177" s="9"/>
      <c r="C177" s="583"/>
      <c r="D177" s="10"/>
      <c r="E177" s="9"/>
      <c r="F177" s="10"/>
      <c r="G177" s="10"/>
      <c r="H177" s="9"/>
      <c r="J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</row>
    <row r="178" spans="1:56" ht="15.75" customHeight="1">
      <c r="A178" s="9"/>
      <c r="B178" s="477"/>
      <c r="C178" s="583"/>
      <c r="D178" s="10"/>
      <c r="E178" s="9"/>
      <c r="F178" s="10"/>
      <c r="G178" s="10"/>
      <c r="H178" s="9"/>
      <c r="J178" s="9"/>
      <c r="L178" s="9"/>
      <c r="N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</row>
    <row r="179" spans="1:56" ht="15.75" customHeight="1">
      <c r="A179" s="9"/>
      <c r="B179" s="9"/>
      <c r="C179" s="583"/>
      <c r="D179" s="10"/>
      <c r="F179" s="10"/>
      <c r="G179" s="9"/>
      <c r="H179" s="9"/>
      <c r="J179" s="9"/>
      <c r="N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</row>
    <row r="180" spans="1:56" ht="15.75" customHeight="1">
      <c r="A180" s="9"/>
      <c r="B180" s="477"/>
      <c r="C180" s="583"/>
      <c r="D180" s="10"/>
      <c r="E180" s="9"/>
      <c r="F180" s="10"/>
      <c r="G180" s="10"/>
      <c r="H180" s="9"/>
      <c r="J180" s="9"/>
      <c r="L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</row>
    <row r="181" spans="1:56" ht="15.75" customHeight="1">
      <c r="A181" s="9"/>
      <c r="B181" s="9"/>
      <c r="C181" s="583"/>
      <c r="D181" s="10"/>
      <c r="E181" s="9"/>
      <c r="F181" s="10"/>
      <c r="G181" s="10"/>
      <c r="H181" s="9"/>
      <c r="J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</row>
    <row r="182" spans="1:56" ht="15.75" customHeight="1">
      <c r="A182" s="9"/>
      <c r="B182" s="477"/>
      <c r="C182" s="583"/>
      <c r="D182" s="10"/>
      <c r="E182" s="9"/>
      <c r="F182" s="10"/>
      <c r="G182" s="10"/>
      <c r="H182" s="9"/>
      <c r="J182" s="9"/>
      <c r="L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</row>
    <row r="183" spans="1:56" ht="15.75" customHeight="1">
      <c r="A183" s="9"/>
      <c r="B183" s="9"/>
      <c r="C183" s="583"/>
      <c r="D183" s="10"/>
      <c r="F183" s="10"/>
      <c r="G183" s="9"/>
      <c r="H183" s="9"/>
      <c r="J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</row>
    <row r="184" spans="1:56" ht="15.75" customHeight="1">
      <c r="A184" s="9"/>
      <c r="B184" s="477"/>
      <c r="C184" s="583"/>
      <c r="D184" s="10"/>
      <c r="E184" s="9"/>
      <c r="F184" s="10"/>
      <c r="G184" s="10"/>
      <c r="H184" s="9"/>
      <c r="J184" s="9"/>
      <c r="L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</row>
    <row r="185" spans="1:56" ht="15.75" customHeight="1">
      <c r="A185" s="9"/>
      <c r="B185" s="9"/>
      <c r="C185" s="583"/>
      <c r="D185" s="10"/>
      <c r="E185" s="9"/>
      <c r="F185" s="10"/>
      <c r="G185" s="10"/>
      <c r="H185" s="9"/>
      <c r="J185" s="9"/>
      <c r="K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</row>
    <row r="186" spans="1:56" ht="15.75" customHeight="1">
      <c r="A186" s="9"/>
      <c r="B186" s="477"/>
      <c r="C186" s="583"/>
      <c r="D186" s="10"/>
      <c r="E186" s="9"/>
      <c r="F186" s="10"/>
      <c r="G186" s="10"/>
      <c r="H186" s="9"/>
      <c r="J186" s="9"/>
      <c r="K186" s="9"/>
      <c r="L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</row>
    <row r="187" spans="1:56" ht="15.75" customHeight="1">
      <c r="A187" s="9"/>
      <c r="B187" s="9"/>
      <c r="C187" s="583"/>
      <c r="D187" s="10"/>
      <c r="F187" s="10"/>
      <c r="G187" s="9"/>
      <c r="H187" s="9"/>
      <c r="J187" s="9"/>
      <c r="K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</row>
    <row r="188" spans="1:56" ht="15.75" customHeight="1">
      <c r="A188" s="9"/>
      <c r="B188" s="477"/>
      <c r="C188" s="583"/>
      <c r="D188" s="10"/>
      <c r="E188" s="9"/>
      <c r="F188" s="10"/>
      <c r="G188" s="10"/>
      <c r="H188" s="9"/>
      <c r="J188" s="9"/>
      <c r="L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</row>
    <row r="189" spans="1:56" ht="15.75" customHeight="1">
      <c r="A189" s="9"/>
      <c r="B189" s="9"/>
      <c r="C189" s="583"/>
      <c r="D189" s="10"/>
      <c r="E189" s="9"/>
      <c r="F189" s="10"/>
      <c r="G189" s="10"/>
      <c r="H189" s="9"/>
      <c r="J189" s="9"/>
      <c r="K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</row>
    <row r="190" spans="1:56" ht="15.75" customHeight="1">
      <c r="A190" s="9"/>
      <c r="B190" s="477"/>
      <c r="C190" s="583"/>
      <c r="D190" s="10"/>
      <c r="E190" s="9"/>
      <c r="F190" s="10"/>
      <c r="G190" s="10"/>
      <c r="H190" s="9"/>
      <c r="J190" s="9"/>
      <c r="L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</row>
    <row r="191" spans="1:56" ht="15.75" customHeight="1">
      <c r="A191" s="9"/>
      <c r="B191" s="477"/>
      <c r="C191" s="583"/>
      <c r="D191" s="10"/>
      <c r="F191" s="10"/>
      <c r="G191" s="9"/>
      <c r="H191" s="9"/>
      <c r="J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</row>
    <row r="192" spans="1:56" ht="15.75" customHeight="1">
      <c r="A192" s="9"/>
      <c r="B192" s="477"/>
      <c r="C192" s="583"/>
      <c r="D192" s="10"/>
      <c r="E192" s="9"/>
      <c r="F192" s="10"/>
      <c r="G192" s="10"/>
      <c r="H192" s="9"/>
      <c r="J192" s="9"/>
      <c r="K192" s="9"/>
      <c r="L192" s="9"/>
      <c r="N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BD192" s="560"/>
    </row>
    <row r="193" spans="1:58" ht="15.75" customHeight="1">
      <c r="A193" s="9"/>
      <c r="B193" s="9"/>
      <c r="C193" s="583"/>
      <c r="D193" s="10"/>
      <c r="E193" s="9"/>
      <c r="F193" s="10"/>
      <c r="G193" s="10"/>
      <c r="H193" s="9"/>
      <c r="J193" s="9"/>
      <c r="K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BC193" s="560"/>
    </row>
    <row r="194" spans="1:58" ht="15.75" customHeight="1">
      <c r="A194" s="9"/>
      <c r="B194" s="477"/>
      <c r="C194" s="583"/>
      <c r="D194" s="10"/>
      <c r="E194" s="9"/>
      <c r="F194" s="10"/>
      <c r="G194" s="10"/>
      <c r="H194" s="9"/>
      <c r="J194" s="9"/>
      <c r="K194" s="9"/>
      <c r="L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</row>
    <row r="195" spans="1:58" ht="15.75" customHeight="1">
      <c r="A195" s="9"/>
      <c r="B195" s="9"/>
      <c r="C195" s="583"/>
      <c r="D195" s="10"/>
      <c r="F195" s="10"/>
      <c r="G195" s="9"/>
      <c r="H195" s="9"/>
      <c r="J195" s="9"/>
      <c r="K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</row>
    <row r="196" spans="1:58" ht="15.75" customHeight="1">
      <c r="A196" s="9"/>
      <c r="B196" s="477"/>
      <c r="C196" s="583"/>
      <c r="D196" s="10"/>
      <c r="E196" s="9"/>
      <c r="F196" s="10"/>
      <c r="G196" s="10"/>
      <c r="H196" s="9"/>
      <c r="J196" s="9"/>
      <c r="L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</row>
    <row r="197" spans="1:58" ht="15.75" customHeight="1">
      <c r="A197" s="9"/>
      <c r="B197" s="9"/>
      <c r="C197" s="583"/>
      <c r="D197" s="10"/>
      <c r="E197" s="9"/>
      <c r="F197" s="10"/>
      <c r="G197" s="10"/>
      <c r="H197" s="9"/>
      <c r="J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BE197" s="560"/>
      <c r="BF197" s="560"/>
    </row>
    <row r="198" spans="1:58" ht="15.75" customHeight="1">
      <c r="A198" s="9"/>
      <c r="B198" s="477"/>
      <c r="C198" s="583"/>
      <c r="D198" s="10"/>
      <c r="E198" s="9"/>
      <c r="F198" s="10"/>
      <c r="G198" s="10"/>
      <c r="H198" s="9"/>
      <c r="J198" s="9"/>
      <c r="L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</row>
    <row r="199" spans="1:58" ht="15.75" customHeight="1">
      <c r="A199" s="9"/>
      <c r="B199" s="9"/>
      <c r="C199" s="583"/>
      <c r="D199" s="10"/>
      <c r="F199" s="10"/>
      <c r="G199" s="9"/>
      <c r="H199" s="9"/>
      <c r="J199" s="9"/>
      <c r="K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</row>
    <row r="200" spans="1:58" ht="15.75" customHeight="1">
      <c r="A200" s="9"/>
      <c r="B200" s="477"/>
      <c r="C200" s="583"/>
      <c r="D200" s="10"/>
      <c r="E200" s="9"/>
      <c r="F200" s="10"/>
      <c r="G200" s="10"/>
      <c r="H200" s="9"/>
      <c r="J200" s="9"/>
      <c r="K200" s="9"/>
      <c r="L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</row>
    <row r="201" spans="1:58" ht="15.75" customHeight="1">
      <c r="A201" s="9"/>
      <c r="B201" s="9"/>
      <c r="C201" s="583"/>
      <c r="D201" s="10"/>
      <c r="E201" s="9"/>
      <c r="F201" s="10"/>
      <c r="G201" s="10"/>
      <c r="H201" s="9"/>
      <c r="J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</row>
    <row r="202" spans="1:58" ht="15.75" customHeight="1">
      <c r="A202" s="9"/>
      <c r="B202" s="477"/>
      <c r="C202" s="583"/>
      <c r="D202" s="10"/>
      <c r="E202" s="9"/>
      <c r="F202" s="10"/>
      <c r="G202" s="10"/>
      <c r="H202" s="9"/>
      <c r="J202" s="9"/>
      <c r="L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</row>
    <row r="203" spans="1:58" ht="15.75" customHeight="1">
      <c r="A203" s="9"/>
      <c r="B203" s="477"/>
      <c r="C203" s="583"/>
      <c r="D203" s="10"/>
      <c r="F203" s="10"/>
      <c r="G203" s="9"/>
      <c r="H203" s="9"/>
      <c r="J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</row>
    <row r="204" spans="1:58" ht="15.75" customHeight="1">
      <c r="A204" s="9"/>
      <c r="B204" s="477"/>
      <c r="C204" s="583"/>
      <c r="D204" s="10"/>
      <c r="E204" s="9"/>
      <c r="F204" s="10"/>
      <c r="G204" s="10"/>
      <c r="H204" s="9"/>
      <c r="J204" s="9"/>
      <c r="K204" s="9"/>
      <c r="L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</row>
    <row r="205" spans="1:58" ht="15.75" customHeight="1">
      <c r="A205" s="9"/>
      <c r="B205" s="9"/>
      <c r="C205" s="583"/>
      <c r="D205" s="10"/>
      <c r="E205" s="9"/>
      <c r="F205" s="10"/>
      <c r="G205" s="10"/>
      <c r="H205" s="9"/>
      <c r="I205" s="10"/>
      <c r="J205" s="9"/>
      <c r="K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</row>
    <row r="206" spans="1:58" ht="15.75" customHeight="1">
      <c r="A206" s="9"/>
      <c r="B206" s="477"/>
      <c r="C206" s="583"/>
      <c r="D206" s="10"/>
      <c r="E206" s="9"/>
      <c r="F206" s="10"/>
      <c r="G206" s="10"/>
      <c r="H206" s="9"/>
      <c r="J206" s="9"/>
      <c r="K206" s="9"/>
      <c r="L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</row>
    <row r="207" spans="1:58" ht="15.75" customHeight="1">
      <c r="A207" s="9"/>
      <c r="B207" s="477"/>
      <c r="C207" s="583"/>
      <c r="D207" s="10"/>
      <c r="F207" s="10"/>
      <c r="G207" s="9"/>
      <c r="H207" s="9"/>
      <c r="I207" s="10"/>
      <c r="J207" s="9"/>
      <c r="K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</row>
    <row r="208" spans="1:58" ht="15.75" customHeight="1">
      <c r="A208" s="9"/>
      <c r="B208" s="477"/>
      <c r="C208" s="583"/>
      <c r="D208" s="10"/>
      <c r="E208" s="9"/>
      <c r="F208" s="10"/>
      <c r="G208" s="10"/>
      <c r="H208" s="9"/>
      <c r="J208" s="9"/>
      <c r="L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</row>
    <row r="209" spans="1:36" ht="15.75" customHeight="1">
      <c r="A209" s="9"/>
      <c r="B209" s="477"/>
      <c r="C209" s="583"/>
      <c r="D209" s="10"/>
      <c r="E209" s="9"/>
      <c r="F209" s="10"/>
      <c r="G209" s="10"/>
      <c r="H209" s="9"/>
      <c r="I209" s="10"/>
      <c r="J209" s="9"/>
      <c r="K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</row>
    <row r="210" spans="1:36" ht="15.75" customHeight="1">
      <c r="A210" s="9"/>
      <c r="B210" s="477"/>
      <c r="C210" s="583"/>
      <c r="D210" s="10"/>
      <c r="E210" s="9"/>
      <c r="F210" s="10"/>
      <c r="G210" s="10"/>
      <c r="H210" s="9"/>
      <c r="J210" s="9"/>
      <c r="K210" s="9"/>
      <c r="L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</row>
    <row r="211" spans="1:36" ht="15.75" customHeight="1">
      <c r="A211" s="9"/>
      <c r="B211" s="477"/>
      <c r="C211" s="583"/>
      <c r="D211" s="10"/>
      <c r="F211" s="10"/>
      <c r="G211" s="9"/>
      <c r="H211" s="9"/>
      <c r="J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</row>
    <row r="212" spans="1:36" ht="15.75" customHeight="1">
      <c r="A212" s="9"/>
      <c r="B212" s="477"/>
      <c r="C212" s="583"/>
      <c r="D212" s="10"/>
      <c r="E212" s="9"/>
      <c r="F212" s="10"/>
      <c r="G212" s="10"/>
      <c r="H212" s="9"/>
      <c r="J212" s="9"/>
      <c r="L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</row>
    <row r="213" spans="1:36" ht="15.75" customHeight="1">
      <c r="A213" s="9"/>
      <c r="B213" s="477"/>
      <c r="C213" s="583"/>
      <c r="D213" s="10"/>
      <c r="E213" s="9"/>
      <c r="F213" s="10"/>
      <c r="G213" s="10"/>
      <c r="H213" s="9"/>
      <c r="J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</row>
    <row r="214" spans="1:36" ht="15.75" customHeight="1">
      <c r="A214" s="9"/>
      <c r="B214" s="477"/>
      <c r="C214" s="583"/>
      <c r="D214" s="10"/>
      <c r="E214" s="9"/>
      <c r="F214" s="10"/>
      <c r="G214" s="10"/>
      <c r="H214" s="9"/>
      <c r="J214" s="9"/>
      <c r="L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</row>
    <row r="215" spans="1:36" ht="15.75" customHeight="1">
      <c r="A215" s="9"/>
      <c r="B215" s="477"/>
      <c r="C215" s="583"/>
      <c r="D215" s="10"/>
      <c r="F215" s="10"/>
      <c r="G215" s="9"/>
      <c r="H215" s="9"/>
      <c r="J215" s="9"/>
      <c r="N215" s="9"/>
      <c r="O215" s="8"/>
      <c r="P215" s="8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</row>
    <row r="216" spans="1:36" ht="15.75" customHeight="1">
      <c r="A216" s="9"/>
      <c r="B216" s="477"/>
      <c r="C216" s="583"/>
      <c r="D216" s="10"/>
      <c r="E216" s="9"/>
      <c r="F216" s="10"/>
      <c r="G216" s="10"/>
      <c r="H216" s="9"/>
      <c r="J216" s="9"/>
      <c r="L216" s="9"/>
      <c r="N216" s="9"/>
      <c r="O216" s="8"/>
      <c r="P216" s="8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</row>
    <row r="217" spans="1:36" ht="15.75" customHeight="1">
      <c r="A217" s="9"/>
      <c r="B217" s="477"/>
      <c r="C217" s="583"/>
      <c r="D217" s="10"/>
      <c r="E217" s="9"/>
      <c r="F217" s="10"/>
      <c r="G217" s="10"/>
      <c r="H217" s="9"/>
      <c r="J217" s="9"/>
      <c r="N217" s="9"/>
      <c r="O217" s="8"/>
      <c r="P217" s="8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</row>
    <row r="218" spans="1:36" ht="15.75" customHeight="1">
      <c r="A218" s="9"/>
      <c r="B218" s="477"/>
      <c r="C218" s="583"/>
      <c r="D218" s="10"/>
      <c r="E218" s="9"/>
      <c r="F218" s="10"/>
      <c r="G218" s="10"/>
      <c r="H218" s="9"/>
      <c r="J218" s="9"/>
      <c r="L218" s="9"/>
      <c r="N218" s="9"/>
      <c r="O218" s="8"/>
      <c r="P218" s="8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</row>
    <row r="219" spans="1:36" ht="15.75" customHeight="1">
      <c r="A219" s="9"/>
      <c r="B219" s="477"/>
      <c r="C219" s="583"/>
      <c r="D219" s="10"/>
      <c r="F219" s="10"/>
      <c r="G219" s="9"/>
      <c r="H219" s="9"/>
      <c r="J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</row>
    <row r="220" spans="1:36" ht="15.75" customHeight="1">
      <c r="A220" s="9"/>
      <c r="B220" s="477"/>
      <c r="C220" s="583"/>
      <c r="D220" s="10"/>
      <c r="E220" s="9"/>
      <c r="F220" s="10"/>
      <c r="G220" s="10"/>
      <c r="H220" s="9"/>
      <c r="J220" s="9"/>
      <c r="L220" s="9"/>
      <c r="N220" s="9"/>
      <c r="O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</row>
    <row r="221" spans="1:36" ht="15.75" customHeight="1">
      <c r="A221" s="9"/>
      <c r="B221" s="477"/>
      <c r="C221" s="583"/>
      <c r="D221" s="10"/>
      <c r="E221" s="9"/>
      <c r="F221" s="10"/>
      <c r="G221" s="9"/>
      <c r="H221" s="9"/>
      <c r="J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</row>
    <row r="222" spans="1:36" ht="15.75" customHeight="1">
      <c r="A222" s="9"/>
      <c r="B222" s="477"/>
      <c r="C222" s="583"/>
      <c r="D222" s="10"/>
      <c r="E222" s="9"/>
      <c r="F222" s="10"/>
      <c r="G222" s="10"/>
      <c r="H222" s="9"/>
      <c r="J222" s="9"/>
      <c r="L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</row>
    <row r="223" spans="1:36" ht="15.75" customHeight="1">
      <c r="A223" s="9"/>
      <c r="B223" s="477"/>
      <c r="C223" s="583"/>
      <c r="D223" s="10"/>
      <c r="F223" s="10"/>
      <c r="G223" s="9"/>
      <c r="H223" s="9"/>
      <c r="J223" s="9"/>
      <c r="K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</row>
    <row r="224" spans="1:36" ht="15.75" customHeight="1">
      <c r="A224" s="9"/>
      <c r="B224" s="477"/>
      <c r="C224" s="583"/>
      <c r="D224" s="10"/>
      <c r="E224" s="9"/>
      <c r="F224" s="10"/>
      <c r="G224" s="10"/>
      <c r="H224" s="9"/>
      <c r="J224" s="9"/>
      <c r="K224" s="9"/>
      <c r="L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</row>
    <row r="225" spans="1:36" ht="15.75" customHeight="1">
      <c r="A225" s="9"/>
      <c r="B225" s="477"/>
      <c r="C225" s="583"/>
      <c r="D225" s="10"/>
      <c r="E225" s="9"/>
      <c r="F225" s="10"/>
      <c r="G225" s="9"/>
      <c r="H225" s="9"/>
      <c r="I225" s="10"/>
      <c r="J225" s="9"/>
      <c r="K225" s="9"/>
      <c r="N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</row>
    <row r="226" spans="1:36" ht="15.75" customHeight="1">
      <c r="A226" s="9"/>
      <c r="B226" s="477"/>
      <c r="C226" s="583"/>
      <c r="D226" s="10"/>
      <c r="E226" s="9"/>
      <c r="F226" s="10"/>
      <c r="G226" s="10"/>
      <c r="H226" s="9"/>
      <c r="J226" s="9"/>
      <c r="L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</row>
    <row r="227" spans="1:36" ht="15.75" customHeight="1">
      <c r="A227" s="9"/>
      <c r="B227" s="477"/>
      <c r="C227" s="583"/>
      <c r="D227" s="10"/>
      <c r="F227" s="10"/>
      <c r="G227" s="9"/>
      <c r="H227" s="9"/>
      <c r="J227" s="9"/>
      <c r="K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</row>
    <row r="228" spans="1:36" ht="15.75" customHeight="1">
      <c r="A228" s="9"/>
      <c r="B228" s="477"/>
      <c r="C228" s="583"/>
      <c r="D228" s="10"/>
      <c r="E228" s="9"/>
      <c r="F228" s="10"/>
      <c r="G228" s="10"/>
      <c r="H228" s="9"/>
      <c r="J228" s="9"/>
      <c r="K228" s="9"/>
      <c r="L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</row>
    <row r="229" spans="1:36" ht="15.75" customHeight="1">
      <c r="A229" s="9"/>
      <c r="B229" s="477"/>
      <c r="C229" s="583"/>
      <c r="D229" s="10"/>
      <c r="E229" s="9"/>
      <c r="F229" s="10"/>
      <c r="G229" s="9"/>
      <c r="H229" s="9"/>
      <c r="J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</row>
    <row r="230" spans="1:36" ht="15.75" customHeight="1">
      <c r="A230" s="9"/>
      <c r="B230" s="477"/>
      <c r="C230" s="583"/>
      <c r="D230" s="10"/>
      <c r="E230" s="9"/>
      <c r="F230" s="10"/>
      <c r="G230" s="10"/>
      <c r="H230" s="9"/>
      <c r="J230" s="9"/>
      <c r="K230" s="9"/>
      <c r="L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</row>
    <row r="231" spans="1:36" ht="15.75" customHeight="1">
      <c r="A231" s="9"/>
      <c r="B231" s="477"/>
      <c r="C231" s="583"/>
      <c r="D231" s="10"/>
      <c r="F231" s="10"/>
      <c r="G231" s="9"/>
      <c r="H231" s="9"/>
      <c r="J231" s="9"/>
      <c r="K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</row>
    <row r="232" spans="1:36" ht="15.75" customHeight="1">
      <c r="A232" s="9"/>
      <c r="B232" s="477"/>
      <c r="C232" s="583"/>
      <c r="D232" s="10"/>
      <c r="E232" s="9"/>
      <c r="F232" s="10"/>
      <c r="G232" s="10"/>
      <c r="H232" s="9"/>
      <c r="J232" s="9"/>
      <c r="L232" s="9"/>
      <c r="N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</row>
    <row r="233" spans="1:36" ht="15.75" customHeight="1">
      <c r="A233" s="9"/>
      <c r="B233" s="477"/>
      <c r="C233" s="583"/>
      <c r="D233" s="10"/>
      <c r="E233" s="9"/>
      <c r="F233" s="10"/>
      <c r="G233" s="9"/>
      <c r="H233" s="9"/>
      <c r="J233" s="9"/>
      <c r="N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</row>
    <row r="234" spans="1:36" ht="15.75" customHeight="1">
      <c r="A234" s="9"/>
      <c r="B234" s="477"/>
      <c r="C234" s="583"/>
      <c r="D234" s="10"/>
      <c r="E234" s="9"/>
      <c r="F234" s="10"/>
      <c r="G234" s="10"/>
      <c r="H234" s="9"/>
      <c r="J234" s="9"/>
      <c r="L234" s="9"/>
      <c r="N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</row>
    <row r="235" spans="1:36" ht="15.75" customHeight="1">
      <c r="A235" s="8"/>
      <c r="B235" s="477"/>
      <c r="C235" s="583"/>
      <c r="D235" s="10"/>
      <c r="F235" s="10"/>
      <c r="G235" s="9"/>
      <c r="H235" s="9"/>
      <c r="J235" s="9"/>
      <c r="N235" s="9"/>
      <c r="O235" s="8"/>
      <c r="P235" s="8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</row>
    <row r="236" spans="1:36" ht="15.75" customHeight="1">
      <c r="A236" s="8"/>
      <c r="B236" s="477"/>
      <c r="C236" s="583"/>
      <c r="D236" s="10"/>
      <c r="E236" s="9"/>
      <c r="F236" s="10"/>
      <c r="G236" s="10"/>
      <c r="H236" s="9"/>
      <c r="J236" s="9"/>
      <c r="K236" s="9"/>
      <c r="L236" s="9"/>
      <c r="N236" s="9"/>
      <c r="O236" s="8"/>
      <c r="P236" s="8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</row>
    <row r="237" spans="1:36" ht="15.75" customHeight="1">
      <c r="A237" s="9"/>
      <c r="B237" s="477"/>
      <c r="C237" s="583"/>
      <c r="G237" s="10"/>
      <c r="H237" s="9"/>
      <c r="J237" s="9"/>
      <c r="N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</row>
    <row r="238" spans="1:36" ht="15.75" customHeight="1">
      <c r="A238" s="8"/>
      <c r="B238" s="477"/>
      <c r="C238" s="586"/>
      <c r="F238" s="482"/>
      <c r="G238" s="10"/>
      <c r="H238" s="9"/>
      <c r="J238" s="9"/>
      <c r="K238" s="9"/>
      <c r="N238" s="9"/>
      <c r="O238" s="8"/>
      <c r="P238" s="8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</row>
    <row r="239" spans="1:36" ht="15.75" customHeight="1">
      <c r="A239" s="8"/>
      <c r="B239" s="477"/>
      <c r="C239" s="586"/>
      <c r="F239" s="11"/>
      <c r="G239" s="10"/>
      <c r="H239" s="9"/>
      <c r="J239" s="9"/>
      <c r="K239" s="9"/>
      <c r="N239" s="9"/>
      <c r="O239" s="8"/>
      <c r="P239" s="8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</row>
    <row r="240" spans="1:36" ht="15.75" customHeight="1">
      <c r="A240" s="9"/>
      <c r="B240" s="477"/>
      <c r="C240" s="583"/>
      <c r="F240" s="482"/>
      <c r="G240" s="10"/>
      <c r="H240" s="9"/>
      <c r="J240" s="9"/>
      <c r="K240" s="9"/>
      <c r="N240" s="9"/>
      <c r="O240" s="8"/>
      <c r="P240" s="8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</row>
    <row r="241" spans="1:36" ht="15.75" customHeight="1">
      <c r="A241" s="9"/>
      <c r="B241" s="477"/>
      <c r="C241" s="586"/>
      <c r="D241" s="9"/>
      <c r="E241" s="9"/>
      <c r="F241" s="11"/>
      <c r="G241" s="10"/>
      <c r="H241" s="9"/>
      <c r="J241" s="9"/>
      <c r="L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</row>
    <row r="242" spans="1:36" ht="15.75" customHeight="1">
      <c r="A242" s="9"/>
      <c r="B242" s="477"/>
      <c r="C242" s="586"/>
      <c r="G242" s="10"/>
      <c r="H242" s="9"/>
      <c r="J242" s="9"/>
      <c r="K242" s="9"/>
      <c r="N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</row>
    <row r="243" spans="1:36" ht="15.75" customHeight="1">
      <c r="A243" s="9"/>
      <c r="B243" s="477"/>
      <c r="C243" s="586"/>
      <c r="D243" s="10"/>
      <c r="E243" s="9"/>
      <c r="F243" s="11"/>
      <c r="G243" s="10"/>
      <c r="H243" s="9"/>
      <c r="J243" s="9"/>
      <c r="K243" s="9"/>
      <c r="L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</row>
    <row r="244" spans="1:36" ht="15.75" customHeight="1">
      <c r="A244" s="9"/>
      <c r="B244" s="477"/>
      <c r="C244" s="583"/>
      <c r="D244" s="10"/>
      <c r="E244" s="9"/>
      <c r="F244" s="9"/>
      <c r="G244" s="10"/>
      <c r="H244" s="9"/>
      <c r="J244" s="9"/>
      <c r="K244" s="9"/>
      <c r="L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</row>
    <row r="245" spans="1:36" ht="15.75" customHeight="1">
      <c r="A245" s="9"/>
      <c r="B245" s="477"/>
      <c r="C245" s="583"/>
      <c r="D245" s="10"/>
      <c r="E245" s="9"/>
      <c r="F245" s="11"/>
      <c r="H245" s="9"/>
      <c r="J245" s="9"/>
      <c r="K245" s="9"/>
      <c r="L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</row>
    <row r="246" spans="1:36" ht="15.75" customHeight="1">
      <c r="A246" s="9"/>
      <c r="B246" s="477"/>
      <c r="C246" s="583"/>
      <c r="D246" s="10"/>
      <c r="E246" s="9"/>
      <c r="F246" s="11"/>
      <c r="G246" s="10"/>
      <c r="H246" s="9"/>
      <c r="J246" s="9"/>
      <c r="L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</row>
    <row r="247" spans="1:36" ht="15.75" customHeight="1">
      <c r="A247" s="9"/>
      <c r="B247" s="477"/>
      <c r="C247" s="583"/>
      <c r="D247" s="10"/>
      <c r="E247" s="9"/>
      <c r="F247" s="11"/>
      <c r="H247" s="9"/>
      <c r="J247" s="9"/>
      <c r="L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</row>
    <row r="248" spans="1:36" ht="15.75" customHeight="1">
      <c r="A248" s="9"/>
      <c r="B248" s="477"/>
      <c r="C248" s="586"/>
      <c r="D248" s="9"/>
      <c r="E248" s="9"/>
      <c r="F248" s="11"/>
      <c r="H248" s="9"/>
      <c r="J248" s="9"/>
      <c r="L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</row>
    <row r="249" spans="1:36" ht="15.75" customHeight="1">
      <c r="A249" s="9"/>
      <c r="B249" s="477"/>
      <c r="C249" s="586"/>
      <c r="D249" s="9"/>
      <c r="E249" s="9"/>
      <c r="F249" s="11"/>
      <c r="G249" s="10"/>
      <c r="H249" s="9"/>
      <c r="J249" s="9"/>
      <c r="L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</row>
    <row r="250" spans="1:36" ht="15.75" customHeight="1">
      <c r="A250" s="9"/>
      <c r="B250" s="477"/>
      <c r="C250" s="586"/>
      <c r="D250" s="587"/>
      <c r="E250" s="9"/>
      <c r="F250" s="11"/>
      <c r="G250" s="10"/>
      <c r="H250" s="9"/>
      <c r="J250" s="9"/>
      <c r="K250" s="9"/>
      <c r="L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</row>
    <row r="251" spans="1:36" ht="15.75" customHeight="1">
      <c r="A251" s="9"/>
      <c r="B251" s="477"/>
      <c r="C251" s="586"/>
      <c r="D251" s="10"/>
      <c r="E251" s="9"/>
      <c r="F251" s="11"/>
      <c r="G251" s="10"/>
      <c r="H251" s="9"/>
      <c r="J251" s="9"/>
      <c r="L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</row>
    <row r="252" spans="1:36" ht="15.75" customHeight="1">
      <c r="A252" s="9"/>
      <c r="B252" s="477"/>
      <c r="C252" s="583"/>
      <c r="D252" s="10"/>
      <c r="E252" s="9"/>
      <c r="F252" s="9"/>
      <c r="G252" s="10"/>
      <c r="H252" s="9"/>
      <c r="J252" s="9"/>
      <c r="K252" s="9"/>
      <c r="L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</row>
    <row r="253" spans="1:36" ht="15.75" customHeight="1">
      <c r="A253" s="9"/>
      <c r="B253" s="477"/>
      <c r="C253" s="583"/>
      <c r="D253" s="10"/>
      <c r="E253" s="9"/>
      <c r="F253" s="11"/>
      <c r="G253" s="10"/>
      <c r="H253" s="9"/>
      <c r="J253" s="9"/>
      <c r="L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</row>
    <row r="254" spans="1:36" ht="15.75" customHeight="1">
      <c r="A254" s="9"/>
      <c r="B254" s="477"/>
      <c r="C254" s="583"/>
      <c r="D254" s="10"/>
      <c r="E254" s="9"/>
      <c r="F254" s="9"/>
      <c r="G254" s="10"/>
      <c r="H254" s="9"/>
      <c r="J254" s="9"/>
      <c r="K254" s="9"/>
      <c r="L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</row>
    <row r="255" spans="1:36" ht="15.75" customHeight="1">
      <c r="A255" s="8"/>
      <c r="B255" s="477"/>
      <c r="C255" s="586"/>
      <c r="D255" s="10"/>
      <c r="E255" s="9"/>
      <c r="F255" s="11"/>
      <c r="G255" s="10"/>
      <c r="H255" s="9"/>
      <c r="J255" s="9"/>
      <c r="K255" s="9"/>
      <c r="L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</row>
    <row r="256" spans="1:36" ht="15.75" customHeight="1">
      <c r="A256" s="9"/>
      <c r="B256" s="477"/>
      <c r="C256" s="583"/>
      <c r="D256" s="11"/>
      <c r="E256" s="9"/>
      <c r="F256" s="9"/>
      <c r="G256" s="10"/>
      <c r="H256" s="9"/>
      <c r="J256" s="9"/>
      <c r="L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</row>
    <row r="257" spans="2:36" ht="15.75" customHeight="1">
      <c r="B257" s="9"/>
      <c r="C257" s="9"/>
      <c r="D257" s="9"/>
      <c r="E257" s="9"/>
      <c r="F257" s="9"/>
      <c r="G257" s="9"/>
      <c r="H257" s="9"/>
      <c r="J257" s="9"/>
      <c r="K257" s="9"/>
      <c r="L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</row>
    <row r="258" spans="2:36" ht="15.75" customHeight="1">
      <c r="B258" s="9"/>
      <c r="C258" s="9"/>
      <c r="D258" s="9"/>
      <c r="E258" s="9"/>
      <c r="F258" s="9"/>
      <c r="G258" s="9"/>
      <c r="H258" s="9"/>
      <c r="J258" s="9"/>
      <c r="K258" s="9"/>
      <c r="L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</row>
    <row r="259" spans="2:36" ht="15.75" customHeight="1">
      <c r="B259" s="9"/>
      <c r="C259" s="9"/>
      <c r="D259" s="9"/>
      <c r="E259" s="9"/>
      <c r="F259" s="9"/>
      <c r="G259" s="9"/>
      <c r="H259" s="9"/>
      <c r="J259" s="9"/>
      <c r="K259" s="9"/>
      <c r="L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</row>
    <row r="260" spans="2:36" ht="15.75" customHeight="1">
      <c r="B260" s="9"/>
      <c r="C260" s="9"/>
      <c r="D260" s="9"/>
      <c r="E260" s="9"/>
      <c r="F260" s="9"/>
      <c r="G260" s="9"/>
      <c r="H260" s="9"/>
      <c r="J260" s="9"/>
      <c r="K260" s="9"/>
      <c r="L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</row>
    <row r="261" spans="2:36" ht="15.75" customHeight="1">
      <c r="B261" s="9"/>
      <c r="C261" s="9"/>
      <c r="D261" s="9"/>
      <c r="E261" s="9"/>
      <c r="F261" s="9"/>
      <c r="G261" s="9"/>
      <c r="H261" s="9"/>
      <c r="J261" s="9"/>
      <c r="K261" s="9"/>
      <c r="L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</row>
    <row r="262" spans="2:36" ht="15.75" customHeight="1">
      <c r="B262" s="9"/>
      <c r="C262" s="9"/>
      <c r="D262" s="9"/>
      <c r="E262" s="9"/>
      <c r="F262" s="9"/>
      <c r="G262" s="9"/>
      <c r="H262" s="9"/>
      <c r="J262" s="9"/>
      <c r="K262" s="9"/>
      <c r="L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</row>
    <row r="263" spans="2:36" ht="15.75" customHeight="1">
      <c r="B263" s="9"/>
      <c r="C263" s="9"/>
      <c r="D263" s="9"/>
      <c r="E263" s="9"/>
      <c r="F263" s="9"/>
      <c r="G263" s="9"/>
      <c r="H263" s="9"/>
      <c r="J263" s="9"/>
      <c r="K263" s="9"/>
      <c r="L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</row>
    <row r="264" spans="2:36" ht="15.75" customHeight="1">
      <c r="B264" s="9"/>
      <c r="C264" s="9"/>
      <c r="D264" s="9"/>
      <c r="E264" s="9"/>
      <c r="F264" s="9"/>
      <c r="G264" s="9"/>
      <c r="H264" s="9"/>
      <c r="J264" s="9"/>
      <c r="K264" s="9"/>
      <c r="L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</row>
    <row r="265" spans="2:36" ht="15.75" customHeight="1">
      <c r="B265" s="9"/>
      <c r="C265" s="9"/>
      <c r="D265" s="9"/>
      <c r="E265" s="9"/>
      <c r="F265" s="9"/>
      <c r="G265" s="9"/>
      <c r="H265" s="9"/>
      <c r="J265" s="9"/>
      <c r="K265" s="9"/>
      <c r="L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</row>
    <row r="266" spans="2:36" ht="15.75" customHeight="1">
      <c r="B266" s="9"/>
      <c r="C266" s="9"/>
      <c r="D266" s="9"/>
      <c r="E266" s="9"/>
      <c r="F266" s="9"/>
      <c r="G266" s="9"/>
      <c r="H266" s="9"/>
      <c r="J266" s="9"/>
      <c r="K266" s="9"/>
      <c r="L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</row>
    <row r="267" spans="2:36" ht="15.75" customHeight="1">
      <c r="B267" s="9"/>
      <c r="C267" s="9"/>
      <c r="D267" s="9"/>
      <c r="E267" s="9"/>
      <c r="F267" s="9"/>
      <c r="G267" s="9"/>
      <c r="H267" s="9"/>
      <c r="J267" s="9"/>
      <c r="K267" s="9"/>
      <c r="L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</row>
    <row r="268" spans="2:36" ht="15.75" customHeight="1">
      <c r="B268" s="9"/>
      <c r="C268" s="9"/>
      <c r="D268" s="9"/>
      <c r="E268" s="9"/>
      <c r="F268" s="9"/>
      <c r="G268" s="9"/>
      <c r="H268" s="9"/>
      <c r="J268" s="9"/>
      <c r="K268" s="9"/>
      <c r="L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</row>
    <row r="269" spans="2:36" ht="15.75" customHeight="1">
      <c r="B269" s="9"/>
      <c r="C269" s="9"/>
      <c r="D269" s="9"/>
      <c r="E269" s="9"/>
      <c r="F269" s="9"/>
      <c r="G269" s="9"/>
      <c r="H269" s="9"/>
      <c r="J269" s="9"/>
      <c r="K269" s="9"/>
      <c r="L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</row>
    <row r="270" spans="2:36" ht="15.75" customHeight="1">
      <c r="B270" s="9"/>
      <c r="C270" s="9"/>
      <c r="D270" s="9"/>
      <c r="E270" s="9"/>
      <c r="F270" s="9"/>
      <c r="G270" s="9"/>
      <c r="H270" s="9"/>
      <c r="J270" s="9"/>
      <c r="K270" s="9"/>
      <c r="L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</row>
    <row r="271" spans="2:36" ht="15.75" customHeight="1">
      <c r="B271" s="9"/>
      <c r="C271" s="9"/>
      <c r="D271" s="9"/>
      <c r="E271" s="9"/>
      <c r="F271" s="9"/>
      <c r="G271" s="9"/>
      <c r="H271" s="9"/>
      <c r="J271" s="9"/>
      <c r="K271" s="9"/>
      <c r="L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</row>
    <row r="272" spans="2:36" ht="15.75" customHeight="1">
      <c r="B272" s="9"/>
      <c r="C272" s="9"/>
      <c r="D272" s="9"/>
      <c r="E272" s="9"/>
      <c r="F272" s="9"/>
      <c r="G272" s="9"/>
      <c r="H272" s="9"/>
      <c r="J272" s="9"/>
      <c r="K272" s="9"/>
      <c r="L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</row>
    <row r="273" spans="2:58" ht="15.75" customHeight="1">
      <c r="B273" s="9"/>
      <c r="C273" s="9"/>
      <c r="D273" s="9"/>
      <c r="E273" s="9"/>
      <c r="F273" s="9"/>
      <c r="G273" s="9"/>
      <c r="H273" s="9"/>
      <c r="J273" s="9"/>
      <c r="K273" s="9"/>
      <c r="L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</row>
    <row r="274" spans="2:58" ht="15.75" customHeight="1">
      <c r="B274" s="9"/>
      <c r="C274" s="9"/>
      <c r="D274" s="9"/>
      <c r="E274" s="9"/>
      <c r="F274" s="9"/>
      <c r="G274" s="9"/>
      <c r="H274" s="9"/>
      <c r="J274" s="9"/>
      <c r="K274" s="9"/>
      <c r="L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BD274" s="560"/>
    </row>
    <row r="275" spans="2:58" ht="15.75" customHeight="1">
      <c r="B275" s="9"/>
      <c r="C275" s="9"/>
      <c r="D275" s="9"/>
      <c r="E275" s="9"/>
      <c r="F275" s="9"/>
      <c r="G275" s="9"/>
      <c r="H275" s="9"/>
      <c r="J275" s="9"/>
      <c r="K275" s="9"/>
      <c r="L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BC275" s="560"/>
    </row>
    <row r="276" spans="2:58" ht="15.75" customHeight="1">
      <c r="B276" s="9"/>
      <c r="C276" s="9"/>
      <c r="D276" s="9"/>
      <c r="E276" s="9"/>
      <c r="F276" s="9"/>
      <c r="G276" s="9"/>
      <c r="H276" s="9"/>
      <c r="J276" s="9"/>
      <c r="K276" s="9"/>
      <c r="L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</row>
    <row r="277" spans="2:58" ht="15.75" customHeight="1">
      <c r="B277" s="9"/>
      <c r="C277" s="9"/>
      <c r="D277" s="9"/>
      <c r="E277" s="9"/>
      <c r="F277" s="9"/>
      <c r="G277" s="9"/>
      <c r="H277" s="9"/>
      <c r="J277" s="9"/>
      <c r="K277" s="9"/>
      <c r="L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</row>
    <row r="278" spans="2:58" ht="15.75" customHeight="1">
      <c r="B278" s="9"/>
      <c r="C278" s="9"/>
      <c r="D278" s="9"/>
      <c r="E278" s="9"/>
      <c r="F278" s="9"/>
      <c r="G278" s="9"/>
      <c r="H278" s="9"/>
      <c r="J278" s="9"/>
      <c r="K278" s="9"/>
      <c r="L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</row>
    <row r="279" spans="2:58" ht="15.75" customHeight="1">
      <c r="B279" s="9"/>
      <c r="C279" s="9"/>
      <c r="D279" s="9"/>
      <c r="E279" s="9"/>
      <c r="F279" s="9"/>
      <c r="G279" s="9"/>
      <c r="H279" s="9"/>
      <c r="J279" s="9"/>
      <c r="K279" s="9"/>
      <c r="L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BE279" s="560"/>
      <c r="BF279" s="560"/>
    </row>
    <row r="280" spans="2:58" ht="15.75" customHeight="1">
      <c r="B280" s="9"/>
      <c r="C280" s="9"/>
      <c r="D280" s="9"/>
      <c r="E280" s="9"/>
      <c r="F280" s="9"/>
      <c r="G280" s="9"/>
      <c r="H280" s="9"/>
      <c r="J280" s="9"/>
      <c r="K280" s="9"/>
      <c r="L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</row>
    <row r="281" spans="2:58" ht="15.75" customHeight="1">
      <c r="B281" s="9"/>
      <c r="C281" s="9"/>
      <c r="D281" s="9"/>
      <c r="E281" s="9"/>
      <c r="F281" s="9"/>
      <c r="G281" s="9"/>
      <c r="H281" s="9"/>
      <c r="J281" s="9"/>
      <c r="K281" s="9"/>
      <c r="L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</row>
    <row r="282" spans="2:58" ht="15.75" customHeight="1">
      <c r="B282" s="9"/>
      <c r="C282" s="9"/>
      <c r="D282" s="9"/>
      <c r="E282" s="9"/>
      <c r="F282" s="9"/>
      <c r="G282" s="9"/>
      <c r="H282" s="9"/>
      <c r="J282" s="9"/>
      <c r="K282" s="9"/>
      <c r="L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</row>
    <row r="283" spans="2:58" ht="15.75" customHeight="1">
      <c r="B283" s="9"/>
      <c r="C283" s="9"/>
      <c r="D283" s="9"/>
      <c r="E283" s="9"/>
      <c r="F283" s="9"/>
      <c r="G283" s="9"/>
      <c r="H283" s="9"/>
      <c r="J283" s="9"/>
      <c r="K283" s="9"/>
      <c r="L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</row>
    <row r="284" spans="2:58" ht="15.75" customHeight="1">
      <c r="B284" s="9"/>
      <c r="C284" s="9"/>
      <c r="D284" s="9"/>
      <c r="E284" s="9"/>
      <c r="F284" s="9"/>
      <c r="G284" s="9"/>
      <c r="H284" s="9"/>
      <c r="J284" s="9"/>
      <c r="K284" s="9"/>
      <c r="L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</row>
    <row r="285" spans="2:58" ht="15.75" customHeight="1">
      <c r="B285" s="9"/>
      <c r="C285" s="9"/>
      <c r="D285" s="9"/>
      <c r="E285" s="9"/>
      <c r="F285" s="9"/>
      <c r="G285" s="9"/>
      <c r="H285" s="9"/>
      <c r="J285" s="9"/>
      <c r="K285" s="9"/>
      <c r="L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</row>
    <row r="286" spans="2:58" ht="15.75" customHeight="1">
      <c r="B286" s="9"/>
      <c r="C286" s="9"/>
      <c r="D286" s="9"/>
      <c r="E286" s="9"/>
      <c r="F286" s="9"/>
      <c r="G286" s="9"/>
      <c r="H286" s="9"/>
      <c r="J286" s="9"/>
      <c r="K286" s="9"/>
      <c r="L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</row>
    <row r="287" spans="2:58" ht="15.75" customHeight="1">
      <c r="B287" s="9"/>
      <c r="C287" s="9"/>
      <c r="D287" s="9"/>
      <c r="E287" s="9"/>
      <c r="F287" s="9"/>
      <c r="G287" s="9"/>
      <c r="H287" s="9"/>
      <c r="J287" s="9"/>
      <c r="K287" s="9"/>
      <c r="L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</row>
    <row r="288" spans="2:58" ht="15.75" customHeight="1">
      <c r="B288" s="9"/>
      <c r="C288" s="9"/>
      <c r="D288" s="9"/>
      <c r="E288" s="9"/>
      <c r="F288" s="9"/>
      <c r="G288" s="9"/>
      <c r="H288" s="9"/>
      <c r="J288" s="9"/>
      <c r="K288" s="9"/>
      <c r="L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</row>
    <row r="289" spans="2:36" ht="15.75" customHeight="1">
      <c r="B289" s="9"/>
      <c r="C289" s="9"/>
      <c r="D289" s="9"/>
      <c r="E289" s="9"/>
      <c r="F289" s="9"/>
      <c r="G289" s="9"/>
      <c r="H289" s="9"/>
      <c r="J289" s="9"/>
      <c r="K289" s="9"/>
      <c r="L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</row>
    <row r="290" spans="2:36" ht="15.75" customHeight="1">
      <c r="B290" s="9"/>
      <c r="C290" s="9"/>
      <c r="D290" s="9"/>
      <c r="E290" s="9"/>
      <c r="F290" s="9"/>
      <c r="G290" s="9"/>
      <c r="H290" s="9"/>
      <c r="J290" s="9"/>
      <c r="K290" s="9"/>
      <c r="L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</row>
    <row r="291" spans="2:36" ht="15.75" customHeight="1">
      <c r="B291" s="9"/>
      <c r="C291" s="9"/>
      <c r="D291" s="9"/>
      <c r="E291" s="9"/>
      <c r="F291" s="9"/>
      <c r="G291" s="9"/>
      <c r="H291" s="9"/>
      <c r="J291" s="9"/>
      <c r="K291" s="9"/>
      <c r="L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</row>
    <row r="292" spans="2:36" ht="15.75" customHeight="1">
      <c r="B292" s="9"/>
      <c r="C292" s="9"/>
      <c r="D292" s="9"/>
      <c r="E292" s="9"/>
      <c r="F292" s="9"/>
      <c r="G292" s="9"/>
      <c r="H292" s="9"/>
      <c r="J292" s="9"/>
      <c r="K292" s="9"/>
      <c r="L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</row>
    <row r="293" spans="2:36" ht="15.75" customHeight="1">
      <c r="B293" s="9"/>
      <c r="C293" s="9"/>
      <c r="D293" s="9"/>
      <c r="E293" s="9"/>
      <c r="F293" s="9"/>
      <c r="G293" s="9"/>
      <c r="H293" s="9"/>
      <c r="J293" s="9"/>
      <c r="K293" s="9"/>
      <c r="L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</row>
    <row r="294" spans="2:36" ht="15.75" customHeight="1">
      <c r="B294" s="9"/>
      <c r="C294" s="9"/>
      <c r="D294" s="9"/>
      <c r="E294" s="9"/>
      <c r="F294" s="9"/>
      <c r="G294" s="9"/>
      <c r="H294" s="9"/>
      <c r="J294" s="9"/>
      <c r="K294" s="9"/>
      <c r="L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</row>
    <row r="295" spans="2:36" ht="15.75" customHeight="1">
      <c r="B295" s="9"/>
      <c r="C295" s="9"/>
      <c r="D295" s="9"/>
      <c r="E295" s="9"/>
      <c r="F295" s="9"/>
      <c r="G295" s="9"/>
      <c r="H295" s="9"/>
      <c r="J295" s="9"/>
      <c r="K295" s="9"/>
      <c r="L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</row>
    <row r="296" spans="2:36" ht="15.75" customHeight="1">
      <c r="B296" s="9"/>
      <c r="C296" s="9"/>
      <c r="D296" s="9"/>
      <c r="E296" s="9"/>
      <c r="F296" s="9"/>
      <c r="G296" s="9"/>
      <c r="H296" s="9"/>
      <c r="J296" s="9"/>
      <c r="K296" s="9"/>
      <c r="L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</row>
    <row r="297" spans="2:36" ht="15.75" customHeight="1">
      <c r="B297" s="9"/>
      <c r="C297" s="9"/>
      <c r="D297" s="9"/>
      <c r="E297" s="9"/>
      <c r="F297" s="9"/>
      <c r="G297" s="9"/>
      <c r="H297" s="9"/>
      <c r="J297" s="9"/>
      <c r="K297" s="9"/>
      <c r="L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</row>
    <row r="298" spans="2:36" ht="15.75" customHeight="1">
      <c r="B298" s="9"/>
      <c r="C298" s="9"/>
      <c r="D298" s="9"/>
      <c r="E298" s="9"/>
      <c r="F298" s="9"/>
      <c r="G298" s="9"/>
      <c r="H298" s="9"/>
      <c r="J298" s="9"/>
      <c r="K298" s="9"/>
      <c r="L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</row>
    <row r="299" spans="2:36" ht="15.75" customHeight="1">
      <c r="B299" s="9"/>
      <c r="C299" s="9"/>
      <c r="D299" s="9"/>
      <c r="E299" s="9"/>
      <c r="F299" s="9"/>
      <c r="G299" s="9"/>
      <c r="H299" s="9"/>
      <c r="J299" s="9"/>
      <c r="K299" s="9"/>
      <c r="L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</row>
    <row r="300" spans="2:36" ht="15.75" customHeight="1">
      <c r="B300" s="9"/>
      <c r="C300" s="9"/>
      <c r="D300" s="9"/>
      <c r="E300" s="9"/>
      <c r="F300" s="9"/>
      <c r="G300" s="9"/>
      <c r="H300" s="9"/>
      <c r="J300" s="9"/>
      <c r="K300" s="9"/>
      <c r="L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</row>
    <row r="301" spans="2:36" ht="15.75" customHeight="1">
      <c r="B301" s="9"/>
      <c r="C301" s="9"/>
      <c r="D301" s="9"/>
      <c r="E301" s="9"/>
      <c r="F301" s="9"/>
      <c r="G301" s="9"/>
      <c r="H301" s="9"/>
      <c r="J301" s="9"/>
      <c r="K301" s="9"/>
      <c r="L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</row>
    <row r="302" spans="2:36" ht="15.75" customHeight="1">
      <c r="B302" s="9"/>
      <c r="C302" s="9"/>
      <c r="D302" s="9"/>
      <c r="E302" s="9"/>
      <c r="F302" s="9"/>
      <c r="G302" s="9"/>
      <c r="H302" s="9"/>
      <c r="J302" s="9"/>
      <c r="K302" s="9"/>
      <c r="L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</row>
    <row r="303" spans="2:36" ht="15.75" customHeight="1">
      <c r="B303" s="9"/>
      <c r="C303" s="9"/>
      <c r="D303" s="9"/>
      <c r="E303" s="9"/>
      <c r="F303" s="9"/>
      <c r="G303" s="9"/>
      <c r="H303" s="9"/>
      <c r="J303" s="9"/>
      <c r="K303" s="9"/>
      <c r="L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</row>
    <row r="304" spans="2:36" ht="15.75" customHeight="1">
      <c r="B304" s="9"/>
      <c r="C304" s="9"/>
      <c r="D304" s="9"/>
      <c r="E304" s="9"/>
      <c r="F304" s="9"/>
      <c r="G304" s="9"/>
      <c r="H304" s="9"/>
      <c r="J304" s="9"/>
      <c r="K304" s="9"/>
      <c r="L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</row>
    <row r="305" spans="2:58" ht="15.75" customHeight="1">
      <c r="B305" s="9"/>
      <c r="C305" s="9"/>
      <c r="D305" s="9"/>
      <c r="E305" s="9"/>
      <c r="F305" s="9"/>
      <c r="G305" s="9"/>
      <c r="H305" s="9"/>
      <c r="J305" s="9"/>
      <c r="K305" s="9"/>
      <c r="L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</row>
    <row r="306" spans="2:58" ht="15.75" customHeight="1">
      <c r="B306" s="9"/>
      <c r="C306" s="9"/>
      <c r="D306" s="9"/>
      <c r="E306" s="9"/>
      <c r="F306" s="9"/>
      <c r="G306" s="9"/>
      <c r="H306" s="9"/>
      <c r="J306" s="9"/>
      <c r="K306" s="9"/>
      <c r="L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</row>
    <row r="307" spans="2:58" ht="15.75" customHeight="1">
      <c r="B307" s="9"/>
      <c r="C307" s="9"/>
      <c r="D307" s="9"/>
      <c r="E307" s="9"/>
      <c r="F307" s="9"/>
      <c r="G307" s="9"/>
      <c r="H307" s="9"/>
      <c r="J307" s="9"/>
      <c r="K307" s="9"/>
      <c r="L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</row>
    <row r="308" spans="2:58" ht="15.75" customHeight="1">
      <c r="B308" s="9"/>
      <c r="C308" s="9"/>
      <c r="D308" s="9"/>
      <c r="E308" s="9"/>
      <c r="F308" s="9"/>
      <c r="G308" s="9"/>
      <c r="H308" s="9"/>
      <c r="J308" s="9"/>
      <c r="K308" s="9"/>
      <c r="L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</row>
    <row r="309" spans="2:58" ht="15.75" customHeight="1">
      <c r="B309" s="9"/>
      <c r="C309" s="9"/>
      <c r="D309" s="9"/>
      <c r="E309" s="9"/>
      <c r="F309" s="9"/>
      <c r="G309" s="9"/>
      <c r="H309" s="9"/>
      <c r="J309" s="9"/>
      <c r="K309" s="9"/>
      <c r="L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BD309" s="560"/>
    </row>
    <row r="310" spans="2:58" ht="15.75" customHeight="1">
      <c r="B310" s="9"/>
      <c r="C310" s="9"/>
      <c r="D310" s="9"/>
      <c r="E310" s="9"/>
      <c r="F310" s="9"/>
      <c r="G310" s="9"/>
      <c r="H310" s="9"/>
      <c r="J310" s="9"/>
      <c r="K310" s="9"/>
      <c r="L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BC310" s="560"/>
    </row>
    <row r="311" spans="2:58" ht="15.75" customHeight="1">
      <c r="B311" s="9"/>
      <c r="C311" s="9"/>
      <c r="D311" s="9"/>
      <c r="E311" s="9"/>
      <c r="F311" s="9"/>
      <c r="G311" s="9"/>
      <c r="H311" s="9"/>
      <c r="J311" s="9"/>
      <c r="K311" s="9"/>
      <c r="L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</row>
    <row r="312" spans="2:58" ht="15.75" customHeight="1">
      <c r="B312" s="9"/>
      <c r="C312" s="9"/>
      <c r="D312" s="9"/>
      <c r="E312" s="9"/>
      <c r="F312" s="9"/>
      <c r="G312" s="9"/>
      <c r="H312" s="9"/>
      <c r="J312" s="9"/>
      <c r="K312" s="9"/>
      <c r="L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</row>
    <row r="313" spans="2:58" ht="15.75" customHeight="1">
      <c r="B313" s="9"/>
      <c r="C313" s="9"/>
      <c r="D313" s="9"/>
      <c r="E313" s="9"/>
      <c r="F313" s="9"/>
      <c r="G313" s="9"/>
      <c r="H313" s="9"/>
      <c r="J313" s="9"/>
      <c r="K313" s="9"/>
      <c r="L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</row>
    <row r="314" spans="2:58" ht="15.75" customHeight="1">
      <c r="B314" s="9"/>
      <c r="C314" s="9"/>
      <c r="D314" s="9"/>
      <c r="E314" s="9"/>
      <c r="F314" s="9"/>
      <c r="G314" s="9"/>
      <c r="H314" s="9"/>
      <c r="J314" s="9"/>
      <c r="K314" s="9"/>
      <c r="L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BE314" s="560"/>
      <c r="BF314" s="560"/>
    </row>
    <row r="315" spans="2:58" ht="15.75" customHeight="1">
      <c r="B315" s="9"/>
      <c r="C315" s="9"/>
      <c r="D315" s="9"/>
      <c r="E315" s="9"/>
      <c r="F315" s="9"/>
      <c r="G315" s="9"/>
      <c r="H315" s="9"/>
      <c r="J315" s="9"/>
      <c r="K315" s="9"/>
      <c r="L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</row>
    <row r="316" spans="2:58" ht="15.75" customHeight="1">
      <c r="B316" s="9"/>
      <c r="C316" s="9"/>
      <c r="D316" s="9"/>
      <c r="E316" s="9"/>
      <c r="F316" s="9"/>
      <c r="G316" s="9"/>
      <c r="H316" s="9"/>
      <c r="J316" s="9"/>
      <c r="K316" s="9"/>
      <c r="L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</row>
    <row r="317" spans="2:58" ht="15.75" customHeight="1">
      <c r="B317" s="9"/>
      <c r="C317" s="9"/>
      <c r="D317" s="9"/>
      <c r="E317" s="9"/>
      <c r="F317" s="9"/>
      <c r="G317" s="9"/>
      <c r="H317" s="9"/>
      <c r="J317" s="9"/>
      <c r="K317" s="9"/>
      <c r="L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</row>
    <row r="318" spans="2:58" ht="15.75" customHeight="1">
      <c r="B318" s="9"/>
      <c r="C318" s="9"/>
      <c r="D318" s="9"/>
      <c r="E318" s="9"/>
      <c r="F318" s="9"/>
      <c r="G318" s="9"/>
      <c r="H318" s="9"/>
      <c r="J318" s="9"/>
      <c r="K318" s="9"/>
      <c r="L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</row>
    <row r="319" spans="2:58" ht="15.75" customHeight="1">
      <c r="B319" s="9"/>
      <c r="C319" s="9"/>
      <c r="D319" s="9"/>
      <c r="E319" s="9"/>
      <c r="F319" s="9"/>
      <c r="G319" s="9"/>
      <c r="H319" s="9"/>
      <c r="J319" s="9"/>
      <c r="K319" s="9"/>
      <c r="L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</row>
    <row r="320" spans="2:58" ht="15.75" customHeight="1">
      <c r="B320" s="9"/>
      <c r="C320" s="9"/>
      <c r="D320" s="9"/>
      <c r="E320" s="9"/>
      <c r="F320" s="9"/>
      <c r="G320" s="9"/>
      <c r="H320" s="9"/>
      <c r="J320" s="9"/>
      <c r="K320" s="9"/>
      <c r="L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</row>
    <row r="321" spans="2:36" ht="15.75" customHeight="1">
      <c r="B321" s="9"/>
      <c r="C321" s="9"/>
      <c r="D321" s="9"/>
      <c r="E321" s="9"/>
      <c r="F321" s="9"/>
      <c r="G321" s="9"/>
      <c r="H321" s="9"/>
      <c r="J321" s="9"/>
      <c r="K321" s="9"/>
      <c r="L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</row>
    <row r="322" spans="2:36" ht="15.75" customHeight="1">
      <c r="B322" s="9"/>
      <c r="C322" s="9"/>
      <c r="D322" s="9"/>
      <c r="E322" s="9"/>
      <c r="F322" s="9"/>
      <c r="G322" s="9"/>
      <c r="H322" s="9"/>
      <c r="J322" s="9"/>
      <c r="K322" s="9"/>
      <c r="L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</row>
    <row r="323" spans="2:36" ht="15.75" customHeight="1">
      <c r="B323" s="9"/>
      <c r="C323" s="9"/>
      <c r="D323" s="9"/>
      <c r="E323" s="9"/>
      <c r="F323" s="9"/>
      <c r="G323" s="9"/>
      <c r="H323" s="9"/>
      <c r="J323" s="9"/>
      <c r="K323" s="9"/>
      <c r="L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</row>
    <row r="324" spans="2:36" ht="15.75" customHeight="1">
      <c r="B324" s="9"/>
      <c r="C324" s="9"/>
      <c r="D324" s="9"/>
      <c r="E324" s="9"/>
      <c r="F324" s="9"/>
      <c r="G324" s="9"/>
      <c r="H324" s="9"/>
      <c r="J324" s="9"/>
      <c r="K324" s="9"/>
      <c r="L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</row>
    <row r="325" spans="2:36" ht="15.75" customHeight="1">
      <c r="B325" s="9"/>
      <c r="C325" s="9"/>
      <c r="D325" s="9"/>
      <c r="E325" s="9"/>
      <c r="F325" s="9"/>
      <c r="G325" s="9"/>
      <c r="H325" s="9"/>
      <c r="J325" s="9"/>
      <c r="K325" s="9"/>
      <c r="L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</row>
    <row r="326" spans="2:36" ht="15.75" customHeight="1">
      <c r="B326" s="9"/>
      <c r="C326" s="9"/>
      <c r="D326" s="9"/>
      <c r="E326" s="9"/>
      <c r="F326" s="9"/>
      <c r="G326" s="9"/>
      <c r="H326" s="9"/>
      <c r="J326" s="9"/>
      <c r="K326" s="9"/>
      <c r="L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</row>
    <row r="327" spans="2:36" ht="15.75" customHeight="1">
      <c r="B327" s="9"/>
      <c r="C327" s="9"/>
      <c r="D327" s="9"/>
      <c r="E327" s="9"/>
      <c r="F327" s="9"/>
      <c r="G327" s="9"/>
      <c r="H327" s="9"/>
      <c r="J327" s="9"/>
      <c r="K327" s="9"/>
      <c r="L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</row>
    <row r="328" spans="2:36" ht="15.75" customHeight="1">
      <c r="B328" s="9"/>
      <c r="C328" s="9"/>
      <c r="D328" s="9"/>
      <c r="E328" s="9"/>
      <c r="F328" s="9"/>
      <c r="G328" s="9"/>
      <c r="H328" s="9"/>
      <c r="J328" s="9"/>
      <c r="K328" s="9"/>
      <c r="L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</row>
    <row r="329" spans="2:36" ht="15.75" customHeight="1">
      <c r="B329" s="9"/>
      <c r="C329" s="9"/>
      <c r="D329" s="9"/>
      <c r="E329" s="9"/>
      <c r="F329" s="9"/>
      <c r="G329" s="9"/>
      <c r="H329" s="9"/>
      <c r="J329" s="9"/>
      <c r="K329" s="9"/>
      <c r="L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</row>
    <row r="330" spans="2:36" ht="15.75" customHeight="1">
      <c r="B330" s="9"/>
      <c r="C330" s="9"/>
      <c r="D330" s="9"/>
      <c r="E330" s="9"/>
      <c r="F330" s="9"/>
      <c r="G330" s="9"/>
      <c r="H330" s="9"/>
      <c r="J330" s="9"/>
      <c r="K330" s="9"/>
      <c r="L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</row>
    <row r="331" spans="2:36" ht="15.75" customHeight="1">
      <c r="B331" s="9"/>
      <c r="C331" s="9"/>
      <c r="D331" s="9"/>
      <c r="E331" s="9"/>
      <c r="F331" s="9"/>
      <c r="G331" s="9"/>
      <c r="H331" s="9"/>
      <c r="J331" s="9"/>
      <c r="K331" s="9"/>
      <c r="L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</row>
    <row r="332" spans="2:36" ht="15.75" customHeight="1">
      <c r="B332" s="9"/>
      <c r="C332" s="9"/>
      <c r="D332" s="9"/>
      <c r="E332" s="9"/>
      <c r="F332" s="9"/>
      <c r="G332" s="9"/>
      <c r="H332" s="9"/>
      <c r="J332" s="9"/>
      <c r="K332" s="9"/>
      <c r="L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</row>
    <row r="333" spans="2:36" ht="15.75" customHeight="1">
      <c r="B333" s="9"/>
      <c r="C333" s="9"/>
      <c r="D333" s="9"/>
      <c r="E333" s="9"/>
      <c r="F333" s="9"/>
      <c r="G333" s="9"/>
      <c r="H333" s="9"/>
      <c r="J333" s="9"/>
      <c r="K333" s="9"/>
      <c r="L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</row>
    <row r="334" spans="2:36" ht="15.75" customHeight="1">
      <c r="B334" s="9"/>
      <c r="C334" s="9"/>
      <c r="D334" s="9"/>
      <c r="E334" s="9"/>
      <c r="F334" s="9"/>
      <c r="G334" s="9"/>
      <c r="H334" s="9"/>
      <c r="J334" s="9"/>
      <c r="K334" s="9"/>
      <c r="L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</row>
    <row r="335" spans="2:36" ht="15.75" customHeight="1">
      <c r="B335" s="9"/>
      <c r="C335" s="9"/>
      <c r="D335" s="9"/>
      <c r="E335" s="9"/>
      <c r="F335" s="9"/>
      <c r="G335" s="9"/>
      <c r="H335" s="9"/>
      <c r="J335" s="9"/>
      <c r="K335" s="9"/>
      <c r="L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</row>
    <row r="336" spans="2:36" ht="15.75" customHeight="1">
      <c r="B336" s="9"/>
      <c r="C336" s="9"/>
      <c r="D336" s="9"/>
      <c r="E336" s="9"/>
      <c r="F336" s="9"/>
      <c r="G336" s="9"/>
      <c r="H336" s="9"/>
      <c r="J336" s="9"/>
      <c r="K336" s="9"/>
      <c r="L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</row>
    <row r="337" spans="2:36" ht="15.75" customHeight="1">
      <c r="B337" s="9"/>
      <c r="C337" s="9"/>
      <c r="D337" s="9"/>
      <c r="E337" s="9"/>
      <c r="F337" s="9"/>
      <c r="G337" s="9"/>
      <c r="H337" s="9"/>
      <c r="J337" s="9"/>
      <c r="K337" s="9"/>
      <c r="L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</row>
    <row r="338" spans="2:36" ht="15.75" customHeight="1">
      <c r="B338" s="9"/>
      <c r="C338" s="9"/>
      <c r="D338" s="9"/>
      <c r="E338" s="9"/>
      <c r="F338" s="9"/>
      <c r="G338" s="9"/>
      <c r="H338" s="9"/>
      <c r="J338" s="9"/>
      <c r="K338" s="9"/>
      <c r="L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</row>
    <row r="339" spans="2:36" ht="15.75" customHeight="1">
      <c r="B339" s="9"/>
      <c r="C339" s="9"/>
      <c r="D339" s="9"/>
      <c r="E339" s="9"/>
      <c r="F339" s="9"/>
      <c r="G339" s="9"/>
      <c r="H339" s="9"/>
      <c r="J339" s="9"/>
      <c r="K339" s="9"/>
      <c r="L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</row>
    <row r="340" spans="2:36" ht="15.75" customHeight="1">
      <c r="B340" s="9"/>
      <c r="C340" s="9"/>
      <c r="D340" s="9"/>
      <c r="E340" s="9"/>
      <c r="F340" s="9"/>
      <c r="G340" s="9"/>
      <c r="H340" s="9"/>
      <c r="J340" s="9"/>
      <c r="K340" s="9"/>
      <c r="L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</row>
    <row r="341" spans="2:36" ht="15.75" customHeight="1">
      <c r="B341" s="9"/>
      <c r="C341" s="9"/>
      <c r="D341" s="9"/>
      <c r="E341" s="9"/>
      <c r="F341" s="9"/>
      <c r="G341" s="9"/>
      <c r="H341" s="9"/>
      <c r="J341" s="9"/>
      <c r="K341" s="9"/>
      <c r="L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</row>
    <row r="342" spans="2:36" ht="15.75" customHeight="1">
      <c r="B342" s="9"/>
      <c r="C342" s="9"/>
      <c r="D342" s="9"/>
      <c r="E342" s="9"/>
      <c r="F342" s="9"/>
      <c r="G342" s="9"/>
      <c r="H342" s="9"/>
      <c r="J342" s="9"/>
      <c r="K342" s="9"/>
      <c r="L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</row>
    <row r="343" spans="2:36" ht="15.75" customHeight="1">
      <c r="B343" s="9"/>
      <c r="C343" s="9"/>
      <c r="D343" s="9"/>
      <c r="E343" s="9"/>
      <c r="F343" s="9"/>
      <c r="G343" s="9"/>
      <c r="H343" s="9"/>
      <c r="J343" s="9"/>
      <c r="K343" s="9"/>
      <c r="L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</row>
    <row r="344" spans="2:36" ht="15.75" customHeight="1">
      <c r="B344" s="9"/>
      <c r="C344" s="9"/>
      <c r="D344" s="9"/>
      <c r="E344" s="9"/>
      <c r="F344" s="9"/>
      <c r="G344" s="9"/>
      <c r="H344" s="9"/>
      <c r="J344" s="9"/>
      <c r="K344" s="9"/>
      <c r="L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</row>
    <row r="345" spans="2:36" ht="15.75" customHeight="1">
      <c r="B345" s="9"/>
      <c r="C345" s="9"/>
      <c r="D345" s="9"/>
      <c r="E345" s="9"/>
      <c r="F345" s="9"/>
      <c r="G345" s="9"/>
      <c r="H345" s="9"/>
      <c r="J345" s="9"/>
      <c r="K345" s="9"/>
      <c r="L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</row>
    <row r="346" spans="2:36" ht="15.75" customHeight="1">
      <c r="B346" s="9"/>
      <c r="C346" s="9"/>
      <c r="D346" s="9"/>
      <c r="E346" s="9"/>
      <c r="F346" s="9"/>
      <c r="G346" s="9"/>
      <c r="H346" s="9"/>
      <c r="J346" s="9"/>
      <c r="K346" s="9"/>
      <c r="L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</row>
    <row r="347" spans="2:36" ht="15.75" customHeight="1">
      <c r="B347" s="9"/>
      <c r="C347" s="9"/>
      <c r="D347" s="9"/>
      <c r="E347" s="9"/>
      <c r="F347" s="9"/>
      <c r="G347" s="9"/>
      <c r="H347" s="9"/>
      <c r="J347" s="9"/>
      <c r="K347" s="9"/>
      <c r="L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</row>
    <row r="348" spans="2:36" ht="15.75" customHeight="1">
      <c r="B348" s="9"/>
      <c r="C348" s="9"/>
      <c r="D348" s="9"/>
      <c r="E348" s="9"/>
      <c r="F348" s="9"/>
      <c r="G348" s="9"/>
      <c r="H348" s="9"/>
      <c r="J348" s="9"/>
      <c r="K348" s="9"/>
      <c r="L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</row>
    <row r="349" spans="2:36" ht="15.75" customHeight="1">
      <c r="B349" s="9"/>
      <c r="C349" s="9"/>
      <c r="D349" s="9"/>
      <c r="E349" s="9"/>
      <c r="F349" s="9"/>
      <c r="G349" s="9"/>
      <c r="H349" s="9"/>
      <c r="J349" s="9"/>
      <c r="K349" s="9"/>
      <c r="L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</row>
    <row r="350" spans="2:36" ht="15.75" customHeight="1">
      <c r="B350" s="9"/>
      <c r="C350" s="9"/>
      <c r="D350" s="9"/>
      <c r="E350" s="9"/>
      <c r="F350" s="9"/>
      <c r="G350" s="9"/>
      <c r="H350" s="9"/>
      <c r="J350" s="9"/>
      <c r="K350" s="9"/>
      <c r="L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</row>
    <row r="351" spans="2:36" ht="15.75" customHeight="1">
      <c r="B351" s="9"/>
      <c r="C351" s="9"/>
      <c r="D351" s="9"/>
      <c r="E351" s="9"/>
      <c r="F351" s="9"/>
      <c r="G351" s="9"/>
      <c r="H351" s="9"/>
      <c r="J351" s="9"/>
      <c r="K351" s="9"/>
      <c r="L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</row>
    <row r="352" spans="2:36" ht="15.75" customHeight="1">
      <c r="B352" s="9"/>
      <c r="C352" s="9"/>
      <c r="D352" s="9"/>
      <c r="E352" s="9"/>
      <c r="F352" s="9"/>
      <c r="G352" s="9"/>
      <c r="H352" s="9"/>
      <c r="J352" s="9"/>
      <c r="K352" s="9"/>
      <c r="L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</row>
    <row r="353" spans="2:36" ht="15.75" customHeight="1">
      <c r="B353" s="9"/>
      <c r="C353" s="9"/>
      <c r="D353" s="9"/>
      <c r="E353" s="9"/>
      <c r="F353" s="9"/>
      <c r="G353" s="9"/>
      <c r="H353" s="9"/>
      <c r="J353" s="9"/>
      <c r="K353" s="9"/>
      <c r="L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</row>
    <row r="354" spans="2:36" ht="15.75" customHeight="1">
      <c r="B354" s="9"/>
      <c r="C354" s="9"/>
      <c r="D354" s="9"/>
      <c r="E354" s="9"/>
      <c r="F354" s="9"/>
      <c r="G354" s="9"/>
      <c r="H354" s="9"/>
      <c r="J354" s="9"/>
      <c r="K354" s="9"/>
      <c r="L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</row>
    <row r="355" spans="2:36" ht="15.75" customHeight="1">
      <c r="B355" s="9"/>
      <c r="C355" s="9"/>
      <c r="D355" s="9"/>
      <c r="E355" s="9"/>
      <c r="F355" s="9"/>
      <c r="G355" s="9"/>
      <c r="H355" s="9"/>
      <c r="J355" s="9"/>
      <c r="K355" s="9"/>
      <c r="L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</row>
    <row r="356" spans="2:36" ht="15.75" customHeight="1">
      <c r="B356" s="9"/>
      <c r="C356" s="9"/>
      <c r="D356" s="9"/>
      <c r="E356" s="9"/>
      <c r="F356" s="9"/>
      <c r="G356" s="9"/>
      <c r="H356" s="9"/>
      <c r="J356" s="9"/>
      <c r="K356" s="9"/>
      <c r="L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</row>
    <row r="357" spans="2:36" ht="15.75" customHeight="1">
      <c r="B357" s="9"/>
      <c r="C357" s="9"/>
      <c r="D357" s="9"/>
      <c r="E357" s="9"/>
      <c r="F357" s="9"/>
      <c r="G357" s="9"/>
      <c r="H357" s="9"/>
      <c r="J357" s="9"/>
      <c r="K357" s="9"/>
      <c r="L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</row>
    <row r="358" spans="2:36" ht="15.75" customHeight="1">
      <c r="B358" s="9"/>
      <c r="C358" s="9"/>
      <c r="D358" s="9"/>
      <c r="E358" s="9"/>
      <c r="F358" s="9"/>
      <c r="G358" s="9"/>
      <c r="H358" s="9"/>
      <c r="J358" s="9"/>
      <c r="K358" s="9"/>
      <c r="L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</row>
    <row r="359" spans="2:36" ht="15.75" customHeight="1">
      <c r="B359" s="9"/>
      <c r="C359" s="9"/>
      <c r="D359" s="9"/>
      <c r="E359" s="9"/>
      <c r="F359" s="9"/>
      <c r="G359" s="9"/>
      <c r="H359" s="9"/>
      <c r="J359" s="9"/>
      <c r="K359" s="9"/>
      <c r="L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</row>
    <row r="360" spans="2:36" ht="15.75" customHeight="1">
      <c r="B360" s="9"/>
      <c r="C360" s="9"/>
      <c r="D360" s="9"/>
      <c r="E360" s="9"/>
      <c r="F360" s="9"/>
      <c r="G360" s="9"/>
      <c r="H360" s="9"/>
      <c r="J360" s="9"/>
      <c r="K360" s="9"/>
      <c r="L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</row>
    <row r="361" spans="2:36" ht="15.75" customHeight="1">
      <c r="B361" s="9"/>
      <c r="C361" s="9"/>
      <c r="D361" s="9"/>
      <c r="E361" s="9"/>
      <c r="F361" s="9"/>
      <c r="G361" s="9"/>
      <c r="H361" s="9"/>
      <c r="J361" s="9"/>
      <c r="K361" s="9"/>
      <c r="L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</row>
    <row r="362" spans="2:36" ht="15.75" customHeight="1">
      <c r="B362" s="9"/>
      <c r="C362" s="9"/>
      <c r="D362" s="9"/>
      <c r="E362" s="9"/>
      <c r="F362" s="9"/>
      <c r="G362" s="9"/>
      <c r="H362" s="9"/>
      <c r="J362" s="9"/>
      <c r="K362" s="9"/>
      <c r="L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</row>
    <row r="363" spans="2:36" ht="15.75" customHeight="1">
      <c r="B363" s="9"/>
      <c r="C363" s="9"/>
      <c r="D363" s="9"/>
      <c r="E363" s="9"/>
      <c r="F363" s="9"/>
      <c r="G363" s="9"/>
      <c r="H363" s="9"/>
      <c r="J363" s="9"/>
      <c r="K363" s="9"/>
      <c r="L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</row>
    <row r="364" spans="2:36" ht="15.75" customHeight="1">
      <c r="B364" s="9"/>
      <c r="C364" s="9"/>
      <c r="D364" s="9"/>
      <c r="E364" s="9"/>
      <c r="F364" s="9"/>
      <c r="G364" s="9"/>
      <c r="H364" s="9"/>
      <c r="J364" s="9"/>
      <c r="K364" s="9"/>
      <c r="L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</row>
    <row r="365" spans="2:36" ht="15.75" customHeight="1">
      <c r="B365" s="9"/>
      <c r="C365" s="9"/>
      <c r="D365" s="9"/>
      <c r="E365" s="9"/>
      <c r="F365" s="9"/>
      <c r="G365" s="9"/>
      <c r="H365" s="9"/>
      <c r="J365" s="9"/>
      <c r="K365" s="9"/>
      <c r="L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</row>
    <row r="366" spans="2:36" ht="15.75" customHeight="1">
      <c r="B366" s="9"/>
      <c r="C366" s="9"/>
      <c r="D366" s="9"/>
      <c r="E366" s="9"/>
      <c r="F366" s="9"/>
      <c r="G366" s="9"/>
      <c r="H366" s="9"/>
      <c r="J366" s="9"/>
      <c r="K366" s="9"/>
      <c r="L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</row>
    <row r="367" spans="2:36" ht="15.75" customHeight="1">
      <c r="B367" s="9"/>
      <c r="C367" s="9"/>
      <c r="D367" s="9"/>
      <c r="E367" s="9"/>
      <c r="F367" s="9"/>
      <c r="G367" s="9"/>
      <c r="H367" s="9"/>
      <c r="J367" s="9"/>
      <c r="K367" s="9"/>
      <c r="L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</row>
    <row r="368" spans="2:36" ht="15.75" customHeight="1">
      <c r="B368" s="9"/>
      <c r="C368" s="9"/>
      <c r="D368" s="9"/>
      <c r="E368" s="9"/>
      <c r="F368" s="9"/>
      <c r="G368" s="9"/>
      <c r="H368" s="9"/>
      <c r="J368" s="9"/>
      <c r="K368" s="9"/>
      <c r="L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</row>
    <row r="369" spans="2:36" ht="15.75" customHeight="1">
      <c r="B369" s="9"/>
      <c r="C369" s="9"/>
      <c r="D369" s="9"/>
      <c r="E369" s="9"/>
      <c r="F369" s="9"/>
      <c r="G369" s="9"/>
      <c r="H369" s="9"/>
      <c r="J369" s="9"/>
      <c r="K369" s="9"/>
      <c r="L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</row>
    <row r="370" spans="2:36" ht="15.75" customHeight="1">
      <c r="B370" s="9"/>
      <c r="C370" s="9"/>
      <c r="D370" s="9"/>
      <c r="E370" s="9"/>
      <c r="F370" s="9"/>
      <c r="G370" s="9"/>
      <c r="H370" s="9"/>
      <c r="J370" s="9"/>
      <c r="K370" s="9"/>
      <c r="L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</row>
    <row r="371" spans="2:36" ht="15.75" customHeight="1">
      <c r="B371" s="9"/>
      <c r="C371" s="9"/>
      <c r="D371" s="9"/>
      <c r="E371" s="9"/>
      <c r="F371" s="9"/>
      <c r="G371" s="9"/>
      <c r="H371" s="9"/>
      <c r="J371" s="9"/>
      <c r="K371" s="9"/>
      <c r="L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</row>
    <row r="372" spans="2:36" ht="15.75" customHeight="1">
      <c r="B372" s="9"/>
      <c r="C372" s="9"/>
      <c r="D372" s="9"/>
      <c r="E372" s="9"/>
      <c r="F372" s="9"/>
      <c r="G372" s="9"/>
      <c r="H372" s="9"/>
      <c r="J372" s="9"/>
      <c r="K372" s="9"/>
      <c r="L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</row>
    <row r="373" spans="2:36" ht="15.75" customHeight="1">
      <c r="B373" s="9"/>
      <c r="C373" s="9"/>
      <c r="D373" s="9"/>
      <c r="E373" s="9"/>
      <c r="F373" s="9"/>
      <c r="G373" s="9"/>
      <c r="H373" s="9"/>
      <c r="J373" s="9"/>
      <c r="K373" s="9"/>
      <c r="L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</row>
    <row r="374" spans="2:36" ht="15.75" customHeight="1">
      <c r="B374" s="9"/>
      <c r="C374" s="9"/>
      <c r="D374" s="9"/>
      <c r="E374" s="9"/>
      <c r="F374" s="9"/>
      <c r="G374" s="9"/>
      <c r="H374" s="9"/>
      <c r="J374" s="9"/>
      <c r="K374" s="9"/>
      <c r="L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</row>
    <row r="375" spans="2:36" ht="15.75" customHeight="1">
      <c r="B375" s="9"/>
      <c r="C375" s="9"/>
      <c r="D375" s="9"/>
      <c r="E375" s="9"/>
      <c r="F375" s="9"/>
      <c r="G375" s="9"/>
      <c r="H375" s="9"/>
      <c r="J375" s="9"/>
      <c r="K375" s="9"/>
      <c r="L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</row>
    <row r="376" spans="2:36" ht="15.75" customHeight="1">
      <c r="B376" s="9"/>
      <c r="C376" s="9"/>
      <c r="D376" s="9"/>
      <c r="E376" s="9"/>
      <c r="F376" s="9"/>
      <c r="G376" s="9"/>
      <c r="H376" s="9"/>
      <c r="J376" s="9"/>
      <c r="K376" s="9"/>
      <c r="L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</row>
    <row r="377" spans="2:36" ht="15.75" customHeight="1">
      <c r="B377" s="9"/>
      <c r="C377" s="9"/>
      <c r="D377" s="9"/>
      <c r="E377" s="9"/>
      <c r="F377" s="9"/>
      <c r="G377" s="9"/>
      <c r="H377" s="9"/>
      <c r="J377" s="9"/>
      <c r="K377" s="9"/>
      <c r="L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</row>
    <row r="378" spans="2:36" ht="15.75" customHeight="1">
      <c r="B378" s="9"/>
      <c r="C378" s="9"/>
      <c r="D378" s="9"/>
      <c r="E378" s="9"/>
      <c r="F378" s="9"/>
      <c r="G378" s="9"/>
      <c r="H378" s="9"/>
      <c r="J378" s="9"/>
      <c r="K378" s="9"/>
      <c r="L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  <c r="AI378" s="9"/>
      <c r="AJ378" s="9"/>
    </row>
    <row r="379" spans="2:36" ht="15.75" customHeight="1">
      <c r="B379" s="9"/>
      <c r="C379" s="9"/>
      <c r="D379" s="9"/>
      <c r="E379" s="9"/>
      <c r="F379" s="9"/>
      <c r="G379" s="9"/>
      <c r="H379" s="9"/>
      <c r="J379" s="9"/>
      <c r="K379" s="9"/>
      <c r="L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  <c r="AI379" s="9"/>
      <c r="AJ379" s="9"/>
    </row>
    <row r="380" spans="2:36" ht="15.75" customHeight="1">
      <c r="B380" s="9"/>
      <c r="C380" s="9"/>
      <c r="D380" s="9"/>
      <c r="E380" s="9"/>
      <c r="F380" s="9"/>
      <c r="G380" s="9"/>
      <c r="H380" s="9"/>
      <c r="J380" s="9"/>
      <c r="K380" s="9"/>
      <c r="L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  <c r="AI380" s="9"/>
      <c r="AJ380" s="9"/>
    </row>
    <row r="381" spans="2:36" ht="15.75" customHeight="1">
      <c r="B381" s="9"/>
      <c r="C381" s="9"/>
      <c r="D381" s="9"/>
      <c r="E381" s="9"/>
      <c r="F381" s="9"/>
      <c r="G381" s="9"/>
      <c r="H381" s="9"/>
      <c r="J381" s="9"/>
      <c r="K381" s="9"/>
      <c r="L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  <c r="AI381" s="9"/>
      <c r="AJ381" s="9"/>
    </row>
    <row r="382" spans="2:36" ht="15.75" customHeight="1">
      <c r="B382" s="9"/>
      <c r="C382" s="9"/>
      <c r="D382" s="9"/>
      <c r="E382" s="9"/>
      <c r="F382" s="9"/>
      <c r="G382" s="9"/>
      <c r="H382" s="9"/>
      <c r="J382" s="9"/>
      <c r="K382" s="9"/>
      <c r="L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  <c r="AI382" s="9"/>
      <c r="AJ382" s="9"/>
    </row>
    <row r="383" spans="2:36" ht="15.75" customHeight="1">
      <c r="B383" s="9"/>
      <c r="C383" s="9"/>
      <c r="D383" s="9"/>
      <c r="E383" s="9"/>
      <c r="F383" s="9"/>
      <c r="G383" s="9"/>
      <c r="H383" s="9"/>
      <c r="J383" s="9"/>
      <c r="K383" s="9"/>
      <c r="L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  <c r="AI383" s="9"/>
      <c r="AJ383" s="9"/>
    </row>
    <row r="384" spans="2:36" ht="15.75" customHeight="1">
      <c r="B384" s="9"/>
      <c r="C384" s="9"/>
      <c r="D384" s="9"/>
      <c r="E384" s="9"/>
      <c r="F384" s="9"/>
      <c r="G384" s="9"/>
      <c r="H384" s="9"/>
      <c r="J384" s="9"/>
      <c r="K384" s="9"/>
      <c r="L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  <c r="AI384" s="9"/>
      <c r="AJ384" s="9"/>
    </row>
    <row r="385" spans="2:36" ht="15.75" customHeight="1">
      <c r="B385" s="9"/>
      <c r="C385" s="9"/>
      <c r="D385" s="9"/>
      <c r="E385" s="9"/>
      <c r="F385" s="9"/>
      <c r="G385" s="9"/>
      <c r="H385" s="9"/>
      <c r="J385" s="9"/>
      <c r="K385" s="9"/>
      <c r="L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  <c r="AI385" s="9"/>
      <c r="AJ385" s="9"/>
    </row>
    <row r="386" spans="2:36" ht="15.75" customHeight="1">
      <c r="B386" s="9"/>
      <c r="C386" s="9"/>
      <c r="D386" s="9"/>
      <c r="E386" s="9"/>
      <c r="F386" s="9"/>
      <c r="G386" s="9"/>
      <c r="H386" s="9"/>
      <c r="J386" s="9"/>
      <c r="K386" s="9"/>
      <c r="L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  <c r="AI386" s="9"/>
      <c r="AJ386" s="9"/>
    </row>
    <row r="387" spans="2:36" ht="15.75" customHeight="1">
      <c r="B387" s="9"/>
      <c r="C387" s="9"/>
      <c r="D387" s="9"/>
      <c r="E387" s="9"/>
      <c r="F387" s="9"/>
      <c r="G387" s="9"/>
      <c r="H387" s="9"/>
      <c r="J387" s="9"/>
      <c r="K387" s="9"/>
      <c r="L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  <c r="AI387" s="9"/>
      <c r="AJ387" s="9"/>
    </row>
    <row r="388" spans="2:36" ht="15.75" customHeight="1">
      <c r="B388" s="9"/>
      <c r="C388" s="9"/>
      <c r="D388" s="9"/>
      <c r="E388" s="9"/>
      <c r="F388" s="9"/>
      <c r="G388" s="9"/>
      <c r="H388" s="9"/>
      <c r="J388" s="9"/>
      <c r="K388" s="9"/>
      <c r="L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  <c r="AI388" s="9"/>
      <c r="AJ388" s="9"/>
    </row>
    <row r="389" spans="2:36" ht="15.75" customHeight="1">
      <c r="B389" s="9"/>
      <c r="C389" s="9"/>
      <c r="D389" s="9"/>
      <c r="E389" s="9"/>
      <c r="F389" s="9"/>
      <c r="G389" s="9"/>
      <c r="H389" s="9"/>
      <c r="J389" s="9"/>
      <c r="K389" s="9"/>
      <c r="L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  <c r="AI389" s="9"/>
      <c r="AJ389" s="9"/>
    </row>
    <row r="390" spans="2:36" ht="15.75" customHeight="1">
      <c r="B390" s="9"/>
      <c r="C390" s="9"/>
      <c r="D390" s="9"/>
      <c r="E390" s="9"/>
      <c r="F390" s="9"/>
      <c r="G390" s="9"/>
      <c r="H390" s="9"/>
      <c r="J390" s="9"/>
      <c r="K390" s="9"/>
      <c r="L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  <c r="AI390" s="9"/>
      <c r="AJ390" s="9"/>
    </row>
    <row r="391" spans="2:36" ht="15.75" customHeight="1">
      <c r="B391" s="9"/>
      <c r="C391" s="9"/>
      <c r="D391" s="9"/>
      <c r="E391" s="9"/>
      <c r="F391" s="9"/>
      <c r="G391" s="9"/>
      <c r="H391" s="9"/>
      <c r="J391" s="9"/>
      <c r="K391" s="9"/>
      <c r="L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  <c r="AI391" s="9"/>
      <c r="AJ391" s="9"/>
    </row>
    <row r="392" spans="2:36" ht="15.75" customHeight="1">
      <c r="B392" s="9"/>
      <c r="C392" s="9"/>
      <c r="D392" s="9"/>
      <c r="E392" s="9"/>
      <c r="F392" s="9"/>
      <c r="G392" s="9"/>
      <c r="H392" s="9"/>
      <c r="J392" s="9"/>
      <c r="K392" s="9"/>
      <c r="L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  <c r="AI392" s="9"/>
      <c r="AJ392" s="9"/>
    </row>
    <row r="393" spans="2:36" ht="15.75" customHeight="1">
      <c r="B393" s="9"/>
      <c r="C393" s="9"/>
      <c r="D393" s="9"/>
      <c r="E393" s="9"/>
      <c r="F393" s="9"/>
      <c r="G393" s="9"/>
      <c r="H393" s="9"/>
      <c r="J393" s="9"/>
      <c r="K393" s="9"/>
      <c r="L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  <c r="AI393" s="9"/>
      <c r="AJ393" s="9"/>
    </row>
    <row r="394" spans="2:36" ht="15.75" customHeight="1">
      <c r="B394" s="9"/>
      <c r="C394" s="9"/>
      <c r="D394" s="9"/>
      <c r="E394" s="9"/>
      <c r="F394" s="9"/>
      <c r="G394" s="9"/>
      <c r="H394" s="9"/>
      <c r="J394" s="9"/>
      <c r="K394" s="9"/>
      <c r="L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  <c r="AI394" s="9"/>
      <c r="AJ394" s="9"/>
    </row>
    <row r="395" spans="2:36" ht="15.75" customHeight="1">
      <c r="B395" s="9"/>
      <c r="C395" s="9"/>
      <c r="D395" s="9"/>
      <c r="E395" s="9"/>
      <c r="F395" s="9"/>
      <c r="G395" s="9"/>
      <c r="H395" s="9"/>
      <c r="J395" s="9"/>
      <c r="K395" s="9"/>
      <c r="L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  <c r="AI395" s="9"/>
      <c r="AJ395" s="9"/>
    </row>
    <row r="396" spans="2:36" ht="15.75" customHeight="1">
      <c r="B396" s="9"/>
      <c r="C396" s="9"/>
      <c r="D396" s="9"/>
      <c r="E396" s="9"/>
      <c r="F396" s="9"/>
      <c r="G396" s="9"/>
      <c r="H396" s="9"/>
      <c r="J396" s="9"/>
      <c r="K396" s="9"/>
      <c r="L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  <c r="AI396" s="9"/>
      <c r="AJ396" s="9"/>
    </row>
    <row r="397" spans="2:36" ht="15.75" customHeight="1">
      <c r="B397" s="9"/>
      <c r="C397" s="9"/>
      <c r="D397" s="9"/>
      <c r="E397" s="9"/>
      <c r="F397" s="9"/>
      <c r="G397" s="9"/>
      <c r="H397" s="9"/>
      <c r="J397" s="9"/>
      <c r="K397" s="9"/>
      <c r="L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  <c r="AI397" s="9"/>
      <c r="AJ397" s="9"/>
    </row>
    <row r="398" spans="2:36" ht="15.75" customHeight="1">
      <c r="B398" s="9"/>
      <c r="C398" s="9"/>
      <c r="D398" s="9"/>
      <c r="E398" s="9"/>
      <c r="F398" s="9"/>
      <c r="G398" s="9"/>
      <c r="H398" s="9"/>
      <c r="J398" s="9"/>
      <c r="K398" s="9"/>
      <c r="L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  <c r="AI398" s="9"/>
      <c r="AJ398" s="9"/>
    </row>
    <row r="399" spans="2:36" ht="15.75" customHeight="1">
      <c r="B399" s="9"/>
      <c r="C399" s="9"/>
      <c r="D399" s="9"/>
      <c r="E399" s="9"/>
      <c r="F399" s="9"/>
      <c r="G399" s="9"/>
      <c r="H399" s="9"/>
      <c r="J399" s="9"/>
      <c r="K399" s="9"/>
      <c r="L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  <c r="AI399" s="9"/>
      <c r="AJ399" s="9"/>
    </row>
    <row r="400" spans="2:36" ht="15.75" customHeight="1">
      <c r="B400" s="9"/>
      <c r="C400" s="9"/>
      <c r="D400" s="9"/>
      <c r="E400" s="9"/>
      <c r="F400" s="9"/>
      <c r="G400" s="9"/>
      <c r="H400" s="9"/>
      <c r="J400" s="9"/>
      <c r="K400" s="9"/>
      <c r="L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  <c r="AI400" s="9"/>
      <c r="AJ400" s="9"/>
    </row>
    <row r="401" spans="2:36" ht="15.75" customHeight="1">
      <c r="B401" s="9"/>
      <c r="C401" s="9"/>
      <c r="D401" s="9"/>
      <c r="E401" s="9"/>
      <c r="F401" s="9"/>
      <c r="G401" s="9"/>
      <c r="H401" s="9"/>
      <c r="J401" s="9"/>
      <c r="K401" s="9"/>
      <c r="L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  <c r="AI401" s="9"/>
      <c r="AJ401" s="9"/>
    </row>
    <row r="402" spans="2:36" ht="15.75" customHeight="1">
      <c r="B402" s="9"/>
      <c r="C402" s="9"/>
      <c r="D402" s="9"/>
      <c r="E402" s="9"/>
      <c r="F402" s="9"/>
      <c r="G402" s="9"/>
      <c r="H402" s="9"/>
      <c r="J402" s="9"/>
      <c r="K402" s="9"/>
      <c r="L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  <c r="AI402" s="9"/>
      <c r="AJ402" s="9"/>
    </row>
    <row r="403" spans="2:36" ht="15.75" customHeight="1">
      <c r="B403" s="9"/>
      <c r="C403" s="9"/>
      <c r="D403" s="9"/>
      <c r="E403" s="9"/>
      <c r="F403" s="9"/>
      <c r="G403" s="9"/>
      <c r="H403" s="9"/>
      <c r="J403" s="9"/>
      <c r="K403" s="9"/>
      <c r="L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  <c r="AI403" s="9"/>
      <c r="AJ403" s="9"/>
    </row>
    <row r="404" spans="2:36" ht="15.75" customHeight="1">
      <c r="B404" s="9"/>
      <c r="C404" s="9"/>
      <c r="D404" s="9"/>
      <c r="E404" s="9"/>
      <c r="F404" s="9"/>
      <c r="G404" s="9"/>
      <c r="H404" s="9"/>
      <c r="J404" s="9"/>
      <c r="K404" s="9"/>
      <c r="L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  <c r="AI404" s="9"/>
      <c r="AJ404" s="9"/>
    </row>
    <row r="405" spans="2:36" ht="15.75" customHeight="1">
      <c r="B405" s="9"/>
      <c r="C405" s="9"/>
      <c r="D405" s="9"/>
      <c r="E405" s="9"/>
      <c r="F405" s="9"/>
      <c r="G405" s="9"/>
      <c r="H405" s="9"/>
      <c r="J405" s="9"/>
      <c r="K405" s="9"/>
      <c r="L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  <c r="AI405" s="9"/>
      <c r="AJ405" s="9"/>
    </row>
    <row r="406" spans="2:36" ht="15.75" customHeight="1">
      <c r="B406" s="9"/>
      <c r="C406" s="9"/>
      <c r="D406" s="9"/>
      <c r="E406" s="9"/>
      <c r="F406" s="9"/>
      <c r="G406" s="9"/>
      <c r="H406" s="9"/>
      <c r="J406" s="9"/>
      <c r="K406" s="9"/>
      <c r="L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  <c r="AI406" s="9"/>
      <c r="AJ406" s="9"/>
    </row>
    <row r="407" spans="2:36" ht="15.75" customHeight="1">
      <c r="B407" s="9"/>
      <c r="C407" s="9"/>
      <c r="D407" s="9"/>
      <c r="E407" s="9"/>
      <c r="F407" s="9"/>
      <c r="G407" s="9"/>
      <c r="H407" s="9"/>
      <c r="J407" s="9"/>
      <c r="K407" s="9"/>
      <c r="L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  <c r="AI407" s="9"/>
      <c r="AJ407" s="9"/>
    </row>
    <row r="408" spans="2:36" ht="15.75" customHeight="1">
      <c r="B408" s="9"/>
      <c r="C408" s="9"/>
      <c r="D408" s="9"/>
      <c r="E408" s="9"/>
      <c r="F408" s="9"/>
      <c r="G408" s="9"/>
      <c r="H408" s="9"/>
      <c r="J408" s="9"/>
      <c r="K408" s="9"/>
      <c r="L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  <c r="AI408" s="9"/>
      <c r="AJ408" s="9"/>
    </row>
    <row r="409" spans="2:36" ht="15.75" customHeight="1">
      <c r="B409" s="9"/>
      <c r="C409" s="9"/>
      <c r="D409" s="9"/>
      <c r="E409" s="9"/>
      <c r="F409" s="9"/>
      <c r="G409" s="9"/>
      <c r="H409" s="9"/>
      <c r="J409" s="9"/>
      <c r="K409" s="9"/>
      <c r="L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  <c r="AI409" s="9"/>
      <c r="AJ409" s="9"/>
    </row>
    <row r="410" spans="2:36" ht="15.75" customHeight="1">
      <c r="B410" s="9"/>
      <c r="C410" s="9"/>
      <c r="D410" s="9"/>
      <c r="E410" s="9"/>
      <c r="F410" s="9"/>
      <c r="G410" s="9"/>
      <c r="H410" s="9"/>
      <c r="J410" s="9"/>
      <c r="K410" s="9"/>
      <c r="L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  <c r="AI410" s="9"/>
      <c r="AJ410" s="9"/>
    </row>
    <row r="411" spans="2:36" ht="15.75" customHeight="1">
      <c r="B411" s="9"/>
      <c r="C411" s="9"/>
      <c r="D411" s="9"/>
      <c r="E411" s="9"/>
      <c r="F411" s="9"/>
      <c r="G411" s="9"/>
      <c r="H411" s="9"/>
      <c r="J411" s="9"/>
      <c r="K411" s="9"/>
      <c r="L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  <c r="AI411" s="9"/>
      <c r="AJ411" s="9"/>
    </row>
    <row r="412" spans="2:36" ht="15.75" customHeight="1">
      <c r="B412" s="9"/>
      <c r="C412" s="9"/>
      <c r="D412" s="9"/>
      <c r="E412" s="9"/>
      <c r="F412" s="9"/>
      <c r="G412" s="9"/>
      <c r="H412" s="9"/>
      <c r="J412" s="9"/>
      <c r="K412" s="9"/>
      <c r="L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  <c r="AI412" s="9"/>
      <c r="AJ412" s="9"/>
    </row>
    <row r="413" spans="2:36" ht="15.75" customHeight="1">
      <c r="B413" s="9"/>
      <c r="C413" s="9"/>
      <c r="D413" s="9"/>
      <c r="E413" s="9"/>
      <c r="F413" s="9"/>
      <c r="G413" s="9"/>
      <c r="H413" s="9"/>
      <c r="J413" s="9"/>
      <c r="K413" s="9"/>
      <c r="L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  <c r="AI413" s="9"/>
      <c r="AJ413" s="9"/>
    </row>
    <row r="414" spans="2:36" ht="15.75" customHeight="1">
      <c r="B414" s="9"/>
      <c r="C414" s="9"/>
      <c r="D414" s="9"/>
      <c r="E414" s="9"/>
      <c r="F414" s="9"/>
      <c r="G414" s="9"/>
      <c r="H414" s="9"/>
      <c r="J414" s="9"/>
      <c r="K414" s="9"/>
      <c r="L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  <c r="AI414" s="9"/>
      <c r="AJ414" s="9"/>
    </row>
    <row r="415" spans="2:36" ht="15.75" customHeight="1">
      <c r="B415" s="9"/>
      <c r="C415" s="9"/>
      <c r="D415" s="9"/>
      <c r="E415" s="9"/>
      <c r="F415" s="9"/>
      <c r="G415" s="9"/>
      <c r="H415" s="9"/>
      <c r="J415" s="9"/>
      <c r="K415" s="9"/>
      <c r="L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  <c r="AI415" s="9"/>
      <c r="AJ415" s="9"/>
    </row>
    <row r="416" spans="2:36" ht="15.75" customHeight="1">
      <c r="B416" s="9"/>
      <c r="C416" s="9"/>
      <c r="D416" s="9"/>
      <c r="E416" s="9"/>
      <c r="F416" s="9"/>
      <c r="G416" s="9"/>
      <c r="H416" s="9"/>
      <c r="J416" s="9"/>
      <c r="K416" s="9"/>
      <c r="L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  <c r="AI416" s="9"/>
      <c r="AJ416" s="9"/>
    </row>
    <row r="417" spans="2:36" ht="15.75" customHeight="1">
      <c r="B417" s="9"/>
      <c r="C417" s="9"/>
      <c r="D417" s="9"/>
      <c r="E417" s="9"/>
      <c r="F417" s="9"/>
      <c r="G417" s="9"/>
      <c r="H417" s="9"/>
      <c r="J417" s="9"/>
      <c r="K417" s="9"/>
      <c r="L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  <c r="AI417" s="9"/>
      <c r="AJ417" s="9"/>
    </row>
    <row r="418" spans="2:36" ht="15.75" customHeight="1">
      <c r="B418" s="9"/>
      <c r="C418" s="9"/>
      <c r="D418" s="9"/>
      <c r="E418" s="9"/>
      <c r="F418" s="9"/>
      <c r="G418" s="9"/>
      <c r="H418" s="9"/>
      <c r="J418" s="9"/>
      <c r="K418" s="9"/>
      <c r="L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  <c r="AI418" s="9"/>
      <c r="AJ418" s="9"/>
    </row>
    <row r="419" spans="2:36" ht="15.75" customHeight="1">
      <c r="B419" s="9"/>
      <c r="C419" s="9"/>
      <c r="D419" s="9"/>
      <c r="E419" s="9"/>
      <c r="F419" s="9"/>
      <c r="G419" s="9"/>
      <c r="H419" s="9"/>
      <c r="J419" s="9"/>
      <c r="K419" s="9"/>
      <c r="L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  <c r="AI419" s="9"/>
      <c r="AJ419" s="9"/>
    </row>
    <row r="420" spans="2:36" ht="15.75" customHeight="1">
      <c r="B420" s="9"/>
      <c r="C420" s="9"/>
      <c r="D420" s="9"/>
      <c r="E420" s="9"/>
      <c r="F420" s="9"/>
      <c r="G420" s="9"/>
      <c r="H420" s="9"/>
      <c r="J420" s="9"/>
      <c r="K420" s="9"/>
      <c r="L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  <c r="AI420" s="9"/>
      <c r="AJ420" s="9"/>
    </row>
    <row r="421" spans="2:36" ht="15.75" customHeight="1">
      <c r="B421" s="9"/>
      <c r="C421" s="9"/>
      <c r="D421" s="9"/>
      <c r="E421" s="9"/>
      <c r="F421" s="9"/>
      <c r="G421" s="9"/>
      <c r="H421" s="9"/>
      <c r="J421" s="9"/>
      <c r="K421" s="9"/>
      <c r="L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  <c r="AI421" s="9"/>
      <c r="AJ421" s="9"/>
    </row>
    <row r="422" spans="2:36" ht="15.75" customHeight="1">
      <c r="B422" s="9"/>
      <c r="C422" s="9"/>
      <c r="D422" s="9"/>
      <c r="E422" s="9"/>
      <c r="F422" s="9"/>
      <c r="G422" s="9"/>
      <c r="H422" s="9"/>
      <c r="J422" s="9"/>
      <c r="K422" s="9"/>
      <c r="L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  <c r="AI422" s="9"/>
      <c r="AJ422" s="9"/>
    </row>
    <row r="423" spans="2:36" ht="15.75" customHeight="1">
      <c r="B423" s="9"/>
      <c r="C423" s="9"/>
      <c r="D423" s="9"/>
      <c r="E423" s="9"/>
      <c r="F423" s="9"/>
      <c r="G423" s="9"/>
      <c r="H423" s="9"/>
      <c r="J423" s="9"/>
      <c r="K423" s="9"/>
      <c r="L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  <c r="AI423" s="9"/>
      <c r="AJ423" s="9"/>
    </row>
    <row r="424" spans="2:36" ht="15.75" customHeight="1">
      <c r="B424" s="9"/>
      <c r="C424" s="9"/>
      <c r="D424" s="9"/>
      <c r="E424" s="9"/>
      <c r="F424" s="9"/>
      <c r="G424" s="9"/>
      <c r="H424" s="9"/>
      <c r="J424" s="9"/>
      <c r="K424" s="9"/>
      <c r="L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  <c r="AI424" s="9"/>
      <c r="AJ424" s="9"/>
    </row>
    <row r="425" spans="2:36" ht="15.75" customHeight="1">
      <c r="B425" s="9"/>
      <c r="C425" s="9"/>
      <c r="D425" s="9"/>
      <c r="E425" s="9"/>
      <c r="F425" s="9"/>
      <c r="G425" s="9"/>
      <c r="H425" s="9"/>
      <c r="J425" s="9"/>
      <c r="K425" s="9"/>
      <c r="L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  <c r="AI425" s="9"/>
      <c r="AJ425" s="9"/>
    </row>
    <row r="426" spans="2:36" ht="15.75" customHeight="1">
      <c r="B426" s="9"/>
      <c r="C426" s="9"/>
      <c r="D426" s="9"/>
      <c r="E426" s="9"/>
      <c r="F426" s="9"/>
      <c r="G426" s="9"/>
      <c r="H426" s="9"/>
      <c r="J426" s="9"/>
      <c r="K426" s="9"/>
      <c r="L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  <c r="AI426" s="9"/>
      <c r="AJ426" s="9"/>
    </row>
    <row r="427" spans="2:36" ht="15.75" customHeight="1">
      <c r="B427" s="9"/>
      <c r="C427" s="9"/>
      <c r="D427" s="9"/>
      <c r="E427" s="9"/>
      <c r="F427" s="9"/>
      <c r="G427" s="9"/>
      <c r="H427" s="9"/>
      <c r="J427" s="9"/>
      <c r="K427" s="9"/>
      <c r="L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  <c r="AI427" s="9"/>
      <c r="AJ427" s="9"/>
    </row>
    <row r="428" spans="2:36" ht="15.75" customHeight="1">
      <c r="B428" s="9"/>
      <c r="C428" s="9"/>
      <c r="D428" s="9"/>
      <c r="E428" s="9"/>
      <c r="F428" s="9"/>
      <c r="G428" s="9"/>
      <c r="H428" s="9"/>
      <c r="J428" s="9"/>
      <c r="K428" s="9"/>
      <c r="L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  <c r="AI428" s="9"/>
      <c r="AJ428" s="9"/>
    </row>
    <row r="429" spans="2:36" ht="15.75" customHeight="1">
      <c r="B429" s="9"/>
      <c r="C429" s="9"/>
      <c r="D429" s="9"/>
      <c r="E429" s="9"/>
      <c r="F429" s="9"/>
      <c r="G429" s="9"/>
      <c r="H429" s="9"/>
      <c r="J429" s="9"/>
      <c r="K429" s="9"/>
      <c r="L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  <c r="AI429" s="9"/>
      <c r="AJ429" s="9"/>
    </row>
    <row r="430" spans="2:36" ht="15.75" customHeight="1">
      <c r="B430" s="9"/>
      <c r="C430" s="9"/>
      <c r="D430" s="9"/>
      <c r="E430" s="9"/>
      <c r="F430" s="9"/>
      <c r="G430" s="9"/>
      <c r="H430" s="9"/>
      <c r="J430" s="9"/>
      <c r="K430" s="9"/>
      <c r="L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  <c r="AI430" s="9"/>
      <c r="AJ430" s="9"/>
    </row>
    <row r="431" spans="2:36" ht="15.75" customHeight="1">
      <c r="B431" s="9"/>
      <c r="C431" s="9"/>
      <c r="D431" s="9"/>
      <c r="E431" s="9"/>
      <c r="F431" s="9"/>
      <c r="G431" s="9"/>
      <c r="H431" s="9"/>
      <c r="J431" s="9"/>
      <c r="K431" s="9"/>
      <c r="L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  <c r="AI431" s="9"/>
      <c r="AJ431" s="9"/>
    </row>
    <row r="432" spans="2:36" ht="15.75" customHeight="1">
      <c r="B432" s="9"/>
      <c r="C432" s="9"/>
      <c r="D432" s="9"/>
      <c r="E432" s="9"/>
      <c r="F432" s="9"/>
      <c r="G432" s="9"/>
      <c r="H432" s="9"/>
      <c r="J432" s="9"/>
      <c r="K432" s="9"/>
      <c r="L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  <c r="AI432" s="9"/>
      <c r="AJ432" s="9"/>
    </row>
    <row r="433" spans="2:36" ht="15.75" customHeight="1">
      <c r="B433" s="9"/>
      <c r="C433" s="9"/>
      <c r="D433" s="9"/>
      <c r="E433" s="9"/>
      <c r="F433" s="9"/>
      <c r="G433" s="9"/>
      <c r="H433" s="9"/>
      <c r="J433" s="9"/>
      <c r="K433" s="9"/>
      <c r="L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  <c r="AI433" s="9"/>
      <c r="AJ433" s="9"/>
    </row>
    <row r="434" spans="2:36" ht="15.75" customHeight="1">
      <c r="B434" s="9"/>
      <c r="C434" s="9"/>
      <c r="D434" s="9"/>
      <c r="E434" s="9"/>
      <c r="F434" s="9"/>
      <c r="G434" s="9"/>
      <c r="H434" s="9"/>
      <c r="J434" s="9"/>
      <c r="K434" s="9"/>
      <c r="L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  <c r="AI434" s="9"/>
      <c r="AJ434" s="9"/>
    </row>
    <row r="435" spans="2:36" ht="15.75" customHeight="1">
      <c r="B435" s="9"/>
      <c r="C435" s="9"/>
      <c r="D435" s="9"/>
      <c r="E435" s="9"/>
      <c r="F435" s="9"/>
      <c r="G435" s="9"/>
      <c r="H435" s="9"/>
      <c r="J435" s="9"/>
      <c r="K435" s="9"/>
      <c r="L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  <c r="AI435" s="9"/>
      <c r="AJ435" s="9"/>
    </row>
    <row r="436" spans="2:36" ht="15.75" customHeight="1">
      <c r="B436" s="9"/>
      <c r="C436" s="9"/>
      <c r="D436" s="9"/>
      <c r="E436" s="9"/>
      <c r="F436" s="9"/>
      <c r="G436" s="9"/>
      <c r="H436" s="9"/>
      <c r="J436" s="9"/>
      <c r="K436" s="9"/>
      <c r="L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  <c r="AI436" s="9"/>
      <c r="AJ436" s="9"/>
    </row>
    <row r="437" spans="2:36" ht="15.75" customHeight="1">
      <c r="B437" s="9"/>
      <c r="C437" s="9"/>
      <c r="D437" s="9"/>
      <c r="E437" s="9"/>
      <c r="F437" s="9"/>
      <c r="G437" s="9"/>
      <c r="H437" s="9"/>
      <c r="J437" s="9"/>
      <c r="K437" s="9"/>
      <c r="L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  <c r="AI437" s="9"/>
      <c r="AJ437" s="9"/>
    </row>
    <row r="438" spans="2:36" ht="15.75" customHeight="1">
      <c r="B438" s="9"/>
      <c r="C438" s="9"/>
      <c r="D438" s="9"/>
      <c r="E438" s="9"/>
      <c r="F438" s="9"/>
      <c r="G438" s="9"/>
      <c r="H438" s="9"/>
      <c r="J438" s="9"/>
      <c r="K438" s="9"/>
      <c r="L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  <c r="AI438" s="9"/>
      <c r="AJ438" s="9"/>
    </row>
    <row r="439" spans="2:36" ht="15.75" customHeight="1">
      <c r="B439" s="9"/>
      <c r="C439" s="9"/>
      <c r="D439" s="9"/>
      <c r="E439" s="9"/>
      <c r="F439" s="9"/>
      <c r="G439" s="9"/>
      <c r="H439" s="9"/>
      <c r="J439" s="9"/>
      <c r="K439" s="9"/>
      <c r="L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  <c r="AI439" s="9"/>
      <c r="AJ439" s="9"/>
    </row>
    <row r="440" spans="2:36" ht="15.75" customHeight="1">
      <c r="B440" s="9"/>
      <c r="C440" s="9"/>
      <c r="D440" s="9"/>
      <c r="E440" s="9"/>
      <c r="F440" s="9"/>
      <c r="G440" s="9"/>
      <c r="H440" s="9"/>
      <c r="J440" s="9"/>
      <c r="K440" s="9"/>
      <c r="L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  <c r="AI440" s="9"/>
      <c r="AJ440" s="9"/>
    </row>
    <row r="441" spans="2:36" ht="15.75" customHeight="1">
      <c r="B441" s="9"/>
      <c r="C441" s="9"/>
      <c r="D441" s="9"/>
      <c r="E441" s="9"/>
      <c r="F441" s="9"/>
      <c r="G441" s="9"/>
      <c r="H441" s="9"/>
      <c r="J441" s="9"/>
      <c r="K441" s="9"/>
      <c r="L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  <c r="AI441" s="9"/>
      <c r="AJ441" s="9"/>
    </row>
    <row r="442" spans="2:36" ht="15.75" customHeight="1">
      <c r="B442" s="9"/>
      <c r="C442" s="9"/>
      <c r="D442" s="9"/>
      <c r="E442" s="9"/>
      <c r="F442" s="9"/>
      <c r="G442" s="9"/>
      <c r="H442" s="9"/>
      <c r="J442" s="9"/>
      <c r="K442" s="9"/>
      <c r="L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  <c r="AI442" s="9"/>
      <c r="AJ442" s="9"/>
    </row>
    <row r="443" spans="2:36" ht="15.75" customHeight="1">
      <c r="B443" s="9"/>
      <c r="C443" s="9"/>
      <c r="D443" s="9"/>
      <c r="E443" s="9"/>
      <c r="F443" s="9"/>
      <c r="G443" s="9"/>
      <c r="H443" s="9"/>
      <c r="J443" s="9"/>
      <c r="K443" s="9"/>
      <c r="L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  <c r="AI443" s="9"/>
      <c r="AJ443" s="9"/>
    </row>
    <row r="444" spans="2:36" ht="15.75" customHeight="1">
      <c r="B444" s="9"/>
      <c r="C444" s="9"/>
      <c r="D444" s="9"/>
      <c r="E444" s="9"/>
      <c r="F444" s="9"/>
      <c r="G444" s="9"/>
      <c r="H444" s="9"/>
      <c r="J444" s="9"/>
      <c r="K444" s="9"/>
      <c r="L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  <c r="AI444" s="9"/>
      <c r="AJ444" s="9"/>
    </row>
    <row r="445" spans="2:36" ht="15.75" customHeight="1">
      <c r="B445" s="9"/>
      <c r="C445" s="9"/>
      <c r="D445" s="9"/>
      <c r="E445" s="9"/>
      <c r="F445" s="9"/>
      <c r="G445" s="9"/>
      <c r="H445" s="9"/>
      <c r="J445" s="9"/>
      <c r="K445" s="9"/>
      <c r="L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  <c r="AI445" s="9"/>
      <c r="AJ445" s="9"/>
    </row>
    <row r="446" spans="2:36" ht="15.75" customHeight="1">
      <c r="B446" s="9"/>
      <c r="C446" s="9"/>
      <c r="D446" s="9"/>
      <c r="E446" s="9"/>
      <c r="F446" s="9"/>
      <c r="G446" s="9"/>
      <c r="H446" s="9"/>
      <c r="J446" s="9"/>
      <c r="K446" s="9"/>
      <c r="L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  <c r="AI446" s="9"/>
      <c r="AJ446" s="9"/>
    </row>
    <row r="447" spans="2:36" ht="15.75" customHeight="1">
      <c r="B447" s="9"/>
      <c r="C447" s="9"/>
      <c r="D447" s="9"/>
      <c r="E447" s="9"/>
      <c r="F447" s="9"/>
      <c r="G447" s="9"/>
      <c r="H447" s="9"/>
      <c r="J447" s="9"/>
      <c r="K447" s="9"/>
      <c r="L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  <c r="AI447" s="9"/>
      <c r="AJ447" s="9"/>
    </row>
    <row r="448" spans="2:36" ht="15.75" customHeight="1">
      <c r="B448" s="9"/>
      <c r="C448" s="9"/>
      <c r="D448" s="9"/>
      <c r="E448" s="9"/>
      <c r="F448" s="9"/>
      <c r="G448" s="9"/>
      <c r="H448" s="9"/>
      <c r="J448" s="9"/>
      <c r="K448" s="9"/>
      <c r="L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  <c r="AI448" s="9"/>
      <c r="AJ448" s="9"/>
    </row>
    <row r="449" spans="2:36" ht="15.75" customHeight="1">
      <c r="B449" s="9"/>
      <c r="C449" s="9"/>
      <c r="D449" s="9"/>
      <c r="E449" s="9"/>
      <c r="F449" s="9"/>
      <c r="G449" s="9"/>
      <c r="H449" s="9"/>
      <c r="J449" s="9"/>
      <c r="K449" s="9"/>
      <c r="L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  <c r="AI449" s="9"/>
      <c r="AJ449" s="9"/>
    </row>
    <row r="450" spans="2:36" ht="15.75" customHeight="1">
      <c r="B450" s="9"/>
      <c r="C450" s="9"/>
      <c r="D450" s="9"/>
      <c r="E450" s="9"/>
      <c r="F450" s="9"/>
      <c r="G450" s="9"/>
      <c r="H450" s="9"/>
      <c r="J450" s="9"/>
      <c r="K450" s="9"/>
      <c r="L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  <c r="AI450" s="9"/>
      <c r="AJ450" s="9"/>
    </row>
    <row r="451" spans="2:36" ht="15.75" customHeight="1">
      <c r="B451" s="9"/>
      <c r="C451" s="9"/>
      <c r="D451" s="9"/>
      <c r="E451" s="9"/>
      <c r="F451" s="9"/>
      <c r="G451" s="9"/>
      <c r="H451" s="9"/>
      <c r="J451" s="9"/>
      <c r="K451" s="9"/>
      <c r="L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  <c r="AI451" s="9"/>
      <c r="AJ451" s="9"/>
    </row>
    <row r="452" spans="2:36" ht="15.75" customHeight="1">
      <c r="B452" s="9"/>
      <c r="C452" s="9"/>
      <c r="D452" s="9"/>
      <c r="E452" s="9"/>
      <c r="F452" s="9"/>
      <c r="G452" s="9"/>
      <c r="H452" s="9"/>
      <c r="J452" s="9"/>
      <c r="K452" s="9"/>
      <c r="L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  <c r="AI452" s="9"/>
      <c r="AJ452" s="9"/>
    </row>
    <row r="453" spans="2:36" ht="15.75" customHeight="1">
      <c r="B453" s="9"/>
      <c r="C453" s="9"/>
      <c r="D453" s="9"/>
      <c r="E453" s="9"/>
      <c r="F453" s="9"/>
      <c r="G453" s="9"/>
      <c r="H453" s="9"/>
      <c r="J453" s="9"/>
      <c r="K453" s="9"/>
      <c r="L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  <c r="AI453" s="9"/>
      <c r="AJ453" s="9"/>
    </row>
    <row r="454" spans="2:36" ht="15.75" customHeight="1">
      <c r="B454" s="9"/>
      <c r="C454" s="9"/>
      <c r="D454" s="9"/>
      <c r="E454" s="9"/>
      <c r="F454" s="9"/>
      <c r="G454" s="9"/>
      <c r="H454" s="9"/>
      <c r="J454" s="9"/>
      <c r="K454" s="9"/>
      <c r="L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  <c r="AI454" s="9"/>
      <c r="AJ454" s="9"/>
    </row>
    <row r="455" spans="2:36" ht="15.75" customHeight="1">
      <c r="B455" s="9"/>
      <c r="C455" s="9"/>
      <c r="D455" s="9"/>
      <c r="E455" s="9"/>
      <c r="F455" s="9"/>
      <c r="G455" s="9"/>
      <c r="H455" s="9"/>
      <c r="J455" s="9"/>
      <c r="K455" s="9"/>
      <c r="L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  <c r="AI455" s="9"/>
      <c r="AJ455" s="9"/>
    </row>
    <row r="456" spans="2:36" ht="15.75" customHeight="1">
      <c r="B456" s="9"/>
      <c r="C456" s="9"/>
      <c r="D456" s="9"/>
      <c r="E456" s="9"/>
      <c r="F456" s="9"/>
      <c r="G456" s="9"/>
      <c r="H456" s="9"/>
      <c r="J456" s="9"/>
      <c r="K456" s="9"/>
      <c r="L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  <c r="AI456" s="9"/>
      <c r="AJ456" s="9"/>
    </row>
    <row r="457" spans="2:36" ht="15.75" customHeight="1">
      <c r="B457" s="9"/>
      <c r="C457" s="9"/>
      <c r="D457" s="9"/>
      <c r="E457" s="9"/>
      <c r="F457" s="9"/>
      <c r="G457" s="9"/>
      <c r="H457" s="9"/>
      <c r="J457" s="9"/>
      <c r="K457" s="9"/>
      <c r="L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  <c r="AI457" s="9"/>
      <c r="AJ457" s="9"/>
    </row>
    <row r="458" spans="2:36" ht="15.75" customHeight="1">
      <c r="B458" s="9"/>
      <c r="C458" s="9"/>
      <c r="D458" s="9"/>
      <c r="E458" s="9"/>
      <c r="F458" s="9"/>
      <c r="G458" s="9"/>
      <c r="H458" s="9"/>
      <c r="J458" s="9"/>
      <c r="K458" s="9"/>
      <c r="L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  <c r="AI458" s="9"/>
      <c r="AJ458" s="9"/>
    </row>
    <row r="459" spans="2:36" ht="15.75" customHeight="1">
      <c r="B459" s="9"/>
      <c r="C459" s="9"/>
      <c r="D459" s="9"/>
      <c r="E459" s="9"/>
      <c r="F459" s="9"/>
      <c r="G459" s="9"/>
      <c r="H459" s="9"/>
      <c r="J459" s="9"/>
      <c r="K459" s="9"/>
      <c r="L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  <c r="AI459" s="9"/>
      <c r="AJ459" s="9"/>
    </row>
    <row r="460" spans="2:36" ht="15.75" customHeight="1">
      <c r="B460" s="9"/>
      <c r="C460" s="9"/>
      <c r="D460" s="9"/>
      <c r="E460" s="9"/>
      <c r="F460" s="9"/>
      <c r="G460" s="9"/>
      <c r="H460" s="9"/>
      <c r="J460" s="9"/>
      <c r="K460" s="9"/>
      <c r="L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  <c r="AI460" s="9"/>
      <c r="AJ460" s="9"/>
    </row>
    <row r="461" spans="2:36" ht="15.75" customHeight="1">
      <c r="B461" s="9"/>
      <c r="C461" s="9"/>
      <c r="D461" s="9"/>
      <c r="E461" s="9"/>
      <c r="F461" s="9"/>
      <c r="G461" s="9"/>
      <c r="H461" s="9"/>
      <c r="J461" s="9"/>
      <c r="K461" s="9"/>
      <c r="L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  <c r="AI461" s="9"/>
      <c r="AJ461" s="9"/>
    </row>
    <row r="462" spans="2:36" ht="15.75" customHeight="1">
      <c r="B462" s="9"/>
      <c r="C462" s="9"/>
      <c r="D462" s="9"/>
      <c r="E462" s="9"/>
      <c r="F462" s="9"/>
      <c r="G462" s="9"/>
      <c r="H462" s="9"/>
      <c r="J462" s="9"/>
      <c r="K462" s="9"/>
      <c r="L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  <c r="AI462" s="9"/>
      <c r="AJ462" s="9"/>
    </row>
    <row r="463" spans="2:36" ht="15.75" customHeight="1">
      <c r="B463" s="9"/>
      <c r="C463" s="9"/>
      <c r="D463" s="9"/>
      <c r="E463" s="9"/>
      <c r="F463" s="9"/>
      <c r="G463" s="9"/>
      <c r="H463" s="9"/>
      <c r="J463" s="9"/>
      <c r="K463" s="9"/>
      <c r="L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  <c r="AI463" s="9"/>
      <c r="AJ463" s="9"/>
    </row>
    <row r="464" spans="2:36" ht="15.75" customHeight="1">
      <c r="B464" s="9"/>
      <c r="C464" s="9"/>
      <c r="D464" s="9"/>
      <c r="E464" s="9"/>
      <c r="F464" s="9"/>
      <c r="G464" s="9"/>
      <c r="H464" s="9"/>
      <c r="J464" s="9"/>
      <c r="K464" s="9"/>
      <c r="L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  <c r="AI464" s="9"/>
      <c r="AJ464" s="9"/>
    </row>
    <row r="465" spans="2:36" ht="15.75" customHeight="1">
      <c r="B465" s="9"/>
      <c r="C465" s="9"/>
      <c r="D465" s="9"/>
      <c r="E465" s="9"/>
      <c r="F465" s="9"/>
      <c r="G465" s="9"/>
      <c r="H465" s="9"/>
      <c r="J465" s="9"/>
      <c r="K465" s="9"/>
      <c r="L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  <c r="AI465" s="9"/>
      <c r="AJ465" s="9"/>
    </row>
    <row r="466" spans="2:36" ht="15.75" customHeight="1">
      <c r="B466" s="9"/>
      <c r="C466" s="9"/>
      <c r="D466" s="9"/>
      <c r="E466" s="9"/>
      <c r="F466" s="9"/>
      <c r="G466" s="9"/>
      <c r="H466" s="9"/>
      <c r="J466" s="9"/>
      <c r="K466" s="9"/>
      <c r="L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  <c r="AI466" s="9"/>
      <c r="AJ466" s="9"/>
    </row>
    <row r="467" spans="2:36" ht="15.75" customHeight="1">
      <c r="B467" s="9"/>
      <c r="C467" s="9"/>
      <c r="D467" s="9"/>
      <c r="E467" s="9"/>
      <c r="F467" s="9"/>
      <c r="G467" s="9"/>
      <c r="H467" s="9"/>
      <c r="J467" s="9"/>
      <c r="K467" s="9"/>
      <c r="L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  <c r="AI467" s="9"/>
      <c r="AJ467" s="9"/>
    </row>
    <row r="468" spans="2:36" ht="15.75" customHeight="1">
      <c r="B468" s="9"/>
      <c r="C468" s="9"/>
      <c r="D468" s="9"/>
      <c r="E468" s="9"/>
      <c r="F468" s="9"/>
      <c r="G468" s="9"/>
      <c r="H468" s="9"/>
      <c r="J468" s="9"/>
      <c r="K468" s="9"/>
      <c r="L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  <c r="AI468" s="9"/>
      <c r="AJ468" s="9"/>
    </row>
    <row r="469" spans="2:36" ht="15.75" customHeight="1">
      <c r="B469" s="9"/>
      <c r="C469" s="9"/>
      <c r="D469" s="9"/>
      <c r="E469" s="9"/>
      <c r="F469" s="9"/>
      <c r="G469" s="9"/>
      <c r="H469" s="9"/>
      <c r="J469" s="9"/>
      <c r="K469" s="9"/>
      <c r="L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  <c r="AI469" s="9"/>
      <c r="AJ469" s="9"/>
    </row>
    <row r="470" spans="2:36" ht="15.75" customHeight="1">
      <c r="B470" s="9"/>
      <c r="C470" s="9"/>
      <c r="D470" s="9"/>
      <c r="E470" s="9"/>
      <c r="F470" s="9"/>
      <c r="G470" s="9"/>
      <c r="H470" s="9"/>
      <c r="J470" s="9"/>
      <c r="K470" s="9"/>
      <c r="L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  <c r="AI470" s="9"/>
      <c r="AJ470" s="9"/>
    </row>
    <row r="471" spans="2:36" ht="15.75" customHeight="1">
      <c r="B471" s="9"/>
      <c r="C471" s="9"/>
      <c r="D471" s="9"/>
      <c r="E471" s="9"/>
      <c r="F471" s="9"/>
      <c r="G471" s="9"/>
      <c r="H471" s="9"/>
      <c r="J471" s="9"/>
      <c r="K471" s="9"/>
      <c r="L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  <c r="AI471" s="9"/>
      <c r="AJ471" s="9"/>
    </row>
    <row r="472" spans="2:36" ht="15.75" customHeight="1">
      <c r="B472" s="9"/>
      <c r="C472" s="9"/>
      <c r="D472" s="9"/>
      <c r="E472" s="9"/>
      <c r="F472" s="9"/>
      <c r="G472" s="9"/>
      <c r="H472" s="9"/>
      <c r="J472" s="9"/>
      <c r="K472" s="9"/>
      <c r="L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  <c r="AI472" s="9"/>
      <c r="AJ472" s="9"/>
    </row>
    <row r="473" spans="2:36" ht="15.75" customHeight="1">
      <c r="B473" s="9"/>
      <c r="C473" s="9"/>
      <c r="D473" s="9"/>
      <c r="E473" s="9"/>
      <c r="F473" s="9"/>
      <c r="G473" s="9"/>
      <c r="H473" s="9"/>
      <c r="J473" s="9"/>
      <c r="K473" s="9"/>
      <c r="L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  <c r="AI473" s="9"/>
      <c r="AJ473" s="9"/>
    </row>
    <row r="474" spans="2:36" ht="15.75" customHeight="1">
      <c r="B474" s="9"/>
      <c r="C474" s="9"/>
      <c r="D474" s="9"/>
      <c r="E474" s="9"/>
      <c r="F474" s="9"/>
      <c r="G474" s="9"/>
      <c r="H474" s="9"/>
      <c r="J474" s="9"/>
      <c r="K474" s="9"/>
      <c r="L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  <c r="AI474" s="9"/>
      <c r="AJ474" s="9"/>
    </row>
    <row r="475" spans="2:36" ht="15.75" customHeight="1">
      <c r="B475" s="9"/>
      <c r="C475" s="9"/>
      <c r="D475" s="9"/>
      <c r="E475" s="9"/>
      <c r="F475" s="9"/>
      <c r="G475" s="9"/>
      <c r="H475" s="9"/>
      <c r="J475" s="9"/>
      <c r="K475" s="9"/>
      <c r="L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  <c r="AI475" s="9"/>
      <c r="AJ475" s="9"/>
    </row>
    <row r="476" spans="2:36" ht="15.75" customHeight="1">
      <c r="B476" s="9"/>
      <c r="C476" s="9"/>
      <c r="D476" s="9"/>
      <c r="E476" s="9"/>
      <c r="F476" s="9"/>
      <c r="G476" s="9"/>
      <c r="H476" s="9"/>
      <c r="J476" s="9"/>
      <c r="K476" s="9"/>
      <c r="L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  <c r="AI476" s="9"/>
      <c r="AJ476" s="9"/>
    </row>
    <row r="477" spans="2:36" ht="15.75" customHeight="1">
      <c r="B477" s="9"/>
      <c r="C477" s="9"/>
      <c r="D477" s="9"/>
      <c r="E477" s="9"/>
      <c r="F477" s="9"/>
      <c r="G477" s="9"/>
      <c r="H477" s="9"/>
      <c r="J477" s="9"/>
      <c r="K477" s="9"/>
      <c r="L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  <c r="AI477" s="9"/>
      <c r="AJ477" s="9"/>
    </row>
    <row r="478" spans="2:36" ht="15.75" customHeight="1">
      <c r="B478" s="9"/>
      <c r="C478" s="9"/>
      <c r="D478" s="9"/>
      <c r="E478" s="9"/>
      <c r="F478" s="9"/>
      <c r="G478" s="9"/>
      <c r="H478" s="9"/>
      <c r="J478" s="9"/>
      <c r="K478" s="9"/>
      <c r="L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  <c r="AI478" s="9"/>
      <c r="AJ478" s="9"/>
    </row>
    <row r="479" spans="2:36" ht="15.75" customHeight="1">
      <c r="B479" s="9"/>
      <c r="C479" s="9"/>
      <c r="D479" s="9"/>
      <c r="E479" s="9"/>
      <c r="F479" s="9"/>
      <c r="G479" s="9"/>
      <c r="H479" s="9"/>
      <c r="J479" s="9"/>
      <c r="K479" s="9"/>
      <c r="L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  <c r="AI479" s="9"/>
      <c r="AJ479" s="9"/>
    </row>
    <row r="480" spans="2:36" ht="15.75" customHeight="1">
      <c r="B480" s="9"/>
      <c r="C480" s="9"/>
      <c r="D480" s="9"/>
      <c r="E480" s="9"/>
      <c r="F480" s="9"/>
      <c r="G480" s="9"/>
      <c r="H480" s="9"/>
      <c r="J480" s="9"/>
      <c r="K480" s="9"/>
      <c r="L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  <c r="AI480" s="9"/>
      <c r="AJ480" s="9"/>
    </row>
    <row r="481" spans="2:36" ht="15.75" customHeight="1">
      <c r="B481" s="9"/>
      <c r="C481" s="9"/>
      <c r="D481" s="9"/>
      <c r="E481" s="9"/>
      <c r="F481" s="9"/>
      <c r="G481" s="9"/>
      <c r="H481" s="9"/>
      <c r="J481" s="9"/>
      <c r="K481" s="9"/>
      <c r="L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  <c r="AI481" s="9"/>
      <c r="AJ481" s="9"/>
    </row>
    <row r="482" spans="2:36" ht="15.75" customHeight="1">
      <c r="B482" s="9"/>
      <c r="C482" s="9"/>
      <c r="D482" s="9"/>
      <c r="E482" s="9"/>
      <c r="F482" s="9"/>
      <c r="G482" s="9"/>
      <c r="H482" s="9"/>
      <c r="J482" s="9"/>
      <c r="K482" s="9"/>
      <c r="L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  <c r="AI482" s="9"/>
      <c r="AJ482" s="9"/>
    </row>
    <row r="483" spans="2:36" ht="15.75" customHeight="1">
      <c r="B483" s="9"/>
      <c r="C483" s="9"/>
      <c r="D483" s="9"/>
      <c r="E483" s="9"/>
      <c r="F483" s="9"/>
      <c r="G483" s="9"/>
      <c r="H483" s="9"/>
      <c r="J483" s="9"/>
      <c r="K483" s="9"/>
      <c r="L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  <c r="AI483" s="9"/>
      <c r="AJ483" s="9"/>
    </row>
    <row r="484" spans="2:36" ht="15.75" customHeight="1">
      <c r="B484" s="9"/>
      <c r="C484" s="9"/>
      <c r="D484" s="9"/>
      <c r="E484" s="9"/>
      <c r="F484" s="9"/>
      <c r="G484" s="9"/>
      <c r="H484" s="9"/>
      <c r="J484" s="9"/>
      <c r="K484" s="9"/>
      <c r="L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  <c r="AI484" s="9"/>
      <c r="AJ484" s="9"/>
    </row>
    <row r="485" spans="2:36" ht="15.75" customHeight="1">
      <c r="B485" s="9"/>
      <c r="C485" s="9"/>
      <c r="D485" s="9"/>
      <c r="E485" s="9"/>
      <c r="F485" s="9"/>
      <c r="G485" s="9"/>
      <c r="H485" s="9"/>
      <c r="J485" s="9"/>
      <c r="K485" s="9"/>
      <c r="L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  <c r="AI485" s="9"/>
      <c r="AJ485" s="9"/>
    </row>
    <row r="486" spans="2:36" ht="15.75" customHeight="1">
      <c r="B486" s="9"/>
      <c r="C486" s="9"/>
      <c r="D486" s="9"/>
      <c r="E486" s="9"/>
      <c r="F486" s="9"/>
      <c r="G486" s="9"/>
      <c r="H486" s="9"/>
      <c r="J486" s="9"/>
      <c r="K486" s="9"/>
      <c r="L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  <c r="AI486" s="9"/>
      <c r="AJ486" s="9"/>
    </row>
    <row r="487" spans="2:36" ht="15.75" customHeight="1">
      <c r="B487" s="9"/>
      <c r="C487" s="9"/>
      <c r="D487" s="9"/>
      <c r="E487" s="9"/>
      <c r="F487" s="9"/>
      <c r="G487" s="9"/>
      <c r="H487" s="9"/>
      <c r="J487" s="9"/>
      <c r="K487" s="9"/>
      <c r="L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  <c r="AI487" s="9"/>
      <c r="AJ487" s="9"/>
    </row>
    <row r="488" spans="2:36" ht="15.75" customHeight="1">
      <c r="B488" s="9"/>
      <c r="C488" s="9"/>
      <c r="D488" s="9"/>
      <c r="E488" s="9"/>
      <c r="F488" s="9"/>
      <c r="G488" s="9"/>
      <c r="H488" s="9"/>
      <c r="J488" s="9"/>
      <c r="K488" s="9"/>
      <c r="L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  <c r="AI488" s="9"/>
      <c r="AJ488" s="9"/>
    </row>
    <row r="489" spans="2:36" ht="15.75" customHeight="1">
      <c r="B489" s="9"/>
      <c r="C489" s="9"/>
      <c r="D489" s="9"/>
      <c r="E489" s="9"/>
      <c r="F489" s="9"/>
      <c r="G489" s="9"/>
      <c r="H489" s="9"/>
      <c r="J489" s="9"/>
      <c r="K489" s="9"/>
      <c r="L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  <c r="AI489" s="9"/>
      <c r="AJ489" s="9"/>
    </row>
    <row r="490" spans="2:36" ht="15.75" customHeight="1">
      <c r="B490" s="9"/>
      <c r="C490" s="9"/>
      <c r="D490" s="9"/>
      <c r="E490" s="9"/>
      <c r="F490" s="9"/>
      <c r="G490" s="9"/>
      <c r="H490" s="9"/>
      <c r="J490" s="9"/>
      <c r="K490" s="9"/>
      <c r="L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  <c r="AI490" s="9"/>
      <c r="AJ490" s="9"/>
    </row>
    <row r="491" spans="2:36" ht="15.75" customHeight="1">
      <c r="B491" s="9"/>
      <c r="C491" s="9"/>
      <c r="D491" s="9"/>
      <c r="E491" s="9"/>
      <c r="F491" s="9"/>
      <c r="G491" s="9"/>
      <c r="H491" s="9"/>
      <c r="J491" s="9"/>
      <c r="K491" s="9"/>
      <c r="L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  <c r="AI491" s="9"/>
      <c r="AJ491" s="9"/>
    </row>
    <row r="492" spans="2:36" ht="15.75" customHeight="1">
      <c r="B492" s="9"/>
      <c r="C492" s="9"/>
      <c r="D492" s="9"/>
      <c r="E492" s="9"/>
      <c r="F492" s="9"/>
      <c r="G492" s="9"/>
      <c r="H492" s="9"/>
      <c r="J492" s="9"/>
      <c r="K492" s="9"/>
      <c r="L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  <c r="AI492" s="9"/>
      <c r="AJ492" s="9"/>
    </row>
    <row r="493" spans="2:36" ht="15.75" customHeight="1">
      <c r="B493" s="9"/>
      <c r="C493" s="9"/>
      <c r="D493" s="9"/>
      <c r="E493" s="9"/>
      <c r="F493" s="9"/>
      <c r="G493" s="9"/>
      <c r="H493" s="9"/>
      <c r="J493" s="9"/>
      <c r="K493" s="9"/>
      <c r="L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  <c r="AI493" s="9"/>
      <c r="AJ493" s="9"/>
    </row>
    <row r="494" spans="2:36" ht="15.75" customHeight="1">
      <c r="B494" s="9"/>
      <c r="C494" s="9"/>
      <c r="D494" s="9"/>
      <c r="E494" s="9"/>
      <c r="F494" s="9"/>
      <c r="G494" s="9"/>
      <c r="H494" s="9"/>
      <c r="J494" s="9"/>
      <c r="K494" s="9"/>
      <c r="L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  <c r="AI494" s="9"/>
      <c r="AJ494" s="9"/>
    </row>
    <row r="495" spans="2:36" ht="15.75" customHeight="1">
      <c r="B495" s="9"/>
      <c r="C495" s="9"/>
      <c r="D495" s="9"/>
      <c r="E495" s="9"/>
      <c r="F495" s="9"/>
      <c r="G495" s="9"/>
      <c r="H495" s="9"/>
      <c r="J495" s="9"/>
      <c r="K495" s="9"/>
      <c r="L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  <c r="AI495" s="9"/>
      <c r="AJ495" s="9"/>
    </row>
    <row r="496" spans="2:36" ht="15.75" customHeight="1">
      <c r="B496" s="9"/>
      <c r="C496" s="9"/>
      <c r="D496" s="9"/>
      <c r="E496" s="9"/>
      <c r="F496" s="9"/>
      <c r="G496" s="9"/>
      <c r="H496" s="9"/>
      <c r="J496" s="9"/>
      <c r="K496" s="9"/>
      <c r="L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  <c r="AI496" s="9"/>
      <c r="AJ496" s="9"/>
    </row>
    <row r="497" spans="2:51" ht="15.75" customHeight="1">
      <c r="B497" s="9"/>
      <c r="C497" s="9"/>
      <c r="D497" s="9"/>
      <c r="E497" s="9"/>
      <c r="F497" s="9"/>
      <c r="G497" s="9"/>
      <c r="H497" s="9"/>
      <c r="J497" s="9"/>
      <c r="K497" s="9"/>
      <c r="L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  <c r="AI497" s="9"/>
      <c r="AJ497" s="9"/>
    </row>
    <row r="498" spans="2:51" ht="15.75" customHeight="1">
      <c r="B498" s="9"/>
      <c r="C498" s="9"/>
      <c r="D498" s="9"/>
      <c r="E498" s="9"/>
      <c r="F498" s="9"/>
      <c r="G498" s="9"/>
      <c r="H498" s="9"/>
      <c r="J498" s="9"/>
      <c r="K498" s="9"/>
      <c r="L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  <c r="AI498" s="9"/>
      <c r="AJ498" s="9"/>
      <c r="AQ498" s="478"/>
      <c r="AR498" s="478"/>
      <c r="AS498" s="478"/>
      <c r="AT498" s="478"/>
      <c r="AU498" s="478"/>
      <c r="AV498" s="478"/>
      <c r="AW498" s="478"/>
      <c r="AX498" s="478"/>
      <c r="AY498" s="478"/>
    </row>
    <row r="499" spans="2:51" ht="15.75" customHeight="1">
      <c r="B499" s="9"/>
      <c r="C499" s="9"/>
      <c r="D499" s="9"/>
      <c r="E499" s="9"/>
      <c r="F499" s="9"/>
      <c r="G499" s="9"/>
      <c r="H499" s="9"/>
      <c r="J499" s="9"/>
      <c r="K499" s="9"/>
      <c r="L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  <c r="AI499" s="9"/>
      <c r="AJ499" s="9"/>
      <c r="AQ499" s="478"/>
      <c r="AR499" s="478"/>
      <c r="AS499" s="478"/>
      <c r="AT499" s="478"/>
      <c r="AU499" s="478"/>
      <c r="AV499" s="478"/>
      <c r="AW499" s="478"/>
      <c r="AX499" s="478"/>
      <c r="AY499" s="478"/>
    </row>
    <row r="500" spans="2:51" ht="15.75" customHeight="1">
      <c r="B500" s="9"/>
      <c r="C500" s="9"/>
      <c r="D500" s="9"/>
      <c r="E500" s="9"/>
      <c r="F500" s="9"/>
      <c r="G500" s="9"/>
      <c r="H500" s="9"/>
      <c r="J500" s="9"/>
      <c r="K500" s="9"/>
      <c r="L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  <c r="AI500" s="9"/>
      <c r="AJ500" s="9"/>
      <c r="AQ500" s="478"/>
      <c r="AR500" s="478"/>
      <c r="AS500" s="478"/>
      <c r="AT500" s="478"/>
      <c r="AU500" s="478"/>
      <c r="AV500" s="478"/>
      <c r="AW500" s="478"/>
      <c r="AX500" s="478"/>
      <c r="AY500" s="478"/>
    </row>
    <row r="501" spans="2:51" ht="15.75" customHeight="1">
      <c r="B501" s="9"/>
      <c r="C501" s="9"/>
      <c r="D501" s="9"/>
      <c r="E501" s="9"/>
      <c r="F501" s="9"/>
      <c r="G501" s="9"/>
      <c r="H501" s="9"/>
      <c r="J501" s="9"/>
      <c r="K501" s="9"/>
      <c r="L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  <c r="AI501" s="9"/>
      <c r="AJ501" s="9"/>
      <c r="AQ501" s="478"/>
      <c r="AR501" s="478"/>
      <c r="AS501" s="478"/>
      <c r="AT501" s="478"/>
      <c r="AU501" s="478"/>
      <c r="AV501" s="478"/>
      <c r="AW501" s="478"/>
      <c r="AX501" s="478"/>
      <c r="AY501" s="478"/>
    </row>
    <row r="502" spans="2:51" ht="15.75" customHeight="1">
      <c r="B502" s="9"/>
      <c r="C502" s="9"/>
      <c r="D502" s="9"/>
      <c r="E502" s="9"/>
      <c r="F502" s="9"/>
      <c r="G502" s="9"/>
      <c r="H502" s="9"/>
      <c r="J502" s="9"/>
      <c r="K502" s="9"/>
      <c r="L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  <c r="AI502" s="9"/>
      <c r="AJ502" s="9"/>
      <c r="AQ502" s="478"/>
      <c r="AR502" s="478"/>
      <c r="AS502" s="478"/>
      <c r="AT502" s="478"/>
      <c r="AU502" s="478"/>
      <c r="AV502" s="478"/>
      <c r="AW502" s="478"/>
      <c r="AX502" s="478"/>
      <c r="AY502" s="478"/>
    </row>
    <row r="503" spans="2:51" ht="15.75" customHeight="1">
      <c r="B503" s="9"/>
      <c r="C503" s="9"/>
      <c r="D503" s="9"/>
      <c r="E503" s="9"/>
      <c r="F503" s="9"/>
      <c r="G503" s="9"/>
      <c r="H503" s="9"/>
      <c r="J503" s="9"/>
      <c r="K503" s="9"/>
      <c r="L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  <c r="AI503" s="9"/>
      <c r="AJ503" s="9"/>
      <c r="AQ503" s="478"/>
      <c r="AR503" s="478"/>
      <c r="AS503" s="478"/>
      <c r="AT503" s="478"/>
      <c r="AU503" s="478"/>
      <c r="AV503" s="478"/>
      <c r="AW503" s="478"/>
      <c r="AX503" s="478"/>
      <c r="AY503" s="478"/>
    </row>
    <row r="504" spans="2:51" ht="15.75" customHeight="1">
      <c r="B504" s="9"/>
      <c r="C504" s="9"/>
      <c r="D504" s="9"/>
      <c r="E504" s="9"/>
      <c r="F504" s="9"/>
      <c r="G504" s="9"/>
      <c r="H504" s="9"/>
      <c r="J504" s="9"/>
      <c r="K504" s="9"/>
      <c r="L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  <c r="AI504" s="9"/>
      <c r="AJ504" s="9"/>
      <c r="AQ504" s="478"/>
      <c r="AR504" s="478"/>
      <c r="AS504" s="478"/>
      <c r="AT504" s="478"/>
      <c r="AU504" s="478"/>
      <c r="AV504" s="478"/>
      <c r="AW504" s="478"/>
      <c r="AX504" s="478"/>
      <c r="AY504" s="478"/>
    </row>
    <row r="505" spans="2:51" ht="15.75" customHeight="1">
      <c r="B505" s="9"/>
      <c r="C505" s="9"/>
      <c r="D505" s="9"/>
      <c r="E505" s="9"/>
      <c r="F505" s="9"/>
      <c r="G505" s="9"/>
      <c r="H505" s="9"/>
      <c r="J505" s="9"/>
      <c r="K505" s="9"/>
      <c r="L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  <c r="AI505" s="9"/>
      <c r="AJ505" s="9"/>
      <c r="AQ505" s="478"/>
      <c r="AR505" s="478"/>
      <c r="AS505" s="478"/>
      <c r="AT505" s="478"/>
      <c r="AU505" s="478"/>
      <c r="AV505" s="478"/>
      <c r="AW505" s="478"/>
      <c r="AX505" s="478"/>
      <c r="AY505" s="478"/>
    </row>
    <row r="506" spans="2:51" ht="15.75" customHeight="1">
      <c r="B506" s="9"/>
      <c r="C506" s="9"/>
      <c r="D506" s="9"/>
      <c r="E506" s="9"/>
      <c r="F506" s="9"/>
      <c r="G506" s="9"/>
      <c r="H506" s="9"/>
      <c r="J506" s="9"/>
      <c r="K506" s="9"/>
      <c r="L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  <c r="AI506" s="9"/>
      <c r="AJ506" s="9"/>
      <c r="AQ506" s="478"/>
      <c r="AR506" s="478"/>
      <c r="AS506" s="478"/>
      <c r="AT506" s="478"/>
      <c r="AU506" s="478"/>
      <c r="AV506" s="478"/>
      <c r="AW506" s="478"/>
      <c r="AX506" s="478"/>
      <c r="AY506" s="478"/>
    </row>
    <row r="507" spans="2:51" ht="15.75" customHeight="1">
      <c r="B507" s="9"/>
      <c r="C507" s="9"/>
      <c r="D507" s="9"/>
      <c r="E507" s="9"/>
      <c r="F507" s="9"/>
      <c r="G507" s="9"/>
      <c r="H507" s="9"/>
      <c r="J507" s="9"/>
      <c r="K507" s="9"/>
      <c r="L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  <c r="AI507" s="9"/>
      <c r="AJ507" s="9"/>
      <c r="AQ507" s="478"/>
      <c r="AR507" s="478"/>
      <c r="AS507" s="478"/>
      <c r="AT507" s="478"/>
      <c r="AU507" s="478"/>
      <c r="AV507" s="478"/>
      <c r="AW507" s="478"/>
      <c r="AX507" s="478"/>
      <c r="AY507" s="478"/>
    </row>
    <row r="508" spans="2:51" ht="15.75" customHeight="1">
      <c r="B508" s="9"/>
      <c r="C508" s="9"/>
      <c r="D508" s="9"/>
      <c r="E508" s="9"/>
      <c r="F508" s="9"/>
      <c r="G508" s="9"/>
      <c r="H508" s="9"/>
      <c r="J508" s="9"/>
      <c r="K508" s="9"/>
      <c r="L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  <c r="AI508" s="9"/>
      <c r="AJ508" s="9"/>
      <c r="AQ508" s="478"/>
      <c r="AR508" s="478"/>
      <c r="AS508" s="478"/>
      <c r="AT508" s="478"/>
      <c r="AU508" s="478"/>
      <c r="AV508" s="478"/>
      <c r="AW508" s="478"/>
      <c r="AX508" s="478"/>
      <c r="AY508" s="478"/>
    </row>
    <row r="509" spans="2:51" ht="15.75" customHeight="1">
      <c r="B509" s="9"/>
      <c r="C509" s="9"/>
      <c r="D509" s="9"/>
      <c r="E509" s="9"/>
      <c r="F509" s="9"/>
      <c r="G509" s="9"/>
      <c r="H509" s="9"/>
      <c r="J509" s="9"/>
      <c r="K509" s="9"/>
      <c r="L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  <c r="AI509" s="9"/>
      <c r="AJ509" s="9"/>
      <c r="AQ509" s="478"/>
      <c r="AR509" s="478"/>
      <c r="AS509" s="478"/>
      <c r="AT509" s="478"/>
      <c r="AU509" s="478"/>
      <c r="AV509" s="478"/>
      <c r="AW509" s="478"/>
      <c r="AX509" s="478"/>
      <c r="AY509" s="478"/>
    </row>
    <row r="510" spans="2:51" ht="15.75" customHeight="1">
      <c r="B510" s="9"/>
      <c r="C510" s="9"/>
      <c r="D510" s="9"/>
      <c r="E510" s="9"/>
      <c r="F510" s="9"/>
      <c r="G510" s="9"/>
      <c r="H510" s="9"/>
      <c r="J510" s="9"/>
      <c r="K510" s="9"/>
      <c r="L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  <c r="AI510" s="9"/>
      <c r="AJ510" s="9"/>
      <c r="AQ510" s="478"/>
      <c r="AR510" s="478"/>
      <c r="AS510" s="478"/>
      <c r="AT510" s="478"/>
      <c r="AU510" s="478"/>
      <c r="AV510" s="478"/>
      <c r="AW510" s="478"/>
      <c r="AX510" s="478"/>
      <c r="AY510" s="478"/>
    </row>
    <row r="511" spans="2:51" ht="15.75" customHeight="1">
      <c r="B511" s="9"/>
      <c r="C511" s="9"/>
      <c r="D511" s="9"/>
      <c r="E511" s="9"/>
      <c r="F511" s="9"/>
      <c r="G511" s="9"/>
      <c r="H511" s="9"/>
      <c r="J511" s="9"/>
      <c r="K511" s="9"/>
      <c r="L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  <c r="AI511" s="9"/>
      <c r="AJ511" s="9"/>
    </row>
    <row r="512" spans="2:51" ht="15.75" customHeight="1">
      <c r="B512" s="9"/>
      <c r="C512" s="9"/>
      <c r="D512" s="9"/>
      <c r="E512" s="9"/>
      <c r="F512" s="9"/>
      <c r="G512" s="9"/>
      <c r="H512" s="9"/>
      <c r="J512" s="9"/>
      <c r="K512" s="9"/>
      <c r="L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  <c r="AI512" s="9"/>
      <c r="AJ512" s="9"/>
    </row>
    <row r="513" spans="2:51" ht="15.75" customHeight="1">
      <c r="B513" s="9"/>
      <c r="C513" s="9"/>
      <c r="D513" s="9"/>
      <c r="E513" s="9"/>
      <c r="F513" s="9"/>
      <c r="G513" s="9"/>
      <c r="H513" s="9"/>
      <c r="J513" s="9"/>
      <c r="K513" s="9"/>
      <c r="L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  <c r="AI513" s="9"/>
      <c r="AJ513" s="9"/>
    </row>
    <row r="514" spans="2:51" ht="15.75" customHeight="1">
      <c r="B514" s="9"/>
      <c r="C514" s="9"/>
      <c r="D514" s="9"/>
      <c r="E514" s="9"/>
      <c r="F514" s="9"/>
      <c r="G514" s="9"/>
      <c r="H514" s="9"/>
      <c r="J514" s="9"/>
      <c r="K514" s="9"/>
      <c r="L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  <c r="AI514" s="9"/>
      <c r="AJ514" s="9"/>
    </row>
    <row r="515" spans="2:51" ht="15.75" customHeight="1">
      <c r="B515" s="9"/>
      <c r="C515" s="9"/>
      <c r="D515" s="9"/>
      <c r="E515" s="9"/>
      <c r="F515" s="9"/>
      <c r="G515" s="9"/>
      <c r="H515" s="9"/>
      <c r="J515" s="9"/>
      <c r="K515" s="9"/>
      <c r="L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  <c r="AI515" s="9"/>
      <c r="AJ515" s="9"/>
    </row>
    <row r="516" spans="2:51" ht="15.75" customHeight="1">
      <c r="B516" s="9"/>
      <c r="C516" s="9"/>
      <c r="D516" s="9"/>
      <c r="E516" s="9"/>
      <c r="F516" s="9"/>
      <c r="G516" s="9"/>
      <c r="H516" s="9"/>
      <c r="J516" s="9"/>
      <c r="K516" s="9"/>
      <c r="L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  <c r="AI516" s="9"/>
      <c r="AJ516" s="9"/>
      <c r="AQ516" s="478"/>
      <c r="AR516" s="478"/>
      <c r="AS516" s="478"/>
      <c r="AT516" s="478"/>
      <c r="AU516" s="478"/>
      <c r="AV516" s="478"/>
      <c r="AW516" s="478"/>
      <c r="AX516" s="478"/>
      <c r="AY516" s="478"/>
    </row>
    <row r="517" spans="2:51" ht="15.75" customHeight="1">
      <c r="B517" s="9"/>
      <c r="C517" s="9"/>
      <c r="D517" s="9"/>
      <c r="E517" s="9"/>
      <c r="F517" s="9"/>
      <c r="G517" s="9"/>
      <c r="H517" s="9"/>
      <c r="J517" s="9"/>
      <c r="K517" s="9"/>
      <c r="L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  <c r="AI517" s="9"/>
      <c r="AJ517" s="9"/>
      <c r="AQ517" s="478"/>
      <c r="AR517" s="478"/>
      <c r="AS517" s="478"/>
      <c r="AT517" s="478"/>
      <c r="AU517" s="478"/>
      <c r="AV517" s="478"/>
      <c r="AW517" s="478"/>
      <c r="AX517" s="478"/>
      <c r="AY517" s="478"/>
    </row>
    <row r="518" spans="2:51" ht="15.75" customHeight="1">
      <c r="B518" s="9"/>
      <c r="C518" s="9"/>
      <c r="D518" s="9"/>
      <c r="E518" s="9"/>
      <c r="F518" s="9"/>
      <c r="G518" s="9"/>
      <c r="H518" s="9"/>
      <c r="J518" s="9"/>
      <c r="K518" s="9"/>
      <c r="L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  <c r="AI518" s="9"/>
      <c r="AJ518" s="9"/>
      <c r="AQ518" s="478"/>
      <c r="AR518" s="478"/>
      <c r="AS518" s="478"/>
      <c r="AT518" s="478"/>
      <c r="AU518" s="478"/>
      <c r="AV518" s="478"/>
      <c r="AW518" s="478"/>
      <c r="AX518" s="478"/>
      <c r="AY518" s="478"/>
    </row>
    <row r="519" spans="2:51" ht="15.75" customHeight="1">
      <c r="B519" s="9"/>
      <c r="C519" s="9"/>
      <c r="D519" s="9"/>
      <c r="E519" s="9"/>
      <c r="F519" s="9"/>
      <c r="G519" s="9"/>
      <c r="H519" s="9"/>
      <c r="J519" s="9"/>
      <c r="K519" s="9"/>
      <c r="L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  <c r="AI519" s="9"/>
      <c r="AJ519" s="9"/>
      <c r="AQ519" s="478"/>
      <c r="AR519" s="478"/>
      <c r="AS519" s="478"/>
      <c r="AT519" s="478"/>
      <c r="AU519" s="478"/>
      <c r="AV519" s="478"/>
      <c r="AW519" s="478"/>
      <c r="AX519" s="478"/>
      <c r="AY519" s="478"/>
    </row>
    <row r="520" spans="2:51" ht="15.75" customHeight="1">
      <c r="B520" s="9"/>
      <c r="C520" s="9"/>
      <c r="D520" s="9"/>
      <c r="E520" s="9"/>
      <c r="F520" s="9"/>
      <c r="G520" s="9"/>
      <c r="H520" s="9"/>
      <c r="J520" s="9"/>
      <c r="K520" s="9"/>
      <c r="L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  <c r="AI520" s="9"/>
      <c r="AJ520" s="9"/>
      <c r="AQ520" s="478"/>
      <c r="AR520" s="478"/>
      <c r="AS520" s="478"/>
      <c r="AT520" s="478"/>
      <c r="AU520" s="478"/>
      <c r="AV520" s="478"/>
      <c r="AW520" s="478"/>
      <c r="AX520" s="478"/>
      <c r="AY520" s="478"/>
    </row>
    <row r="521" spans="2:51" ht="15.75" customHeight="1">
      <c r="B521" s="9"/>
      <c r="C521" s="9"/>
      <c r="D521" s="9"/>
      <c r="E521" s="9"/>
      <c r="F521" s="9"/>
      <c r="G521" s="9"/>
      <c r="H521" s="9"/>
      <c r="J521" s="9"/>
      <c r="K521" s="9"/>
      <c r="L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  <c r="AI521" s="9"/>
      <c r="AJ521" s="9"/>
    </row>
    <row r="522" spans="2:51" ht="15.75" customHeight="1">
      <c r="B522" s="9"/>
      <c r="C522" s="9"/>
      <c r="D522" s="9"/>
      <c r="E522" s="9"/>
      <c r="F522" s="9"/>
      <c r="G522" s="9"/>
      <c r="H522" s="9"/>
      <c r="J522" s="9"/>
      <c r="K522" s="9"/>
      <c r="L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  <c r="AI522" s="9"/>
      <c r="AJ522" s="9"/>
    </row>
    <row r="523" spans="2:51" ht="15.75" customHeight="1">
      <c r="B523" s="9"/>
      <c r="C523" s="9"/>
      <c r="D523" s="9"/>
      <c r="E523" s="9"/>
      <c r="F523" s="9"/>
      <c r="G523" s="9"/>
      <c r="H523" s="9"/>
      <c r="J523" s="9"/>
      <c r="K523" s="9"/>
      <c r="L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  <c r="AI523" s="9"/>
      <c r="AJ523" s="9"/>
    </row>
    <row r="524" spans="2:51" ht="15.75" customHeight="1">
      <c r="B524" s="9"/>
      <c r="C524" s="9"/>
      <c r="D524" s="9"/>
      <c r="E524" s="9"/>
      <c r="F524" s="9"/>
      <c r="G524" s="9"/>
      <c r="H524" s="9"/>
      <c r="J524" s="9"/>
      <c r="K524" s="9"/>
      <c r="L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  <c r="AI524" s="9"/>
      <c r="AJ524" s="9"/>
      <c r="AQ524" s="478"/>
      <c r="AR524" s="478"/>
      <c r="AS524" s="478"/>
      <c r="AT524" s="478"/>
      <c r="AU524" s="478"/>
      <c r="AV524" s="478"/>
      <c r="AW524" s="478"/>
      <c r="AX524" s="478"/>
      <c r="AY524" s="478"/>
    </row>
    <row r="525" spans="2:51" ht="15.75" customHeight="1">
      <c r="B525" s="9"/>
      <c r="C525" s="9"/>
      <c r="D525" s="9"/>
      <c r="E525" s="9"/>
      <c r="F525" s="9"/>
      <c r="G525" s="9"/>
      <c r="H525" s="9"/>
      <c r="J525" s="9"/>
      <c r="K525" s="9"/>
      <c r="L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  <c r="AI525" s="9"/>
      <c r="AJ525" s="9"/>
      <c r="AQ525" s="478"/>
      <c r="AR525" s="478"/>
      <c r="AS525" s="478"/>
      <c r="AT525" s="478"/>
      <c r="AU525" s="478"/>
      <c r="AV525" s="478"/>
      <c r="AW525" s="478"/>
      <c r="AX525" s="478"/>
      <c r="AY525" s="478"/>
    </row>
    <row r="526" spans="2:51" ht="15.75" customHeight="1">
      <c r="B526" s="9"/>
      <c r="C526" s="9"/>
      <c r="D526" s="9"/>
      <c r="E526" s="9"/>
      <c r="F526" s="9"/>
      <c r="G526" s="9"/>
      <c r="H526" s="9"/>
      <c r="J526" s="9"/>
      <c r="K526" s="9"/>
      <c r="L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  <c r="AI526" s="9"/>
      <c r="AJ526" s="9"/>
      <c r="AQ526" s="478"/>
      <c r="AR526" s="478"/>
      <c r="AS526" s="478"/>
      <c r="AT526" s="478"/>
      <c r="AU526" s="478"/>
      <c r="AV526" s="478"/>
      <c r="AW526" s="478"/>
      <c r="AX526" s="478"/>
      <c r="AY526" s="478"/>
    </row>
    <row r="527" spans="2:51" ht="15.75" customHeight="1">
      <c r="B527" s="9"/>
      <c r="C527" s="9"/>
      <c r="D527" s="9"/>
      <c r="E527" s="9"/>
      <c r="F527" s="9"/>
      <c r="G527" s="9"/>
      <c r="H527" s="9"/>
      <c r="J527" s="9"/>
      <c r="K527" s="9"/>
      <c r="L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  <c r="AI527" s="9"/>
      <c r="AJ527" s="9"/>
      <c r="AQ527" s="478"/>
      <c r="AR527" s="478"/>
      <c r="AS527" s="478"/>
      <c r="AT527" s="478"/>
      <c r="AU527" s="478"/>
      <c r="AV527" s="478"/>
      <c r="AW527" s="478"/>
      <c r="AX527" s="478"/>
      <c r="AY527" s="478"/>
    </row>
    <row r="528" spans="2:51" ht="15.75" customHeight="1">
      <c r="B528" s="9"/>
      <c r="C528" s="9"/>
      <c r="D528" s="9"/>
      <c r="E528" s="9"/>
      <c r="F528" s="9"/>
      <c r="G528" s="9"/>
      <c r="H528" s="9"/>
      <c r="J528" s="9"/>
      <c r="K528" s="9"/>
      <c r="L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  <c r="AI528" s="9"/>
      <c r="AJ528" s="9"/>
      <c r="AQ528" s="478"/>
      <c r="AR528" s="478"/>
      <c r="AS528" s="478"/>
      <c r="AT528" s="478"/>
      <c r="AU528" s="478"/>
      <c r="AV528" s="478"/>
      <c r="AW528" s="478"/>
      <c r="AX528" s="478"/>
      <c r="AY528" s="478"/>
    </row>
    <row r="529" spans="2:54" ht="15.75" customHeight="1">
      <c r="B529" s="9"/>
      <c r="C529" s="9"/>
      <c r="D529" s="9"/>
      <c r="E529" s="9"/>
      <c r="F529" s="9"/>
      <c r="G529" s="9"/>
      <c r="H529" s="9"/>
      <c r="J529" s="9"/>
      <c r="K529" s="9"/>
      <c r="L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  <c r="AI529" s="9"/>
      <c r="AJ529" s="9"/>
      <c r="AQ529" s="478"/>
      <c r="AR529" s="478"/>
      <c r="AS529" s="478"/>
      <c r="AT529" s="478"/>
      <c r="AU529" s="478"/>
      <c r="AV529" s="478"/>
      <c r="AW529" s="478"/>
      <c r="AX529" s="478"/>
      <c r="AY529" s="478"/>
      <c r="BB529" s="561"/>
    </row>
    <row r="530" spans="2:54" ht="15.75" customHeight="1">
      <c r="B530" s="9"/>
      <c r="C530" s="9"/>
      <c r="D530" s="9"/>
      <c r="E530" s="9"/>
      <c r="F530" s="9"/>
      <c r="G530" s="9"/>
      <c r="H530" s="9"/>
      <c r="J530" s="9"/>
      <c r="K530" s="9"/>
      <c r="L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  <c r="AI530" s="9"/>
      <c r="AJ530" s="9"/>
      <c r="AQ530" s="478"/>
      <c r="AR530" s="478"/>
      <c r="AS530" s="478"/>
      <c r="AT530" s="478"/>
      <c r="AU530" s="478"/>
      <c r="AV530" s="478"/>
      <c r="AW530" s="478"/>
      <c r="AX530" s="478"/>
      <c r="AY530" s="478"/>
    </row>
    <row r="531" spans="2:54" ht="15.75" customHeight="1">
      <c r="B531" s="9"/>
      <c r="C531" s="9"/>
      <c r="D531" s="9"/>
      <c r="E531" s="9"/>
      <c r="F531" s="9"/>
      <c r="G531" s="9"/>
      <c r="H531" s="9"/>
      <c r="J531" s="9"/>
      <c r="K531" s="9"/>
      <c r="L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  <c r="AI531" s="9"/>
      <c r="AJ531" s="9"/>
    </row>
    <row r="532" spans="2:54" ht="15.75" customHeight="1">
      <c r="B532" s="9"/>
      <c r="C532" s="9"/>
      <c r="D532" s="9"/>
      <c r="E532" s="9"/>
      <c r="F532" s="9"/>
      <c r="G532" s="9"/>
      <c r="H532" s="9"/>
      <c r="J532" s="9"/>
      <c r="K532" s="9"/>
      <c r="L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  <c r="AI532" s="9"/>
      <c r="AJ532" s="9"/>
    </row>
    <row r="533" spans="2:54" ht="15.75" customHeight="1">
      <c r="B533" s="9"/>
      <c r="C533" s="9"/>
      <c r="D533" s="9"/>
      <c r="E533" s="9"/>
      <c r="F533" s="9"/>
      <c r="G533" s="9"/>
      <c r="H533" s="9"/>
      <c r="J533" s="9"/>
      <c r="K533" s="9"/>
      <c r="L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  <c r="AI533" s="9"/>
      <c r="AJ533" s="9"/>
      <c r="BB533" s="561"/>
    </row>
    <row r="534" spans="2:54" ht="15.75" customHeight="1">
      <c r="B534" s="9"/>
      <c r="C534" s="9"/>
      <c r="D534" s="9"/>
      <c r="E534" s="9"/>
      <c r="F534" s="9"/>
      <c r="G534" s="9"/>
      <c r="H534" s="9"/>
      <c r="J534" s="9"/>
      <c r="K534" s="9"/>
      <c r="L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  <c r="AI534" s="9"/>
      <c r="AJ534" s="9"/>
    </row>
    <row r="535" spans="2:54" ht="15.75" customHeight="1">
      <c r="B535" s="9"/>
      <c r="C535" s="9"/>
      <c r="D535" s="9"/>
      <c r="E535" s="9"/>
      <c r="F535" s="9"/>
      <c r="G535" s="9"/>
      <c r="H535" s="9"/>
      <c r="J535" s="9"/>
      <c r="K535" s="9"/>
      <c r="L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  <c r="AI535" s="9"/>
      <c r="AJ535" s="9"/>
    </row>
    <row r="536" spans="2:54" ht="15.75" customHeight="1">
      <c r="B536" s="9"/>
      <c r="C536" s="9"/>
      <c r="D536" s="9"/>
      <c r="E536" s="9"/>
      <c r="F536" s="9"/>
      <c r="G536" s="9"/>
      <c r="H536" s="9"/>
      <c r="J536" s="9"/>
      <c r="K536" s="9"/>
      <c r="L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  <c r="AI536" s="9"/>
      <c r="AJ536" s="9"/>
    </row>
    <row r="537" spans="2:54" ht="15.75" customHeight="1">
      <c r="B537" s="9"/>
      <c r="C537" s="9"/>
      <c r="D537" s="9"/>
      <c r="E537" s="9"/>
      <c r="F537" s="9"/>
      <c r="G537" s="9"/>
      <c r="H537" s="9"/>
      <c r="J537" s="9"/>
      <c r="K537" s="9"/>
      <c r="L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  <c r="AI537" s="9"/>
      <c r="AJ537" s="9"/>
    </row>
    <row r="538" spans="2:54" ht="15.75" customHeight="1">
      <c r="B538" s="9"/>
      <c r="C538" s="9"/>
      <c r="D538" s="9"/>
      <c r="E538" s="9"/>
      <c r="F538" s="9"/>
      <c r="G538" s="9"/>
      <c r="H538" s="9"/>
      <c r="J538" s="9"/>
      <c r="K538" s="9"/>
      <c r="L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  <c r="AI538" s="9"/>
      <c r="AJ538" s="9"/>
    </row>
    <row r="539" spans="2:54" ht="15.75" customHeight="1">
      <c r="B539" s="9"/>
      <c r="C539" s="9"/>
      <c r="D539" s="9"/>
      <c r="E539" s="9"/>
      <c r="F539" s="9"/>
      <c r="G539" s="9"/>
      <c r="H539" s="9"/>
      <c r="J539" s="9"/>
      <c r="K539" s="9"/>
      <c r="L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  <c r="AI539" s="9"/>
      <c r="AJ539" s="9"/>
    </row>
    <row r="540" spans="2:54" ht="15.75" customHeight="1">
      <c r="B540" s="9"/>
      <c r="C540" s="9"/>
      <c r="D540" s="9"/>
      <c r="E540" s="9"/>
      <c r="F540" s="9"/>
      <c r="G540" s="9"/>
      <c r="H540" s="9"/>
      <c r="J540" s="9"/>
      <c r="K540" s="9"/>
      <c r="L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  <c r="AI540" s="9"/>
      <c r="AJ540" s="9"/>
    </row>
    <row r="541" spans="2:54" ht="15.75" customHeight="1">
      <c r="B541" s="9"/>
      <c r="C541" s="9"/>
      <c r="D541" s="9"/>
      <c r="E541" s="9"/>
      <c r="F541" s="9"/>
      <c r="G541" s="9"/>
      <c r="H541" s="9"/>
      <c r="J541" s="9"/>
      <c r="K541" s="9"/>
      <c r="L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  <c r="AI541" s="9"/>
      <c r="AJ541" s="9"/>
    </row>
    <row r="542" spans="2:54" ht="15.75" customHeight="1">
      <c r="B542" s="9"/>
      <c r="C542" s="9"/>
      <c r="D542" s="9"/>
      <c r="E542" s="9"/>
      <c r="F542" s="9"/>
      <c r="G542" s="9"/>
      <c r="H542" s="9"/>
      <c r="J542" s="9"/>
      <c r="K542" s="9"/>
      <c r="L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  <c r="AI542" s="9"/>
      <c r="AJ542" s="9"/>
    </row>
    <row r="543" spans="2:54" ht="15.75" customHeight="1">
      <c r="B543" s="9"/>
      <c r="C543" s="9"/>
      <c r="D543" s="9"/>
      <c r="E543" s="9"/>
      <c r="F543" s="9"/>
      <c r="G543" s="9"/>
      <c r="H543" s="9"/>
      <c r="J543" s="9"/>
      <c r="K543" s="9"/>
      <c r="L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  <c r="AI543" s="9"/>
      <c r="AJ543" s="9"/>
    </row>
    <row r="544" spans="2:54" ht="15.75" customHeight="1">
      <c r="B544" s="9"/>
      <c r="C544" s="9"/>
      <c r="D544" s="9"/>
      <c r="E544" s="9"/>
      <c r="F544" s="9"/>
      <c r="G544" s="9"/>
      <c r="H544" s="9"/>
      <c r="J544" s="9"/>
      <c r="K544" s="9"/>
      <c r="L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  <c r="AI544" s="9"/>
      <c r="AJ544" s="9"/>
    </row>
    <row r="545" spans="2:36" ht="15.75" customHeight="1">
      <c r="B545" s="9"/>
      <c r="C545" s="9"/>
      <c r="D545" s="9"/>
      <c r="E545" s="9"/>
      <c r="F545" s="9"/>
      <c r="G545" s="9"/>
      <c r="H545" s="9"/>
      <c r="J545" s="9"/>
      <c r="K545" s="9"/>
      <c r="L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  <c r="AI545" s="9"/>
      <c r="AJ545" s="9"/>
    </row>
    <row r="546" spans="2:36" ht="15.75" customHeight="1">
      <c r="B546" s="9"/>
      <c r="C546" s="9"/>
      <c r="D546" s="9"/>
      <c r="E546" s="9"/>
      <c r="F546" s="9"/>
      <c r="G546" s="9"/>
      <c r="H546" s="9"/>
      <c r="J546" s="9"/>
      <c r="K546" s="9"/>
      <c r="L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  <c r="AI546" s="9"/>
      <c r="AJ546" s="9"/>
    </row>
    <row r="547" spans="2:36" ht="15.75" customHeight="1">
      <c r="B547" s="9"/>
      <c r="C547" s="9"/>
      <c r="D547" s="9"/>
      <c r="E547" s="9"/>
      <c r="F547" s="9"/>
      <c r="G547" s="9"/>
      <c r="H547" s="9"/>
      <c r="J547" s="9"/>
      <c r="K547" s="9"/>
      <c r="L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  <c r="AI547" s="9"/>
      <c r="AJ547" s="9"/>
    </row>
    <row r="548" spans="2:36" ht="15.75" customHeight="1">
      <c r="B548" s="9"/>
      <c r="C548" s="9"/>
      <c r="D548" s="9"/>
      <c r="E548" s="9"/>
      <c r="F548" s="9"/>
      <c r="G548" s="9"/>
      <c r="H548" s="9"/>
      <c r="J548" s="9"/>
      <c r="K548" s="9"/>
      <c r="L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  <c r="AI548" s="9"/>
      <c r="AJ548" s="9"/>
    </row>
    <row r="549" spans="2:36" ht="15.75" customHeight="1">
      <c r="B549" s="9"/>
      <c r="C549" s="9"/>
      <c r="D549" s="9"/>
      <c r="E549" s="9"/>
      <c r="F549" s="9"/>
      <c r="G549" s="9"/>
      <c r="H549" s="9"/>
      <c r="J549" s="9"/>
      <c r="K549" s="9"/>
      <c r="L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  <c r="AI549" s="9"/>
      <c r="AJ549" s="9"/>
    </row>
    <row r="550" spans="2:36" ht="15.75" customHeight="1">
      <c r="B550" s="9"/>
      <c r="C550" s="9"/>
      <c r="D550" s="9"/>
      <c r="E550" s="9"/>
      <c r="F550" s="9"/>
      <c r="G550" s="9"/>
      <c r="H550" s="9"/>
      <c r="J550" s="9"/>
      <c r="K550" s="9"/>
      <c r="L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  <c r="AI550" s="9"/>
      <c r="AJ550" s="9"/>
    </row>
    <row r="551" spans="2:36" ht="15.75" customHeight="1">
      <c r="B551" s="9"/>
      <c r="C551" s="9"/>
      <c r="D551" s="9"/>
      <c r="E551" s="9"/>
      <c r="F551" s="9"/>
      <c r="G551" s="9"/>
      <c r="H551" s="9"/>
      <c r="J551" s="9"/>
      <c r="K551" s="9"/>
      <c r="L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  <c r="AI551" s="9"/>
      <c r="AJ551" s="9"/>
    </row>
    <row r="552" spans="2:36" ht="15.75" customHeight="1">
      <c r="B552" s="9"/>
      <c r="C552" s="9"/>
      <c r="D552" s="9"/>
      <c r="E552" s="9"/>
      <c r="F552" s="9"/>
      <c r="G552" s="9"/>
      <c r="H552" s="9"/>
      <c r="J552" s="9"/>
      <c r="K552" s="9"/>
      <c r="L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  <c r="AI552" s="9"/>
      <c r="AJ552" s="9"/>
    </row>
    <row r="553" spans="2:36" ht="15.75" customHeight="1">
      <c r="B553" s="9"/>
      <c r="C553" s="9"/>
      <c r="D553" s="9"/>
      <c r="E553" s="9"/>
      <c r="F553" s="9"/>
      <c r="G553" s="9"/>
      <c r="H553" s="9"/>
      <c r="J553" s="9"/>
      <c r="K553" s="9"/>
      <c r="L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  <c r="AI553" s="9"/>
      <c r="AJ553" s="9"/>
    </row>
    <row r="554" spans="2:36" ht="15.75" customHeight="1">
      <c r="B554" s="9"/>
      <c r="C554" s="9"/>
      <c r="D554" s="9"/>
      <c r="E554" s="9"/>
      <c r="F554" s="9"/>
      <c r="G554" s="9"/>
      <c r="H554" s="9"/>
      <c r="J554" s="9"/>
      <c r="K554" s="9"/>
      <c r="L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  <c r="AI554" s="9"/>
      <c r="AJ554" s="9"/>
    </row>
    <row r="555" spans="2:36" ht="15.75" customHeight="1">
      <c r="B555" s="9"/>
      <c r="C555" s="9"/>
      <c r="D555" s="9"/>
      <c r="E555" s="9"/>
      <c r="F555" s="9"/>
      <c r="G555" s="9"/>
      <c r="H555" s="9"/>
      <c r="J555" s="9"/>
      <c r="K555" s="9"/>
      <c r="L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  <c r="AI555" s="9"/>
      <c r="AJ555" s="9"/>
    </row>
    <row r="556" spans="2:36" ht="15.75" customHeight="1">
      <c r="B556" s="9"/>
      <c r="C556" s="9"/>
      <c r="D556" s="9"/>
      <c r="E556" s="9"/>
      <c r="F556" s="9"/>
      <c r="G556" s="9"/>
      <c r="H556" s="9"/>
      <c r="J556" s="9"/>
      <c r="K556" s="9"/>
      <c r="L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  <c r="AI556" s="9"/>
      <c r="AJ556" s="9"/>
    </row>
    <row r="557" spans="2:36" ht="15.75" customHeight="1">
      <c r="B557" s="9"/>
      <c r="C557" s="9"/>
      <c r="D557" s="9"/>
      <c r="E557" s="9"/>
      <c r="F557" s="9"/>
      <c r="G557" s="9"/>
      <c r="H557" s="9"/>
      <c r="J557" s="9"/>
      <c r="K557" s="9"/>
      <c r="L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  <c r="AI557" s="9"/>
      <c r="AJ557" s="9"/>
    </row>
    <row r="558" spans="2:36" ht="15.75" customHeight="1">
      <c r="B558" s="9"/>
      <c r="C558" s="9"/>
      <c r="D558" s="9"/>
      <c r="E558" s="9"/>
      <c r="F558" s="9"/>
      <c r="G558" s="9"/>
      <c r="H558" s="9"/>
      <c r="J558" s="9"/>
      <c r="K558" s="9"/>
      <c r="L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  <c r="AI558" s="9"/>
      <c r="AJ558" s="9"/>
    </row>
    <row r="559" spans="2:36" ht="15.75" customHeight="1">
      <c r="B559" s="9"/>
      <c r="C559" s="9"/>
      <c r="D559" s="9"/>
      <c r="E559" s="9"/>
      <c r="F559" s="9"/>
      <c r="G559" s="9"/>
      <c r="H559" s="9"/>
      <c r="J559" s="9"/>
      <c r="K559" s="9"/>
      <c r="L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  <c r="AI559" s="9"/>
      <c r="AJ559" s="9"/>
    </row>
    <row r="560" spans="2:36" ht="15.75" customHeight="1">
      <c r="B560" s="9"/>
      <c r="C560" s="9"/>
      <c r="D560" s="9"/>
      <c r="E560" s="9"/>
      <c r="F560" s="9"/>
      <c r="G560" s="9"/>
      <c r="H560" s="9"/>
      <c r="J560" s="9"/>
      <c r="K560" s="9"/>
      <c r="L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  <c r="AI560" s="9"/>
      <c r="AJ560" s="9"/>
    </row>
    <row r="561" spans="2:36" ht="15.75" customHeight="1">
      <c r="B561" s="9"/>
      <c r="C561" s="9"/>
      <c r="D561" s="9"/>
      <c r="E561" s="9"/>
      <c r="F561" s="9"/>
      <c r="G561" s="9"/>
      <c r="H561" s="9"/>
      <c r="J561" s="9"/>
      <c r="K561" s="9"/>
      <c r="L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  <c r="AI561" s="9"/>
      <c r="AJ561" s="9"/>
    </row>
    <row r="562" spans="2:36" ht="15.75" customHeight="1">
      <c r="B562" s="9"/>
      <c r="C562" s="9"/>
      <c r="D562" s="9"/>
      <c r="E562" s="9"/>
      <c r="F562" s="9"/>
      <c r="G562" s="9"/>
      <c r="H562" s="9"/>
      <c r="J562" s="9"/>
      <c r="K562" s="9"/>
      <c r="L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  <c r="AI562" s="9"/>
      <c r="AJ562" s="9"/>
    </row>
    <row r="563" spans="2:36" ht="15.75" customHeight="1">
      <c r="B563" s="9"/>
      <c r="C563" s="9"/>
      <c r="D563" s="9"/>
      <c r="E563" s="9"/>
      <c r="F563" s="9"/>
      <c r="G563" s="9"/>
      <c r="H563" s="9"/>
      <c r="J563" s="9"/>
      <c r="K563" s="9"/>
      <c r="L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  <c r="AI563" s="9"/>
      <c r="AJ563" s="9"/>
    </row>
    <row r="564" spans="2:36" ht="15.75" customHeight="1">
      <c r="B564" s="9"/>
      <c r="C564" s="9"/>
      <c r="D564" s="9"/>
      <c r="E564" s="9"/>
      <c r="F564" s="9"/>
      <c r="G564" s="9"/>
      <c r="H564" s="9"/>
      <c r="J564" s="9"/>
      <c r="K564" s="9"/>
      <c r="L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  <c r="AI564" s="9"/>
      <c r="AJ564" s="9"/>
    </row>
    <row r="565" spans="2:36" ht="15.75" customHeight="1">
      <c r="B565" s="9"/>
      <c r="C565" s="9"/>
      <c r="D565" s="9"/>
      <c r="E565" s="9"/>
      <c r="F565" s="9"/>
      <c r="G565" s="9"/>
      <c r="H565" s="9"/>
      <c r="J565" s="9"/>
      <c r="K565" s="9"/>
      <c r="L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  <c r="AI565" s="9"/>
      <c r="AJ565" s="9"/>
    </row>
    <row r="566" spans="2:36" ht="15.75" customHeight="1">
      <c r="B566" s="9"/>
      <c r="C566" s="9"/>
      <c r="D566" s="9"/>
      <c r="E566" s="9"/>
      <c r="F566" s="9"/>
      <c r="G566" s="9"/>
      <c r="H566" s="9"/>
      <c r="J566" s="9"/>
      <c r="K566" s="9"/>
      <c r="L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  <c r="AI566" s="9"/>
      <c r="AJ566" s="9"/>
    </row>
    <row r="567" spans="2:36" ht="15.75" customHeight="1">
      <c r="B567" s="9"/>
      <c r="C567" s="9"/>
      <c r="D567" s="9"/>
      <c r="E567" s="9"/>
      <c r="F567" s="9"/>
      <c r="G567" s="9"/>
      <c r="H567" s="9"/>
      <c r="J567" s="9"/>
      <c r="K567" s="9"/>
      <c r="L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  <c r="AI567" s="9"/>
      <c r="AJ567" s="9"/>
    </row>
    <row r="568" spans="2:36" ht="15.75" customHeight="1">
      <c r="B568" s="9"/>
      <c r="C568" s="9"/>
      <c r="D568" s="9"/>
      <c r="E568" s="9"/>
      <c r="F568" s="9"/>
      <c r="G568" s="9"/>
      <c r="H568" s="9"/>
      <c r="J568" s="9"/>
      <c r="K568" s="9"/>
      <c r="L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  <c r="AI568" s="9"/>
      <c r="AJ568" s="9"/>
    </row>
    <row r="569" spans="2:36" ht="15.75" customHeight="1">
      <c r="B569" s="9"/>
      <c r="C569" s="9"/>
      <c r="D569" s="9"/>
      <c r="E569" s="9"/>
      <c r="F569" s="9"/>
      <c r="G569" s="9"/>
      <c r="H569" s="9"/>
      <c r="J569" s="9"/>
      <c r="K569" s="9"/>
      <c r="L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  <c r="AI569" s="9"/>
      <c r="AJ569" s="9"/>
    </row>
    <row r="570" spans="2:36" ht="15.75" customHeight="1">
      <c r="B570" s="9"/>
      <c r="C570" s="9"/>
      <c r="D570" s="9"/>
      <c r="E570" s="9"/>
      <c r="F570" s="9"/>
      <c r="G570" s="9"/>
      <c r="H570" s="9"/>
      <c r="J570" s="9"/>
      <c r="K570" s="9"/>
      <c r="L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  <c r="AI570" s="9"/>
      <c r="AJ570" s="9"/>
    </row>
    <row r="571" spans="2:36" ht="15.75" customHeight="1">
      <c r="B571" s="9"/>
      <c r="C571" s="9"/>
      <c r="D571" s="9"/>
      <c r="E571" s="9"/>
      <c r="F571" s="9"/>
      <c r="G571" s="9"/>
      <c r="H571" s="9"/>
      <c r="J571" s="9"/>
      <c r="K571" s="9"/>
      <c r="L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  <c r="AI571" s="9"/>
      <c r="AJ571" s="9"/>
    </row>
    <row r="572" spans="2:36" ht="15.75" customHeight="1">
      <c r="B572" s="9"/>
      <c r="C572" s="9"/>
      <c r="D572" s="9"/>
      <c r="E572" s="9"/>
      <c r="F572" s="9"/>
      <c r="G572" s="9"/>
      <c r="H572" s="9"/>
      <c r="J572" s="9"/>
      <c r="K572" s="9"/>
      <c r="L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  <c r="AI572" s="9"/>
      <c r="AJ572" s="9"/>
    </row>
    <row r="573" spans="2:36" ht="15.75" customHeight="1">
      <c r="B573" s="9"/>
      <c r="C573" s="9"/>
      <c r="D573" s="9"/>
      <c r="E573" s="9"/>
      <c r="F573" s="9"/>
      <c r="G573" s="9"/>
      <c r="H573" s="9"/>
      <c r="J573" s="9"/>
      <c r="K573" s="9"/>
      <c r="L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  <c r="AI573" s="9"/>
      <c r="AJ573" s="9"/>
    </row>
    <row r="574" spans="2:36" ht="15.75" customHeight="1">
      <c r="B574" s="9"/>
      <c r="C574" s="9"/>
      <c r="D574" s="9"/>
      <c r="E574" s="9"/>
      <c r="F574" s="9"/>
      <c r="G574" s="9"/>
      <c r="H574" s="9"/>
      <c r="J574" s="9"/>
      <c r="K574" s="9"/>
      <c r="L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  <c r="AI574" s="9"/>
      <c r="AJ574" s="9"/>
    </row>
    <row r="575" spans="2:36" ht="15.75" customHeight="1">
      <c r="B575" s="9"/>
      <c r="C575" s="9"/>
      <c r="D575" s="9"/>
      <c r="E575" s="9"/>
      <c r="F575" s="9"/>
      <c r="G575" s="9"/>
      <c r="H575" s="9"/>
      <c r="J575" s="9"/>
      <c r="K575" s="9"/>
      <c r="L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  <c r="AI575" s="9"/>
      <c r="AJ575" s="9"/>
    </row>
    <row r="576" spans="2:36" ht="15.75" customHeight="1">
      <c r="B576" s="9"/>
      <c r="C576" s="9"/>
      <c r="D576" s="9"/>
      <c r="E576" s="9"/>
      <c r="F576" s="9"/>
      <c r="G576" s="9"/>
      <c r="H576" s="9"/>
      <c r="J576" s="9"/>
      <c r="K576" s="9"/>
      <c r="L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  <c r="AI576" s="9"/>
      <c r="AJ576" s="9"/>
    </row>
    <row r="577" spans="2:36" ht="15.75" customHeight="1">
      <c r="B577" s="9"/>
      <c r="C577" s="9"/>
      <c r="D577" s="9"/>
      <c r="E577" s="9"/>
      <c r="F577" s="9"/>
      <c r="G577" s="9"/>
      <c r="H577" s="9"/>
      <c r="J577" s="9"/>
      <c r="K577" s="9"/>
      <c r="L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  <c r="AI577" s="9"/>
      <c r="AJ577" s="9"/>
    </row>
    <row r="578" spans="2:36" ht="15.75" customHeight="1">
      <c r="B578" s="9"/>
      <c r="C578" s="9"/>
      <c r="D578" s="9"/>
      <c r="E578" s="9"/>
      <c r="F578" s="9"/>
      <c r="G578" s="9"/>
      <c r="H578" s="9"/>
      <c r="J578" s="9"/>
      <c r="K578" s="9"/>
      <c r="L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  <c r="AI578" s="9"/>
      <c r="AJ578" s="9"/>
    </row>
    <row r="579" spans="2:36" ht="15.75" customHeight="1">
      <c r="B579" s="9"/>
      <c r="C579" s="9"/>
      <c r="D579" s="9"/>
      <c r="E579" s="9"/>
      <c r="F579" s="9"/>
      <c r="G579" s="9"/>
      <c r="H579" s="9"/>
      <c r="J579" s="9"/>
      <c r="K579" s="9"/>
      <c r="L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  <c r="AI579" s="9"/>
      <c r="AJ579" s="9"/>
    </row>
    <row r="580" spans="2:36" ht="15.75" customHeight="1">
      <c r="B580" s="9"/>
      <c r="C580" s="9"/>
      <c r="D580" s="9"/>
      <c r="E580" s="9"/>
      <c r="F580" s="9"/>
      <c r="G580" s="9"/>
      <c r="H580" s="9"/>
      <c r="J580" s="9"/>
      <c r="K580" s="9"/>
      <c r="L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  <c r="AI580" s="9"/>
      <c r="AJ580" s="9"/>
    </row>
    <row r="581" spans="2:36" ht="15.75" customHeight="1">
      <c r="B581" s="9"/>
      <c r="C581" s="9"/>
      <c r="D581" s="9"/>
      <c r="E581" s="9"/>
      <c r="F581" s="9"/>
      <c r="G581" s="9"/>
      <c r="H581" s="9"/>
      <c r="J581" s="9"/>
      <c r="K581" s="9"/>
      <c r="L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  <c r="AI581" s="9"/>
      <c r="AJ581" s="9"/>
    </row>
    <row r="582" spans="2:36" ht="15.75" customHeight="1">
      <c r="B582" s="9"/>
      <c r="C582" s="9"/>
      <c r="D582" s="9"/>
      <c r="E582" s="9"/>
      <c r="F582" s="9"/>
      <c r="G582" s="9"/>
      <c r="H582" s="9"/>
      <c r="J582" s="9"/>
      <c r="K582" s="9"/>
      <c r="L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  <c r="AI582" s="9"/>
      <c r="AJ582" s="9"/>
    </row>
    <row r="583" spans="2:36" ht="15.75" customHeight="1">
      <c r="B583" s="9"/>
      <c r="C583" s="9"/>
      <c r="D583" s="9"/>
      <c r="E583" s="9"/>
      <c r="F583" s="9"/>
      <c r="G583" s="9"/>
      <c r="H583" s="9"/>
      <c r="J583" s="9"/>
      <c r="K583" s="9"/>
      <c r="L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  <c r="AI583" s="9"/>
      <c r="AJ583" s="9"/>
    </row>
    <row r="584" spans="2:36" ht="15.75" customHeight="1">
      <c r="B584" s="9"/>
      <c r="C584" s="9"/>
      <c r="D584" s="9"/>
      <c r="E584" s="9"/>
      <c r="F584" s="9"/>
      <c r="G584" s="9"/>
      <c r="H584" s="9"/>
      <c r="J584" s="9"/>
      <c r="K584" s="9"/>
      <c r="L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  <c r="AI584" s="9"/>
      <c r="AJ584" s="9"/>
    </row>
    <row r="585" spans="2:36" ht="15.75" customHeight="1">
      <c r="B585" s="9"/>
      <c r="C585" s="9"/>
      <c r="D585" s="9"/>
      <c r="E585" s="9"/>
      <c r="F585" s="9"/>
      <c r="G585" s="9"/>
      <c r="H585" s="9"/>
      <c r="J585" s="9"/>
      <c r="K585" s="9"/>
      <c r="L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  <c r="AI585" s="9"/>
      <c r="AJ585" s="9"/>
    </row>
    <row r="586" spans="2:36" ht="15.75" customHeight="1">
      <c r="B586" s="9"/>
      <c r="C586" s="9"/>
      <c r="D586" s="9"/>
      <c r="E586" s="9"/>
      <c r="F586" s="9"/>
      <c r="G586" s="9"/>
      <c r="H586" s="9"/>
      <c r="J586" s="9"/>
      <c r="K586" s="9"/>
      <c r="L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  <c r="AI586" s="9"/>
      <c r="AJ586" s="9"/>
    </row>
    <row r="587" spans="2:36" ht="15.75" customHeight="1">
      <c r="B587" s="9"/>
      <c r="C587" s="9"/>
      <c r="D587" s="9"/>
      <c r="E587" s="9"/>
      <c r="F587" s="9"/>
      <c r="G587" s="9"/>
      <c r="H587" s="9"/>
      <c r="J587" s="9"/>
      <c r="K587" s="9"/>
      <c r="L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  <c r="AI587" s="9"/>
      <c r="AJ587" s="9"/>
    </row>
    <row r="588" spans="2:36" ht="15.75" customHeight="1">
      <c r="B588" s="9"/>
      <c r="C588" s="9"/>
      <c r="D588" s="9"/>
      <c r="E588" s="9"/>
      <c r="F588" s="9"/>
      <c r="G588" s="9"/>
      <c r="H588" s="9"/>
      <c r="J588" s="9"/>
      <c r="K588" s="9"/>
      <c r="L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  <c r="AI588" s="9"/>
      <c r="AJ588" s="9"/>
    </row>
    <row r="589" spans="2:36" ht="15.75" customHeight="1">
      <c r="B589" s="9"/>
      <c r="C589" s="9"/>
      <c r="D589" s="9"/>
      <c r="E589" s="9"/>
      <c r="F589" s="9"/>
      <c r="G589" s="9"/>
      <c r="H589" s="9"/>
      <c r="J589" s="9"/>
      <c r="K589" s="9"/>
      <c r="L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  <c r="AI589" s="9"/>
      <c r="AJ589" s="9"/>
    </row>
    <row r="590" spans="2:36" ht="15.75" customHeight="1">
      <c r="B590" s="9"/>
      <c r="C590" s="9"/>
      <c r="D590" s="9"/>
      <c r="E590" s="9"/>
      <c r="F590" s="9"/>
      <c r="G590" s="9"/>
      <c r="H590" s="9"/>
      <c r="J590" s="9"/>
      <c r="K590" s="9"/>
      <c r="L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  <c r="AI590" s="9"/>
      <c r="AJ590" s="9"/>
    </row>
    <row r="591" spans="2:36" ht="15.75" customHeight="1">
      <c r="B591" s="9"/>
      <c r="C591" s="9"/>
      <c r="D591" s="9"/>
      <c r="E591" s="9"/>
      <c r="F591" s="9"/>
      <c r="G591" s="9"/>
      <c r="H591" s="9"/>
      <c r="J591" s="9"/>
      <c r="K591" s="9"/>
      <c r="L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  <c r="AI591" s="9"/>
      <c r="AJ591" s="9"/>
    </row>
    <row r="592" spans="2:36" ht="15.75" customHeight="1">
      <c r="B592" s="9"/>
      <c r="C592" s="9"/>
      <c r="D592" s="9"/>
      <c r="E592" s="9"/>
      <c r="F592" s="9"/>
      <c r="G592" s="9"/>
      <c r="H592" s="9"/>
      <c r="J592" s="9"/>
      <c r="K592" s="9"/>
      <c r="L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  <c r="AI592" s="9"/>
      <c r="AJ592" s="9"/>
    </row>
    <row r="593" spans="2:36" ht="15.75" customHeight="1">
      <c r="B593" s="9"/>
      <c r="C593" s="9"/>
      <c r="D593" s="9"/>
      <c r="E593" s="9"/>
      <c r="F593" s="9"/>
      <c r="G593" s="9"/>
      <c r="H593" s="9"/>
      <c r="J593" s="9"/>
      <c r="K593" s="9"/>
      <c r="L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  <c r="AI593" s="9"/>
      <c r="AJ593" s="9"/>
    </row>
    <row r="594" spans="2:36" ht="15.75" customHeight="1">
      <c r="B594" s="9"/>
      <c r="C594" s="9"/>
      <c r="D594" s="9"/>
      <c r="E594" s="9"/>
      <c r="F594" s="9"/>
      <c r="G594" s="9"/>
      <c r="H594" s="9"/>
      <c r="J594" s="9"/>
      <c r="K594" s="9"/>
      <c r="L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  <c r="AI594" s="9"/>
      <c r="AJ594" s="9"/>
    </row>
    <row r="595" spans="2:36" ht="15.75" customHeight="1">
      <c r="B595" s="9"/>
      <c r="C595" s="9"/>
      <c r="D595" s="9"/>
      <c r="E595" s="9"/>
      <c r="F595" s="9"/>
      <c r="G595" s="9"/>
      <c r="H595" s="9"/>
      <c r="J595" s="9"/>
      <c r="K595" s="9"/>
      <c r="L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  <c r="AI595" s="9"/>
      <c r="AJ595" s="9"/>
    </row>
    <row r="596" spans="2:36" ht="15.75" customHeight="1">
      <c r="B596" s="9"/>
      <c r="C596" s="9"/>
      <c r="D596" s="9"/>
      <c r="E596" s="9"/>
      <c r="F596" s="9"/>
      <c r="G596" s="9"/>
      <c r="H596" s="9"/>
      <c r="J596" s="9"/>
      <c r="K596" s="9"/>
      <c r="L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  <c r="AI596" s="9"/>
      <c r="AJ596" s="9"/>
    </row>
    <row r="597" spans="2:36" ht="15.75" customHeight="1">
      <c r="B597" s="9"/>
      <c r="C597" s="9"/>
      <c r="D597" s="9"/>
      <c r="E597" s="9"/>
      <c r="F597" s="9"/>
      <c r="G597" s="9"/>
      <c r="H597" s="9"/>
      <c r="J597" s="9"/>
      <c r="K597" s="9"/>
      <c r="L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  <c r="AI597" s="9"/>
      <c r="AJ597" s="9"/>
    </row>
    <row r="598" spans="2:36" ht="15.75" customHeight="1">
      <c r="B598" s="9"/>
      <c r="C598" s="9"/>
      <c r="D598" s="9"/>
      <c r="E598" s="9"/>
      <c r="F598" s="9"/>
      <c r="G598" s="9"/>
      <c r="H598" s="9"/>
      <c r="J598" s="9"/>
      <c r="K598" s="9"/>
      <c r="L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  <c r="AI598" s="9"/>
      <c r="AJ598" s="9"/>
    </row>
    <row r="599" spans="2:36" ht="15.75" customHeight="1">
      <c r="B599" s="9"/>
      <c r="C599" s="9"/>
      <c r="D599" s="9"/>
      <c r="E599" s="9"/>
      <c r="F599" s="9"/>
      <c r="G599" s="9"/>
      <c r="H599" s="9"/>
      <c r="J599" s="9"/>
      <c r="K599" s="9"/>
      <c r="L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  <c r="AI599" s="9"/>
      <c r="AJ599" s="9"/>
    </row>
    <row r="600" spans="2:36" ht="15.75" customHeight="1">
      <c r="B600" s="9"/>
      <c r="C600" s="9"/>
      <c r="D600" s="9"/>
      <c r="E600" s="9"/>
      <c r="F600" s="9"/>
      <c r="G600" s="9"/>
      <c r="H600" s="9"/>
      <c r="J600" s="9"/>
      <c r="K600" s="9"/>
      <c r="L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  <c r="AI600" s="9"/>
      <c r="AJ600" s="9"/>
    </row>
    <row r="601" spans="2:36" ht="15.75" customHeight="1">
      <c r="B601" s="9"/>
      <c r="C601" s="9"/>
      <c r="D601" s="9"/>
      <c r="E601" s="9"/>
      <c r="F601" s="9"/>
      <c r="G601" s="9"/>
      <c r="H601" s="9"/>
      <c r="J601" s="9"/>
      <c r="K601" s="9"/>
      <c r="L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  <c r="AI601" s="9"/>
      <c r="AJ601" s="9"/>
    </row>
    <row r="602" spans="2:36" ht="15.75" customHeight="1">
      <c r="B602" s="9"/>
      <c r="C602" s="9"/>
      <c r="D602" s="9"/>
      <c r="E602" s="9"/>
      <c r="F602" s="9"/>
      <c r="G602" s="9"/>
      <c r="H602" s="9"/>
      <c r="J602" s="9"/>
      <c r="K602" s="9"/>
      <c r="L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  <c r="AI602" s="9"/>
      <c r="AJ602" s="9"/>
    </row>
    <row r="603" spans="2:36" ht="15.75" customHeight="1">
      <c r="B603" s="9"/>
      <c r="C603" s="9"/>
      <c r="D603" s="9"/>
      <c r="E603" s="9"/>
      <c r="F603" s="9"/>
      <c r="G603" s="9"/>
      <c r="H603" s="9"/>
      <c r="J603" s="9"/>
      <c r="K603" s="9"/>
      <c r="L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  <c r="AI603" s="9"/>
      <c r="AJ603" s="9"/>
    </row>
    <row r="604" spans="2:36" ht="15.75" customHeight="1">
      <c r="B604" s="9"/>
      <c r="C604" s="9"/>
      <c r="D604" s="9"/>
      <c r="E604" s="9"/>
      <c r="F604" s="9"/>
      <c r="G604" s="9"/>
      <c r="H604" s="9"/>
      <c r="J604" s="9"/>
      <c r="K604" s="9"/>
      <c r="L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  <c r="AI604" s="9"/>
      <c r="AJ604" s="9"/>
    </row>
    <row r="605" spans="2:36" ht="15.75" customHeight="1">
      <c r="B605" s="9"/>
      <c r="C605" s="9"/>
      <c r="D605" s="9"/>
      <c r="E605" s="9"/>
      <c r="F605" s="9"/>
      <c r="G605" s="9"/>
      <c r="H605" s="9"/>
      <c r="J605" s="9"/>
      <c r="K605" s="9"/>
      <c r="L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  <c r="AI605" s="9"/>
      <c r="AJ605" s="9"/>
    </row>
    <row r="606" spans="2:36" ht="15.75" customHeight="1">
      <c r="B606" s="9"/>
      <c r="C606" s="9"/>
      <c r="D606" s="9"/>
      <c r="E606" s="9"/>
      <c r="F606" s="9"/>
      <c r="G606" s="9"/>
      <c r="H606" s="9"/>
      <c r="J606" s="9"/>
      <c r="K606" s="9"/>
      <c r="L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  <c r="AI606" s="9"/>
      <c r="AJ606" s="9"/>
    </row>
    <row r="607" spans="2:36" ht="15.75" customHeight="1">
      <c r="B607" s="9"/>
      <c r="C607" s="9"/>
      <c r="D607" s="9"/>
      <c r="E607" s="9"/>
      <c r="F607" s="9"/>
      <c r="G607" s="9"/>
      <c r="H607" s="9"/>
      <c r="J607" s="9"/>
      <c r="K607" s="9"/>
      <c r="L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  <c r="AI607" s="9"/>
      <c r="AJ607" s="9"/>
    </row>
    <row r="608" spans="2:36" ht="15.75" customHeight="1">
      <c r="B608" s="9"/>
      <c r="C608" s="9"/>
      <c r="D608" s="9"/>
      <c r="E608" s="9"/>
      <c r="F608" s="9"/>
      <c r="G608" s="9"/>
      <c r="H608" s="9"/>
      <c r="J608" s="9"/>
      <c r="K608" s="9"/>
      <c r="L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  <c r="AI608" s="9"/>
      <c r="AJ608" s="9"/>
    </row>
    <row r="609" spans="2:36" ht="15.75" customHeight="1">
      <c r="B609" s="9"/>
      <c r="C609" s="9"/>
      <c r="D609" s="9"/>
      <c r="E609" s="9"/>
      <c r="F609" s="9"/>
      <c r="G609" s="9"/>
      <c r="H609" s="9"/>
      <c r="J609" s="9"/>
      <c r="K609" s="9"/>
      <c r="L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  <c r="AI609" s="9"/>
      <c r="AJ609" s="9"/>
    </row>
    <row r="610" spans="2:36" ht="15.75" customHeight="1">
      <c r="B610" s="9"/>
      <c r="C610" s="9"/>
      <c r="D610" s="9"/>
      <c r="E610" s="9"/>
      <c r="F610" s="9"/>
      <c r="G610" s="9"/>
      <c r="H610" s="9"/>
      <c r="J610" s="9"/>
      <c r="K610" s="9"/>
      <c r="L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  <c r="AI610" s="9"/>
      <c r="AJ610" s="9"/>
    </row>
    <row r="611" spans="2:36" ht="15.75" customHeight="1">
      <c r="B611" s="9"/>
      <c r="C611" s="9"/>
      <c r="D611" s="9"/>
      <c r="E611" s="9"/>
      <c r="F611" s="9"/>
      <c r="G611" s="9"/>
      <c r="H611" s="9"/>
      <c r="J611" s="9"/>
      <c r="K611" s="9"/>
      <c r="L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  <c r="AI611" s="9"/>
      <c r="AJ611" s="9"/>
    </row>
    <row r="612" spans="2:36" ht="15.75" customHeight="1">
      <c r="B612" s="9"/>
      <c r="C612" s="9"/>
      <c r="D612" s="9"/>
      <c r="E612" s="9"/>
      <c r="F612" s="9"/>
      <c r="G612" s="9"/>
      <c r="H612" s="9"/>
      <c r="J612" s="9"/>
      <c r="K612" s="9"/>
      <c r="L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  <c r="AI612" s="9"/>
      <c r="AJ612" s="9"/>
    </row>
    <row r="613" spans="2:36" ht="15.75" customHeight="1">
      <c r="B613" s="9"/>
      <c r="C613" s="9"/>
      <c r="D613" s="9"/>
      <c r="E613" s="9"/>
      <c r="F613" s="9"/>
      <c r="G613" s="9"/>
      <c r="H613" s="9"/>
      <c r="J613" s="9"/>
      <c r="K613" s="9"/>
      <c r="L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  <c r="AI613" s="9"/>
      <c r="AJ613" s="9"/>
    </row>
    <row r="614" spans="2:36" ht="15.75" customHeight="1">
      <c r="B614" s="9"/>
      <c r="C614" s="9"/>
      <c r="D614" s="9"/>
      <c r="E614" s="9"/>
      <c r="F614" s="9"/>
      <c r="G614" s="9"/>
      <c r="H614" s="9"/>
      <c r="J614" s="9"/>
      <c r="K614" s="9"/>
      <c r="L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  <c r="AI614" s="9"/>
      <c r="AJ614" s="9"/>
    </row>
    <row r="615" spans="2:36" ht="15.75" customHeight="1">
      <c r="B615" s="9"/>
      <c r="C615" s="9"/>
      <c r="D615" s="9"/>
      <c r="E615" s="9"/>
      <c r="F615" s="9"/>
      <c r="G615" s="9"/>
      <c r="H615" s="9"/>
      <c r="J615" s="9"/>
      <c r="K615" s="9"/>
      <c r="L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  <c r="AI615" s="9"/>
      <c r="AJ615" s="9"/>
    </row>
    <row r="616" spans="2:36" ht="15.75" customHeight="1">
      <c r="B616" s="9"/>
      <c r="C616" s="9"/>
      <c r="D616" s="9"/>
      <c r="E616" s="9"/>
      <c r="F616" s="9"/>
      <c r="G616" s="9"/>
      <c r="H616" s="9"/>
      <c r="J616" s="9"/>
      <c r="K616" s="9"/>
      <c r="L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  <c r="AI616" s="9"/>
      <c r="AJ616" s="9"/>
    </row>
    <row r="617" spans="2:36" ht="15.75" customHeight="1">
      <c r="B617" s="9"/>
      <c r="C617" s="9"/>
      <c r="D617" s="9"/>
      <c r="E617" s="9"/>
      <c r="F617" s="9"/>
      <c r="G617" s="9"/>
      <c r="H617" s="9"/>
      <c r="J617" s="9"/>
      <c r="K617" s="9"/>
      <c r="L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  <c r="AI617" s="9"/>
      <c r="AJ617" s="9"/>
    </row>
    <row r="618" spans="2:36" ht="15.75" customHeight="1">
      <c r="B618" s="9"/>
      <c r="C618" s="9"/>
      <c r="D618" s="9"/>
      <c r="E618" s="9"/>
      <c r="F618" s="9"/>
      <c r="G618" s="9"/>
      <c r="H618" s="9"/>
      <c r="J618" s="9"/>
      <c r="K618" s="9"/>
      <c r="L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  <c r="AI618" s="9"/>
      <c r="AJ618" s="9"/>
    </row>
    <row r="619" spans="2:36" ht="15.75" customHeight="1">
      <c r="B619" s="9"/>
      <c r="C619" s="9"/>
      <c r="D619" s="9"/>
      <c r="E619" s="9"/>
      <c r="F619" s="9"/>
      <c r="G619" s="9"/>
      <c r="H619" s="9"/>
      <c r="J619" s="9"/>
      <c r="K619" s="9"/>
      <c r="L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  <c r="AI619" s="9"/>
      <c r="AJ619" s="9"/>
    </row>
    <row r="620" spans="2:36" ht="15.75" customHeight="1">
      <c r="B620" s="9"/>
      <c r="C620" s="9"/>
      <c r="D620" s="9"/>
      <c r="E620" s="9"/>
      <c r="F620" s="9"/>
      <c r="G620" s="9"/>
      <c r="H620" s="9"/>
      <c r="J620" s="9"/>
      <c r="K620" s="9"/>
      <c r="L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  <c r="AI620" s="9"/>
      <c r="AJ620" s="9"/>
    </row>
    <row r="621" spans="2:36" ht="15.75" customHeight="1">
      <c r="B621" s="9"/>
      <c r="C621" s="9"/>
      <c r="D621" s="9"/>
      <c r="E621" s="9"/>
      <c r="F621" s="9"/>
      <c r="G621" s="9"/>
      <c r="H621" s="9"/>
      <c r="J621" s="9"/>
      <c r="K621" s="9"/>
      <c r="L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  <c r="AI621" s="9"/>
      <c r="AJ621" s="9"/>
    </row>
    <row r="622" spans="2:36" ht="15.75" customHeight="1">
      <c r="B622" s="9"/>
      <c r="C622" s="9"/>
      <c r="D622" s="9"/>
      <c r="E622" s="9"/>
      <c r="F622" s="9"/>
      <c r="G622" s="9"/>
      <c r="H622" s="9"/>
      <c r="J622" s="9"/>
      <c r="K622" s="9"/>
      <c r="L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  <c r="AI622" s="9"/>
      <c r="AJ622" s="9"/>
    </row>
    <row r="623" spans="2:36" ht="15.75" customHeight="1">
      <c r="B623" s="9"/>
      <c r="C623" s="9"/>
      <c r="D623" s="9"/>
      <c r="E623" s="9"/>
      <c r="F623" s="9"/>
      <c r="G623" s="9"/>
      <c r="H623" s="9"/>
      <c r="J623" s="9"/>
      <c r="K623" s="9"/>
      <c r="L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  <c r="AI623" s="9"/>
      <c r="AJ623" s="9"/>
    </row>
    <row r="624" spans="2:36" ht="15.75" customHeight="1">
      <c r="B624" s="9"/>
      <c r="C624" s="9"/>
      <c r="D624" s="9"/>
      <c r="E624" s="9"/>
      <c r="F624" s="9"/>
      <c r="G624" s="9"/>
      <c r="H624" s="9"/>
      <c r="J624" s="9"/>
      <c r="K624" s="9"/>
      <c r="L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  <c r="AI624" s="9"/>
      <c r="AJ624" s="9"/>
    </row>
    <row r="625" spans="2:36" ht="15.75" customHeight="1">
      <c r="B625" s="9"/>
      <c r="C625" s="9"/>
      <c r="D625" s="9"/>
      <c r="E625" s="9"/>
      <c r="F625" s="9"/>
      <c r="G625" s="9"/>
      <c r="H625" s="9"/>
      <c r="J625" s="9"/>
      <c r="K625" s="9"/>
      <c r="L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  <c r="AI625" s="9"/>
      <c r="AJ625" s="9"/>
    </row>
    <row r="626" spans="2:36" ht="15.75" customHeight="1">
      <c r="B626" s="9"/>
      <c r="C626" s="9"/>
      <c r="D626" s="9"/>
      <c r="E626" s="9"/>
      <c r="F626" s="9"/>
      <c r="G626" s="9"/>
      <c r="H626" s="9"/>
      <c r="J626" s="9"/>
      <c r="K626" s="9"/>
      <c r="L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  <c r="AI626" s="9"/>
      <c r="AJ626" s="9"/>
    </row>
    <row r="627" spans="2:36" ht="15.75" customHeight="1">
      <c r="B627" s="9"/>
      <c r="C627" s="9"/>
      <c r="D627" s="9"/>
      <c r="E627" s="9"/>
      <c r="F627" s="9"/>
      <c r="G627" s="9"/>
      <c r="H627" s="9"/>
      <c r="J627" s="9"/>
      <c r="K627" s="9"/>
      <c r="L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  <c r="AI627" s="9"/>
      <c r="AJ627" s="9"/>
    </row>
    <row r="628" spans="2:36" ht="15.75" customHeight="1">
      <c r="B628" s="9"/>
      <c r="C628" s="9"/>
      <c r="D628" s="9"/>
      <c r="E628" s="9"/>
      <c r="F628" s="9"/>
      <c r="G628" s="9"/>
      <c r="H628" s="9"/>
      <c r="J628" s="9"/>
      <c r="K628" s="9"/>
      <c r="L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  <c r="AI628" s="9"/>
      <c r="AJ628" s="9"/>
    </row>
    <row r="629" spans="2:36" ht="15.75" customHeight="1">
      <c r="B629" s="9"/>
      <c r="C629" s="9"/>
      <c r="D629" s="9"/>
      <c r="E629" s="9"/>
      <c r="F629" s="9"/>
      <c r="G629" s="9"/>
      <c r="H629" s="9"/>
      <c r="J629" s="9"/>
      <c r="K629" s="9"/>
      <c r="L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  <c r="AI629" s="9"/>
      <c r="AJ629" s="9"/>
    </row>
    <row r="630" spans="2:36" ht="15.75" customHeight="1">
      <c r="B630" s="9"/>
      <c r="C630" s="9"/>
      <c r="D630" s="9"/>
      <c r="E630" s="9"/>
      <c r="F630" s="9"/>
      <c r="G630" s="9"/>
      <c r="H630" s="9"/>
      <c r="J630" s="9"/>
      <c r="K630" s="9"/>
      <c r="L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  <c r="AI630" s="9"/>
      <c r="AJ630" s="9"/>
    </row>
    <row r="631" spans="2:36" ht="15.75" customHeight="1">
      <c r="B631" s="9"/>
      <c r="C631" s="9"/>
      <c r="D631" s="9"/>
      <c r="E631" s="9"/>
      <c r="F631" s="9"/>
      <c r="G631" s="9"/>
      <c r="H631" s="9"/>
      <c r="J631" s="9"/>
      <c r="K631" s="9"/>
      <c r="L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  <c r="AI631" s="9"/>
      <c r="AJ631" s="9"/>
    </row>
    <row r="632" spans="2:36" ht="15.75" customHeight="1">
      <c r="B632" s="9"/>
      <c r="C632" s="9"/>
      <c r="D632" s="9"/>
      <c r="E632" s="9"/>
      <c r="F632" s="9"/>
      <c r="G632" s="9"/>
      <c r="H632" s="9"/>
      <c r="J632" s="9"/>
      <c r="K632" s="9"/>
      <c r="L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  <c r="AI632" s="9"/>
      <c r="AJ632" s="9"/>
    </row>
    <row r="633" spans="2:36" ht="15.75" customHeight="1">
      <c r="B633" s="9"/>
      <c r="C633" s="9"/>
      <c r="D633" s="9"/>
      <c r="E633" s="9"/>
      <c r="F633" s="9"/>
      <c r="G633" s="9"/>
      <c r="H633" s="9"/>
      <c r="J633" s="9"/>
      <c r="K633" s="9"/>
      <c r="L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  <c r="AI633" s="9"/>
      <c r="AJ633" s="9"/>
    </row>
    <row r="634" spans="2:36" ht="15.75" customHeight="1">
      <c r="B634" s="9"/>
      <c r="C634" s="9"/>
      <c r="D634" s="9"/>
      <c r="E634" s="9"/>
      <c r="F634" s="9"/>
      <c r="G634" s="9"/>
      <c r="H634" s="9"/>
      <c r="J634" s="9"/>
      <c r="K634" s="9"/>
      <c r="L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  <c r="AI634" s="9"/>
      <c r="AJ634" s="9"/>
    </row>
    <row r="635" spans="2:36" ht="15.75" customHeight="1">
      <c r="B635" s="9"/>
      <c r="C635" s="9"/>
      <c r="D635" s="9"/>
      <c r="E635" s="9"/>
      <c r="F635" s="9"/>
      <c r="G635" s="9"/>
      <c r="H635" s="9"/>
      <c r="J635" s="9"/>
      <c r="K635" s="9"/>
      <c r="L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  <c r="AI635" s="9"/>
      <c r="AJ635" s="9"/>
    </row>
    <row r="636" spans="2:36" ht="15.75" customHeight="1">
      <c r="B636" s="9"/>
      <c r="C636" s="9"/>
      <c r="D636" s="9"/>
      <c r="E636" s="9"/>
      <c r="F636" s="9"/>
      <c r="G636" s="9"/>
      <c r="H636" s="9"/>
      <c r="J636" s="9"/>
      <c r="K636" s="9"/>
      <c r="L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  <c r="AI636" s="9"/>
      <c r="AJ636" s="9"/>
    </row>
    <row r="637" spans="2:36" ht="15.75" customHeight="1">
      <c r="B637" s="9"/>
      <c r="C637" s="9"/>
      <c r="D637" s="9"/>
      <c r="E637" s="9"/>
      <c r="F637" s="9"/>
      <c r="G637" s="9"/>
      <c r="H637" s="9"/>
      <c r="J637" s="9"/>
      <c r="K637" s="9"/>
      <c r="L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  <c r="AI637" s="9"/>
      <c r="AJ637" s="9"/>
    </row>
    <row r="638" spans="2:36" ht="15.75" customHeight="1">
      <c r="B638" s="9"/>
      <c r="C638" s="9"/>
      <c r="D638" s="9"/>
      <c r="E638" s="9"/>
      <c r="F638" s="9"/>
      <c r="G638" s="9"/>
      <c r="H638" s="9"/>
      <c r="J638" s="9"/>
      <c r="K638" s="9"/>
      <c r="L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  <c r="AI638" s="9"/>
      <c r="AJ638" s="9"/>
    </row>
    <row r="639" spans="2:36" ht="15.75" customHeight="1">
      <c r="B639" s="9"/>
      <c r="C639" s="9"/>
      <c r="D639" s="9"/>
      <c r="E639" s="9"/>
      <c r="F639" s="9"/>
      <c r="G639" s="9"/>
      <c r="H639" s="9"/>
      <c r="J639" s="9"/>
      <c r="K639" s="9"/>
      <c r="L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  <c r="AI639" s="9"/>
      <c r="AJ639" s="9"/>
    </row>
    <row r="640" spans="2:36" ht="15.75" customHeight="1">
      <c r="B640" s="9"/>
      <c r="C640" s="9"/>
      <c r="D640" s="9"/>
      <c r="E640" s="9"/>
      <c r="F640" s="9"/>
      <c r="G640" s="9"/>
      <c r="H640" s="9"/>
      <c r="J640" s="9"/>
      <c r="K640" s="9"/>
      <c r="L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  <c r="AI640" s="9"/>
      <c r="AJ640" s="9"/>
    </row>
    <row r="641" spans="2:36" ht="15.75" customHeight="1">
      <c r="B641" s="9"/>
      <c r="C641" s="9"/>
      <c r="D641" s="9"/>
      <c r="E641" s="9"/>
      <c r="F641" s="9"/>
      <c r="G641" s="9"/>
      <c r="H641" s="9"/>
      <c r="J641" s="9"/>
      <c r="K641" s="9"/>
      <c r="L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  <c r="AI641" s="9"/>
      <c r="AJ641" s="9"/>
    </row>
    <row r="642" spans="2:36" ht="15.75" customHeight="1">
      <c r="B642" s="9"/>
      <c r="C642" s="9"/>
      <c r="D642" s="9"/>
      <c r="E642" s="9"/>
      <c r="F642" s="9"/>
      <c r="G642" s="9"/>
      <c r="H642" s="9"/>
      <c r="J642" s="9"/>
      <c r="K642" s="9"/>
      <c r="L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  <c r="AI642" s="9"/>
      <c r="AJ642" s="9"/>
    </row>
    <row r="643" spans="2:36" ht="15.75" customHeight="1">
      <c r="B643" s="9"/>
      <c r="C643" s="9"/>
      <c r="D643" s="9"/>
      <c r="E643" s="9"/>
      <c r="F643" s="9"/>
      <c r="G643" s="9"/>
      <c r="H643" s="9"/>
      <c r="J643" s="9"/>
      <c r="K643" s="9"/>
      <c r="L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  <c r="AI643" s="9"/>
      <c r="AJ643" s="9"/>
    </row>
    <row r="644" spans="2:36" ht="15.75" customHeight="1">
      <c r="B644" s="9"/>
      <c r="C644" s="9"/>
      <c r="D644" s="9"/>
      <c r="E644" s="9"/>
      <c r="F644" s="9"/>
      <c r="G644" s="9"/>
      <c r="H644" s="9"/>
      <c r="J644" s="9"/>
      <c r="K644" s="9"/>
      <c r="L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  <c r="AI644" s="9"/>
      <c r="AJ644" s="9"/>
    </row>
    <row r="645" spans="2:36" ht="15.75" customHeight="1">
      <c r="B645" s="9"/>
      <c r="C645" s="9"/>
      <c r="D645" s="9"/>
      <c r="E645" s="9"/>
      <c r="F645" s="9"/>
      <c r="G645" s="9"/>
      <c r="H645" s="9"/>
      <c r="J645" s="9"/>
      <c r="K645" s="9"/>
      <c r="L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  <c r="AI645" s="9"/>
      <c r="AJ645" s="9"/>
    </row>
    <row r="646" spans="2:36" ht="15.75" customHeight="1">
      <c r="B646" s="9"/>
      <c r="C646" s="9"/>
      <c r="D646" s="9"/>
      <c r="E646" s="9"/>
      <c r="F646" s="9"/>
      <c r="G646" s="9"/>
      <c r="H646" s="9"/>
      <c r="J646" s="9"/>
      <c r="K646" s="9"/>
      <c r="L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  <c r="AI646" s="9"/>
      <c r="AJ646" s="9"/>
    </row>
    <row r="647" spans="2:36" ht="15.75" customHeight="1">
      <c r="B647" s="9"/>
      <c r="C647" s="9"/>
      <c r="D647" s="9"/>
      <c r="E647" s="9"/>
      <c r="F647" s="9"/>
      <c r="G647" s="9"/>
      <c r="H647" s="9"/>
      <c r="J647" s="9"/>
      <c r="K647" s="9"/>
      <c r="L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  <c r="AI647" s="9"/>
      <c r="AJ647" s="9"/>
    </row>
    <row r="648" spans="2:36" ht="15.75" customHeight="1">
      <c r="B648" s="9"/>
      <c r="C648" s="9"/>
      <c r="D648" s="9"/>
      <c r="E648" s="9"/>
      <c r="F648" s="9"/>
      <c r="G648" s="9"/>
      <c r="H648" s="9"/>
      <c r="J648" s="9"/>
      <c r="K648" s="9"/>
      <c r="L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  <c r="AI648" s="9"/>
      <c r="AJ648" s="9"/>
    </row>
    <row r="649" spans="2:36" ht="15.75" customHeight="1">
      <c r="B649" s="9"/>
      <c r="C649" s="9"/>
      <c r="D649" s="9"/>
      <c r="E649" s="9"/>
      <c r="F649" s="9"/>
      <c r="G649" s="9"/>
      <c r="H649" s="9"/>
      <c r="J649" s="9"/>
      <c r="K649" s="9"/>
      <c r="L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  <c r="AI649" s="9"/>
      <c r="AJ649" s="9"/>
    </row>
    <row r="650" spans="2:36" ht="15.75" customHeight="1">
      <c r="B650" s="9"/>
      <c r="C650" s="9"/>
      <c r="D650" s="9"/>
      <c r="E650" s="9"/>
      <c r="F650" s="9"/>
      <c r="G650" s="9"/>
      <c r="H650" s="9"/>
      <c r="J650" s="9"/>
      <c r="K650" s="9"/>
      <c r="L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  <c r="AI650" s="9"/>
      <c r="AJ650" s="9"/>
    </row>
    <row r="651" spans="2:36" ht="15.75" customHeight="1">
      <c r="B651" s="9"/>
      <c r="C651" s="9"/>
      <c r="D651" s="9"/>
      <c r="E651" s="9"/>
      <c r="F651" s="9"/>
      <c r="G651" s="9"/>
      <c r="H651" s="9"/>
      <c r="J651" s="9"/>
      <c r="K651" s="9"/>
      <c r="L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  <c r="AI651" s="9"/>
      <c r="AJ651" s="9"/>
    </row>
    <row r="652" spans="2:36" ht="15.75" customHeight="1">
      <c r="B652" s="9"/>
      <c r="C652" s="9"/>
      <c r="D652" s="9"/>
      <c r="E652" s="9"/>
      <c r="F652" s="9"/>
      <c r="G652" s="9"/>
      <c r="H652" s="9"/>
      <c r="J652" s="9"/>
      <c r="K652" s="9"/>
      <c r="L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  <c r="AI652" s="9"/>
      <c r="AJ652" s="9"/>
    </row>
    <row r="653" spans="2:36" ht="15.75" customHeight="1">
      <c r="B653" s="9"/>
      <c r="C653" s="9"/>
      <c r="D653" s="9"/>
      <c r="E653" s="9"/>
      <c r="F653" s="9"/>
      <c r="G653" s="9"/>
      <c r="H653" s="9"/>
      <c r="J653" s="9"/>
      <c r="K653" s="9"/>
      <c r="L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  <c r="AI653" s="9"/>
      <c r="AJ653" s="9"/>
    </row>
    <row r="654" spans="2:36" ht="15.75" customHeight="1">
      <c r="B654" s="9"/>
      <c r="C654" s="9"/>
      <c r="D654" s="9"/>
      <c r="E654" s="9"/>
      <c r="F654" s="9"/>
      <c r="G654" s="9"/>
      <c r="H654" s="9"/>
      <c r="J654" s="9"/>
      <c r="K654" s="9"/>
      <c r="L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  <c r="AI654" s="9"/>
      <c r="AJ654" s="9"/>
    </row>
    <row r="655" spans="2:36" ht="15.75" customHeight="1">
      <c r="B655" s="9"/>
      <c r="C655" s="9"/>
      <c r="D655" s="9"/>
      <c r="E655" s="9"/>
      <c r="F655" s="9"/>
      <c r="G655" s="9"/>
      <c r="H655" s="9"/>
      <c r="J655" s="9"/>
      <c r="K655" s="9"/>
      <c r="L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  <c r="AI655" s="9"/>
      <c r="AJ655" s="9"/>
    </row>
    <row r="656" spans="2:36" ht="15.75" customHeight="1">
      <c r="B656" s="9"/>
      <c r="C656" s="9"/>
      <c r="D656" s="9"/>
      <c r="E656" s="9"/>
      <c r="F656" s="9"/>
      <c r="G656" s="9"/>
      <c r="H656" s="9"/>
      <c r="J656" s="9"/>
      <c r="K656" s="9"/>
      <c r="L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  <c r="AI656" s="9"/>
      <c r="AJ656" s="9"/>
    </row>
    <row r="657" spans="2:36" ht="15.75" customHeight="1">
      <c r="B657" s="9"/>
      <c r="C657" s="9"/>
      <c r="D657" s="9"/>
      <c r="E657" s="9"/>
      <c r="F657" s="9"/>
      <c r="G657" s="9"/>
      <c r="H657" s="9"/>
      <c r="J657" s="9"/>
      <c r="K657" s="9"/>
      <c r="L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  <c r="AI657" s="9"/>
      <c r="AJ657" s="9"/>
    </row>
    <row r="658" spans="2:36" ht="15.75" customHeight="1">
      <c r="B658" s="9"/>
      <c r="C658" s="9"/>
      <c r="D658" s="9"/>
      <c r="E658" s="9"/>
      <c r="F658" s="9"/>
      <c r="G658" s="9"/>
      <c r="H658" s="9"/>
      <c r="J658" s="9"/>
      <c r="K658" s="9"/>
      <c r="L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  <c r="AI658" s="9"/>
      <c r="AJ658" s="9"/>
    </row>
    <row r="659" spans="2:36" ht="15.75" customHeight="1">
      <c r="B659" s="9"/>
      <c r="C659" s="9"/>
      <c r="D659" s="9"/>
      <c r="E659" s="9"/>
      <c r="F659" s="9"/>
      <c r="G659" s="9"/>
      <c r="H659" s="9"/>
      <c r="J659" s="9"/>
      <c r="K659" s="9"/>
      <c r="L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  <c r="AI659" s="9"/>
      <c r="AJ659" s="9"/>
    </row>
    <row r="660" spans="2:36" ht="15.75" customHeight="1">
      <c r="B660" s="9"/>
      <c r="C660" s="9"/>
      <c r="D660" s="9"/>
      <c r="E660" s="9"/>
      <c r="F660" s="9"/>
      <c r="G660" s="9"/>
      <c r="H660" s="9"/>
      <c r="J660" s="9"/>
      <c r="K660" s="9"/>
      <c r="L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  <c r="AI660" s="9"/>
      <c r="AJ660" s="9"/>
    </row>
    <row r="661" spans="2:36" ht="15.75" customHeight="1">
      <c r="B661" s="9"/>
      <c r="C661" s="9"/>
      <c r="D661" s="9"/>
      <c r="E661" s="9"/>
      <c r="F661" s="9"/>
      <c r="G661" s="9"/>
      <c r="H661" s="9"/>
      <c r="J661" s="9"/>
      <c r="K661" s="9"/>
      <c r="L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  <c r="AI661" s="9"/>
      <c r="AJ661" s="9"/>
    </row>
    <row r="662" spans="2:36" ht="15.75" customHeight="1">
      <c r="B662" s="9"/>
      <c r="C662" s="9"/>
      <c r="D662" s="9"/>
      <c r="E662" s="9"/>
      <c r="F662" s="9"/>
      <c r="G662" s="9"/>
      <c r="H662" s="9"/>
      <c r="J662" s="9"/>
      <c r="K662" s="9"/>
      <c r="L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  <c r="AI662" s="9"/>
      <c r="AJ662" s="9"/>
    </row>
    <row r="663" spans="2:36" ht="15.75" customHeight="1">
      <c r="B663" s="9"/>
      <c r="C663" s="9"/>
      <c r="D663" s="9"/>
      <c r="E663" s="9"/>
      <c r="F663" s="9"/>
      <c r="G663" s="9"/>
      <c r="H663" s="9"/>
      <c r="J663" s="9"/>
      <c r="K663" s="9"/>
      <c r="L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  <c r="AI663" s="9"/>
      <c r="AJ663" s="9"/>
    </row>
    <row r="664" spans="2:36" ht="15.75" customHeight="1">
      <c r="B664" s="9"/>
      <c r="C664" s="9"/>
      <c r="D664" s="9"/>
      <c r="E664" s="9"/>
      <c r="F664" s="9"/>
      <c r="G664" s="9"/>
      <c r="H664" s="9"/>
      <c r="J664" s="9"/>
      <c r="K664" s="9"/>
      <c r="L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  <c r="AI664" s="9"/>
      <c r="AJ664" s="9"/>
    </row>
    <row r="665" spans="2:36" ht="15.75" customHeight="1">
      <c r="B665" s="9"/>
      <c r="C665" s="9"/>
      <c r="D665" s="9"/>
      <c r="E665" s="9"/>
      <c r="F665" s="9"/>
      <c r="G665" s="9"/>
      <c r="H665" s="9"/>
      <c r="J665" s="9"/>
      <c r="K665" s="9"/>
      <c r="L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  <c r="AI665" s="9"/>
      <c r="AJ665" s="9"/>
    </row>
    <row r="666" spans="2:36" ht="15.75" customHeight="1">
      <c r="B666" s="9"/>
      <c r="C666" s="9"/>
      <c r="D666" s="9"/>
      <c r="E666" s="9"/>
      <c r="F666" s="9"/>
      <c r="G666" s="9"/>
      <c r="H666" s="9"/>
      <c r="J666" s="9"/>
      <c r="K666" s="9"/>
      <c r="L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  <c r="AI666" s="9"/>
      <c r="AJ666" s="9"/>
    </row>
    <row r="667" spans="2:36" ht="15.75" customHeight="1">
      <c r="B667" s="9"/>
      <c r="C667" s="9"/>
      <c r="D667" s="9"/>
      <c r="E667" s="9"/>
      <c r="F667" s="9"/>
      <c r="G667" s="9"/>
      <c r="H667" s="9"/>
      <c r="J667" s="9"/>
      <c r="K667" s="9"/>
      <c r="L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  <c r="AI667" s="9"/>
      <c r="AJ667" s="9"/>
    </row>
    <row r="668" spans="2:36" ht="15.75" customHeight="1">
      <c r="B668" s="9"/>
      <c r="C668" s="9"/>
      <c r="D668" s="9"/>
      <c r="E668" s="9"/>
      <c r="F668" s="9"/>
      <c r="G668" s="9"/>
      <c r="H668" s="9"/>
      <c r="J668" s="9"/>
      <c r="K668" s="9"/>
      <c r="L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  <c r="AI668" s="9"/>
      <c r="AJ668" s="9"/>
    </row>
    <row r="669" spans="2:36" ht="15.75" customHeight="1">
      <c r="B669" s="9"/>
      <c r="C669" s="9"/>
      <c r="D669" s="9"/>
      <c r="E669" s="9"/>
      <c r="F669" s="9"/>
      <c r="G669" s="9"/>
      <c r="H669" s="9"/>
      <c r="J669" s="9"/>
      <c r="K669" s="9"/>
      <c r="L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  <c r="AI669" s="9"/>
      <c r="AJ669" s="9"/>
    </row>
    <row r="670" spans="2:36" ht="15.75" customHeight="1">
      <c r="B670" s="9"/>
      <c r="C670" s="9"/>
      <c r="D670" s="9"/>
      <c r="E670" s="9"/>
      <c r="F670" s="9"/>
      <c r="G670" s="9"/>
      <c r="H670" s="9"/>
      <c r="J670" s="9"/>
      <c r="K670" s="9"/>
      <c r="L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  <c r="AI670" s="9"/>
      <c r="AJ670" s="9"/>
    </row>
    <row r="671" spans="2:36" ht="15.75" customHeight="1">
      <c r="B671" s="9"/>
      <c r="C671" s="9"/>
      <c r="D671" s="9"/>
      <c r="E671" s="9"/>
      <c r="F671" s="9"/>
      <c r="G671" s="9"/>
      <c r="H671" s="9"/>
      <c r="J671" s="9"/>
      <c r="K671" s="9"/>
      <c r="L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  <c r="AI671" s="9"/>
      <c r="AJ671" s="9"/>
    </row>
    <row r="672" spans="2:36" ht="15.75" customHeight="1">
      <c r="B672" s="9"/>
      <c r="C672" s="9"/>
      <c r="D672" s="9"/>
      <c r="E672" s="9"/>
      <c r="F672" s="9"/>
      <c r="G672" s="9"/>
      <c r="H672" s="9"/>
      <c r="J672" s="9"/>
      <c r="K672" s="9"/>
      <c r="L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  <c r="AI672" s="9"/>
      <c r="AJ672" s="9"/>
    </row>
    <row r="673" spans="2:36" ht="15.75" customHeight="1">
      <c r="B673" s="9"/>
      <c r="C673" s="9"/>
      <c r="D673" s="9"/>
      <c r="E673" s="9"/>
      <c r="F673" s="9"/>
      <c r="G673" s="9"/>
      <c r="H673" s="9"/>
      <c r="J673" s="9"/>
      <c r="K673" s="9"/>
      <c r="L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  <c r="AI673" s="9"/>
      <c r="AJ673" s="9"/>
    </row>
    <row r="674" spans="2:36" ht="15.75" customHeight="1">
      <c r="B674" s="9"/>
      <c r="C674" s="9"/>
      <c r="D674" s="9"/>
      <c r="E674" s="9"/>
      <c r="F674" s="9"/>
      <c r="G674" s="9"/>
      <c r="H674" s="9"/>
      <c r="J674" s="9"/>
      <c r="K674" s="9"/>
      <c r="L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  <c r="AI674" s="9"/>
      <c r="AJ674" s="9"/>
    </row>
    <row r="675" spans="2:36" ht="15.75" customHeight="1">
      <c r="B675" s="9"/>
      <c r="C675" s="9"/>
      <c r="D675" s="9"/>
      <c r="E675" s="9"/>
      <c r="F675" s="9"/>
      <c r="G675" s="9"/>
      <c r="H675" s="9"/>
      <c r="J675" s="9"/>
      <c r="K675" s="9"/>
      <c r="L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  <c r="AI675" s="9"/>
      <c r="AJ675" s="9"/>
    </row>
    <row r="676" spans="2:36" ht="15.75" customHeight="1">
      <c r="B676" s="9"/>
      <c r="C676" s="9"/>
      <c r="D676" s="9"/>
      <c r="E676" s="9"/>
      <c r="F676" s="9"/>
      <c r="G676" s="9"/>
      <c r="H676" s="9"/>
      <c r="J676" s="9"/>
      <c r="K676" s="9"/>
      <c r="L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  <c r="AI676" s="9"/>
      <c r="AJ676" s="9"/>
    </row>
    <row r="677" spans="2:36" ht="15.75" customHeight="1">
      <c r="B677" s="9"/>
      <c r="C677" s="9"/>
      <c r="D677" s="9"/>
      <c r="E677" s="9"/>
      <c r="F677" s="9"/>
      <c r="G677" s="9"/>
      <c r="H677" s="9"/>
      <c r="J677" s="9"/>
      <c r="K677" s="9"/>
      <c r="L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  <c r="AI677" s="9"/>
      <c r="AJ677" s="9"/>
    </row>
    <row r="678" spans="2:36" ht="15.75" customHeight="1">
      <c r="B678" s="9"/>
      <c r="C678" s="9"/>
      <c r="D678" s="9"/>
      <c r="E678" s="9"/>
      <c r="F678" s="9"/>
      <c r="G678" s="9"/>
      <c r="H678" s="9"/>
      <c r="J678" s="9"/>
      <c r="K678" s="9"/>
      <c r="L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  <c r="AI678" s="9"/>
      <c r="AJ678" s="9"/>
    </row>
    <row r="679" spans="2:36" ht="15.75" customHeight="1">
      <c r="B679" s="9"/>
      <c r="C679" s="9"/>
      <c r="D679" s="9"/>
      <c r="E679" s="9"/>
      <c r="F679" s="9"/>
      <c r="G679" s="9"/>
      <c r="H679" s="9"/>
      <c r="J679" s="9"/>
      <c r="K679" s="9"/>
      <c r="L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  <c r="AI679" s="9"/>
      <c r="AJ679" s="9"/>
    </row>
    <row r="680" spans="2:36" ht="15.75" customHeight="1">
      <c r="B680" s="9"/>
      <c r="C680" s="9"/>
      <c r="D680" s="9"/>
      <c r="E680" s="9"/>
      <c r="F680" s="9"/>
      <c r="G680" s="9"/>
      <c r="H680" s="9"/>
      <c r="J680" s="9"/>
      <c r="K680" s="9"/>
      <c r="L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  <c r="AI680" s="9"/>
      <c r="AJ680" s="9"/>
    </row>
    <row r="681" spans="2:36" ht="15.75" customHeight="1">
      <c r="B681" s="9"/>
      <c r="C681" s="9"/>
      <c r="D681" s="9"/>
      <c r="E681" s="9"/>
      <c r="F681" s="9"/>
      <c r="G681" s="9"/>
      <c r="H681" s="9"/>
      <c r="J681" s="9"/>
      <c r="K681" s="9"/>
      <c r="L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  <c r="AI681" s="9"/>
      <c r="AJ681" s="9"/>
    </row>
    <row r="682" spans="2:36" ht="15.75" customHeight="1">
      <c r="B682" s="9"/>
      <c r="C682" s="9"/>
      <c r="D682" s="9"/>
      <c r="E682" s="9"/>
      <c r="F682" s="9"/>
      <c r="G682" s="9"/>
      <c r="H682" s="9"/>
      <c r="J682" s="9"/>
      <c r="K682" s="9"/>
      <c r="L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  <c r="AI682" s="9"/>
      <c r="AJ682" s="9"/>
    </row>
    <row r="683" spans="2:36" ht="15.75" customHeight="1">
      <c r="B683" s="9"/>
      <c r="C683" s="9"/>
      <c r="D683" s="9"/>
      <c r="E683" s="9"/>
      <c r="F683" s="9"/>
      <c r="G683" s="9"/>
      <c r="H683" s="9"/>
      <c r="J683" s="9"/>
      <c r="K683" s="9"/>
      <c r="L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  <c r="AI683" s="9"/>
      <c r="AJ683" s="9"/>
    </row>
    <row r="684" spans="2:36" ht="15.75" customHeight="1">
      <c r="B684" s="9"/>
      <c r="C684" s="9"/>
      <c r="D684" s="9"/>
      <c r="E684" s="9"/>
      <c r="F684" s="9"/>
      <c r="G684" s="9"/>
      <c r="H684" s="9"/>
      <c r="J684" s="9"/>
      <c r="K684" s="9"/>
      <c r="L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  <c r="AI684" s="9"/>
      <c r="AJ684" s="9"/>
    </row>
    <row r="685" spans="2:36" ht="15.75" customHeight="1">
      <c r="B685" s="9"/>
      <c r="C685" s="9"/>
      <c r="D685" s="9"/>
      <c r="E685" s="9"/>
      <c r="F685" s="9"/>
      <c r="G685" s="9"/>
      <c r="H685" s="9"/>
      <c r="J685" s="9"/>
      <c r="K685" s="9"/>
      <c r="L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  <c r="AI685" s="9"/>
      <c r="AJ685" s="9"/>
    </row>
    <row r="686" spans="2:36" ht="15.75" customHeight="1">
      <c r="B686" s="9"/>
      <c r="C686" s="9"/>
      <c r="D686" s="9"/>
      <c r="E686" s="9"/>
      <c r="F686" s="9"/>
      <c r="G686" s="9"/>
      <c r="H686" s="9"/>
      <c r="J686" s="9"/>
      <c r="K686" s="9"/>
      <c r="L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  <c r="AI686" s="9"/>
      <c r="AJ686" s="9"/>
    </row>
    <row r="687" spans="2:36" ht="15.75" customHeight="1">
      <c r="B687" s="9"/>
      <c r="C687" s="9"/>
      <c r="D687" s="9"/>
      <c r="E687" s="9"/>
      <c r="F687" s="9"/>
      <c r="G687" s="9"/>
      <c r="H687" s="9"/>
      <c r="J687" s="9"/>
      <c r="K687" s="9"/>
      <c r="L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  <c r="AI687" s="9"/>
      <c r="AJ687" s="9"/>
    </row>
    <row r="688" spans="2:36" ht="15.75" customHeight="1">
      <c r="B688" s="9"/>
      <c r="C688" s="9"/>
      <c r="D688" s="9"/>
      <c r="E688" s="9"/>
      <c r="F688" s="9"/>
      <c r="G688" s="9"/>
      <c r="H688" s="9"/>
      <c r="J688" s="9"/>
      <c r="K688" s="9"/>
      <c r="L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  <c r="AI688" s="9"/>
      <c r="AJ688" s="9"/>
    </row>
    <row r="689" spans="2:36" ht="15.75" customHeight="1">
      <c r="B689" s="9"/>
      <c r="C689" s="9"/>
      <c r="D689" s="9"/>
      <c r="E689" s="9"/>
      <c r="F689" s="9"/>
      <c r="G689" s="9"/>
      <c r="H689" s="9"/>
      <c r="J689" s="9"/>
      <c r="K689" s="9"/>
      <c r="L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  <c r="AI689" s="9"/>
      <c r="AJ689" s="9"/>
    </row>
    <row r="690" spans="2:36" ht="15.75" customHeight="1">
      <c r="B690" s="9"/>
      <c r="C690" s="9"/>
      <c r="D690" s="9"/>
      <c r="E690" s="9"/>
      <c r="F690" s="9"/>
      <c r="G690" s="9"/>
      <c r="H690" s="9"/>
      <c r="J690" s="9"/>
      <c r="K690" s="9"/>
      <c r="L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  <c r="AI690" s="9"/>
      <c r="AJ690" s="9"/>
    </row>
    <row r="691" spans="2:36" ht="15.75" customHeight="1">
      <c r="B691" s="9"/>
      <c r="C691" s="9"/>
      <c r="D691" s="9"/>
      <c r="E691" s="9"/>
      <c r="F691" s="9"/>
      <c r="G691" s="9"/>
      <c r="H691" s="9"/>
      <c r="J691" s="9"/>
      <c r="K691" s="9"/>
      <c r="L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  <c r="AI691" s="9"/>
      <c r="AJ691" s="9"/>
    </row>
    <row r="692" spans="2:36" ht="15.75" customHeight="1">
      <c r="B692" s="9"/>
      <c r="C692" s="9"/>
      <c r="D692" s="9"/>
      <c r="E692" s="9"/>
      <c r="F692" s="9"/>
      <c r="G692" s="9"/>
      <c r="H692" s="9"/>
      <c r="J692" s="9"/>
      <c r="K692" s="9"/>
      <c r="L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  <c r="AI692" s="9"/>
      <c r="AJ692" s="9"/>
    </row>
    <row r="693" spans="2:36" ht="15.75" customHeight="1">
      <c r="B693" s="9"/>
      <c r="C693" s="9"/>
      <c r="D693" s="9"/>
      <c r="E693" s="9"/>
      <c r="F693" s="9"/>
      <c r="G693" s="9"/>
      <c r="H693" s="9"/>
      <c r="J693" s="9"/>
      <c r="K693" s="9"/>
      <c r="L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  <c r="AI693" s="9"/>
      <c r="AJ693" s="9"/>
    </row>
    <row r="694" spans="2:36" ht="15.75" customHeight="1">
      <c r="B694" s="9"/>
      <c r="C694" s="9"/>
      <c r="D694" s="9"/>
      <c r="E694" s="9"/>
      <c r="F694" s="9"/>
      <c r="G694" s="9"/>
      <c r="H694" s="9"/>
      <c r="J694" s="9"/>
      <c r="K694" s="9"/>
      <c r="L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  <c r="AI694" s="9"/>
      <c r="AJ694" s="9"/>
    </row>
    <row r="695" spans="2:36" ht="15.75" customHeight="1">
      <c r="B695" s="9"/>
      <c r="C695" s="9"/>
      <c r="D695" s="9"/>
      <c r="E695" s="9"/>
      <c r="F695" s="9"/>
      <c r="G695" s="9"/>
      <c r="H695" s="9"/>
      <c r="J695" s="9"/>
      <c r="K695" s="9"/>
      <c r="L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  <c r="AI695" s="9"/>
      <c r="AJ695" s="9"/>
    </row>
    <row r="696" spans="2:36" ht="15.75" customHeight="1">
      <c r="B696" s="9"/>
      <c r="C696" s="9"/>
      <c r="D696" s="9"/>
      <c r="E696" s="9"/>
      <c r="F696" s="9"/>
      <c r="G696" s="9"/>
      <c r="H696" s="9"/>
      <c r="J696" s="9"/>
      <c r="K696" s="9"/>
      <c r="L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  <c r="AI696" s="9"/>
      <c r="AJ696" s="9"/>
    </row>
    <row r="697" spans="2:36" ht="15.75" customHeight="1">
      <c r="B697" s="9"/>
      <c r="C697" s="9"/>
      <c r="D697" s="9"/>
      <c r="E697" s="9"/>
      <c r="F697" s="9"/>
      <c r="G697" s="9"/>
      <c r="H697" s="9"/>
      <c r="J697" s="9"/>
      <c r="K697" s="9"/>
      <c r="L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  <c r="AI697" s="9"/>
      <c r="AJ697" s="9"/>
    </row>
    <row r="698" spans="2:36" ht="15.75" customHeight="1">
      <c r="B698" s="9"/>
      <c r="C698" s="9"/>
      <c r="D698" s="9"/>
      <c r="E698" s="9"/>
      <c r="F698" s="9"/>
      <c r="G698" s="9"/>
      <c r="H698" s="9"/>
      <c r="J698" s="9"/>
      <c r="K698" s="9"/>
      <c r="L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  <c r="AI698" s="9"/>
      <c r="AJ698" s="9"/>
    </row>
    <row r="699" spans="2:36" ht="15.75" customHeight="1">
      <c r="B699" s="9"/>
      <c r="C699" s="9"/>
      <c r="D699" s="9"/>
      <c r="E699" s="9"/>
      <c r="F699" s="9"/>
      <c r="G699" s="9"/>
      <c r="H699" s="9"/>
      <c r="J699" s="9"/>
      <c r="K699" s="9"/>
      <c r="L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  <c r="AI699" s="9"/>
      <c r="AJ699" s="9"/>
    </row>
    <row r="700" spans="2:36" ht="15.75" customHeight="1">
      <c r="B700" s="9"/>
      <c r="C700" s="9"/>
      <c r="D700" s="9"/>
      <c r="E700" s="9"/>
      <c r="F700" s="9"/>
      <c r="G700" s="9"/>
      <c r="H700" s="9"/>
      <c r="J700" s="9"/>
      <c r="K700" s="9"/>
      <c r="L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  <c r="AI700" s="9"/>
      <c r="AJ700" s="9"/>
    </row>
    <row r="701" spans="2:36" ht="15.75" customHeight="1">
      <c r="B701" s="9"/>
      <c r="C701" s="9"/>
      <c r="D701" s="9"/>
      <c r="E701" s="9"/>
      <c r="F701" s="9"/>
      <c r="G701" s="9"/>
      <c r="H701" s="9"/>
      <c r="J701" s="9"/>
      <c r="K701" s="9"/>
      <c r="L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  <c r="AI701" s="9"/>
      <c r="AJ701" s="9"/>
    </row>
    <row r="702" spans="2:36" ht="15.75" customHeight="1">
      <c r="B702" s="9"/>
      <c r="C702" s="9"/>
      <c r="D702" s="9"/>
      <c r="E702" s="9"/>
      <c r="F702" s="9"/>
      <c r="G702" s="9"/>
      <c r="H702" s="9"/>
      <c r="J702" s="9"/>
      <c r="K702" s="9"/>
      <c r="L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  <c r="AI702" s="9"/>
      <c r="AJ702" s="9"/>
    </row>
    <row r="703" spans="2:36" ht="15.75" customHeight="1">
      <c r="B703" s="9"/>
      <c r="C703" s="9"/>
      <c r="D703" s="9"/>
      <c r="E703" s="9"/>
      <c r="F703" s="9"/>
      <c r="G703" s="9"/>
      <c r="H703" s="9"/>
      <c r="J703" s="9"/>
      <c r="K703" s="9"/>
      <c r="L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  <c r="AI703" s="9"/>
      <c r="AJ703" s="9"/>
    </row>
    <row r="704" spans="2:36" ht="15.75" customHeight="1">
      <c r="B704" s="9"/>
      <c r="C704" s="9"/>
      <c r="D704" s="9"/>
      <c r="E704" s="9"/>
      <c r="F704" s="9"/>
      <c r="G704" s="9"/>
      <c r="H704" s="9"/>
      <c r="J704" s="9"/>
      <c r="K704" s="9"/>
      <c r="L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  <c r="AI704" s="9"/>
      <c r="AJ704" s="9"/>
    </row>
    <row r="705" spans="2:36" ht="15.75" customHeight="1">
      <c r="B705" s="9"/>
      <c r="C705" s="9"/>
      <c r="D705" s="9"/>
      <c r="E705" s="9"/>
      <c r="F705" s="9"/>
      <c r="G705" s="9"/>
      <c r="H705" s="9"/>
      <c r="J705" s="9"/>
      <c r="K705" s="9"/>
      <c r="L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  <c r="AI705" s="9"/>
      <c r="AJ705" s="9"/>
    </row>
    <row r="706" spans="2:36" ht="15.75" customHeight="1">
      <c r="B706" s="9"/>
      <c r="C706" s="9"/>
      <c r="D706" s="9"/>
      <c r="E706" s="9"/>
      <c r="F706" s="9"/>
      <c r="G706" s="9"/>
      <c r="H706" s="9"/>
      <c r="J706" s="9"/>
      <c r="K706" s="9"/>
      <c r="L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  <c r="AI706" s="9"/>
      <c r="AJ706" s="9"/>
    </row>
    <row r="707" spans="2:36" ht="15.75" customHeight="1">
      <c r="B707" s="9"/>
      <c r="C707" s="9"/>
      <c r="D707" s="9"/>
      <c r="E707" s="9"/>
      <c r="F707" s="9"/>
      <c r="G707" s="9"/>
      <c r="H707" s="9"/>
      <c r="J707" s="9"/>
      <c r="K707" s="9"/>
      <c r="L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  <c r="AI707" s="9"/>
      <c r="AJ707" s="9"/>
    </row>
    <row r="708" spans="2:36" ht="15.75" customHeight="1">
      <c r="B708" s="9"/>
      <c r="C708" s="9"/>
      <c r="D708" s="9"/>
      <c r="E708" s="9"/>
      <c r="F708" s="9"/>
      <c r="G708" s="9"/>
      <c r="H708" s="9"/>
      <c r="J708" s="9"/>
      <c r="K708" s="9"/>
      <c r="L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  <c r="AI708" s="9"/>
      <c r="AJ708" s="9"/>
    </row>
    <row r="709" spans="2:36" ht="15.75" customHeight="1">
      <c r="B709" s="9"/>
      <c r="C709" s="9"/>
      <c r="D709" s="9"/>
      <c r="E709" s="9"/>
      <c r="F709" s="9"/>
      <c r="G709" s="9"/>
      <c r="H709" s="9"/>
      <c r="J709" s="9"/>
      <c r="K709" s="9"/>
      <c r="L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  <c r="AI709" s="9"/>
      <c r="AJ709" s="9"/>
    </row>
    <row r="710" spans="2:36" ht="15.75" customHeight="1">
      <c r="B710" s="9"/>
      <c r="C710" s="9"/>
      <c r="D710" s="9"/>
      <c r="E710" s="9"/>
      <c r="F710" s="9"/>
      <c r="G710" s="9"/>
      <c r="H710" s="9"/>
      <c r="J710" s="9"/>
      <c r="K710" s="9"/>
      <c r="L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  <c r="AI710" s="9"/>
      <c r="AJ710" s="9"/>
    </row>
    <row r="711" spans="2:36" ht="15.75" customHeight="1">
      <c r="B711" s="9"/>
      <c r="C711" s="9"/>
      <c r="D711" s="9"/>
      <c r="E711" s="9"/>
      <c r="F711" s="9"/>
      <c r="G711" s="9"/>
      <c r="H711" s="9"/>
      <c r="J711" s="9"/>
      <c r="K711" s="9"/>
      <c r="L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  <c r="AI711" s="9"/>
      <c r="AJ711" s="9"/>
    </row>
    <row r="712" spans="2:36" ht="15.75" customHeight="1">
      <c r="B712" s="9"/>
      <c r="C712" s="9"/>
      <c r="D712" s="9"/>
      <c r="E712" s="9"/>
      <c r="F712" s="9"/>
      <c r="G712" s="9"/>
      <c r="H712" s="9"/>
      <c r="J712" s="9"/>
      <c r="K712" s="9"/>
      <c r="L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  <c r="AI712" s="9"/>
      <c r="AJ712" s="9"/>
    </row>
    <row r="713" spans="2:36" ht="15.75" customHeight="1">
      <c r="B713" s="9"/>
      <c r="C713" s="9"/>
      <c r="D713" s="9"/>
      <c r="E713" s="9"/>
      <c r="F713" s="9"/>
      <c r="G713" s="9"/>
      <c r="H713" s="9"/>
      <c r="J713" s="9"/>
      <c r="K713" s="9"/>
      <c r="L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  <c r="AI713" s="9"/>
      <c r="AJ713" s="9"/>
    </row>
    <row r="714" spans="2:36" ht="15.75" customHeight="1">
      <c r="B714" s="9"/>
      <c r="C714" s="9"/>
      <c r="D714" s="9"/>
      <c r="E714" s="9"/>
      <c r="F714" s="9"/>
      <c r="G714" s="9"/>
      <c r="H714" s="9"/>
      <c r="J714" s="9"/>
      <c r="K714" s="9"/>
      <c r="L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  <c r="AI714" s="9"/>
      <c r="AJ714" s="9"/>
    </row>
    <row r="715" spans="2:36" ht="15.75" customHeight="1">
      <c r="B715" s="9"/>
      <c r="C715" s="9"/>
      <c r="D715" s="9"/>
      <c r="E715" s="9"/>
      <c r="F715" s="9"/>
      <c r="G715" s="9"/>
      <c r="H715" s="9"/>
      <c r="J715" s="9"/>
      <c r="K715" s="9"/>
      <c r="L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  <c r="AI715" s="9"/>
      <c r="AJ715" s="9"/>
    </row>
    <row r="716" spans="2:36" ht="15.75" customHeight="1">
      <c r="B716" s="9"/>
      <c r="C716" s="9"/>
      <c r="D716" s="9"/>
      <c r="E716" s="9"/>
      <c r="F716" s="9"/>
      <c r="G716" s="9"/>
      <c r="H716" s="9"/>
      <c r="J716" s="9"/>
      <c r="K716" s="9"/>
      <c r="L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  <c r="AI716" s="9"/>
      <c r="AJ716" s="9"/>
    </row>
    <row r="717" spans="2:36" ht="15.75" customHeight="1">
      <c r="B717" s="9"/>
      <c r="C717" s="9"/>
      <c r="D717" s="9"/>
      <c r="E717" s="9"/>
      <c r="F717" s="9"/>
      <c r="G717" s="9"/>
      <c r="H717" s="9"/>
      <c r="J717" s="9"/>
      <c r="K717" s="9"/>
      <c r="L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  <c r="AI717" s="9"/>
      <c r="AJ717" s="9"/>
    </row>
    <row r="718" spans="2:36" ht="15.75" customHeight="1">
      <c r="B718" s="9"/>
      <c r="C718" s="9"/>
      <c r="D718" s="9"/>
      <c r="E718" s="9"/>
      <c r="F718" s="9"/>
      <c r="G718" s="9"/>
      <c r="H718" s="9"/>
      <c r="J718" s="9"/>
      <c r="K718" s="9"/>
      <c r="L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  <c r="AI718" s="9"/>
      <c r="AJ718" s="9"/>
    </row>
    <row r="719" spans="2:36" ht="15.75" customHeight="1">
      <c r="B719" s="9"/>
      <c r="C719" s="9"/>
      <c r="D719" s="9"/>
      <c r="E719" s="9"/>
      <c r="F719" s="9"/>
      <c r="G719" s="9"/>
      <c r="H719" s="9"/>
      <c r="J719" s="9"/>
      <c r="K719" s="9"/>
      <c r="L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  <c r="AI719" s="9"/>
      <c r="AJ719" s="9"/>
    </row>
    <row r="720" spans="2:36" ht="15.75" customHeight="1">
      <c r="B720" s="9"/>
      <c r="C720" s="9"/>
      <c r="D720" s="9"/>
      <c r="E720" s="9"/>
      <c r="F720" s="9"/>
      <c r="G720" s="9"/>
      <c r="H720" s="9"/>
      <c r="J720" s="9"/>
      <c r="K720" s="9"/>
      <c r="L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  <c r="AI720" s="9"/>
      <c r="AJ720" s="9"/>
    </row>
    <row r="721" spans="2:36" ht="15.75" customHeight="1">
      <c r="B721" s="9"/>
      <c r="C721" s="9"/>
      <c r="D721" s="9"/>
      <c r="E721" s="9"/>
      <c r="F721" s="9"/>
      <c r="G721" s="9"/>
      <c r="H721" s="9"/>
      <c r="J721" s="9"/>
      <c r="K721" s="9"/>
      <c r="L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  <c r="AI721" s="9"/>
      <c r="AJ721" s="9"/>
    </row>
    <row r="722" spans="2:36" ht="15.75" customHeight="1">
      <c r="B722" s="9"/>
      <c r="C722" s="9"/>
      <c r="D722" s="9"/>
      <c r="E722" s="9"/>
      <c r="F722" s="9"/>
      <c r="G722" s="9"/>
      <c r="H722" s="9"/>
      <c r="J722" s="9"/>
      <c r="K722" s="9"/>
      <c r="L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  <c r="AI722" s="9"/>
      <c r="AJ722" s="9"/>
    </row>
    <row r="723" spans="2:36" ht="15.75" customHeight="1">
      <c r="B723" s="9"/>
      <c r="C723" s="9"/>
      <c r="D723" s="9"/>
      <c r="E723" s="9"/>
      <c r="F723" s="9"/>
      <c r="G723" s="9"/>
      <c r="H723" s="9"/>
      <c r="J723" s="9"/>
      <c r="K723" s="9"/>
      <c r="L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  <c r="AI723" s="9"/>
      <c r="AJ723" s="9"/>
    </row>
    <row r="724" spans="2:36" ht="15.75" customHeight="1">
      <c r="B724" s="9"/>
      <c r="C724" s="9"/>
      <c r="D724" s="9"/>
      <c r="E724" s="9"/>
      <c r="F724" s="9"/>
      <c r="G724" s="9"/>
      <c r="H724" s="9"/>
      <c r="J724" s="9"/>
      <c r="K724" s="9"/>
      <c r="L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  <c r="AI724" s="9"/>
      <c r="AJ724" s="9"/>
    </row>
    <row r="725" spans="2:36" ht="15.75" customHeight="1">
      <c r="B725" s="9"/>
      <c r="C725" s="9"/>
      <c r="D725" s="9"/>
      <c r="E725" s="9"/>
      <c r="F725" s="9"/>
      <c r="G725" s="9"/>
      <c r="H725" s="9"/>
      <c r="J725" s="9"/>
      <c r="K725" s="9"/>
      <c r="L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  <c r="AI725" s="9"/>
      <c r="AJ725" s="9"/>
    </row>
    <row r="726" spans="2:36" ht="15.75" customHeight="1">
      <c r="B726" s="9"/>
      <c r="C726" s="9"/>
      <c r="D726" s="9"/>
      <c r="E726" s="9"/>
      <c r="F726" s="9"/>
      <c r="G726" s="9"/>
      <c r="H726" s="9"/>
      <c r="J726" s="9"/>
      <c r="K726" s="9"/>
      <c r="L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  <c r="AI726" s="9"/>
      <c r="AJ726" s="9"/>
    </row>
    <row r="727" spans="2:36" ht="15.75" customHeight="1">
      <c r="B727" s="9"/>
      <c r="C727" s="9"/>
      <c r="D727" s="9"/>
      <c r="E727" s="9"/>
      <c r="F727" s="9"/>
      <c r="G727" s="9"/>
      <c r="H727" s="9"/>
      <c r="J727" s="9"/>
      <c r="K727" s="9"/>
      <c r="L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  <c r="AI727" s="9"/>
      <c r="AJ727" s="9"/>
    </row>
    <row r="728" spans="2:36" ht="15.75" customHeight="1">
      <c r="B728" s="9"/>
      <c r="C728" s="9"/>
      <c r="D728" s="9"/>
      <c r="E728" s="9"/>
      <c r="F728" s="9"/>
      <c r="G728" s="9"/>
      <c r="H728" s="9"/>
      <c r="J728" s="9"/>
      <c r="K728" s="9"/>
      <c r="L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  <c r="AI728" s="9"/>
      <c r="AJ728" s="9"/>
    </row>
    <row r="729" spans="2:36" ht="15.75" customHeight="1">
      <c r="B729" s="9"/>
      <c r="C729" s="9"/>
      <c r="D729" s="9"/>
      <c r="E729" s="9"/>
      <c r="F729" s="9"/>
      <c r="G729" s="9"/>
      <c r="H729" s="9"/>
      <c r="J729" s="9"/>
      <c r="K729" s="9"/>
      <c r="L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  <c r="AI729" s="9"/>
      <c r="AJ729" s="9"/>
    </row>
    <row r="730" spans="2:36" ht="15.75" customHeight="1">
      <c r="B730" s="9"/>
      <c r="C730" s="9"/>
      <c r="D730" s="9"/>
      <c r="E730" s="9"/>
      <c r="F730" s="9"/>
      <c r="G730" s="9"/>
      <c r="H730" s="9"/>
      <c r="J730" s="9"/>
      <c r="K730" s="9"/>
      <c r="L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  <c r="AI730" s="9"/>
      <c r="AJ730" s="9"/>
    </row>
    <row r="731" spans="2:36" ht="15.75" customHeight="1">
      <c r="B731" s="9"/>
      <c r="C731" s="9"/>
      <c r="D731" s="9"/>
      <c r="E731" s="9"/>
      <c r="F731" s="9"/>
      <c r="G731" s="9"/>
      <c r="H731" s="9"/>
      <c r="J731" s="9"/>
      <c r="K731" s="9"/>
      <c r="L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  <c r="AI731" s="9"/>
      <c r="AJ731" s="9"/>
    </row>
    <row r="732" spans="2:36" ht="15.75" customHeight="1">
      <c r="B732" s="9"/>
      <c r="C732" s="9"/>
      <c r="D732" s="9"/>
      <c r="E732" s="9"/>
      <c r="F732" s="9"/>
      <c r="G732" s="9"/>
      <c r="H732" s="9"/>
      <c r="J732" s="9"/>
      <c r="K732" s="9"/>
      <c r="L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  <c r="AI732" s="9"/>
      <c r="AJ732" s="9"/>
    </row>
    <row r="733" spans="2:36" ht="15.75" customHeight="1">
      <c r="B733" s="9"/>
      <c r="C733" s="9"/>
      <c r="D733" s="9"/>
      <c r="E733" s="9"/>
      <c r="F733" s="9"/>
      <c r="G733" s="9"/>
      <c r="H733" s="9"/>
      <c r="J733" s="9"/>
      <c r="K733" s="9"/>
      <c r="L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  <c r="AI733" s="9"/>
      <c r="AJ733" s="9"/>
    </row>
    <row r="734" spans="2:36" ht="15.75" customHeight="1">
      <c r="B734" s="9"/>
      <c r="C734" s="9"/>
      <c r="D734" s="9"/>
      <c r="E734" s="9"/>
      <c r="F734" s="9"/>
      <c r="G734" s="9"/>
      <c r="H734" s="9"/>
      <c r="J734" s="9"/>
      <c r="K734" s="9"/>
      <c r="L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  <c r="AI734" s="9"/>
      <c r="AJ734" s="9"/>
    </row>
    <row r="735" spans="2:36" ht="15.75" customHeight="1">
      <c r="B735" s="9"/>
      <c r="C735" s="9"/>
      <c r="D735" s="9"/>
      <c r="E735" s="9"/>
      <c r="F735" s="9"/>
      <c r="G735" s="9"/>
      <c r="H735" s="9"/>
      <c r="J735" s="9"/>
      <c r="K735" s="9"/>
      <c r="L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  <c r="AI735" s="9"/>
      <c r="AJ735" s="9"/>
    </row>
    <row r="736" spans="2:36" ht="15.75" customHeight="1">
      <c r="B736" s="9"/>
      <c r="C736" s="9"/>
      <c r="D736" s="9"/>
      <c r="E736" s="9"/>
      <c r="F736" s="9"/>
      <c r="G736" s="9"/>
      <c r="H736" s="9"/>
      <c r="J736" s="9"/>
      <c r="K736" s="9"/>
      <c r="L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  <c r="AI736" s="9"/>
      <c r="AJ736" s="9"/>
    </row>
    <row r="737" spans="2:36" ht="15.75" customHeight="1">
      <c r="B737" s="9"/>
      <c r="C737" s="9"/>
      <c r="D737" s="9"/>
      <c r="E737" s="9"/>
      <c r="F737" s="9"/>
      <c r="G737" s="9"/>
      <c r="H737" s="9"/>
      <c r="J737" s="9"/>
      <c r="K737" s="9"/>
      <c r="L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  <c r="AI737" s="9"/>
      <c r="AJ737" s="9"/>
    </row>
    <row r="738" spans="2:36" ht="15.75" customHeight="1">
      <c r="B738" s="9"/>
      <c r="C738" s="9"/>
      <c r="D738" s="9"/>
      <c r="E738" s="9"/>
      <c r="F738" s="9"/>
      <c r="G738" s="9"/>
      <c r="H738" s="9"/>
      <c r="J738" s="9"/>
      <c r="K738" s="9"/>
      <c r="L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  <c r="AI738" s="9"/>
      <c r="AJ738" s="9"/>
    </row>
    <row r="739" spans="2:36" ht="15.75" customHeight="1">
      <c r="B739" s="9"/>
      <c r="C739" s="9"/>
      <c r="D739" s="9"/>
      <c r="E739" s="9"/>
      <c r="F739" s="9"/>
      <c r="G739" s="9"/>
      <c r="H739" s="9"/>
      <c r="J739" s="9"/>
      <c r="K739" s="9"/>
      <c r="L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  <c r="AI739" s="9"/>
      <c r="AJ739" s="9"/>
    </row>
    <row r="740" spans="2:36" ht="15.75" customHeight="1">
      <c r="B740" s="9"/>
      <c r="C740" s="9"/>
      <c r="D740" s="9"/>
      <c r="E740" s="9"/>
      <c r="F740" s="9"/>
      <c r="G740" s="9"/>
      <c r="H740" s="9"/>
      <c r="J740" s="9"/>
      <c r="K740" s="9"/>
      <c r="L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  <c r="AI740" s="9"/>
      <c r="AJ740" s="9"/>
    </row>
    <row r="741" spans="2:36" ht="15.75" customHeight="1">
      <c r="B741" s="9"/>
      <c r="C741" s="9"/>
      <c r="D741" s="9"/>
      <c r="E741" s="9"/>
      <c r="F741" s="9"/>
      <c r="G741" s="9"/>
      <c r="H741" s="9"/>
      <c r="J741" s="9"/>
      <c r="K741" s="9"/>
      <c r="L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  <c r="AI741" s="9"/>
      <c r="AJ741" s="9"/>
    </row>
    <row r="742" spans="2:36" ht="15.75" customHeight="1">
      <c r="B742" s="9"/>
      <c r="C742" s="9"/>
      <c r="D742" s="9"/>
      <c r="E742" s="9"/>
      <c r="F742" s="9"/>
      <c r="G742" s="9"/>
      <c r="H742" s="9"/>
      <c r="J742" s="9"/>
      <c r="K742" s="9"/>
      <c r="L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  <c r="AI742" s="9"/>
      <c r="AJ742" s="9"/>
    </row>
    <row r="743" spans="2:36" ht="15.75" customHeight="1">
      <c r="B743" s="9"/>
      <c r="C743" s="9"/>
      <c r="D743" s="9"/>
      <c r="E743" s="9"/>
      <c r="F743" s="9"/>
      <c r="G743" s="9"/>
      <c r="H743" s="9"/>
      <c r="J743" s="9"/>
      <c r="K743" s="9"/>
      <c r="L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  <c r="AI743" s="9"/>
      <c r="AJ743" s="9"/>
    </row>
    <row r="744" spans="2:36" ht="15.75" customHeight="1">
      <c r="B744" s="9"/>
      <c r="C744" s="9"/>
      <c r="D744" s="9"/>
      <c r="E744" s="9"/>
      <c r="F744" s="9"/>
      <c r="G744" s="9"/>
      <c r="H744" s="9"/>
      <c r="J744" s="9"/>
      <c r="K744" s="9"/>
      <c r="L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  <c r="AI744" s="9"/>
      <c r="AJ744" s="9"/>
    </row>
    <row r="745" spans="2:36" ht="15.75" customHeight="1">
      <c r="B745" s="9"/>
      <c r="C745" s="9"/>
      <c r="D745" s="9"/>
      <c r="E745" s="9"/>
      <c r="F745" s="9"/>
      <c r="G745" s="9"/>
      <c r="H745" s="9"/>
      <c r="J745" s="9"/>
      <c r="K745" s="9"/>
      <c r="L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  <c r="AI745" s="9"/>
      <c r="AJ745" s="9"/>
    </row>
    <row r="746" spans="2:36" ht="15.75" customHeight="1">
      <c r="B746" s="9"/>
      <c r="C746" s="9"/>
      <c r="D746" s="9"/>
      <c r="E746" s="9"/>
      <c r="F746" s="9"/>
      <c r="G746" s="9"/>
      <c r="H746" s="9"/>
      <c r="J746" s="9"/>
      <c r="K746" s="9"/>
      <c r="L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  <c r="AI746" s="9"/>
      <c r="AJ746" s="9"/>
    </row>
    <row r="747" spans="2:36" ht="15.75" customHeight="1">
      <c r="B747" s="9"/>
      <c r="C747" s="9"/>
      <c r="D747" s="9"/>
      <c r="E747" s="9"/>
      <c r="F747" s="9"/>
      <c r="G747" s="9"/>
      <c r="H747" s="9"/>
      <c r="J747" s="9"/>
      <c r="K747" s="9"/>
      <c r="L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  <c r="AI747" s="9"/>
      <c r="AJ747" s="9"/>
    </row>
    <row r="748" spans="2:36" ht="15.75" customHeight="1">
      <c r="B748" s="9"/>
      <c r="C748" s="9"/>
      <c r="D748" s="9"/>
      <c r="E748" s="9"/>
      <c r="F748" s="9"/>
      <c r="G748" s="9"/>
      <c r="H748" s="9"/>
      <c r="J748" s="9"/>
      <c r="K748" s="9"/>
      <c r="L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  <c r="AI748" s="9"/>
      <c r="AJ748" s="9"/>
    </row>
    <row r="749" spans="2:36" ht="15.75" customHeight="1">
      <c r="B749" s="9"/>
      <c r="C749" s="9"/>
      <c r="D749" s="9"/>
      <c r="E749" s="9"/>
      <c r="F749" s="9"/>
      <c r="G749" s="9"/>
      <c r="H749" s="9"/>
      <c r="J749" s="9"/>
      <c r="K749" s="9"/>
      <c r="L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  <c r="AI749" s="9"/>
      <c r="AJ749" s="9"/>
    </row>
    <row r="750" spans="2:36" ht="15.75" customHeight="1">
      <c r="B750" s="9"/>
      <c r="C750" s="9"/>
      <c r="D750" s="9"/>
      <c r="E750" s="9"/>
      <c r="F750" s="9"/>
      <c r="G750" s="9"/>
      <c r="H750" s="9"/>
      <c r="J750" s="9"/>
      <c r="K750" s="9"/>
      <c r="L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  <c r="AI750" s="9"/>
      <c r="AJ750" s="9"/>
    </row>
    <row r="751" spans="2:36" ht="15.75" customHeight="1">
      <c r="B751" s="9"/>
      <c r="C751" s="9"/>
      <c r="D751" s="9"/>
      <c r="E751" s="9"/>
      <c r="F751" s="9"/>
      <c r="G751" s="9"/>
      <c r="H751" s="9"/>
      <c r="J751" s="9"/>
      <c r="K751" s="9"/>
      <c r="L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  <c r="AI751" s="9"/>
      <c r="AJ751" s="9"/>
    </row>
    <row r="752" spans="2:36" ht="15.75" customHeight="1">
      <c r="B752" s="9"/>
      <c r="C752" s="9"/>
      <c r="D752" s="9"/>
      <c r="E752" s="9"/>
      <c r="F752" s="9"/>
      <c r="G752" s="9"/>
      <c r="H752" s="9"/>
      <c r="J752" s="9"/>
      <c r="K752" s="9"/>
      <c r="L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  <c r="AI752" s="9"/>
      <c r="AJ752" s="9"/>
    </row>
    <row r="753" spans="2:36" ht="15.75" customHeight="1">
      <c r="B753" s="9"/>
      <c r="C753" s="9"/>
      <c r="D753" s="9"/>
      <c r="E753" s="9"/>
      <c r="F753" s="9"/>
      <c r="G753" s="9"/>
      <c r="H753" s="9"/>
      <c r="J753" s="9"/>
      <c r="K753" s="9"/>
      <c r="L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  <c r="AI753" s="9"/>
      <c r="AJ753" s="9"/>
    </row>
    <row r="754" spans="2:36" ht="15.75" customHeight="1">
      <c r="B754" s="9"/>
      <c r="C754" s="9"/>
      <c r="D754" s="9"/>
      <c r="E754" s="9"/>
      <c r="F754" s="9"/>
      <c r="G754" s="9"/>
      <c r="H754" s="9"/>
      <c r="J754" s="9"/>
      <c r="K754" s="9"/>
      <c r="L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  <c r="AI754" s="9"/>
      <c r="AJ754" s="9"/>
    </row>
    <row r="755" spans="2:36" ht="15.75" customHeight="1">
      <c r="B755" s="9"/>
      <c r="C755" s="9"/>
      <c r="D755" s="9"/>
      <c r="E755" s="9"/>
      <c r="F755" s="9"/>
      <c r="G755" s="9"/>
      <c r="H755" s="9"/>
      <c r="J755" s="9"/>
      <c r="K755" s="9"/>
      <c r="L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  <c r="AI755" s="9"/>
      <c r="AJ755" s="9"/>
    </row>
    <row r="756" spans="2:36" ht="15.75" customHeight="1">
      <c r="B756" s="9"/>
      <c r="C756" s="9"/>
      <c r="D756" s="9"/>
      <c r="E756" s="9"/>
      <c r="F756" s="9"/>
      <c r="G756" s="9"/>
      <c r="H756" s="9"/>
      <c r="J756" s="9"/>
      <c r="K756" s="9"/>
      <c r="L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  <c r="AI756" s="9"/>
      <c r="AJ756" s="9"/>
    </row>
    <row r="757" spans="2:36" ht="15.75" customHeight="1">
      <c r="B757" s="9"/>
      <c r="C757" s="9"/>
      <c r="D757" s="9"/>
      <c r="E757" s="9"/>
      <c r="F757" s="9"/>
      <c r="G757" s="9"/>
      <c r="H757" s="9"/>
      <c r="J757" s="9"/>
      <c r="K757" s="9"/>
      <c r="L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  <c r="AI757" s="9"/>
      <c r="AJ757" s="9"/>
    </row>
    <row r="758" spans="2:36" ht="15.75" customHeight="1">
      <c r="B758" s="9"/>
      <c r="C758" s="9"/>
      <c r="D758" s="9"/>
      <c r="E758" s="9"/>
      <c r="F758" s="9"/>
      <c r="G758" s="9"/>
      <c r="H758" s="9"/>
      <c r="J758" s="9"/>
      <c r="K758" s="9"/>
      <c r="L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  <c r="AI758" s="9"/>
      <c r="AJ758" s="9"/>
    </row>
    <row r="759" spans="2:36" ht="15.75" customHeight="1">
      <c r="B759" s="9"/>
      <c r="C759" s="9"/>
      <c r="D759" s="9"/>
      <c r="E759" s="9"/>
      <c r="F759" s="9"/>
      <c r="G759" s="9"/>
      <c r="H759" s="9"/>
      <c r="J759" s="9"/>
      <c r="K759" s="9"/>
      <c r="L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  <c r="AI759" s="9"/>
      <c r="AJ759" s="9"/>
    </row>
    <row r="760" spans="2:36" ht="15.75" customHeight="1">
      <c r="B760" s="9"/>
      <c r="C760" s="9"/>
      <c r="D760" s="9"/>
      <c r="E760" s="9"/>
      <c r="F760" s="9"/>
      <c r="G760" s="9"/>
      <c r="H760" s="9"/>
      <c r="J760" s="9"/>
      <c r="K760" s="9"/>
      <c r="L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  <c r="AI760" s="9"/>
      <c r="AJ760" s="9"/>
    </row>
    <row r="761" spans="2:36" ht="15.75" customHeight="1">
      <c r="B761" s="9"/>
      <c r="C761" s="9"/>
      <c r="D761" s="9"/>
      <c r="E761" s="9"/>
      <c r="F761" s="9"/>
      <c r="G761" s="9"/>
      <c r="H761" s="9"/>
      <c r="J761" s="9"/>
      <c r="K761" s="9"/>
      <c r="L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  <c r="AI761" s="9"/>
      <c r="AJ761" s="9"/>
    </row>
    <row r="762" spans="2:36" ht="15.75" customHeight="1">
      <c r="B762" s="9"/>
      <c r="C762" s="9"/>
      <c r="D762" s="9"/>
      <c r="E762" s="9"/>
      <c r="F762" s="9"/>
      <c r="G762" s="9"/>
      <c r="H762" s="9"/>
      <c r="J762" s="9"/>
      <c r="K762" s="9"/>
      <c r="L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  <c r="AI762" s="9"/>
      <c r="AJ762" s="9"/>
    </row>
    <row r="763" spans="2:36" ht="15.75" customHeight="1">
      <c r="B763" s="9"/>
      <c r="C763" s="9"/>
      <c r="D763" s="9"/>
      <c r="E763" s="9"/>
      <c r="F763" s="9"/>
      <c r="G763" s="9"/>
      <c r="H763" s="9"/>
      <c r="J763" s="9"/>
      <c r="K763" s="9"/>
      <c r="L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  <c r="AI763" s="9"/>
      <c r="AJ763" s="9"/>
    </row>
    <row r="764" spans="2:36" ht="15.75" customHeight="1">
      <c r="B764" s="9"/>
      <c r="C764" s="9"/>
      <c r="D764" s="9"/>
      <c r="E764" s="9"/>
      <c r="F764" s="9"/>
      <c r="G764" s="9"/>
      <c r="H764" s="9"/>
      <c r="J764" s="9"/>
      <c r="K764" s="9"/>
      <c r="L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  <c r="AI764" s="9"/>
      <c r="AJ764" s="9"/>
    </row>
    <row r="765" spans="2:36" ht="15.75" customHeight="1">
      <c r="B765" s="9"/>
      <c r="C765" s="9"/>
      <c r="D765" s="9"/>
      <c r="E765" s="9"/>
      <c r="F765" s="9"/>
      <c r="G765" s="9"/>
      <c r="H765" s="9"/>
      <c r="J765" s="9"/>
      <c r="K765" s="9"/>
      <c r="L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  <c r="AI765" s="9"/>
      <c r="AJ765" s="9"/>
    </row>
    <row r="766" spans="2:36" ht="15.75" customHeight="1">
      <c r="B766" s="9"/>
      <c r="C766" s="9"/>
      <c r="D766" s="9"/>
      <c r="E766" s="9"/>
      <c r="F766" s="9"/>
      <c r="G766" s="9"/>
      <c r="H766" s="9"/>
      <c r="J766" s="9"/>
      <c r="K766" s="9"/>
      <c r="L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  <c r="AI766" s="9"/>
      <c r="AJ766" s="9"/>
    </row>
    <row r="767" spans="2:36" ht="15.75" customHeight="1">
      <c r="B767" s="9"/>
      <c r="C767" s="9"/>
      <c r="D767" s="9"/>
      <c r="E767" s="9"/>
      <c r="F767" s="9"/>
      <c r="G767" s="9"/>
      <c r="H767" s="9"/>
      <c r="J767" s="9"/>
      <c r="K767" s="9"/>
      <c r="L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  <c r="AI767" s="9"/>
      <c r="AJ767" s="9"/>
    </row>
    <row r="768" spans="2:36" ht="15.75" customHeight="1">
      <c r="B768" s="9"/>
      <c r="C768" s="9"/>
      <c r="D768" s="9"/>
      <c r="E768" s="9"/>
      <c r="F768" s="9"/>
      <c r="G768" s="9"/>
      <c r="H768" s="9"/>
      <c r="J768" s="9"/>
      <c r="K768" s="9"/>
      <c r="L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  <c r="AI768" s="9"/>
      <c r="AJ768" s="9"/>
    </row>
    <row r="769" spans="2:36" ht="15.75" customHeight="1">
      <c r="B769" s="9"/>
      <c r="C769" s="9"/>
      <c r="D769" s="9"/>
      <c r="E769" s="9"/>
      <c r="F769" s="9"/>
      <c r="G769" s="9"/>
      <c r="H769" s="9"/>
      <c r="J769" s="9"/>
      <c r="K769" s="9"/>
      <c r="L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  <c r="AI769" s="9"/>
      <c r="AJ769" s="9"/>
    </row>
    <row r="770" spans="2:36" ht="15.75" customHeight="1">
      <c r="B770" s="9"/>
      <c r="C770" s="9"/>
      <c r="D770" s="9"/>
      <c r="E770" s="9"/>
      <c r="F770" s="9"/>
      <c r="G770" s="9"/>
      <c r="H770" s="9"/>
      <c r="J770" s="9"/>
      <c r="K770" s="9"/>
      <c r="L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  <c r="AI770" s="9"/>
      <c r="AJ770" s="9"/>
    </row>
    <row r="771" spans="2:36" ht="15.75" customHeight="1">
      <c r="B771" s="9"/>
      <c r="C771" s="9"/>
      <c r="D771" s="9"/>
      <c r="E771" s="9"/>
      <c r="F771" s="9"/>
      <c r="G771" s="9"/>
      <c r="H771" s="9"/>
      <c r="J771" s="9"/>
      <c r="K771" s="9"/>
      <c r="L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  <c r="AI771" s="9"/>
      <c r="AJ771" s="9"/>
    </row>
    <row r="772" spans="2:36" ht="15.75" customHeight="1">
      <c r="B772" s="9"/>
      <c r="C772" s="9"/>
      <c r="D772" s="9"/>
      <c r="E772" s="9"/>
      <c r="F772" s="9"/>
      <c r="G772" s="9"/>
      <c r="H772" s="9"/>
      <c r="J772" s="9"/>
      <c r="K772" s="9"/>
      <c r="L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  <c r="AI772" s="9"/>
      <c r="AJ772" s="9"/>
    </row>
    <row r="773" spans="2:36" ht="15.75" customHeight="1">
      <c r="B773" s="9"/>
      <c r="C773" s="9"/>
      <c r="D773" s="9"/>
      <c r="E773" s="9"/>
      <c r="F773" s="9"/>
      <c r="G773" s="9"/>
      <c r="H773" s="9"/>
      <c r="J773" s="9"/>
      <c r="K773" s="9"/>
      <c r="L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  <c r="AI773" s="9"/>
      <c r="AJ773" s="9"/>
    </row>
    <row r="774" spans="2:36" ht="15.75" customHeight="1">
      <c r="B774" s="9"/>
      <c r="C774" s="9"/>
      <c r="D774" s="9"/>
      <c r="E774" s="9"/>
      <c r="F774" s="9"/>
      <c r="G774" s="9"/>
      <c r="H774" s="9"/>
      <c r="J774" s="9"/>
      <c r="K774" s="9"/>
      <c r="L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  <c r="AI774" s="9"/>
      <c r="AJ774" s="9"/>
    </row>
    <row r="775" spans="2:36" ht="15.75" customHeight="1">
      <c r="B775" s="9"/>
      <c r="C775" s="9"/>
      <c r="D775" s="9"/>
      <c r="E775" s="9"/>
      <c r="F775" s="9"/>
      <c r="G775" s="9"/>
      <c r="H775" s="9"/>
      <c r="J775" s="9"/>
      <c r="K775" s="9"/>
      <c r="L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  <c r="AI775" s="9"/>
      <c r="AJ775" s="9"/>
    </row>
    <row r="776" spans="2:36" ht="15.75" customHeight="1">
      <c r="B776" s="9"/>
      <c r="C776" s="9"/>
      <c r="D776" s="9"/>
      <c r="E776" s="9"/>
      <c r="F776" s="9"/>
      <c r="G776" s="9"/>
      <c r="H776" s="9"/>
      <c r="J776" s="9"/>
      <c r="K776" s="9"/>
      <c r="L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  <c r="AI776" s="9"/>
      <c r="AJ776" s="9"/>
    </row>
    <row r="777" spans="2:36" ht="15.75" customHeight="1">
      <c r="B777" s="9"/>
      <c r="C777" s="9"/>
      <c r="D777" s="9"/>
      <c r="E777" s="9"/>
      <c r="F777" s="9"/>
      <c r="G777" s="9"/>
      <c r="H777" s="9"/>
      <c r="J777" s="9"/>
      <c r="K777" s="9"/>
      <c r="L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  <c r="AI777" s="9"/>
      <c r="AJ777" s="9"/>
    </row>
    <row r="778" spans="2:36" ht="15.75" customHeight="1">
      <c r="B778" s="9"/>
      <c r="C778" s="9"/>
      <c r="D778" s="9"/>
      <c r="E778" s="9"/>
      <c r="F778" s="9"/>
      <c r="G778" s="9"/>
      <c r="H778" s="9"/>
      <c r="J778" s="9"/>
      <c r="K778" s="9"/>
      <c r="L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  <c r="AI778" s="9"/>
      <c r="AJ778" s="9"/>
    </row>
    <row r="779" spans="2:36" ht="15.75" customHeight="1">
      <c r="B779" s="9"/>
      <c r="C779" s="9"/>
      <c r="D779" s="9"/>
      <c r="E779" s="9"/>
      <c r="F779" s="9"/>
      <c r="G779" s="9"/>
      <c r="H779" s="9"/>
      <c r="J779" s="9"/>
      <c r="K779" s="9"/>
      <c r="L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  <c r="AI779" s="9"/>
      <c r="AJ779" s="9"/>
    </row>
    <row r="780" spans="2:36" ht="15.75" customHeight="1">
      <c r="B780" s="9"/>
      <c r="C780" s="9"/>
      <c r="D780" s="9"/>
      <c r="E780" s="9"/>
      <c r="F780" s="9"/>
      <c r="G780" s="9"/>
      <c r="H780" s="9"/>
      <c r="J780" s="9"/>
      <c r="K780" s="9"/>
      <c r="L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  <c r="AI780" s="9"/>
      <c r="AJ780" s="9"/>
    </row>
    <row r="781" spans="2:36" ht="15.75" customHeight="1">
      <c r="B781" s="9"/>
      <c r="C781" s="9"/>
      <c r="D781" s="9"/>
      <c r="E781" s="9"/>
      <c r="F781" s="9"/>
      <c r="G781" s="9"/>
      <c r="H781" s="9"/>
      <c r="J781" s="9"/>
      <c r="K781" s="9"/>
      <c r="L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  <c r="AI781" s="9"/>
      <c r="AJ781" s="9"/>
    </row>
    <row r="782" spans="2:36" ht="15.75" customHeight="1">
      <c r="B782" s="9"/>
      <c r="C782" s="9"/>
      <c r="D782" s="9"/>
      <c r="E782" s="9"/>
      <c r="F782" s="9"/>
      <c r="G782" s="9"/>
      <c r="H782" s="9"/>
      <c r="J782" s="9"/>
      <c r="K782" s="9"/>
      <c r="L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  <c r="AI782" s="9"/>
      <c r="AJ782" s="9"/>
    </row>
    <row r="783" spans="2:36" ht="15.75" customHeight="1">
      <c r="B783" s="9"/>
      <c r="C783" s="9"/>
      <c r="D783" s="9"/>
      <c r="E783" s="9"/>
      <c r="F783" s="9"/>
      <c r="G783" s="9"/>
      <c r="H783" s="9"/>
      <c r="J783" s="9"/>
      <c r="K783" s="9"/>
      <c r="L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  <c r="AI783" s="9"/>
      <c r="AJ783" s="9"/>
    </row>
    <row r="784" spans="2:36" ht="15.75" customHeight="1">
      <c r="B784" s="9"/>
      <c r="C784" s="9"/>
      <c r="D784" s="9"/>
      <c r="E784" s="9"/>
      <c r="F784" s="9"/>
      <c r="G784" s="9"/>
      <c r="H784" s="9"/>
      <c r="J784" s="9"/>
      <c r="K784" s="9"/>
      <c r="L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  <c r="AI784" s="9"/>
      <c r="AJ784" s="9"/>
    </row>
    <row r="785" spans="2:36" ht="15.75" customHeight="1">
      <c r="B785" s="9"/>
      <c r="C785" s="9"/>
      <c r="D785" s="9"/>
      <c r="E785" s="9"/>
      <c r="F785" s="9"/>
      <c r="G785" s="9"/>
      <c r="H785" s="9"/>
      <c r="J785" s="9"/>
      <c r="K785" s="9"/>
      <c r="L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  <c r="AI785" s="9"/>
      <c r="AJ785" s="9"/>
    </row>
    <row r="786" spans="2:36" ht="15.75" customHeight="1">
      <c r="B786" s="9"/>
      <c r="C786" s="9"/>
      <c r="D786" s="9"/>
      <c r="E786" s="9"/>
      <c r="F786" s="9"/>
      <c r="G786" s="9"/>
      <c r="H786" s="9"/>
      <c r="J786" s="9"/>
      <c r="K786" s="9"/>
      <c r="L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  <c r="AI786" s="9"/>
      <c r="AJ786" s="9"/>
    </row>
    <row r="787" spans="2:36" ht="15.75" customHeight="1">
      <c r="B787" s="9"/>
      <c r="C787" s="9"/>
      <c r="D787" s="9"/>
      <c r="E787" s="9"/>
      <c r="F787" s="9"/>
      <c r="G787" s="9"/>
      <c r="H787" s="9"/>
      <c r="J787" s="9"/>
      <c r="K787" s="9"/>
      <c r="L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  <c r="AI787" s="9"/>
      <c r="AJ787" s="9"/>
    </row>
    <row r="788" spans="2:36" ht="15.75" customHeight="1">
      <c r="B788" s="9"/>
      <c r="C788" s="9"/>
      <c r="D788" s="9"/>
      <c r="E788" s="9"/>
      <c r="F788" s="9"/>
      <c r="G788" s="9"/>
      <c r="H788" s="9"/>
      <c r="J788" s="9"/>
      <c r="K788" s="9"/>
      <c r="L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  <c r="AI788" s="9"/>
      <c r="AJ788" s="9"/>
    </row>
    <row r="789" spans="2:36" ht="15.75" customHeight="1">
      <c r="B789" s="9"/>
      <c r="C789" s="9"/>
      <c r="D789" s="9"/>
      <c r="E789" s="9"/>
      <c r="F789" s="9"/>
      <c r="G789" s="9"/>
      <c r="H789" s="9"/>
      <c r="J789" s="9"/>
      <c r="K789" s="9"/>
      <c r="L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  <c r="AI789" s="9"/>
      <c r="AJ789" s="9"/>
    </row>
    <row r="790" spans="2:36" ht="15.75" customHeight="1">
      <c r="B790" s="9"/>
      <c r="C790" s="9"/>
      <c r="D790" s="9"/>
      <c r="E790" s="9"/>
      <c r="F790" s="9"/>
      <c r="G790" s="9"/>
      <c r="H790" s="9"/>
      <c r="J790" s="9"/>
      <c r="K790" s="9"/>
      <c r="L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  <c r="AI790" s="9"/>
      <c r="AJ790" s="9"/>
    </row>
    <row r="791" spans="2:36" ht="15.75" customHeight="1">
      <c r="B791" s="9"/>
      <c r="C791" s="9"/>
      <c r="D791" s="9"/>
      <c r="E791" s="9"/>
      <c r="F791" s="9"/>
      <c r="G791" s="9"/>
      <c r="H791" s="9"/>
      <c r="J791" s="9"/>
      <c r="K791" s="9"/>
      <c r="L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  <c r="AI791" s="9"/>
      <c r="AJ791" s="9"/>
    </row>
    <row r="792" spans="2:36" ht="15.75" customHeight="1">
      <c r="B792" s="9"/>
      <c r="C792" s="9"/>
      <c r="D792" s="9"/>
      <c r="E792" s="9"/>
      <c r="F792" s="9"/>
      <c r="G792" s="9"/>
      <c r="H792" s="9"/>
      <c r="J792" s="9"/>
      <c r="K792" s="9"/>
      <c r="L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  <c r="AI792" s="9"/>
      <c r="AJ792" s="9"/>
    </row>
    <row r="793" spans="2:36" ht="15.75" customHeight="1">
      <c r="B793" s="9"/>
      <c r="C793" s="9"/>
      <c r="D793" s="9"/>
      <c r="E793" s="9"/>
      <c r="F793" s="9"/>
      <c r="G793" s="9"/>
      <c r="H793" s="9"/>
      <c r="J793" s="9"/>
      <c r="K793" s="9"/>
      <c r="L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  <c r="AI793" s="9"/>
      <c r="AJ793" s="9"/>
    </row>
    <row r="794" spans="2:36" ht="15.75" customHeight="1">
      <c r="B794" s="9"/>
      <c r="C794" s="9"/>
      <c r="D794" s="9"/>
      <c r="E794" s="9"/>
      <c r="F794" s="9"/>
      <c r="G794" s="9"/>
      <c r="H794" s="9"/>
      <c r="J794" s="9"/>
      <c r="K794" s="9"/>
      <c r="L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  <c r="AI794" s="9"/>
      <c r="AJ794" s="9"/>
    </row>
    <row r="795" spans="2:36" ht="15.75" customHeight="1">
      <c r="B795" s="9"/>
      <c r="C795" s="9"/>
      <c r="D795" s="9"/>
      <c r="E795" s="9"/>
      <c r="F795" s="9"/>
      <c r="G795" s="9"/>
      <c r="H795" s="9"/>
      <c r="J795" s="9"/>
      <c r="K795" s="9"/>
      <c r="L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  <c r="AI795" s="9"/>
      <c r="AJ795" s="9"/>
    </row>
    <row r="796" spans="2:36" ht="15.75" customHeight="1">
      <c r="B796" s="9"/>
      <c r="C796" s="9"/>
      <c r="D796" s="9"/>
      <c r="E796" s="9"/>
      <c r="F796" s="9"/>
      <c r="G796" s="9"/>
      <c r="H796" s="9"/>
      <c r="J796" s="9"/>
      <c r="K796" s="9"/>
      <c r="L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  <c r="AI796" s="9"/>
      <c r="AJ796" s="9"/>
    </row>
    <row r="797" spans="2:36" ht="15.75" customHeight="1">
      <c r="B797" s="9"/>
      <c r="C797" s="9"/>
      <c r="D797" s="9"/>
      <c r="E797" s="9"/>
      <c r="F797" s="9"/>
      <c r="G797" s="9"/>
      <c r="H797" s="9"/>
      <c r="J797" s="9"/>
      <c r="K797" s="9"/>
      <c r="L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  <c r="AI797" s="9"/>
      <c r="AJ797" s="9"/>
    </row>
    <row r="798" spans="2:36" ht="15.75" customHeight="1">
      <c r="B798" s="9"/>
      <c r="C798" s="9"/>
      <c r="D798" s="9"/>
      <c r="E798" s="9"/>
      <c r="F798" s="9"/>
      <c r="G798" s="9"/>
      <c r="H798" s="9"/>
      <c r="J798" s="9"/>
      <c r="K798" s="9"/>
      <c r="L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  <c r="AI798" s="9"/>
      <c r="AJ798" s="9"/>
    </row>
    <row r="799" spans="2:36" ht="15.75" customHeight="1">
      <c r="B799" s="9"/>
      <c r="C799" s="9"/>
      <c r="D799" s="9"/>
      <c r="E799" s="9"/>
      <c r="F799" s="9"/>
      <c r="G799" s="9"/>
      <c r="H799" s="9"/>
      <c r="J799" s="9"/>
      <c r="K799" s="9"/>
      <c r="L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  <c r="AI799" s="9"/>
      <c r="AJ799" s="9"/>
    </row>
    <row r="800" spans="2:36" ht="15.75" customHeight="1">
      <c r="B800" s="9"/>
      <c r="C800" s="9"/>
      <c r="D800" s="9"/>
      <c r="E800" s="9"/>
      <c r="F800" s="9"/>
      <c r="G800" s="9"/>
      <c r="H800" s="9"/>
      <c r="J800" s="9"/>
      <c r="K800" s="9"/>
      <c r="L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  <c r="AI800" s="9"/>
      <c r="AJ800" s="9"/>
    </row>
    <row r="801" spans="2:36" ht="15.75" customHeight="1">
      <c r="B801" s="9"/>
      <c r="C801" s="9"/>
      <c r="D801" s="9"/>
      <c r="E801" s="9"/>
      <c r="F801" s="9"/>
      <c r="G801" s="9"/>
      <c r="H801" s="9"/>
      <c r="J801" s="9"/>
      <c r="K801" s="9"/>
      <c r="L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  <c r="AI801" s="9"/>
      <c r="AJ801" s="9"/>
    </row>
    <row r="802" spans="2:36" ht="15.75" customHeight="1">
      <c r="B802" s="9"/>
      <c r="C802" s="9"/>
      <c r="D802" s="9"/>
      <c r="E802" s="9"/>
      <c r="F802" s="9"/>
      <c r="G802" s="9"/>
      <c r="H802" s="9"/>
      <c r="J802" s="9"/>
      <c r="K802" s="9"/>
      <c r="L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  <c r="AI802" s="9"/>
      <c r="AJ802" s="9"/>
    </row>
    <row r="803" spans="2:36" ht="15.75" customHeight="1">
      <c r="B803" s="9"/>
      <c r="C803" s="9"/>
      <c r="D803" s="9"/>
      <c r="E803" s="9"/>
      <c r="F803" s="9"/>
      <c r="G803" s="9"/>
      <c r="H803" s="9"/>
      <c r="J803" s="9"/>
      <c r="K803" s="9"/>
      <c r="L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  <c r="AI803" s="9"/>
      <c r="AJ803" s="9"/>
    </row>
    <row r="804" spans="2:36" ht="15.75" customHeight="1">
      <c r="B804" s="9"/>
      <c r="C804" s="9"/>
      <c r="D804" s="9"/>
      <c r="E804" s="9"/>
      <c r="F804" s="9"/>
      <c r="G804" s="9"/>
      <c r="H804" s="9"/>
      <c r="J804" s="9"/>
      <c r="K804" s="9"/>
      <c r="L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  <c r="AI804" s="9"/>
      <c r="AJ804" s="9"/>
    </row>
    <row r="805" spans="2:36" ht="15.75" customHeight="1">
      <c r="B805" s="9"/>
      <c r="C805" s="9"/>
      <c r="D805" s="9"/>
      <c r="E805" s="9"/>
      <c r="F805" s="9"/>
      <c r="G805" s="9"/>
      <c r="H805" s="9"/>
      <c r="J805" s="9"/>
      <c r="K805" s="9"/>
      <c r="L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  <c r="AI805" s="9"/>
      <c r="AJ805" s="9"/>
    </row>
    <row r="806" spans="2:36" ht="15.75" customHeight="1">
      <c r="B806" s="9"/>
      <c r="C806" s="9"/>
      <c r="D806" s="9"/>
      <c r="E806" s="9"/>
      <c r="F806" s="9"/>
      <c r="G806" s="9"/>
      <c r="H806" s="9"/>
      <c r="J806" s="9"/>
      <c r="K806" s="9"/>
      <c r="L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  <c r="AI806" s="9"/>
      <c r="AJ806" s="9"/>
    </row>
    <row r="807" spans="2:36" ht="15.75" customHeight="1">
      <c r="B807" s="9"/>
      <c r="C807" s="9"/>
      <c r="D807" s="9"/>
      <c r="E807" s="9"/>
      <c r="F807" s="9"/>
      <c r="G807" s="9"/>
      <c r="H807" s="9"/>
      <c r="J807" s="9"/>
      <c r="K807" s="9"/>
      <c r="L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  <c r="AI807" s="9"/>
      <c r="AJ807" s="9"/>
    </row>
    <row r="808" spans="2:36" ht="15.75" customHeight="1">
      <c r="B808" s="9"/>
      <c r="C808" s="9"/>
      <c r="D808" s="9"/>
      <c r="E808" s="9"/>
      <c r="F808" s="9"/>
      <c r="G808" s="9"/>
      <c r="H808" s="9"/>
      <c r="J808" s="9"/>
      <c r="K808" s="9"/>
      <c r="L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  <c r="AI808" s="9"/>
      <c r="AJ808" s="9"/>
    </row>
    <row r="809" spans="2:36" ht="15.75" customHeight="1">
      <c r="B809" s="9"/>
      <c r="C809" s="9"/>
      <c r="D809" s="9"/>
      <c r="E809" s="9"/>
      <c r="F809" s="9"/>
      <c r="G809" s="9"/>
      <c r="H809" s="9"/>
      <c r="J809" s="9"/>
      <c r="K809" s="9"/>
      <c r="L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  <c r="AI809" s="9"/>
      <c r="AJ809" s="9"/>
    </row>
    <row r="810" spans="2:36" ht="15.75" customHeight="1">
      <c r="B810" s="9"/>
      <c r="C810" s="9"/>
      <c r="D810" s="9"/>
      <c r="E810" s="9"/>
      <c r="F810" s="9"/>
      <c r="G810" s="9"/>
      <c r="H810" s="9"/>
      <c r="J810" s="9"/>
      <c r="K810" s="9"/>
      <c r="L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  <c r="AI810" s="9"/>
      <c r="AJ810" s="9"/>
    </row>
    <row r="811" spans="2:36" ht="15.75" customHeight="1">
      <c r="B811" s="9"/>
      <c r="C811" s="9"/>
      <c r="D811" s="9"/>
      <c r="E811" s="9"/>
      <c r="F811" s="9"/>
      <c r="G811" s="9"/>
      <c r="H811" s="9"/>
      <c r="J811" s="9"/>
      <c r="K811" s="9"/>
      <c r="L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  <c r="AI811" s="9"/>
      <c r="AJ811" s="9"/>
    </row>
    <row r="812" spans="2:36" ht="15.75" customHeight="1">
      <c r="B812" s="9"/>
      <c r="C812" s="9"/>
      <c r="D812" s="9"/>
      <c r="E812" s="9"/>
      <c r="F812" s="9"/>
      <c r="G812" s="9"/>
      <c r="H812" s="9"/>
      <c r="J812" s="9"/>
      <c r="K812" s="9"/>
      <c r="L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  <c r="AI812" s="9"/>
      <c r="AJ812" s="9"/>
    </row>
    <row r="813" spans="2:36" ht="15.75" customHeight="1">
      <c r="B813" s="9"/>
      <c r="C813" s="9"/>
      <c r="D813" s="9"/>
      <c r="E813" s="9"/>
      <c r="F813" s="9"/>
      <c r="G813" s="9"/>
      <c r="H813" s="9"/>
      <c r="J813" s="9"/>
      <c r="K813" s="9"/>
      <c r="L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  <c r="AI813" s="9"/>
      <c r="AJ813" s="9"/>
    </row>
    <row r="814" spans="2:36" ht="15.75" customHeight="1">
      <c r="B814" s="9"/>
      <c r="C814" s="9"/>
      <c r="D814" s="9"/>
      <c r="E814" s="9"/>
      <c r="F814" s="9"/>
      <c r="G814" s="9"/>
      <c r="H814" s="9"/>
      <c r="J814" s="9"/>
      <c r="K814" s="9"/>
      <c r="L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  <c r="AI814" s="9"/>
      <c r="AJ814" s="9"/>
    </row>
    <row r="815" spans="2:36" ht="15.75" customHeight="1">
      <c r="B815" s="9"/>
      <c r="C815" s="9"/>
      <c r="D815" s="9"/>
      <c r="E815" s="9"/>
      <c r="F815" s="9"/>
      <c r="G815" s="9"/>
      <c r="H815" s="9"/>
      <c r="J815" s="9"/>
      <c r="K815" s="9"/>
      <c r="L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  <c r="AI815" s="9"/>
      <c r="AJ815" s="9"/>
    </row>
    <row r="816" spans="2:36" ht="15.75" customHeight="1">
      <c r="B816" s="9"/>
      <c r="C816" s="9"/>
      <c r="D816" s="9"/>
      <c r="E816" s="9"/>
      <c r="F816" s="9"/>
      <c r="G816" s="9"/>
      <c r="H816" s="9"/>
      <c r="J816" s="9"/>
      <c r="K816" s="9"/>
      <c r="L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  <c r="AI816" s="9"/>
      <c r="AJ816" s="9"/>
    </row>
    <row r="817" spans="2:36" ht="15.75" customHeight="1">
      <c r="B817" s="9"/>
      <c r="C817" s="9"/>
      <c r="D817" s="9"/>
      <c r="E817" s="9"/>
      <c r="F817" s="9"/>
      <c r="G817" s="9"/>
      <c r="H817" s="9"/>
      <c r="J817" s="9"/>
      <c r="K817" s="9"/>
      <c r="L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  <c r="AI817" s="9"/>
      <c r="AJ817" s="9"/>
    </row>
    <row r="818" spans="2:36" ht="15.75" customHeight="1">
      <c r="B818" s="9"/>
      <c r="C818" s="9"/>
      <c r="D818" s="9"/>
      <c r="E818" s="9"/>
      <c r="F818" s="9"/>
      <c r="G818" s="9"/>
      <c r="H818" s="9"/>
      <c r="J818" s="9"/>
      <c r="K818" s="9"/>
      <c r="L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  <c r="AI818" s="9"/>
      <c r="AJ818" s="9"/>
    </row>
    <row r="819" spans="2:36" ht="15.75" customHeight="1">
      <c r="B819" s="9"/>
      <c r="C819" s="9"/>
      <c r="D819" s="9"/>
      <c r="E819" s="9"/>
      <c r="F819" s="9"/>
      <c r="G819" s="9"/>
      <c r="H819" s="9"/>
      <c r="J819" s="9"/>
      <c r="K819" s="9"/>
      <c r="L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  <c r="AI819" s="9"/>
      <c r="AJ819" s="9"/>
    </row>
    <row r="820" spans="2:36" ht="15.75" customHeight="1">
      <c r="B820" s="9"/>
      <c r="C820" s="9"/>
      <c r="D820" s="9"/>
      <c r="E820" s="9"/>
      <c r="F820" s="9"/>
      <c r="G820" s="9"/>
      <c r="H820" s="9"/>
      <c r="J820" s="9"/>
      <c r="K820" s="9"/>
      <c r="L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  <c r="AI820" s="9"/>
      <c r="AJ820" s="9"/>
    </row>
    <row r="821" spans="2:36" ht="15.75" customHeight="1">
      <c r="B821" s="9"/>
      <c r="C821" s="9"/>
      <c r="D821" s="9"/>
      <c r="E821" s="9"/>
      <c r="F821" s="9"/>
      <c r="G821" s="9"/>
      <c r="H821" s="9"/>
      <c r="J821" s="9"/>
      <c r="K821" s="9"/>
      <c r="L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  <c r="AI821" s="9"/>
      <c r="AJ821" s="9"/>
    </row>
    <row r="822" spans="2:36" ht="15.75" customHeight="1">
      <c r="B822" s="9"/>
      <c r="C822" s="9"/>
      <c r="D822" s="9"/>
      <c r="E822" s="9"/>
      <c r="F822" s="9"/>
      <c r="G822" s="9"/>
      <c r="H822" s="9"/>
      <c r="J822" s="9"/>
      <c r="K822" s="9"/>
      <c r="L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  <c r="AI822" s="9"/>
      <c r="AJ822" s="9"/>
    </row>
    <row r="823" spans="2:36" ht="15.75" customHeight="1">
      <c r="B823" s="9"/>
      <c r="C823" s="9"/>
      <c r="D823" s="9"/>
      <c r="E823" s="9"/>
      <c r="F823" s="9"/>
      <c r="G823" s="9"/>
      <c r="H823" s="9"/>
      <c r="J823" s="9"/>
      <c r="K823" s="9"/>
      <c r="L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  <c r="AI823" s="9"/>
      <c r="AJ823" s="9"/>
    </row>
    <row r="824" spans="2:36" ht="15.75" customHeight="1">
      <c r="B824" s="9"/>
      <c r="C824" s="9"/>
      <c r="D824" s="9"/>
      <c r="E824" s="9"/>
      <c r="F824" s="9"/>
      <c r="G824" s="9"/>
      <c r="H824" s="9"/>
      <c r="J824" s="9"/>
      <c r="K824" s="9"/>
      <c r="L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  <c r="AI824" s="9"/>
      <c r="AJ824" s="9"/>
    </row>
    <row r="825" spans="2:36" ht="15.75" customHeight="1">
      <c r="B825" s="9"/>
      <c r="C825" s="9"/>
      <c r="D825" s="9"/>
      <c r="E825" s="9"/>
      <c r="F825" s="9"/>
      <c r="G825" s="9"/>
      <c r="H825" s="9"/>
      <c r="J825" s="9"/>
      <c r="K825" s="9"/>
      <c r="L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  <c r="AI825" s="9"/>
      <c r="AJ825" s="9"/>
    </row>
    <row r="826" spans="2:36" ht="15.75" customHeight="1">
      <c r="B826" s="9"/>
      <c r="C826" s="9"/>
      <c r="D826" s="9"/>
      <c r="E826" s="9"/>
      <c r="F826" s="9"/>
      <c r="G826" s="9"/>
      <c r="H826" s="9"/>
      <c r="J826" s="9"/>
      <c r="K826" s="9"/>
      <c r="L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  <c r="AI826" s="9"/>
      <c r="AJ826" s="9"/>
    </row>
    <row r="827" spans="2:36" ht="15.75" customHeight="1">
      <c r="B827" s="9"/>
      <c r="C827" s="9"/>
      <c r="D827" s="9"/>
      <c r="E827" s="9"/>
      <c r="F827" s="9"/>
      <c r="G827" s="9"/>
      <c r="H827" s="9"/>
      <c r="J827" s="9"/>
      <c r="K827" s="9"/>
      <c r="L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  <c r="AI827" s="9"/>
      <c r="AJ827" s="9"/>
    </row>
    <row r="828" spans="2:36" ht="15.75" customHeight="1">
      <c r="B828" s="9"/>
      <c r="C828" s="9"/>
      <c r="D828" s="9"/>
      <c r="E828" s="9"/>
      <c r="F828" s="9"/>
      <c r="G828" s="9"/>
      <c r="H828" s="9"/>
      <c r="J828" s="9"/>
      <c r="K828" s="9"/>
      <c r="L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  <c r="AI828" s="9"/>
      <c r="AJ828" s="9"/>
    </row>
    <row r="829" spans="2:36" ht="15.75" customHeight="1">
      <c r="B829" s="9"/>
      <c r="C829" s="9"/>
      <c r="D829" s="9"/>
      <c r="E829" s="9"/>
      <c r="F829" s="9"/>
      <c r="G829" s="9"/>
      <c r="H829" s="9"/>
      <c r="J829" s="9"/>
      <c r="K829" s="9"/>
      <c r="L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  <c r="AI829" s="9"/>
      <c r="AJ829" s="9"/>
    </row>
    <row r="830" spans="2:36" ht="15.75" customHeight="1">
      <c r="B830" s="9"/>
      <c r="C830" s="9"/>
      <c r="D830" s="9"/>
      <c r="E830" s="9"/>
      <c r="F830" s="9"/>
      <c r="G830" s="9"/>
      <c r="H830" s="9"/>
      <c r="J830" s="9"/>
      <c r="K830" s="9"/>
      <c r="L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  <c r="AI830" s="9"/>
      <c r="AJ830" s="9"/>
    </row>
    <row r="831" spans="2:36" ht="15.75" customHeight="1">
      <c r="B831" s="9"/>
      <c r="C831" s="9"/>
      <c r="D831" s="9"/>
      <c r="E831" s="9"/>
      <c r="F831" s="9"/>
      <c r="G831" s="9"/>
      <c r="H831" s="9"/>
      <c r="J831" s="9"/>
      <c r="K831" s="9"/>
      <c r="L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  <c r="AI831" s="9"/>
      <c r="AJ831" s="9"/>
    </row>
    <row r="832" spans="2:36" ht="15.75" customHeight="1">
      <c r="B832" s="9"/>
      <c r="C832" s="9"/>
      <c r="D832" s="9"/>
      <c r="E832" s="9"/>
      <c r="F832" s="9"/>
      <c r="G832" s="9"/>
      <c r="H832" s="9"/>
      <c r="J832" s="9"/>
      <c r="K832" s="9"/>
      <c r="L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  <c r="AI832" s="9"/>
      <c r="AJ832" s="9"/>
    </row>
    <row r="833" spans="2:36" ht="15.75" customHeight="1">
      <c r="B833" s="9"/>
      <c r="C833" s="9"/>
      <c r="D833" s="9"/>
      <c r="E833" s="9"/>
      <c r="F833" s="9"/>
      <c r="G833" s="9"/>
      <c r="H833" s="9"/>
      <c r="J833" s="9"/>
      <c r="K833" s="9"/>
      <c r="L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  <c r="AI833" s="9"/>
      <c r="AJ833" s="9"/>
    </row>
    <row r="834" spans="2:36" ht="15.75" customHeight="1">
      <c r="B834" s="9"/>
      <c r="C834" s="9"/>
      <c r="D834" s="9"/>
      <c r="E834" s="9"/>
      <c r="F834" s="9"/>
      <c r="G834" s="9"/>
      <c r="H834" s="9"/>
      <c r="J834" s="9"/>
      <c r="K834" s="9"/>
      <c r="L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  <c r="AI834" s="9"/>
      <c r="AJ834" s="9"/>
    </row>
    <row r="835" spans="2:36" ht="15.75" customHeight="1">
      <c r="B835" s="9"/>
      <c r="C835" s="9"/>
      <c r="D835" s="9"/>
      <c r="E835" s="9"/>
      <c r="F835" s="9"/>
      <c r="G835" s="9"/>
      <c r="H835" s="9"/>
      <c r="J835" s="9"/>
      <c r="K835" s="9"/>
      <c r="L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  <c r="AI835" s="9"/>
      <c r="AJ835" s="9"/>
    </row>
    <row r="836" spans="2:36" ht="15.75" customHeight="1">
      <c r="B836" s="9"/>
      <c r="C836" s="9"/>
      <c r="D836" s="9"/>
      <c r="E836" s="9"/>
      <c r="F836" s="9"/>
      <c r="G836" s="9"/>
      <c r="H836" s="9"/>
      <c r="J836" s="9"/>
      <c r="K836" s="9"/>
      <c r="L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  <c r="AI836" s="9"/>
      <c r="AJ836" s="9"/>
    </row>
    <row r="837" spans="2:36" ht="15.75" customHeight="1">
      <c r="B837" s="9"/>
      <c r="C837" s="9"/>
      <c r="D837" s="9"/>
      <c r="E837" s="9"/>
      <c r="F837" s="9"/>
      <c r="G837" s="9"/>
      <c r="H837" s="9"/>
      <c r="J837" s="9"/>
      <c r="K837" s="9"/>
      <c r="L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  <c r="AI837" s="9"/>
      <c r="AJ837" s="9"/>
    </row>
    <row r="838" spans="2:36" ht="15.75" customHeight="1">
      <c r="B838" s="9"/>
      <c r="C838" s="9"/>
      <c r="D838" s="9"/>
      <c r="E838" s="9"/>
      <c r="F838" s="9"/>
      <c r="G838" s="9"/>
      <c r="H838" s="9"/>
      <c r="J838" s="9"/>
      <c r="K838" s="9"/>
      <c r="L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  <c r="AI838" s="9"/>
      <c r="AJ838" s="9"/>
    </row>
    <row r="839" spans="2:36" ht="15.75" customHeight="1">
      <c r="B839" s="9"/>
      <c r="C839" s="9"/>
      <c r="D839" s="9"/>
      <c r="E839" s="9"/>
      <c r="F839" s="9"/>
      <c r="G839" s="9"/>
      <c r="H839" s="9"/>
      <c r="J839" s="9"/>
      <c r="K839" s="9"/>
      <c r="L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  <c r="AI839" s="9"/>
      <c r="AJ839" s="9"/>
    </row>
    <row r="840" spans="2:36" ht="15.75" customHeight="1">
      <c r="B840" s="9"/>
      <c r="C840" s="9"/>
      <c r="D840" s="9"/>
      <c r="E840" s="9"/>
      <c r="F840" s="9"/>
      <c r="G840" s="9"/>
      <c r="H840" s="9"/>
      <c r="J840" s="9"/>
      <c r="K840" s="9"/>
      <c r="L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  <c r="AI840" s="9"/>
      <c r="AJ840" s="9"/>
    </row>
    <row r="841" spans="2:36" ht="15.75" customHeight="1">
      <c r="B841" s="9"/>
      <c r="C841" s="9"/>
      <c r="D841" s="9"/>
      <c r="E841" s="9"/>
      <c r="F841" s="9"/>
      <c r="G841" s="9"/>
      <c r="H841" s="9"/>
      <c r="J841" s="9"/>
      <c r="K841" s="9"/>
      <c r="L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  <c r="AI841" s="9"/>
      <c r="AJ841" s="9"/>
    </row>
    <row r="842" spans="2:36" ht="15.75" customHeight="1">
      <c r="B842" s="9"/>
      <c r="C842" s="9"/>
      <c r="D842" s="9"/>
      <c r="E842" s="9"/>
      <c r="F842" s="9"/>
      <c r="G842" s="9"/>
      <c r="H842" s="9"/>
      <c r="J842" s="9"/>
      <c r="K842" s="9"/>
      <c r="L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  <c r="AI842" s="9"/>
      <c r="AJ842" s="9"/>
    </row>
    <row r="843" spans="2:36" ht="15.75" customHeight="1">
      <c r="B843" s="9"/>
      <c r="C843" s="9"/>
      <c r="D843" s="9"/>
      <c r="E843" s="9"/>
      <c r="F843" s="9"/>
      <c r="G843" s="9"/>
      <c r="H843" s="9"/>
      <c r="J843" s="9"/>
      <c r="K843" s="9"/>
      <c r="L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  <c r="AI843" s="9"/>
      <c r="AJ843" s="9"/>
    </row>
    <row r="844" spans="2:36" ht="15.75" customHeight="1">
      <c r="B844" s="9"/>
      <c r="C844" s="9"/>
      <c r="D844" s="9"/>
      <c r="E844" s="9"/>
      <c r="F844" s="9"/>
      <c r="G844" s="9"/>
      <c r="H844" s="9"/>
      <c r="J844" s="9"/>
      <c r="K844" s="9"/>
      <c r="L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  <c r="AI844" s="9"/>
      <c r="AJ844" s="9"/>
    </row>
    <row r="845" spans="2:36" ht="15.75" customHeight="1">
      <c r="B845" s="9"/>
      <c r="C845" s="9"/>
      <c r="D845" s="9"/>
      <c r="E845" s="9"/>
      <c r="F845" s="9"/>
      <c r="G845" s="9"/>
      <c r="H845" s="9"/>
      <c r="J845" s="9"/>
      <c r="K845" s="9"/>
      <c r="L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  <c r="AI845" s="9"/>
      <c r="AJ845" s="9"/>
    </row>
    <row r="846" spans="2:36" ht="15.75" customHeight="1">
      <c r="B846" s="9"/>
      <c r="C846" s="9"/>
      <c r="D846" s="9"/>
      <c r="E846" s="9"/>
      <c r="F846" s="9"/>
      <c r="G846" s="9"/>
      <c r="H846" s="9"/>
      <c r="J846" s="9"/>
      <c r="K846" s="9"/>
      <c r="L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  <c r="AI846" s="9"/>
      <c r="AJ846" s="9"/>
    </row>
    <row r="847" spans="2:36" ht="15.75" customHeight="1">
      <c r="B847" s="9"/>
      <c r="C847" s="9"/>
      <c r="D847" s="9"/>
      <c r="E847" s="9"/>
      <c r="F847" s="9"/>
      <c r="G847" s="9"/>
      <c r="H847" s="9"/>
      <c r="J847" s="9"/>
      <c r="K847" s="9"/>
      <c r="L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  <c r="AI847" s="9"/>
      <c r="AJ847" s="9"/>
    </row>
    <row r="848" spans="2:36" ht="15.75" customHeight="1">
      <c r="B848" s="9"/>
      <c r="C848" s="9"/>
      <c r="D848" s="9"/>
      <c r="E848" s="9"/>
      <c r="F848" s="9"/>
      <c r="G848" s="9"/>
      <c r="H848" s="9"/>
      <c r="J848" s="9"/>
      <c r="K848" s="9"/>
      <c r="L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  <c r="AI848" s="9"/>
      <c r="AJ848" s="9"/>
    </row>
    <row r="849" spans="2:36" ht="15.75" customHeight="1">
      <c r="B849" s="9"/>
      <c r="C849" s="9"/>
      <c r="D849" s="9"/>
      <c r="E849" s="9"/>
      <c r="F849" s="9"/>
      <c r="G849" s="9"/>
      <c r="H849" s="9"/>
      <c r="J849" s="9"/>
      <c r="K849" s="9"/>
      <c r="L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  <c r="AI849" s="9"/>
      <c r="AJ849" s="9"/>
    </row>
    <row r="850" spans="2:36" ht="15.75" customHeight="1">
      <c r="B850" s="9"/>
      <c r="C850" s="9"/>
      <c r="D850" s="9"/>
      <c r="E850" s="9"/>
      <c r="F850" s="9"/>
      <c r="G850" s="9"/>
      <c r="H850" s="9"/>
      <c r="J850" s="9"/>
      <c r="K850" s="9"/>
      <c r="L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  <c r="AI850" s="9"/>
      <c r="AJ850" s="9"/>
    </row>
    <row r="851" spans="2:36" ht="15.75" customHeight="1">
      <c r="B851" s="9"/>
      <c r="C851" s="9"/>
      <c r="D851" s="9"/>
      <c r="E851" s="9"/>
      <c r="F851" s="9"/>
      <c r="G851" s="9"/>
      <c r="H851" s="9"/>
      <c r="J851" s="9"/>
      <c r="K851" s="9"/>
      <c r="L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  <c r="AI851" s="9"/>
      <c r="AJ851" s="9"/>
    </row>
    <row r="852" spans="2:36" ht="15.75" customHeight="1">
      <c r="B852" s="9"/>
      <c r="C852" s="9"/>
      <c r="D852" s="9"/>
      <c r="E852" s="9"/>
      <c r="F852" s="9"/>
      <c r="G852" s="9"/>
      <c r="H852" s="9"/>
      <c r="J852" s="9"/>
      <c r="K852" s="9"/>
      <c r="L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  <c r="AI852" s="9"/>
      <c r="AJ852" s="9"/>
    </row>
    <row r="853" spans="2:36" ht="15.75" customHeight="1">
      <c r="B853" s="9"/>
      <c r="C853" s="9"/>
      <c r="D853" s="9"/>
      <c r="E853" s="9"/>
      <c r="F853" s="9"/>
      <c r="G853" s="9"/>
      <c r="H853" s="9"/>
      <c r="J853" s="9"/>
      <c r="K853" s="9"/>
      <c r="L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  <c r="AI853" s="9"/>
      <c r="AJ853" s="9"/>
    </row>
    <row r="854" spans="2:36" ht="15.75" customHeight="1">
      <c r="B854" s="9"/>
      <c r="C854" s="9"/>
      <c r="D854" s="9"/>
      <c r="E854" s="9"/>
      <c r="F854" s="9"/>
      <c r="G854" s="9"/>
      <c r="H854" s="9"/>
      <c r="J854" s="9"/>
      <c r="K854" s="9"/>
      <c r="L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  <c r="AI854" s="9"/>
      <c r="AJ854" s="9"/>
    </row>
    <row r="855" spans="2:36" ht="15.75" customHeight="1">
      <c r="B855" s="9"/>
      <c r="C855" s="9"/>
      <c r="D855" s="9"/>
      <c r="E855" s="9"/>
      <c r="F855" s="9"/>
      <c r="G855" s="9"/>
      <c r="H855" s="9"/>
      <c r="J855" s="9"/>
      <c r="K855" s="9"/>
      <c r="L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  <c r="AI855" s="9"/>
      <c r="AJ855" s="9"/>
    </row>
    <row r="856" spans="2:36" ht="15.75" customHeight="1">
      <c r="B856" s="9"/>
      <c r="C856" s="9"/>
      <c r="D856" s="9"/>
      <c r="E856" s="9"/>
      <c r="F856" s="9"/>
      <c r="G856" s="9"/>
      <c r="H856" s="9"/>
      <c r="J856" s="9"/>
      <c r="K856" s="9"/>
      <c r="L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  <c r="AI856" s="9"/>
      <c r="AJ856" s="9"/>
    </row>
    <row r="857" spans="2:36" ht="15.75" customHeight="1">
      <c r="B857" s="9"/>
      <c r="C857" s="9"/>
      <c r="D857" s="9"/>
      <c r="E857" s="9"/>
      <c r="F857" s="9"/>
      <c r="G857" s="9"/>
      <c r="H857" s="9"/>
      <c r="J857" s="9"/>
      <c r="K857" s="9"/>
      <c r="L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  <c r="AI857" s="9"/>
      <c r="AJ857" s="9"/>
    </row>
    <row r="858" spans="2:36" ht="15.75" customHeight="1">
      <c r="B858" s="9"/>
      <c r="C858" s="9"/>
      <c r="D858" s="9"/>
      <c r="E858" s="9"/>
      <c r="F858" s="9"/>
      <c r="G858" s="9"/>
      <c r="H858" s="9"/>
      <c r="J858" s="9"/>
      <c r="K858" s="9"/>
      <c r="L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  <c r="AI858" s="9"/>
      <c r="AJ858" s="9"/>
    </row>
    <row r="859" spans="2:36" ht="15.75" customHeight="1">
      <c r="B859" s="9"/>
      <c r="C859" s="9"/>
      <c r="D859" s="9"/>
      <c r="E859" s="9"/>
      <c r="F859" s="9"/>
      <c r="G859" s="9"/>
      <c r="H859" s="9"/>
      <c r="J859" s="9"/>
      <c r="K859" s="9"/>
      <c r="L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  <c r="AI859" s="9"/>
      <c r="AJ859" s="9"/>
    </row>
    <row r="860" spans="2:36" ht="15.75" customHeight="1">
      <c r="B860" s="9"/>
      <c r="C860" s="9"/>
      <c r="D860" s="9"/>
      <c r="E860" s="9"/>
      <c r="F860" s="9"/>
      <c r="G860" s="9"/>
      <c r="H860" s="9"/>
      <c r="J860" s="9"/>
      <c r="K860" s="9"/>
      <c r="L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  <c r="AI860" s="9"/>
      <c r="AJ860" s="9"/>
    </row>
    <row r="861" spans="2:36" ht="15.75" customHeight="1">
      <c r="B861" s="9"/>
      <c r="C861" s="9"/>
      <c r="D861" s="9"/>
      <c r="E861" s="9"/>
      <c r="F861" s="9"/>
      <c r="G861" s="9"/>
      <c r="H861" s="9"/>
      <c r="J861" s="9"/>
      <c r="K861" s="9"/>
      <c r="L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  <c r="AI861" s="9"/>
      <c r="AJ861" s="9"/>
    </row>
    <row r="862" spans="2:36" ht="15.75" customHeight="1">
      <c r="B862" s="9"/>
      <c r="C862" s="9"/>
      <c r="D862" s="9"/>
      <c r="E862" s="9"/>
      <c r="F862" s="9"/>
      <c r="G862" s="9"/>
      <c r="H862" s="9"/>
      <c r="J862" s="9"/>
      <c r="K862" s="9"/>
      <c r="L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  <c r="AI862" s="9"/>
      <c r="AJ862" s="9"/>
    </row>
    <row r="863" spans="2:36" ht="15.75" customHeight="1">
      <c r="B863" s="9"/>
      <c r="C863" s="9"/>
      <c r="D863" s="9"/>
      <c r="E863" s="9"/>
      <c r="F863" s="9"/>
      <c r="G863" s="9"/>
      <c r="H863" s="9"/>
      <c r="J863" s="9"/>
      <c r="K863" s="9"/>
      <c r="L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  <c r="AI863" s="9"/>
      <c r="AJ863" s="9"/>
    </row>
    <row r="864" spans="2:36" ht="15.75" customHeight="1">
      <c r="B864" s="9"/>
      <c r="C864" s="9"/>
      <c r="D864" s="9"/>
      <c r="E864" s="9"/>
      <c r="F864" s="9"/>
      <c r="G864" s="9"/>
      <c r="H864" s="9"/>
      <c r="J864" s="9"/>
      <c r="K864" s="9"/>
      <c r="L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  <c r="AI864" s="9"/>
      <c r="AJ864" s="9"/>
    </row>
    <row r="865" spans="2:36" ht="15.75" customHeight="1">
      <c r="B865" s="9"/>
      <c r="C865" s="9"/>
      <c r="D865" s="9"/>
      <c r="E865" s="9"/>
      <c r="F865" s="9"/>
      <c r="G865" s="9"/>
      <c r="H865" s="9"/>
      <c r="J865" s="9"/>
      <c r="K865" s="9"/>
      <c r="L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  <c r="AI865" s="9"/>
      <c r="AJ865" s="9"/>
    </row>
    <row r="866" spans="2:36" ht="15.75" customHeight="1">
      <c r="B866" s="9"/>
      <c r="C866" s="9"/>
      <c r="D866" s="9"/>
      <c r="E866" s="9"/>
      <c r="F866" s="9"/>
      <c r="G866" s="9"/>
      <c r="H866" s="9"/>
      <c r="J866" s="9"/>
      <c r="K866" s="9"/>
      <c r="L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  <c r="AI866" s="9"/>
      <c r="AJ866" s="9"/>
    </row>
    <row r="867" spans="2:36" ht="15.75" customHeight="1">
      <c r="B867" s="9"/>
      <c r="C867" s="9"/>
      <c r="D867" s="9"/>
      <c r="E867" s="9"/>
      <c r="F867" s="9"/>
      <c r="G867" s="9"/>
      <c r="H867" s="9"/>
      <c r="J867" s="9"/>
      <c r="K867" s="9"/>
      <c r="L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  <c r="AI867" s="9"/>
      <c r="AJ867" s="9"/>
    </row>
    <row r="868" spans="2:36" ht="15.75" customHeight="1">
      <c r="B868" s="9"/>
      <c r="C868" s="9"/>
      <c r="D868" s="9"/>
      <c r="E868" s="9"/>
      <c r="F868" s="9"/>
      <c r="G868" s="9"/>
      <c r="H868" s="9"/>
      <c r="J868" s="9"/>
      <c r="K868" s="9"/>
      <c r="L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  <c r="AI868" s="9"/>
      <c r="AJ868" s="9"/>
    </row>
    <row r="869" spans="2:36" ht="15.75" customHeight="1">
      <c r="B869" s="9"/>
      <c r="C869" s="9"/>
      <c r="D869" s="9"/>
      <c r="E869" s="9"/>
      <c r="F869" s="9"/>
      <c r="G869" s="9"/>
      <c r="H869" s="9"/>
      <c r="J869" s="9"/>
      <c r="K869" s="9"/>
      <c r="L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  <c r="AI869" s="9"/>
      <c r="AJ869" s="9"/>
    </row>
  </sheetData>
  <autoFilter ref="A2:AV52" xr:uid="{00000000-0009-0000-0000-000003000000}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9">
    <mergeCell ref="A1:AY1"/>
    <mergeCell ref="AT2:AV2"/>
    <mergeCell ref="AC2:AE2"/>
    <mergeCell ref="Z2:AB2"/>
    <mergeCell ref="N2:P2"/>
    <mergeCell ref="AN2:AP2"/>
    <mergeCell ref="AQ2:AS2"/>
    <mergeCell ref="T2:V2"/>
    <mergeCell ref="W2:Y2"/>
  </mergeCells>
  <phoneticPr fontId="0" type="noConversion"/>
  <printOptions horizontalCentered="1" gridLines="1"/>
  <pageMargins left="0.39370078740157483" right="0.39370078740157483" top="0.78740157480314965" bottom="0.78740157480314965" header="0.31496062992125984" footer="0.31496062992125984"/>
  <pageSetup paperSize="9" scale="37" fitToHeight="0" orientation="landscape" cellComments="asDisplayed" r:id="rId1"/>
  <headerFooter alignWithMargins="0">
    <oddHeader>&amp;L&amp;G&amp;C
LAYOUT AND EQUIPMENT
EP 15 TRACK 3
KP 30-48&amp;R&amp;G</oddHeader>
    <oddFooter>&amp;L
&amp;F&amp;C&amp;G
&amp;D&amp;R
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FF0066"/>
    <pageSetUpPr fitToPage="1"/>
  </sheetPr>
  <dimension ref="A1:BL535"/>
  <sheetViews>
    <sheetView view="pageBreakPreview" zoomScale="60" zoomScaleNormal="70" workbookViewId="0">
      <pane ySplit="3" topLeftCell="A4" activePane="bottomLeft" state="frozen"/>
      <selection activeCell="G8" sqref="G8"/>
      <selection pane="bottomLeft" activeCell="G8" sqref="G8"/>
    </sheetView>
  </sheetViews>
  <sheetFormatPr baseColWidth="10" defaultColWidth="11.44140625" defaultRowHeight="15.75" customHeight="1"/>
  <cols>
    <col min="1" max="1" width="19" style="7" customWidth="1"/>
    <col min="2" max="2" width="9.6640625" style="9" customWidth="1"/>
    <col min="3" max="3" width="13.44140625" style="7" hidden="1" customWidth="1"/>
    <col min="4" max="4" width="13.88671875" style="7" hidden="1" customWidth="1"/>
    <col min="5" max="5" width="10.5546875" style="7" hidden="1" customWidth="1"/>
    <col min="6" max="6" width="9.33203125" style="7" hidden="1" customWidth="1"/>
    <col min="7" max="7" width="10" style="9" hidden="1" customWidth="1"/>
    <col min="8" max="8" width="17.44140625" style="9" customWidth="1"/>
    <col min="9" max="9" width="15.5546875" style="7" customWidth="1"/>
    <col min="10" max="10" width="13.5546875" style="7" customWidth="1"/>
    <col min="11" max="11" width="15.33203125" style="7" customWidth="1"/>
    <col min="12" max="12" width="16.33203125" style="9" customWidth="1"/>
    <col min="13" max="13" width="15.88671875" style="7" customWidth="1"/>
    <col min="14" max="15" width="9" style="7" customWidth="1"/>
    <col min="16" max="16" width="9" style="7" hidden="1" customWidth="1"/>
    <col min="17" max="19" width="11.6640625" style="7" customWidth="1"/>
    <col min="20" max="21" width="6.33203125" style="7" customWidth="1"/>
    <col min="22" max="22" width="6.33203125" style="7" hidden="1" customWidth="1"/>
    <col min="23" max="24" width="6.33203125" style="9" customWidth="1"/>
    <col min="25" max="25" width="6.33203125" style="9" hidden="1" customWidth="1"/>
    <col min="26" max="27" width="6.33203125" style="7" customWidth="1"/>
    <col min="28" max="28" width="6.33203125" style="7" hidden="1" customWidth="1"/>
    <col min="29" max="30" width="9.88671875" style="7" customWidth="1"/>
    <col min="31" max="31" width="7.5546875" style="7" hidden="1" customWidth="1"/>
    <col min="32" max="35" width="12.5546875" style="7" customWidth="1"/>
    <col min="36" max="36" width="12.6640625" style="7" customWidth="1"/>
    <col min="37" max="37" width="11" style="9" hidden="1" customWidth="1"/>
    <col min="38" max="38" width="11" style="7" hidden="1" customWidth="1"/>
    <col min="39" max="39" width="13.44140625" style="7" customWidth="1"/>
    <col min="40" max="40" width="8.33203125" style="47" customWidth="1"/>
    <col min="41" max="42" width="7.33203125" style="47" hidden="1" customWidth="1"/>
    <col min="43" max="43" width="8.33203125" style="47" hidden="1" customWidth="1"/>
    <col min="44" max="45" width="7.33203125" style="47" hidden="1" customWidth="1"/>
    <col min="46" max="46" width="8.33203125" style="47" hidden="1" customWidth="1"/>
    <col min="47" max="48" width="7.33203125" style="47" hidden="1" customWidth="1"/>
    <col min="49" max="51" width="8.88671875" style="47" hidden="1" customWidth="1"/>
    <col min="52" max="52" width="5.5546875" style="7" customWidth="1"/>
    <col min="53" max="53" width="7.5546875" style="7" customWidth="1"/>
    <col min="54" max="54" width="54.6640625" style="518" customWidth="1"/>
    <col min="55" max="55" width="15.6640625" style="517" customWidth="1"/>
    <col min="56" max="56" width="2.6640625" style="517" customWidth="1"/>
    <col min="57" max="57" width="45.6640625" style="517" customWidth="1"/>
    <col min="58" max="58" width="19.109375" style="517" customWidth="1"/>
    <col min="59" max="59" width="4.6640625" style="517" customWidth="1"/>
    <col min="60" max="60" width="22.88671875" style="519" customWidth="1"/>
    <col min="61" max="64" width="11.44140625" style="517" customWidth="1"/>
    <col min="65" max="16384" width="11.44140625" style="7"/>
  </cols>
  <sheetData>
    <row r="1" spans="1:64" ht="35.25" customHeight="1" thickBot="1">
      <c r="A1" s="1368" t="s">
        <v>480</v>
      </c>
      <c r="B1" s="1369"/>
      <c r="C1" s="1369"/>
      <c r="D1" s="1369"/>
      <c r="E1" s="1369"/>
      <c r="F1" s="1369"/>
      <c r="G1" s="1369"/>
      <c r="H1" s="1369"/>
      <c r="I1" s="1369"/>
      <c r="J1" s="1369"/>
      <c r="K1" s="1369"/>
      <c r="L1" s="1369"/>
      <c r="M1" s="1369"/>
      <c r="N1" s="1369"/>
      <c r="O1" s="1369"/>
      <c r="P1" s="1369"/>
      <c r="Q1" s="1369"/>
      <c r="R1" s="1369"/>
      <c r="S1" s="1369"/>
      <c r="T1" s="1369"/>
      <c r="U1" s="1369"/>
      <c r="V1" s="1369"/>
      <c r="W1" s="1369"/>
      <c r="X1" s="1369"/>
      <c r="Y1" s="1369"/>
      <c r="Z1" s="1369"/>
      <c r="AA1" s="1369"/>
      <c r="AB1" s="1369"/>
      <c r="AC1" s="1369"/>
      <c r="AD1" s="1369"/>
      <c r="AE1" s="1369"/>
      <c r="AF1" s="1369"/>
      <c r="AG1" s="1369"/>
      <c r="AH1" s="1369"/>
      <c r="AI1" s="1369"/>
      <c r="AJ1" s="1369"/>
      <c r="AK1" s="1369"/>
      <c r="AL1" s="1369"/>
      <c r="AM1" s="1369"/>
      <c r="AN1" s="1369"/>
      <c r="AO1" s="1369"/>
      <c r="AP1" s="1369"/>
      <c r="AQ1" s="1369"/>
      <c r="AR1" s="1369"/>
      <c r="AS1" s="1369"/>
      <c r="AT1" s="1369"/>
      <c r="AU1" s="1369"/>
      <c r="AV1" s="1369"/>
      <c r="AW1" s="1369"/>
      <c r="AX1" s="1369"/>
      <c r="AY1" s="1369"/>
    </row>
    <row r="2" spans="1:64" ht="42.75" customHeight="1" thickBot="1">
      <c r="A2" s="3" t="s">
        <v>2457</v>
      </c>
      <c r="B2" s="3" t="s">
        <v>467</v>
      </c>
      <c r="C2" s="3" t="s">
        <v>468</v>
      </c>
      <c r="D2" s="3" t="s">
        <v>2458</v>
      </c>
      <c r="E2" s="3" t="s">
        <v>681</v>
      </c>
      <c r="F2" s="3" t="s">
        <v>470</v>
      </c>
      <c r="G2" s="3" t="s">
        <v>469</v>
      </c>
      <c r="H2" s="3" t="s">
        <v>473</v>
      </c>
      <c r="I2" s="3" t="s">
        <v>472</v>
      </c>
      <c r="J2" s="3" t="s">
        <v>1017</v>
      </c>
      <c r="K2" s="3" t="s">
        <v>2463</v>
      </c>
      <c r="L2" s="3" t="s">
        <v>474</v>
      </c>
      <c r="M2" s="3" t="s">
        <v>471</v>
      </c>
      <c r="N2" s="1370" t="s">
        <v>475</v>
      </c>
      <c r="O2" s="1371"/>
      <c r="P2" s="1372"/>
      <c r="Q2" s="3" t="s">
        <v>680</v>
      </c>
      <c r="R2" s="3" t="s">
        <v>682</v>
      </c>
      <c r="S2" s="3" t="s">
        <v>683</v>
      </c>
      <c r="T2" s="1370" t="s">
        <v>481</v>
      </c>
      <c r="U2" s="1371"/>
      <c r="V2" s="1372"/>
      <c r="W2" s="1370" t="s">
        <v>484</v>
      </c>
      <c r="X2" s="1371"/>
      <c r="Y2" s="1372"/>
      <c r="Z2" s="1370" t="s">
        <v>2459</v>
      </c>
      <c r="AA2" s="1371"/>
      <c r="AB2" s="1372"/>
      <c r="AC2" s="1370" t="s">
        <v>685</v>
      </c>
      <c r="AD2" s="1371"/>
      <c r="AE2" s="1372"/>
      <c r="AF2" s="3" t="s">
        <v>686</v>
      </c>
      <c r="AG2" s="3" t="s">
        <v>687</v>
      </c>
      <c r="AH2" s="3" t="s">
        <v>688</v>
      </c>
      <c r="AI2" s="3" t="s">
        <v>689</v>
      </c>
      <c r="AJ2" s="3" t="s">
        <v>690</v>
      </c>
      <c r="AK2" s="3" t="s">
        <v>476</v>
      </c>
      <c r="AL2" s="498" t="s">
        <v>477</v>
      </c>
      <c r="AM2" s="498" t="s">
        <v>692</v>
      </c>
      <c r="AN2" s="1370" t="s">
        <v>482</v>
      </c>
      <c r="AO2" s="1371"/>
      <c r="AP2" s="1372"/>
      <c r="AQ2" s="1370" t="s">
        <v>483</v>
      </c>
      <c r="AR2" s="1371"/>
      <c r="AS2" s="1372"/>
      <c r="AT2" s="1370" t="s">
        <v>691</v>
      </c>
      <c r="AU2" s="1371"/>
      <c r="AV2" s="1372"/>
      <c r="AW2" s="498" t="s">
        <v>2460</v>
      </c>
      <c r="AX2" s="498" t="s">
        <v>2461</v>
      </c>
      <c r="AY2" s="498" t="s">
        <v>2462</v>
      </c>
      <c r="AZ2" s="68"/>
      <c r="BA2" s="68"/>
      <c r="BB2" s="1277" t="s">
        <v>1018</v>
      </c>
      <c r="BC2" s="1278"/>
      <c r="BD2" s="1279"/>
      <c r="BE2" s="1280" t="s">
        <v>1018</v>
      </c>
      <c r="BF2" s="1281"/>
      <c r="BG2" s="514"/>
      <c r="BH2" s="515" t="s">
        <v>1019</v>
      </c>
      <c r="BI2" s="515" t="s">
        <v>962</v>
      </c>
      <c r="BJ2" s="515" t="s">
        <v>963</v>
      </c>
      <c r="BK2" s="515" t="s">
        <v>964</v>
      </c>
      <c r="BL2" s="516" t="s">
        <v>200</v>
      </c>
    </row>
    <row r="3" spans="1:64" ht="15.75" customHeight="1" thickBot="1">
      <c r="F3" s="482"/>
      <c r="G3" s="7"/>
      <c r="I3" s="9"/>
      <c r="J3" s="9"/>
      <c r="K3" s="9"/>
      <c r="N3" s="509" t="s">
        <v>123</v>
      </c>
      <c r="O3" s="509" t="s">
        <v>124</v>
      </c>
      <c r="P3" s="509" t="s">
        <v>125</v>
      </c>
      <c r="T3" s="509" t="s">
        <v>126</v>
      </c>
      <c r="U3" s="510" t="s">
        <v>127</v>
      </c>
      <c r="V3" s="509" t="s">
        <v>128</v>
      </c>
      <c r="W3" s="509" t="s">
        <v>129</v>
      </c>
      <c r="X3" s="510" t="s">
        <v>130</v>
      </c>
      <c r="Y3" s="509" t="s">
        <v>131</v>
      </c>
      <c r="Z3" s="509" t="s">
        <v>132</v>
      </c>
      <c r="AA3" s="510" t="s">
        <v>133</v>
      </c>
      <c r="AB3" s="509" t="s">
        <v>134</v>
      </c>
      <c r="AC3" s="509" t="s">
        <v>135</v>
      </c>
      <c r="AD3" s="510" t="s">
        <v>136</v>
      </c>
      <c r="AE3" s="509" t="s">
        <v>137</v>
      </c>
      <c r="AJ3" s="9"/>
      <c r="AN3" s="509" t="s">
        <v>129</v>
      </c>
      <c r="AO3" s="509" t="s">
        <v>130</v>
      </c>
      <c r="AP3" s="509" t="s">
        <v>131</v>
      </c>
      <c r="AQ3" s="509" t="s">
        <v>662</v>
      </c>
      <c r="AR3" s="509" t="s">
        <v>663</v>
      </c>
      <c r="AS3" s="509" t="s">
        <v>664</v>
      </c>
      <c r="AT3" s="509" t="s">
        <v>665</v>
      </c>
      <c r="AU3" s="4" t="s">
        <v>666</v>
      </c>
      <c r="AV3" s="4" t="s">
        <v>667</v>
      </c>
      <c r="AW3" s="7"/>
      <c r="AX3" s="7"/>
      <c r="AY3" s="7"/>
      <c r="AZ3" s="9"/>
      <c r="BA3" s="9"/>
      <c r="BB3" s="1282"/>
      <c r="BC3" s="1283"/>
      <c r="BD3" s="1279"/>
      <c r="BE3" s="1282"/>
      <c r="BF3" s="1283"/>
      <c r="BH3" s="517"/>
      <c r="BL3" s="519"/>
    </row>
    <row r="4" spans="1:64" ht="15.75" customHeight="1">
      <c r="B4" s="478"/>
      <c r="C4" s="478"/>
      <c r="D4" s="588"/>
      <c r="E4" s="588"/>
      <c r="F4" s="588"/>
      <c r="I4" s="9"/>
      <c r="J4" s="481"/>
      <c r="K4" s="47"/>
      <c r="M4" s="9"/>
      <c r="N4" s="8"/>
      <c r="O4" s="8"/>
      <c r="P4" s="8"/>
      <c r="AJ4" s="9"/>
      <c r="AN4" s="9"/>
      <c r="AO4" s="9"/>
      <c r="AP4" s="9"/>
      <c r="BB4" s="1284"/>
      <c r="BC4" s="1285"/>
      <c r="BD4" s="1279"/>
      <c r="BE4" s="1284"/>
      <c r="BF4" s="1285"/>
      <c r="BH4" s="518" t="s">
        <v>965</v>
      </c>
      <c r="BI4" s="531">
        <v>0</v>
      </c>
      <c r="BJ4" s="531">
        <v>1000</v>
      </c>
      <c r="BK4" s="532">
        <v>1</v>
      </c>
      <c r="BL4" s="519">
        <f>+(BJ4-BI4)*BK4/1000</f>
        <v>1</v>
      </c>
    </row>
    <row r="5" spans="1:64" ht="15.75" customHeight="1">
      <c r="A5" s="716" t="s">
        <v>1134</v>
      </c>
      <c r="B5" s="717" t="s">
        <v>2605</v>
      </c>
      <c r="C5" s="718">
        <v>107.5</v>
      </c>
      <c r="D5" s="719"/>
      <c r="E5" s="719"/>
      <c r="F5" s="720">
        <v>0</v>
      </c>
      <c r="G5" s="721"/>
      <c r="H5" s="726" t="s">
        <v>1028</v>
      </c>
      <c r="I5" s="726" t="s">
        <v>947</v>
      </c>
      <c r="J5" s="718">
        <f>C5</f>
        <v>107.5</v>
      </c>
      <c r="K5" s="726" t="s">
        <v>1097</v>
      </c>
      <c r="L5" s="719"/>
      <c r="M5" s="719"/>
      <c r="N5" s="719"/>
      <c r="O5" s="719"/>
      <c r="P5" s="719"/>
      <c r="Q5" s="719"/>
      <c r="R5" s="719"/>
      <c r="S5" s="719"/>
      <c r="T5" s="719"/>
      <c r="U5" s="719"/>
      <c r="V5" s="719"/>
      <c r="W5" s="719"/>
      <c r="X5" s="719"/>
      <c r="Y5" s="719"/>
      <c r="Z5" s="719"/>
      <c r="AA5" s="719"/>
      <c r="AB5" s="719"/>
      <c r="AC5" s="719"/>
      <c r="AD5" s="719"/>
      <c r="AE5" s="719"/>
      <c r="AF5" s="719"/>
      <c r="AG5" s="719">
        <v>107.5</v>
      </c>
      <c r="AH5" s="719"/>
      <c r="AI5" s="719"/>
      <c r="AJ5" s="719"/>
      <c r="AK5" s="719"/>
      <c r="AL5" s="719"/>
      <c r="AM5" s="719"/>
      <c r="AN5" s="726"/>
      <c r="AO5" s="726"/>
      <c r="AP5" s="726"/>
      <c r="AQ5" s="719"/>
      <c r="AR5" s="719"/>
      <c r="AS5" s="719"/>
      <c r="AT5" s="719"/>
      <c r="AU5" s="719"/>
      <c r="AV5" s="719"/>
      <c r="AW5" s="719"/>
      <c r="AX5" s="719"/>
      <c r="AY5" s="719"/>
      <c r="AZ5" s="6"/>
      <c r="BA5" s="6"/>
      <c r="BB5" s="1286" t="s">
        <v>3027</v>
      </c>
      <c r="BC5" s="1287"/>
      <c r="BD5" s="1279"/>
      <c r="BE5" s="1286" t="s">
        <v>1044</v>
      </c>
      <c r="BF5" s="1287"/>
      <c r="BH5" s="518"/>
      <c r="BI5" s="531"/>
      <c r="BJ5" s="531"/>
      <c r="BK5" s="532"/>
      <c r="BL5" s="519">
        <f>+(BJ5-BI5)*BK5/1000</f>
        <v>0</v>
      </c>
    </row>
    <row r="6" spans="1:64" ht="15.75" customHeight="1">
      <c r="A6" s="716"/>
      <c r="B6" s="717"/>
      <c r="C6" s="718"/>
      <c r="D6" s="719"/>
      <c r="E6" s="719"/>
      <c r="F6" s="720"/>
      <c r="G6" s="721">
        <f>C5-C7</f>
        <v>20.5</v>
      </c>
      <c r="H6" s="719"/>
      <c r="I6" s="726">
        <v>272</v>
      </c>
      <c r="J6" s="718"/>
      <c r="K6" s="726"/>
      <c r="L6" s="719"/>
      <c r="M6" s="719"/>
      <c r="N6" s="719"/>
      <c r="O6" s="719"/>
      <c r="P6" s="719"/>
      <c r="Q6" s="719"/>
      <c r="R6" s="719"/>
      <c r="S6" s="724">
        <f>AG5-AG7</f>
        <v>19.879999999999995</v>
      </c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26"/>
      <c r="AO6" s="726"/>
      <c r="AP6" s="726"/>
      <c r="AQ6" s="719"/>
      <c r="AR6" s="719"/>
      <c r="AS6" s="719"/>
      <c r="AT6" s="719"/>
      <c r="AU6" s="719"/>
      <c r="AV6" s="719"/>
      <c r="AW6" s="719"/>
      <c r="AX6" s="719"/>
      <c r="AY6" s="719"/>
      <c r="AZ6" s="6"/>
      <c r="BA6" s="6"/>
      <c r="BB6" s="1284" t="s">
        <v>1025</v>
      </c>
      <c r="BC6" s="1288"/>
      <c r="BD6" s="1279"/>
      <c r="BE6" s="1284" t="s">
        <v>3028</v>
      </c>
      <c r="BF6" s="1285" t="s">
        <v>3029</v>
      </c>
      <c r="BH6" s="518"/>
      <c r="BI6" s="531"/>
      <c r="BJ6" s="531"/>
      <c r="BK6" s="532"/>
      <c r="BL6" s="519"/>
    </row>
    <row r="7" spans="1:64" ht="15.75" customHeight="1">
      <c r="A7" s="716"/>
      <c r="B7" s="717" t="s">
        <v>2606</v>
      </c>
      <c r="C7" s="718">
        <v>87</v>
      </c>
      <c r="D7" s="719"/>
      <c r="E7" s="719"/>
      <c r="F7" s="720">
        <v>0</v>
      </c>
      <c r="G7" s="721"/>
      <c r="H7" s="726" t="s">
        <v>668</v>
      </c>
      <c r="I7" s="726"/>
      <c r="J7" s="718"/>
      <c r="K7" s="726"/>
      <c r="L7" s="719" t="s">
        <v>241</v>
      </c>
      <c r="M7" s="719"/>
      <c r="N7" s="726" t="s">
        <v>697</v>
      </c>
      <c r="O7" s="719"/>
      <c r="P7" s="719"/>
      <c r="Q7" s="719"/>
      <c r="R7" s="719"/>
      <c r="S7" s="719"/>
      <c r="T7" s="719">
        <v>20</v>
      </c>
      <c r="U7" s="719"/>
      <c r="V7" s="719"/>
      <c r="W7" s="719">
        <v>1.4</v>
      </c>
      <c r="X7" s="719"/>
      <c r="Y7" s="719"/>
      <c r="Z7" s="719">
        <v>0.35</v>
      </c>
      <c r="AA7" s="719"/>
      <c r="AB7" s="719"/>
      <c r="AC7" s="719" t="str">
        <f>IF(OR(AT7&gt;8,AT7&lt;-8),"PH",IF(OR(AT7&gt;5,AT7&lt;-5),"PH-Q",IF(OR(AT7&gt;1,AT7&lt;-1),"PH-C")))</f>
        <v>PH</v>
      </c>
      <c r="AD7" s="719"/>
      <c r="AE7" s="719"/>
      <c r="AF7" s="719"/>
      <c r="AG7" s="719">
        <v>87.62</v>
      </c>
      <c r="AH7" s="719">
        <v>1773</v>
      </c>
      <c r="AI7" s="719">
        <v>-4524</v>
      </c>
      <c r="AJ7" s="719"/>
      <c r="AK7" s="719"/>
      <c r="AL7" s="719"/>
      <c r="AM7" s="719" t="s">
        <v>2609</v>
      </c>
      <c r="AN7" s="724">
        <v>5.25</v>
      </c>
      <c r="AO7" s="726"/>
      <c r="AP7" s="726"/>
      <c r="AQ7" s="719"/>
      <c r="AR7" s="719"/>
      <c r="AS7" s="719"/>
      <c r="AT7" s="719">
        <f>+ab($T$7,$T$5,$T$9,$G$6,$G$8, 1*$F$7,1200)</f>
        <v>18.946716580210389</v>
      </c>
      <c r="AU7" s="719"/>
      <c r="AV7" s="719"/>
      <c r="AW7" s="719"/>
      <c r="AX7" s="719"/>
      <c r="AY7" s="719"/>
      <c r="AZ7" s="6"/>
      <c r="BA7" s="6"/>
      <c r="BB7" s="1284" t="s">
        <v>2987</v>
      </c>
      <c r="BC7" s="1289"/>
      <c r="BD7" s="1279"/>
      <c r="BE7" s="1284" t="s">
        <v>3030</v>
      </c>
      <c r="BF7" s="1285" t="s">
        <v>3031</v>
      </c>
      <c r="BH7" s="518"/>
      <c r="BI7" s="531"/>
      <c r="BJ7" s="531"/>
      <c r="BK7" s="532"/>
      <c r="BL7" s="519">
        <f>+(BJ7-BI7)*BK7/1000</f>
        <v>0</v>
      </c>
    </row>
    <row r="8" spans="1:64" ht="15.75" customHeight="1">
      <c r="A8" s="716"/>
      <c r="B8" s="717"/>
      <c r="C8" s="718"/>
      <c r="D8" s="719"/>
      <c r="E8" s="719"/>
      <c r="F8" s="720"/>
      <c r="G8" s="721">
        <f>C7-C9</f>
        <v>36.5</v>
      </c>
      <c r="H8" s="726"/>
      <c r="I8" s="726"/>
      <c r="J8" s="718"/>
      <c r="K8" s="719"/>
      <c r="L8" s="719"/>
      <c r="M8" s="719"/>
      <c r="N8" s="719"/>
      <c r="O8" s="719"/>
      <c r="P8" s="719"/>
      <c r="Q8" s="719"/>
      <c r="R8" s="719"/>
      <c r="S8" s="724">
        <f>AG7-AG9</f>
        <v>36.680000000000007</v>
      </c>
      <c r="T8" s="719"/>
      <c r="U8" s="719"/>
      <c r="V8" s="719"/>
      <c r="W8" s="719"/>
      <c r="X8" s="719"/>
      <c r="Y8" s="719"/>
      <c r="Z8" s="719"/>
      <c r="AA8" s="719"/>
      <c r="AB8" s="719"/>
      <c r="AC8" s="719"/>
      <c r="AD8" s="719"/>
      <c r="AE8" s="719"/>
      <c r="AF8" s="719"/>
      <c r="AG8" s="719"/>
      <c r="AH8" s="719"/>
      <c r="AI8" s="719"/>
      <c r="AJ8" s="719"/>
      <c r="AK8" s="719"/>
      <c r="AL8" s="719"/>
      <c r="AM8" s="719"/>
      <c r="AN8" s="719"/>
      <c r="AO8" s="726"/>
      <c r="AP8" s="726"/>
      <c r="AQ8" s="719">
        <f>+FL_2($T$9,$T$7,$G$8,1200,9.28, 1*$F$9)</f>
        <v>0.1999999999999616</v>
      </c>
      <c r="AR8" s="719"/>
      <c r="AS8" s="719"/>
      <c r="AT8" s="719"/>
      <c r="AU8" s="719"/>
      <c r="AV8" s="719"/>
      <c r="AW8" s="719"/>
      <c r="AX8" s="719"/>
      <c r="AY8" s="719"/>
      <c r="AZ8" s="6"/>
      <c r="BA8" s="6"/>
      <c r="BB8" s="1284" t="s">
        <v>2986</v>
      </c>
      <c r="BC8" s="541"/>
      <c r="BD8" s="1279"/>
      <c r="BE8" s="1284" t="s">
        <v>3032</v>
      </c>
      <c r="BF8" s="1285" t="s">
        <v>3033</v>
      </c>
      <c r="BH8" s="545" t="s">
        <v>1015</v>
      </c>
      <c r="BI8" s="546"/>
      <c r="BJ8" s="546"/>
      <c r="BK8" s="546"/>
      <c r="BL8" s="547">
        <f>SUM(BL4:BL7)</f>
        <v>1</v>
      </c>
    </row>
    <row r="9" spans="1:64" ht="15.75" customHeight="1">
      <c r="A9" s="716" t="s">
        <v>2963</v>
      </c>
      <c r="B9" s="717" t="s">
        <v>2607</v>
      </c>
      <c r="C9" s="718">
        <v>50.5</v>
      </c>
      <c r="D9" s="719"/>
      <c r="E9" s="719"/>
      <c r="F9" s="720">
        <v>-325</v>
      </c>
      <c r="G9" s="721"/>
      <c r="H9" s="726"/>
      <c r="I9" s="726"/>
      <c r="J9" s="718"/>
      <c r="K9" s="726"/>
      <c r="L9" s="719" t="s">
        <v>241</v>
      </c>
      <c r="M9" s="719"/>
      <c r="N9" s="726" t="s">
        <v>695</v>
      </c>
      <c r="O9" s="719"/>
      <c r="P9" s="719"/>
      <c r="Q9" s="719"/>
      <c r="R9" s="719"/>
      <c r="S9" s="719"/>
      <c r="T9" s="726">
        <v>20</v>
      </c>
      <c r="U9" s="719"/>
      <c r="V9" s="719"/>
      <c r="W9" s="719">
        <v>1.4</v>
      </c>
      <c r="X9" s="719"/>
      <c r="Y9" s="719"/>
      <c r="Z9" s="719"/>
      <c r="AA9" s="719"/>
      <c r="AB9" s="719"/>
      <c r="AC9" s="719" t="str">
        <f t="shared" ref="AC9" si="0">IF(OR(AT9&gt;8,AT9&lt;-8),"PH",IF(OR(AT9&gt;5,AT9&lt;-5),"PH-Q",IF(OR(AT9&gt;1,AT9&lt;-1),"PH-C")))</f>
        <v>PH-C</v>
      </c>
      <c r="AD9" s="719"/>
      <c r="AE9" s="719"/>
      <c r="AF9" s="719"/>
      <c r="AG9" s="719">
        <v>50.94</v>
      </c>
      <c r="AH9" s="719">
        <v>984</v>
      </c>
      <c r="AI9" s="719">
        <v>-5266</v>
      </c>
      <c r="AJ9" s="719" t="s">
        <v>2943</v>
      </c>
      <c r="AK9" s="719"/>
      <c r="AL9" s="719"/>
      <c r="AM9" s="719" t="s">
        <v>2609</v>
      </c>
      <c r="AN9" s="719">
        <v>5.25</v>
      </c>
      <c r="AO9" s="726"/>
      <c r="AP9" s="726"/>
      <c r="AQ9" s="719"/>
      <c r="AR9" s="719"/>
      <c r="AS9" s="719"/>
      <c r="AT9" s="719">
        <f>+ab($T$9,$T$7,$T$11,$G$8,$G$10, 1*$F$9,1200)</f>
        <v>-1.8394344427877993</v>
      </c>
      <c r="AU9" s="719"/>
      <c r="AV9" s="719"/>
      <c r="AW9" s="719"/>
      <c r="AX9" s="719"/>
      <c r="AY9" s="719"/>
      <c r="AZ9" s="6"/>
      <c r="BA9" s="6"/>
      <c r="BB9" s="1284" t="s">
        <v>1023</v>
      </c>
      <c r="BC9" s="1290"/>
      <c r="BD9" s="1279"/>
      <c r="BE9" s="1284" t="s">
        <v>1074</v>
      </c>
      <c r="BF9" s="1285" t="s">
        <v>3034</v>
      </c>
      <c r="BH9" s="517"/>
    </row>
    <row r="10" spans="1:64" ht="15.75" customHeight="1">
      <c r="A10" s="716"/>
      <c r="B10" s="717"/>
      <c r="C10" s="718" t="s">
        <v>3165</v>
      </c>
      <c r="D10" s="719"/>
      <c r="E10" s="719"/>
      <c r="F10" s="720"/>
      <c r="G10" s="721">
        <v>35</v>
      </c>
      <c r="H10" s="719"/>
      <c r="I10" s="726"/>
      <c r="J10" s="718"/>
      <c r="K10" s="726"/>
      <c r="L10" s="719"/>
      <c r="M10" s="719"/>
      <c r="N10" s="719"/>
      <c r="O10" s="719"/>
      <c r="P10" s="719"/>
      <c r="Q10" s="719"/>
      <c r="R10" s="719"/>
      <c r="S10" s="719"/>
      <c r="T10" s="719"/>
      <c r="U10" s="719"/>
      <c r="V10" s="719"/>
      <c r="W10" s="719"/>
      <c r="X10" s="719"/>
      <c r="Y10" s="719"/>
      <c r="Z10" s="719"/>
      <c r="AA10" s="719"/>
      <c r="AB10" s="719"/>
      <c r="AC10" s="719"/>
      <c r="AD10" s="719"/>
      <c r="AE10" s="719"/>
      <c r="AF10" s="719"/>
      <c r="AG10" s="719"/>
      <c r="AH10" s="719"/>
      <c r="AI10" s="719"/>
      <c r="AJ10" s="719" t="s">
        <v>985</v>
      </c>
      <c r="AK10" s="719"/>
      <c r="AL10" s="719"/>
      <c r="AM10" s="719"/>
      <c r="AN10" s="726"/>
      <c r="AO10" s="726"/>
      <c r="AP10" s="726"/>
      <c r="AQ10" s="719"/>
      <c r="AR10" s="719"/>
      <c r="AS10" s="719"/>
      <c r="AT10" s="719"/>
      <c r="AU10" s="719"/>
      <c r="AV10" s="719"/>
      <c r="AW10" s="719"/>
      <c r="AX10" s="719"/>
      <c r="AY10" s="719"/>
      <c r="AZ10" s="6"/>
      <c r="BA10" s="6"/>
      <c r="BB10" s="1284" t="s">
        <v>1022</v>
      </c>
      <c r="BC10" s="1291"/>
      <c r="BD10" s="1279"/>
      <c r="BE10" s="1284" t="s">
        <v>3035</v>
      </c>
      <c r="BF10" s="1285" t="s">
        <v>3036</v>
      </c>
      <c r="BH10" s="545" t="s">
        <v>1016</v>
      </c>
      <c r="BI10" s="546"/>
      <c r="BJ10" s="546"/>
      <c r="BK10" s="546"/>
      <c r="BL10" s="547">
        <f>+(BJ7-BI7)/1000</f>
        <v>0</v>
      </c>
    </row>
    <row r="11" spans="1:64" ht="15.75" customHeight="1">
      <c r="A11" s="716"/>
      <c r="B11" s="717"/>
      <c r="C11" s="718"/>
      <c r="D11" s="719"/>
      <c r="E11" s="719"/>
      <c r="F11" s="720"/>
      <c r="G11" s="721"/>
      <c r="H11" s="726"/>
      <c r="I11" s="726"/>
      <c r="J11" s="718"/>
      <c r="K11" s="726"/>
      <c r="L11" s="719"/>
      <c r="M11" s="719"/>
      <c r="N11" s="719"/>
      <c r="O11" s="719"/>
      <c r="P11" s="719"/>
      <c r="Q11" s="719"/>
      <c r="R11" s="719"/>
      <c r="S11" s="719"/>
      <c r="T11" s="719"/>
      <c r="U11" s="719"/>
      <c r="V11" s="719"/>
      <c r="W11" s="719"/>
      <c r="X11" s="719"/>
      <c r="Y11" s="719"/>
      <c r="Z11" s="719"/>
      <c r="AA11" s="719"/>
      <c r="AB11" s="719"/>
      <c r="AC11" s="719"/>
      <c r="AD11" s="719"/>
      <c r="AE11" s="719"/>
      <c r="AF11" s="719"/>
      <c r="AG11" s="719"/>
      <c r="AH11" s="719"/>
      <c r="AI11" s="719"/>
      <c r="AJ11" s="719"/>
      <c r="AK11" s="719"/>
      <c r="AL11" s="719"/>
      <c r="AM11" s="719"/>
      <c r="AN11" s="726"/>
      <c r="AO11" s="726"/>
      <c r="AP11" s="726"/>
      <c r="AQ11" s="719"/>
      <c r="AR11" s="719"/>
      <c r="AS11" s="719"/>
      <c r="AT11" s="719"/>
      <c r="AU11" s="719"/>
      <c r="AV11" s="719"/>
      <c r="AW11" s="719"/>
      <c r="AX11" s="719"/>
      <c r="AY11" s="719"/>
      <c r="AZ11" s="6"/>
      <c r="BA11" s="6"/>
      <c r="BB11" s="1284" t="s">
        <v>1020</v>
      </c>
      <c r="BC11" s="1292"/>
      <c r="BD11" s="1279"/>
      <c r="BE11" s="1284" t="s">
        <v>3037</v>
      </c>
      <c r="BF11" s="1285" t="s">
        <v>3038</v>
      </c>
      <c r="BH11" s="517"/>
    </row>
    <row r="12" spans="1:64" ht="15.75" customHeight="1">
      <c r="A12" s="500"/>
      <c r="B12" s="480"/>
      <c r="C12" s="481"/>
      <c r="D12" s="47"/>
      <c r="E12" s="47"/>
      <c r="F12" s="478"/>
      <c r="G12" s="479"/>
      <c r="H12" s="47"/>
      <c r="I12" s="9"/>
      <c r="J12" s="481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47"/>
      <c r="AK12" s="47"/>
      <c r="AL12" s="47"/>
      <c r="AM12" s="47"/>
      <c r="AN12" s="9"/>
      <c r="AO12" s="9"/>
      <c r="AP12" s="9"/>
      <c r="AZ12" s="6"/>
      <c r="BA12" s="6"/>
      <c r="BB12" s="1284" t="s">
        <v>1024</v>
      </c>
      <c r="BC12" s="1293"/>
      <c r="BD12" s="1279"/>
      <c r="BE12" s="1284" t="s">
        <v>3039</v>
      </c>
      <c r="BF12" s="1285" t="s">
        <v>3040</v>
      </c>
      <c r="BH12" s="515" t="s">
        <v>969</v>
      </c>
      <c r="BI12" s="515" t="s">
        <v>962</v>
      </c>
      <c r="BJ12" s="515" t="s">
        <v>963</v>
      </c>
      <c r="BK12" s="515" t="s">
        <v>964</v>
      </c>
      <c r="BL12" s="516" t="s">
        <v>200</v>
      </c>
    </row>
    <row r="13" spans="1:64" ht="15.75" customHeight="1">
      <c r="A13" s="500"/>
      <c r="B13" s="480"/>
      <c r="C13" s="481"/>
      <c r="D13" s="47"/>
      <c r="E13" s="47"/>
      <c r="F13" s="478"/>
      <c r="G13" s="479"/>
      <c r="H13" s="47"/>
      <c r="I13" s="9"/>
      <c r="J13" s="481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47"/>
      <c r="AK13" s="47"/>
      <c r="AL13" s="47"/>
      <c r="AM13" s="47"/>
      <c r="AN13" s="9"/>
      <c r="AO13" s="9"/>
      <c r="AP13" s="9"/>
      <c r="AZ13" s="6"/>
      <c r="BA13" s="6"/>
      <c r="BB13" s="1284" t="s">
        <v>2989</v>
      </c>
      <c r="BC13" s="1294"/>
      <c r="BD13" s="1279"/>
      <c r="BE13" s="1284"/>
      <c r="BF13" s="1285"/>
      <c r="BH13" s="545"/>
      <c r="BI13" s="546"/>
      <c r="BJ13" s="546"/>
      <c r="BK13" s="546"/>
      <c r="BL13" s="547">
        <f>SUM(BL14:BL19)+SUM(BL24:BL32)</f>
        <v>0</v>
      </c>
    </row>
    <row r="14" spans="1:64" ht="15.75" customHeight="1">
      <c r="A14" s="500"/>
      <c r="B14" s="480"/>
      <c r="C14" s="481"/>
      <c r="D14" s="47"/>
      <c r="E14" s="47"/>
      <c r="F14" s="478"/>
      <c r="G14" s="479"/>
      <c r="I14" s="10"/>
      <c r="J14" s="481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47"/>
      <c r="AK14" s="47"/>
      <c r="AL14" s="47"/>
      <c r="AM14" s="47"/>
      <c r="AN14" s="9"/>
      <c r="AO14" s="9"/>
      <c r="AP14" s="9"/>
      <c r="AZ14" s="6"/>
      <c r="BA14" s="6"/>
      <c r="BB14" s="1284" t="s">
        <v>2984</v>
      </c>
      <c r="BC14" s="1295"/>
      <c r="BD14" s="1279"/>
      <c r="BE14" s="1286" t="s">
        <v>919</v>
      </c>
      <c r="BF14" s="1287"/>
      <c r="BH14" s="518"/>
      <c r="BI14" s="531"/>
      <c r="BJ14" s="531"/>
      <c r="BK14" s="532">
        <v>0</v>
      </c>
      <c r="BL14" s="519">
        <f t="shared" ref="BL14:BL19" si="1">+(BJ14-BI14)*BK14/1000</f>
        <v>0</v>
      </c>
    </row>
    <row r="15" spans="1:64" ht="15.75" customHeight="1">
      <c r="A15" s="500"/>
      <c r="B15" s="480"/>
      <c r="C15" s="481"/>
      <c r="D15" s="47"/>
      <c r="E15" s="47"/>
      <c r="F15" s="478"/>
      <c r="G15" s="479"/>
      <c r="I15" s="9"/>
      <c r="J15" s="481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47"/>
      <c r="AK15" s="47"/>
      <c r="AL15" s="47"/>
      <c r="AM15" s="47"/>
      <c r="AN15" s="9"/>
      <c r="AO15" s="9"/>
      <c r="AP15" s="9"/>
      <c r="AZ15" s="6"/>
      <c r="BA15" s="6"/>
      <c r="BB15" s="1284"/>
      <c r="BC15" s="1285"/>
      <c r="BD15" s="1279"/>
      <c r="BE15" s="1284" t="s">
        <v>3041</v>
      </c>
      <c r="BF15" s="1285" t="s">
        <v>3042</v>
      </c>
      <c r="BH15" s="518"/>
      <c r="BI15" s="531"/>
      <c r="BJ15" s="531"/>
      <c r="BK15" s="532">
        <v>0</v>
      </c>
      <c r="BL15" s="519">
        <f t="shared" si="1"/>
        <v>0</v>
      </c>
    </row>
    <row r="16" spans="1:64" ht="15.75" customHeight="1">
      <c r="A16" s="500"/>
      <c r="B16" s="480"/>
      <c r="C16" s="481"/>
      <c r="D16" s="47"/>
      <c r="E16" s="47"/>
      <c r="F16" s="478"/>
      <c r="G16" s="479"/>
      <c r="I16" s="10"/>
      <c r="J16" s="481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47"/>
      <c r="AJ16" s="47"/>
      <c r="AK16" s="47"/>
      <c r="AL16" s="47"/>
      <c r="AM16" s="47"/>
      <c r="AN16" s="9"/>
      <c r="AO16" s="9"/>
      <c r="AP16" s="9"/>
      <c r="AZ16" s="6"/>
      <c r="BB16" s="1284" t="s">
        <v>2982</v>
      </c>
      <c r="BC16" s="1296"/>
      <c r="BD16" s="1279"/>
      <c r="BE16" s="1284" t="s">
        <v>2642</v>
      </c>
      <c r="BF16" s="1285" t="s">
        <v>924</v>
      </c>
      <c r="BH16" s="518"/>
      <c r="BI16" s="531"/>
      <c r="BJ16" s="531"/>
      <c r="BK16" s="532">
        <v>0</v>
      </c>
      <c r="BL16" s="519">
        <f t="shared" si="1"/>
        <v>0</v>
      </c>
    </row>
    <row r="17" spans="1:64" ht="15.75" customHeight="1">
      <c r="A17" s="716" t="s">
        <v>1135</v>
      </c>
      <c r="B17" s="717"/>
      <c r="C17" s="718"/>
      <c r="D17" s="719"/>
      <c r="E17" s="719"/>
      <c r="F17" s="720"/>
      <c r="G17" s="721"/>
      <c r="H17" s="726"/>
      <c r="I17" s="726"/>
      <c r="J17" s="718"/>
      <c r="K17" s="719"/>
      <c r="L17" s="719"/>
      <c r="M17" s="719"/>
      <c r="N17" s="719"/>
      <c r="O17" s="719"/>
      <c r="P17" s="719"/>
      <c r="Q17" s="719"/>
      <c r="R17" s="719"/>
      <c r="S17" s="719"/>
      <c r="T17" s="719"/>
      <c r="U17" s="719"/>
      <c r="V17" s="719"/>
      <c r="W17" s="719"/>
      <c r="X17" s="719"/>
      <c r="Y17" s="719"/>
      <c r="Z17" s="719"/>
      <c r="AA17" s="719"/>
      <c r="AB17" s="719"/>
      <c r="AC17" s="719"/>
      <c r="AD17" s="719"/>
      <c r="AE17" s="719"/>
      <c r="AF17" s="719"/>
      <c r="AG17" s="719"/>
      <c r="AH17" s="719"/>
      <c r="AI17" s="719"/>
      <c r="AJ17" s="719"/>
      <c r="AK17" s="719"/>
      <c r="AL17" s="719"/>
      <c r="AM17" s="719"/>
      <c r="AN17" s="726"/>
      <c r="AO17" s="726"/>
      <c r="AP17" s="726"/>
      <c r="AQ17" s="719"/>
      <c r="AR17" s="719"/>
      <c r="AS17" s="719"/>
      <c r="AT17" s="719"/>
      <c r="AU17" s="719"/>
      <c r="AV17" s="719"/>
      <c r="AW17" s="719"/>
      <c r="AX17" s="719"/>
      <c r="AY17" s="719"/>
      <c r="AZ17" s="6"/>
      <c r="BB17" s="1284" t="s">
        <v>2985</v>
      </c>
      <c r="BC17" s="1297"/>
      <c r="BD17" s="1279"/>
      <c r="BE17" s="1284" t="s">
        <v>2643</v>
      </c>
      <c r="BF17" s="1285" t="s">
        <v>923</v>
      </c>
      <c r="BH17" s="518"/>
      <c r="BI17" s="531"/>
      <c r="BJ17" s="531"/>
      <c r="BK17" s="532">
        <v>0</v>
      </c>
      <c r="BL17" s="519">
        <f t="shared" si="1"/>
        <v>0</v>
      </c>
    </row>
    <row r="18" spans="1:64" ht="15.75" customHeight="1">
      <c r="A18" s="716"/>
      <c r="B18" s="717"/>
      <c r="C18" s="718"/>
      <c r="D18" s="719"/>
      <c r="E18" s="719"/>
      <c r="F18" s="720"/>
      <c r="G18" s="721">
        <v>38</v>
      </c>
      <c r="H18" s="726"/>
      <c r="I18" s="726" t="s">
        <v>2053</v>
      </c>
      <c r="J18" s="718">
        <f>C19-20</f>
        <v>39</v>
      </c>
      <c r="K18" s="719" t="s">
        <v>1102</v>
      </c>
      <c r="L18" s="719"/>
      <c r="M18" s="719"/>
      <c r="N18" s="719"/>
      <c r="O18" s="719"/>
      <c r="P18" s="719"/>
      <c r="Q18" s="719"/>
      <c r="R18" s="719"/>
      <c r="S18" s="719"/>
      <c r="T18" s="719"/>
      <c r="U18" s="719"/>
      <c r="V18" s="719"/>
      <c r="W18" s="719"/>
      <c r="X18" s="719"/>
      <c r="Y18" s="719"/>
      <c r="Z18" s="719"/>
      <c r="AA18" s="719"/>
      <c r="AB18" s="719"/>
      <c r="AC18" s="719"/>
      <c r="AD18" s="719"/>
      <c r="AE18" s="719"/>
      <c r="AF18" s="719"/>
      <c r="AG18" s="719"/>
      <c r="AH18" s="719"/>
      <c r="AI18" s="719"/>
      <c r="AJ18" s="719"/>
      <c r="AK18" s="719"/>
      <c r="AL18" s="719"/>
      <c r="AM18" s="719"/>
      <c r="AN18" s="726"/>
      <c r="AO18" s="726"/>
      <c r="AP18" s="726"/>
      <c r="AQ18" s="719">
        <f>+FL_2($T$19,$T$17,$G$18,1200,9.28, 1*$F$19)</f>
        <v>-0.32988421115789474</v>
      </c>
      <c r="AR18" s="719"/>
      <c r="AS18" s="719"/>
      <c r="AT18" s="719"/>
      <c r="AU18" s="719"/>
      <c r="AV18" s="719"/>
      <c r="AW18" s="719"/>
      <c r="AX18" s="719"/>
      <c r="AY18" s="719"/>
      <c r="AZ18" s="6"/>
      <c r="BB18" s="1284" t="s">
        <v>2988</v>
      </c>
      <c r="BC18" s="1298"/>
      <c r="BD18" s="1279"/>
      <c r="BE18" s="1284"/>
      <c r="BF18" s="1285"/>
      <c r="BH18" s="518"/>
      <c r="BI18" s="531"/>
      <c r="BJ18" s="531"/>
      <c r="BK18" s="532">
        <v>0</v>
      </c>
      <c r="BL18" s="519">
        <f t="shared" si="1"/>
        <v>0</v>
      </c>
    </row>
    <row r="19" spans="1:64" ht="15.75" customHeight="1">
      <c r="A19" s="716"/>
      <c r="B19" s="735" t="s">
        <v>2648</v>
      </c>
      <c r="C19" s="789">
        <v>59</v>
      </c>
      <c r="D19" s="719"/>
      <c r="E19" s="719"/>
      <c r="F19" s="720">
        <v>0</v>
      </c>
      <c r="G19" s="721"/>
      <c r="H19" s="719"/>
      <c r="I19" s="722"/>
      <c r="J19" s="718"/>
      <c r="K19" s="719"/>
      <c r="L19" s="719" t="s">
        <v>241</v>
      </c>
      <c r="M19" s="719"/>
      <c r="N19" s="719" t="s">
        <v>695</v>
      </c>
      <c r="O19" s="719"/>
      <c r="P19" s="719"/>
      <c r="Q19" s="719">
        <v>0</v>
      </c>
      <c r="R19" s="719">
        <v>0</v>
      </c>
      <c r="S19" s="719"/>
      <c r="T19" s="719">
        <v>-30</v>
      </c>
      <c r="U19" s="719"/>
      <c r="V19" s="719"/>
      <c r="W19" s="719">
        <v>1.4</v>
      </c>
      <c r="X19" s="719"/>
      <c r="Y19" s="719"/>
      <c r="Z19" s="719"/>
      <c r="AA19" s="719"/>
      <c r="AB19" s="719"/>
      <c r="AC19" s="719" t="s">
        <v>2978</v>
      </c>
      <c r="AD19" s="719"/>
      <c r="AE19" s="719"/>
      <c r="AF19" s="719">
        <v>200</v>
      </c>
      <c r="AG19" s="789">
        <v>56.52</v>
      </c>
      <c r="AH19" s="719">
        <v>1497</v>
      </c>
      <c r="AI19" s="719">
        <v>-4930</v>
      </c>
      <c r="AJ19" s="719"/>
      <c r="AK19" s="719"/>
      <c r="AL19" s="719"/>
      <c r="AM19" s="719" t="s">
        <v>2609</v>
      </c>
      <c r="AN19" s="719">
        <v>5.25</v>
      </c>
      <c r="AO19" s="726"/>
      <c r="AP19" s="726"/>
      <c r="AQ19" s="719"/>
      <c r="AR19" s="719"/>
      <c r="AS19" s="719"/>
      <c r="AT19" s="719">
        <f>+ab($T$19,$T$17,$T$21,$G$18,$G$20, 1*$F$19,1200)</f>
        <v>-6.846406803758768</v>
      </c>
      <c r="AU19" s="719"/>
      <c r="AV19" s="719"/>
      <c r="AW19" s="719"/>
      <c r="AX19" s="719"/>
      <c r="AY19" s="719"/>
      <c r="AZ19" s="6"/>
      <c r="BB19" s="1284" t="s">
        <v>2983</v>
      </c>
      <c r="BC19" s="1299"/>
      <c r="BD19" s="1279"/>
      <c r="BE19" s="1286" t="s">
        <v>897</v>
      </c>
      <c r="BF19" s="1287"/>
      <c r="BH19" s="518"/>
      <c r="BI19" s="551"/>
      <c r="BJ19" s="551"/>
      <c r="BK19" s="552">
        <v>0</v>
      </c>
      <c r="BL19" s="553">
        <f t="shared" si="1"/>
        <v>0</v>
      </c>
    </row>
    <row r="20" spans="1:64" ht="15.75" customHeight="1">
      <c r="A20" s="716"/>
      <c r="B20" s="735"/>
      <c r="C20" s="789"/>
      <c r="D20" s="719"/>
      <c r="E20" s="719"/>
      <c r="F20" s="720"/>
      <c r="G20" s="721">
        <v>30</v>
      </c>
      <c r="H20" s="726"/>
      <c r="I20" s="722"/>
      <c r="J20" s="718"/>
      <c r="K20" s="719"/>
      <c r="L20" s="719"/>
      <c r="M20" s="719"/>
      <c r="N20" s="719"/>
      <c r="O20" s="719"/>
      <c r="P20" s="719"/>
      <c r="Q20" s="719"/>
      <c r="R20" s="719"/>
      <c r="S20" s="724">
        <f t="shared" ref="S20" si="2">AG21-AG19</f>
        <v>32.51</v>
      </c>
      <c r="T20" s="719"/>
      <c r="U20" s="719"/>
      <c r="V20" s="719"/>
      <c r="W20" s="719"/>
      <c r="X20" s="719"/>
      <c r="Y20" s="719"/>
      <c r="Z20" s="719"/>
      <c r="AA20" s="719"/>
      <c r="AB20" s="719"/>
      <c r="AC20" s="719"/>
      <c r="AD20" s="719"/>
      <c r="AE20" s="719"/>
      <c r="AF20" s="719"/>
      <c r="AG20" s="789"/>
      <c r="AH20" s="719"/>
      <c r="AI20" s="719"/>
      <c r="AJ20" s="719"/>
      <c r="AK20" s="719"/>
      <c r="AL20" s="719"/>
      <c r="AM20" s="719"/>
      <c r="AN20" s="719"/>
      <c r="AO20" s="726"/>
      <c r="AP20" s="726"/>
      <c r="AQ20" s="719">
        <f>+FL_1($T$21,$T$19,$G$20,1200,9.28, 1*$F$21)</f>
        <v>0.38414532619775366</v>
      </c>
      <c r="AR20" s="719"/>
      <c r="AS20" s="719"/>
      <c r="AT20" s="719"/>
      <c r="AU20" s="719"/>
      <c r="AV20" s="719"/>
      <c r="AW20" s="719"/>
      <c r="AX20" s="719"/>
      <c r="AY20" s="719"/>
      <c r="AZ20" s="6"/>
      <c r="BB20" s="1284" t="s">
        <v>3043</v>
      </c>
      <c r="BC20" s="1300"/>
      <c r="BD20" s="1279"/>
      <c r="BE20" s="1284" t="s">
        <v>1065</v>
      </c>
      <c r="BF20" s="1285" t="s">
        <v>144</v>
      </c>
      <c r="BH20" s="545" t="s">
        <v>1139</v>
      </c>
      <c r="BL20" s="554">
        <f>SUM(BL14:BL19)</f>
        <v>0</v>
      </c>
    </row>
    <row r="21" spans="1:64" ht="15.75" customHeight="1">
      <c r="A21" s="716"/>
      <c r="B21" s="735" t="s">
        <v>2993</v>
      </c>
      <c r="C21" s="789">
        <f>C19+G20</f>
        <v>89</v>
      </c>
      <c r="D21" s="719"/>
      <c r="E21" s="719">
        <v>-20</v>
      </c>
      <c r="F21" s="720">
        <v>-500</v>
      </c>
      <c r="G21" s="721"/>
      <c r="H21" s="726" t="s">
        <v>138</v>
      </c>
      <c r="I21" s="726" t="s">
        <v>2827</v>
      </c>
      <c r="J21" s="727"/>
      <c r="K21" s="719"/>
      <c r="L21" s="719" t="s">
        <v>241</v>
      </c>
      <c r="M21" s="719"/>
      <c r="N21" s="719" t="s">
        <v>696</v>
      </c>
      <c r="O21" s="719"/>
      <c r="P21" s="719"/>
      <c r="Q21" s="719">
        <v>-16</v>
      </c>
      <c r="R21" s="719">
        <v>-633.83399999999995</v>
      </c>
      <c r="S21" s="719"/>
      <c r="T21" s="719">
        <v>30</v>
      </c>
      <c r="U21" s="719"/>
      <c r="V21" s="719"/>
      <c r="W21" s="719">
        <v>1.4</v>
      </c>
      <c r="X21" s="719"/>
      <c r="Y21" s="719"/>
      <c r="Z21" s="719"/>
      <c r="AA21" s="719"/>
      <c r="AB21" s="719"/>
      <c r="AC21" s="719" t="s">
        <v>3003</v>
      </c>
      <c r="AD21" s="719"/>
      <c r="AE21" s="719"/>
      <c r="AF21" s="719">
        <v>200</v>
      </c>
      <c r="AG21" s="789">
        <v>89.03</v>
      </c>
      <c r="AH21" s="719">
        <v>1500</v>
      </c>
      <c r="AI21" s="719">
        <v>-4921</v>
      </c>
      <c r="AJ21" s="719"/>
      <c r="AK21" s="719"/>
      <c r="AL21" s="719"/>
      <c r="AM21" s="719" t="s">
        <v>2609</v>
      </c>
      <c r="AN21" s="719">
        <v>5.25</v>
      </c>
      <c r="AO21" s="726"/>
      <c r="AP21" s="726"/>
      <c r="AQ21" s="719"/>
      <c r="AR21" s="719"/>
      <c r="AS21" s="719"/>
      <c r="AT21" s="719">
        <f>+ab($T$21,$T$19,$T$23,$G$20,$G$22, 1*$F$21,1200)</f>
        <v>-4.0821159402931979</v>
      </c>
      <c r="AU21" s="719"/>
      <c r="AV21" s="719"/>
      <c r="AW21" s="719"/>
      <c r="AX21" s="719"/>
      <c r="AY21" s="719"/>
      <c r="AZ21" s="6"/>
      <c r="BA21" s="6"/>
      <c r="BB21" s="1284"/>
      <c r="BC21" s="1285"/>
      <c r="BD21" s="1279"/>
      <c r="BE21" s="1284" t="s">
        <v>1094</v>
      </c>
      <c r="BF21" s="1285" t="s">
        <v>145</v>
      </c>
      <c r="BH21" s="517"/>
      <c r="BL21" s="519"/>
    </row>
    <row r="22" spans="1:64" ht="15.75" customHeight="1">
      <c r="A22" s="716"/>
      <c r="B22" s="735"/>
      <c r="C22" s="789"/>
      <c r="D22" s="719"/>
      <c r="E22" s="719"/>
      <c r="F22" s="720"/>
      <c r="G22" s="721">
        <v>28</v>
      </c>
      <c r="H22" s="726"/>
      <c r="I22" s="726"/>
      <c r="J22" s="718">
        <f>C21+10</f>
        <v>99</v>
      </c>
      <c r="K22" s="719" t="s">
        <v>2587</v>
      </c>
      <c r="L22" s="719"/>
      <c r="M22" s="719"/>
      <c r="N22" s="719"/>
      <c r="O22" s="719"/>
      <c r="P22" s="719"/>
      <c r="Q22" s="719"/>
      <c r="R22" s="719"/>
      <c r="S22" s="724">
        <f>AG23-AG21</f>
        <v>27.25</v>
      </c>
      <c r="T22" s="719"/>
      <c r="U22" s="719"/>
      <c r="V22" s="719"/>
      <c r="W22" s="719"/>
      <c r="X22" s="719"/>
      <c r="Y22" s="719"/>
      <c r="Z22" s="719"/>
      <c r="AA22" s="719"/>
      <c r="AB22" s="719"/>
      <c r="AC22" s="719"/>
      <c r="AD22" s="719"/>
      <c r="AE22" s="719"/>
      <c r="AF22" s="719"/>
      <c r="AG22" s="789"/>
      <c r="AH22" s="719"/>
      <c r="AI22" s="719"/>
      <c r="AJ22" s="719"/>
      <c r="AK22" s="719"/>
      <c r="AL22" s="719"/>
      <c r="AM22" s="719"/>
      <c r="AN22" s="726"/>
      <c r="AO22" s="726"/>
      <c r="AP22" s="726"/>
      <c r="AQ22" s="719">
        <f>+FL_1($U$23,$T$21,$G$22,1200,9.28, 1*$F$23)</f>
        <v>0.48102089895486755</v>
      </c>
      <c r="AR22" s="719"/>
      <c r="AS22" s="719"/>
      <c r="AT22" s="719"/>
      <c r="AU22" s="719"/>
      <c r="AV22" s="719"/>
      <c r="AW22" s="719"/>
      <c r="AX22" s="719"/>
      <c r="AY22" s="719"/>
      <c r="AZ22" s="6"/>
      <c r="BA22" s="6"/>
      <c r="BB22" s="1286" t="s">
        <v>1026</v>
      </c>
      <c r="BC22" s="1287"/>
      <c r="BD22" s="1279"/>
      <c r="BE22" s="1284" t="s">
        <v>1066</v>
      </c>
      <c r="BF22" s="1285" t="s">
        <v>140</v>
      </c>
      <c r="BH22" s="545" t="s">
        <v>1142</v>
      </c>
      <c r="BI22" s="546"/>
      <c r="BJ22" s="546"/>
      <c r="BK22" s="546"/>
      <c r="BL22" s="547">
        <f>(SUM(BJ14:BJ19)-SUM(BI14:BI19))/1000</f>
        <v>0</v>
      </c>
    </row>
    <row r="23" spans="1:64" ht="15.75" customHeight="1" thickBot="1">
      <c r="A23" s="716"/>
      <c r="B23" s="735" t="s">
        <v>2994</v>
      </c>
      <c r="C23" s="789">
        <f>C21+G22</f>
        <v>117</v>
      </c>
      <c r="D23" s="719"/>
      <c r="E23" s="719">
        <v>-20</v>
      </c>
      <c r="F23" s="720">
        <v>-500</v>
      </c>
      <c r="G23" s="721"/>
      <c r="H23" s="726" t="s">
        <v>668</v>
      </c>
      <c r="I23" s="722"/>
      <c r="J23" s="727"/>
      <c r="K23" s="719"/>
      <c r="L23" s="719" t="s">
        <v>465</v>
      </c>
      <c r="M23" s="719"/>
      <c r="N23" s="726" t="s">
        <v>697</v>
      </c>
      <c r="O23" s="719" t="s">
        <v>696</v>
      </c>
      <c r="P23" s="719"/>
      <c r="Q23" s="719">
        <v>-19</v>
      </c>
      <c r="R23" s="719">
        <v>-500</v>
      </c>
      <c r="S23" s="724">
        <f>AG24-AG23</f>
        <v>1.5300000000000011</v>
      </c>
      <c r="T23" s="719">
        <v>55</v>
      </c>
      <c r="U23" s="719">
        <v>10</v>
      </c>
      <c r="V23" s="719"/>
      <c r="W23" s="719">
        <v>1.4</v>
      </c>
      <c r="X23" s="719">
        <v>2.2999999999999998</v>
      </c>
      <c r="Y23" s="719"/>
      <c r="Z23" s="724">
        <v>0.5</v>
      </c>
      <c r="AA23" s="724"/>
      <c r="AB23" s="719"/>
      <c r="AC23" s="719"/>
      <c r="AD23" s="719" t="s">
        <v>3003</v>
      </c>
      <c r="AE23" s="719"/>
      <c r="AF23" s="719">
        <v>200</v>
      </c>
      <c r="AG23" s="789">
        <v>116.28</v>
      </c>
      <c r="AH23" s="719">
        <v>1484</v>
      </c>
      <c r="AI23" s="719">
        <v>-4874</v>
      </c>
      <c r="AJ23" s="719"/>
      <c r="AK23" s="719"/>
      <c r="AL23" s="719"/>
      <c r="AM23" s="719" t="s">
        <v>2609</v>
      </c>
      <c r="AN23" s="719">
        <v>5.25</v>
      </c>
      <c r="AO23" s="726"/>
      <c r="AP23" s="726"/>
      <c r="AQ23" s="719"/>
      <c r="AR23" s="719"/>
      <c r="AS23" s="719"/>
      <c r="AT23" s="719">
        <f>+ab($U$23,$T$21,$U$25,$G$22,$G$24, 1*$F$23,1200)</f>
        <v>-3.2442411148060661</v>
      </c>
      <c r="AU23" s="719"/>
      <c r="AV23" s="719"/>
      <c r="AW23" s="719"/>
      <c r="AX23" s="719"/>
      <c r="AY23" s="719"/>
      <c r="AZ23" s="6"/>
      <c r="BA23" s="6"/>
      <c r="BB23" s="1284" t="s">
        <v>1029</v>
      </c>
      <c r="BC23" s="1285" t="s">
        <v>138</v>
      </c>
      <c r="BD23" s="1279"/>
      <c r="BE23" s="1284" t="s">
        <v>1067</v>
      </c>
      <c r="BF23" s="1285" t="s">
        <v>695</v>
      </c>
      <c r="BH23" s="517"/>
      <c r="BL23" s="519"/>
    </row>
    <row r="24" spans="1:64" ht="15.75" customHeight="1">
      <c r="A24" s="716"/>
      <c r="B24" s="735"/>
      <c r="C24" s="789"/>
      <c r="D24" s="719"/>
      <c r="E24" s="719"/>
      <c r="F24" s="720"/>
      <c r="G24" s="721">
        <v>30.5</v>
      </c>
      <c r="H24" s="726"/>
      <c r="I24" s="722"/>
      <c r="J24" s="727"/>
      <c r="K24" s="719"/>
      <c r="L24" s="719"/>
      <c r="M24" s="719"/>
      <c r="N24" s="726"/>
      <c r="O24" s="726"/>
      <c r="P24" s="719"/>
      <c r="Q24" s="719">
        <v>-20</v>
      </c>
      <c r="R24" s="719">
        <v>-500</v>
      </c>
      <c r="S24" s="724">
        <f t="shared" ref="S24:S29" si="3">AG25-AG24</f>
        <v>28.919999999999987</v>
      </c>
      <c r="T24" s="719"/>
      <c r="U24" s="719"/>
      <c r="V24" s="719"/>
      <c r="W24" s="719"/>
      <c r="X24" s="719"/>
      <c r="Y24" s="719"/>
      <c r="Z24" s="724"/>
      <c r="AA24" s="724"/>
      <c r="AB24" s="719"/>
      <c r="AC24" s="719"/>
      <c r="AD24" s="719"/>
      <c r="AE24" s="719"/>
      <c r="AF24" s="719">
        <v>200</v>
      </c>
      <c r="AG24" s="789">
        <v>117.81</v>
      </c>
      <c r="AH24" s="719">
        <v>1522</v>
      </c>
      <c r="AI24" s="719">
        <v>-4866</v>
      </c>
      <c r="AJ24" s="719"/>
      <c r="AK24" s="719"/>
      <c r="AL24" s="719"/>
      <c r="AM24" s="719"/>
      <c r="AN24" s="719"/>
      <c r="AO24" s="726"/>
      <c r="AP24" s="726"/>
      <c r="AQ24" s="719">
        <f>+FL_1($U$25,$U$23,$G$24,1200,9.28, 1*$F$25)</f>
        <v>0.33029044701796884</v>
      </c>
      <c r="AR24" s="719"/>
      <c r="AS24" s="719"/>
      <c r="AT24" s="719"/>
      <c r="AU24" s="719"/>
      <c r="AV24" s="719"/>
      <c r="AW24" s="719"/>
      <c r="AX24" s="719"/>
      <c r="AY24" s="719"/>
      <c r="AZ24" s="6"/>
      <c r="BA24" s="6"/>
      <c r="BB24" s="1284" t="s">
        <v>1030</v>
      </c>
      <c r="BC24" s="1285" t="s">
        <v>1028</v>
      </c>
      <c r="BD24" s="1301"/>
      <c r="BE24" s="1284" t="s">
        <v>1068</v>
      </c>
      <c r="BF24" s="1285" t="s">
        <v>696</v>
      </c>
      <c r="BH24" s="518"/>
      <c r="BI24" s="531"/>
      <c r="BJ24" s="531"/>
      <c r="BK24" s="532">
        <v>0</v>
      </c>
      <c r="BL24" s="684">
        <f t="shared" ref="BL24:BL26" si="4">+(BJ24-BI24)*BK24/1000</f>
        <v>0</v>
      </c>
    </row>
    <row r="25" spans="1:64" ht="15.75" customHeight="1">
      <c r="A25" s="716"/>
      <c r="B25" s="735" t="s">
        <v>2649</v>
      </c>
      <c r="C25" s="789">
        <f>C23+G24</f>
        <v>147.5</v>
      </c>
      <c r="D25" s="719"/>
      <c r="E25" s="719">
        <v>-20</v>
      </c>
      <c r="F25" s="720">
        <v>-500</v>
      </c>
      <c r="G25" s="721"/>
      <c r="H25" s="726" t="s">
        <v>668</v>
      </c>
      <c r="I25" s="726"/>
      <c r="J25" s="727"/>
      <c r="K25" s="719"/>
      <c r="L25" s="719" t="s">
        <v>465</v>
      </c>
      <c r="M25" s="719"/>
      <c r="N25" s="719" t="s">
        <v>696</v>
      </c>
      <c r="O25" s="719" t="s">
        <v>696</v>
      </c>
      <c r="P25" s="719"/>
      <c r="Q25" s="719">
        <v>-21</v>
      </c>
      <c r="R25" s="719">
        <v>-500</v>
      </c>
      <c r="S25" s="724">
        <f t="shared" si="3"/>
        <v>1.5300000000000011</v>
      </c>
      <c r="T25" s="719">
        <v>35</v>
      </c>
      <c r="U25" s="719">
        <v>-10</v>
      </c>
      <c r="V25" s="719"/>
      <c r="W25" s="719">
        <v>1.4</v>
      </c>
      <c r="X25" s="719">
        <v>2.2999999999999998</v>
      </c>
      <c r="Y25" s="719"/>
      <c r="Z25" s="724">
        <v>0.1</v>
      </c>
      <c r="AA25" s="724"/>
      <c r="AB25" s="719"/>
      <c r="AC25" s="719" t="s">
        <v>2978</v>
      </c>
      <c r="AD25" s="719" t="s">
        <v>3148</v>
      </c>
      <c r="AE25" s="719"/>
      <c r="AF25" s="719">
        <v>200</v>
      </c>
      <c r="AG25" s="789">
        <v>146.72999999999999</v>
      </c>
      <c r="AH25" s="719">
        <v>1448</v>
      </c>
      <c r="AI25" s="719">
        <v>-5021</v>
      </c>
      <c r="AJ25" s="719"/>
      <c r="AK25" s="719"/>
      <c r="AL25" s="719"/>
      <c r="AM25" s="719" t="s">
        <v>2609</v>
      </c>
      <c r="AN25" s="719">
        <v>5.25</v>
      </c>
      <c r="AO25" s="726"/>
      <c r="AP25" s="726"/>
      <c r="AQ25" s="719"/>
      <c r="AR25" s="719"/>
      <c r="AS25" s="719"/>
      <c r="AT25" s="719">
        <f>+ab($U$25,$U$23,$U$27,$G$24,$G$26, 1*$F$25,1200)</f>
        <v>-2.9085789181984509</v>
      </c>
      <c r="AU25" s="719"/>
      <c r="AV25" s="719"/>
      <c r="AW25" s="719"/>
      <c r="AX25" s="719"/>
      <c r="AY25" s="719"/>
      <c r="AZ25" s="6"/>
      <c r="BA25" s="6"/>
      <c r="BB25" s="1284" t="s">
        <v>1032</v>
      </c>
      <c r="BC25" s="1285" t="s">
        <v>668</v>
      </c>
      <c r="BD25" s="1301"/>
      <c r="BE25" s="1284" t="s">
        <v>1069</v>
      </c>
      <c r="BF25" s="1285" t="s">
        <v>697</v>
      </c>
      <c r="BH25" s="518"/>
      <c r="BI25" s="531"/>
      <c r="BJ25" s="531"/>
      <c r="BK25" s="532">
        <v>0</v>
      </c>
      <c r="BL25" s="686">
        <f t="shared" si="4"/>
        <v>0</v>
      </c>
    </row>
    <row r="26" spans="1:64" ht="15.75" customHeight="1">
      <c r="A26" s="716"/>
      <c r="B26" s="735"/>
      <c r="C26" s="789"/>
      <c r="D26" s="719"/>
      <c r="E26" s="719"/>
      <c r="F26" s="720"/>
      <c r="G26" s="721">
        <v>30.5</v>
      </c>
      <c r="H26" s="726"/>
      <c r="I26" s="726"/>
      <c r="J26" s="727"/>
      <c r="K26" s="719"/>
      <c r="L26" s="719"/>
      <c r="M26" s="719"/>
      <c r="N26" s="726"/>
      <c r="O26" s="726"/>
      <c r="P26" s="719"/>
      <c r="Q26" s="719">
        <v>-21</v>
      </c>
      <c r="R26" s="719">
        <v>-500</v>
      </c>
      <c r="S26" s="724">
        <f t="shared" si="3"/>
        <v>29.02000000000001</v>
      </c>
      <c r="T26" s="719"/>
      <c r="U26" s="719"/>
      <c r="V26" s="719"/>
      <c r="W26" s="719"/>
      <c r="X26" s="719"/>
      <c r="Y26" s="719"/>
      <c r="Z26" s="724"/>
      <c r="AA26" s="724"/>
      <c r="AB26" s="719"/>
      <c r="AC26" s="719"/>
      <c r="AD26" s="719"/>
      <c r="AE26" s="719"/>
      <c r="AF26" s="719">
        <v>200</v>
      </c>
      <c r="AG26" s="789">
        <v>148.26</v>
      </c>
      <c r="AH26" s="719">
        <v>1439</v>
      </c>
      <c r="AI26" s="719">
        <v>-5049</v>
      </c>
      <c r="AJ26" s="719"/>
      <c r="AK26" s="719"/>
      <c r="AL26" s="719"/>
      <c r="AM26" s="719"/>
      <c r="AN26" s="726"/>
      <c r="AO26" s="726"/>
      <c r="AP26" s="726"/>
      <c r="AQ26" s="719">
        <f>+FL_1($T$27,$U$25,$G$26,1200,9.28, 1*$F$27)</f>
        <v>0.45353989713517828</v>
      </c>
      <c r="AR26" s="719"/>
      <c r="AS26" s="719"/>
      <c r="AT26" s="719"/>
      <c r="AU26" s="719"/>
      <c r="AV26" s="719"/>
      <c r="AW26" s="719"/>
      <c r="AX26" s="719"/>
      <c r="AY26" s="719"/>
      <c r="AZ26" s="6"/>
      <c r="BA26" s="6"/>
      <c r="BB26" s="1284" t="s">
        <v>1031</v>
      </c>
      <c r="BC26" s="1285" t="s">
        <v>669</v>
      </c>
      <c r="BD26" s="1301"/>
      <c r="BE26" s="1284" t="s">
        <v>1070</v>
      </c>
      <c r="BF26" s="1285" t="s">
        <v>952</v>
      </c>
      <c r="BH26" s="518"/>
      <c r="BI26" s="531"/>
      <c r="BJ26" s="531"/>
      <c r="BK26" s="532">
        <v>0</v>
      </c>
      <c r="BL26" s="686">
        <f t="shared" si="4"/>
        <v>0</v>
      </c>
    </row>
    <row r="27" spans="1:64" ht="15.75" customHeight="1">
      <c r="A27" s="716"/>
      <c r="B27" s="735" t="s">
        <v>2650</v>
      </c>
      <c r="C27" s="789">
        <f>C25+G26</f>
        <v>178</v>
      </c>
      <c r="D27" s="719"/>
      <c r="E27" s="719">
        <v>-20</v>
      </c>
      <c r="F27" s="720">
        <v>-500</v>
      </c>
      <c r="G27" s="721"/>
      <c r="H27" s="726" t="s">
        <v>668</v>
      </c>
      <c r="I27" s="726"/>
      <c r="J27" s="727"/>
      <c r="K27" s="719"/>
      <c r="L27" s="719" t="s">
        <v>465</v>
      </c>
      <c r="M27" s="719"/>
      <c r="N27" s="719" t="s">
        <v>696</v>
      </c>
      <c r="O27" s="719" t="s">
        <v>696</v>
      </c>
      <c r="P27" s="719"/>
      <c r="Q27" s="719">
        <v>-22</v>
      </c>
      <c r="R27" s="719">
        <v>-500</v>
      </c>
      <c r="S27" s="724">
        <f t="shared" si="3"/>
        <v>1.4900000000000091</v>
      </c>
      <c r="T27" s="719">
        <v>30</v>
      </c>
      <c r="U27" s="719">
        <v>-15</v>
      </c>
      <c r="V27" s="719"/>
      <c r="W27" s="719">
        <v>1.4</v>
      </c>
      <c r="X27" s="719">
        <v>2.2999999999999998</v>
      </c>
      <c r="Y27" s="719"/>
      <c r="Z27" s="724"/>
      <c r="AA27" s="724">
        <v>0.1</v>
      </c>
      <c r="AB27" s="719"/>
      <c r="AC27" s="719" t="s">
        <v>3003</v>
      </c>
      <c r="AD27" s="719" t="s">
        <v>493</v>
      </c>
      <c r="AE27" s="719"/>
      <c r="AF27" s="719">
        <v>200</v>
      </c>
      <c r="AG27" s="789">
        <v>177.28</v>
      </c>
      <c r="AH27" s="719">
        <v>1495</v>
      </c>
      <c r="AI27" s="719">
        <v>-4934</v>
      </c>
      <c r="AJ27" s="719"/>
      <c r="AK27" s="719"/>
      <c r="AL27" s="719"/>
      <c r="AM27" s="719" t="s">
        <v>2609</v>
      </c>
      <c r="AN27" s="719">
        <v>5.25</v>
      </c>
      <c r="AO27" s="726"/>
      <c r="AP27" s="726"/>
      <c r="AQ27" s="719"/>
      <c r="AR27" s="719"/>
      <c r="AS27" s="719"/>
      <c r="AT27" s="719">
        <f>+ab($T$27,$T$25,$T$29,$G$26,$G$28, 1*$F$27,1200)</f>
        <v>-3.0363475787542953</v>
      </c>
      <c r="AU27" s="719"/>
      <c r="AV27" s="719"/>
      <c r="AW27" s="719"/>
      <c r="AX27" s="719"/>
      <c r="AY27" s="719"/>
      <c r="AZ27" s="6"/>
      <c r="BA27" s="6"/>
      <c r="BB27" s="1284" t="s">
        <v>1034</v>
      </c>
      <c r="BC27" s="1285" t="s">
        <v>996</v>
      </c>
      <c r="BD27" s="1301"/>
      <c r="BE27" s="1284" t="s">
        <v>1071</v>
      </c>
      <c r="BF27" s="1285" t="s">
        <v>953</v>
      </c>
      <c r="BH27" s="518"/>
      <c r="BI27" s="531"/>
      <c r="BJ27" s="531"/>
      <c r="BK27" s="532">
        <v>0</v>
      </c>
      <c r="BL27" s="686"/>
    </row>
    <row r="28" spans="1:64" ht="15.75" customHeight="1">
      <c r="A28" s="716"/>
      <c r="B28" s="735"/>
      <c r="C28" s="789"/>
      <c r="D28" s="719"/>
      <c r="E28" s="719"/>
      <c r="F28" s="720"/>
      <c r="G28" s="721">
        <v>31</v>
      </c>
      <c r="H28" s="726"/>
      <c r="I28" s="722"/>
      <c r="J28" s="727"/>
      <c r="K28" s="719"/>
      <c r="L28" s="719"/>
      <c r="M28" s="719"/>
      <c r="N28" s="726"/>
      <c r="O28" s="726"/>
      <c r="P28" s="719"/>
      <c r="Q28" s="719">
        <v>-21</v>
      </c>
      <c r="R28" s="719">
        <v>-500</v>
      </c>
      <c r="S28" s="724">
        <f t="shared" si="3"/>
        <v>29.47999999999999</v>
      </c>
      <c r="T28" s="719"/>
      <c r="U28" s="719"/>
      <c r="V28" s="719"/>
      <c r="W28" s="719"/>
      <c r="X28" s="719"/>
      <c r="Y28" s="719"/>
      <c r="Z28" s="724"/>
      <c r="AA28" s="724"/>
      <c r="AB28" s="719"/>
      <c r="AC28" s="719"/>
      <c r="AD28" s="719"/>
      <c r="AE28" s="719"/>
      <c r="AF28" s="719">
        <v>200</v>
      </c>
      <c r="AG28" s="789">
        <v>178.77</v>
      </c>
      <c r="AH28" s="719">
        <v>1506</v>
      </c>
      <c r="AI28" s="719">
        <v>-4958</v>
      </c>
      <c r="AJ28" s="719"/>
      <c r="AK28" s="719"/>
      <c r="AL28" s="719"/>
      <c r="AM28" s="719"/>
      <c r="AN28" s="719"/>
      <c r="AO28" s="726"/>
      <c r="AP28" s="726"/>
      <c r="AQ28" s="719">
        <f>+FL_1($T$29,$T$27,$G$28,1200,9.28, 1*$F$29)</f>
        <v>0.63320441448029774</v>
      </c>
      <c r="AR28" s="719"/>
      <c r="AS28" s="719"/>
      <c r="AT28" s="719"/>
      <c r="AU28" s="719"/>
      <c r="AV28" s="719"/>
      <c r="AW28" s="719"/>
      <c r="AX28" s="719"/>
      <c r="AY28" s="719"/>
      <c r="AZ28" s="6"/>
      <c r="BA28" s="6"/>
      <c r="BB28" s="1284" t="s">
        <v>1033</v>
      </c>
      <c r="BC28" s="1285" t="s">
        <v>997</v>
      </c>
      <c r="BD28" s="1301"/>
      <c r="BE28" s="1284" t="s">
        <v>1072</v>
      </c>
      <c r="BF28" s="1285" t="s">
        <v>954</v>
      </c>
      <c r="BH28" s="518"/>
      <c r="BI28" s="531"/>
      <c r="BJ28" s="531"/>
      <c r="BK28" s="532">
        <v>0</v>
      </c>
      <c r="BL28" s="686"/>
    </row>
    <row r="29" spans="1:64" ht="15.75" customHeight="1">
      <c r="A29" s="716" t="s">
        <v>2996</v>
      </c>
      <c r="B29" s="735" t="s">
        <v>2651</v>
      </c>
      <c r="C29" s="789">
        <f>C27+G28</f>
        <v>209</v>
      </c>
      <c r="D29" s="719"/>
      <c r="E29" s="719">
        <v>-20</v>
      </c>
      <c r="F29" s="720">
        <v>-500</v>
      </c>
      <c r="G29" s="721"/>
      <c r="H29" s="726" t="s">
        <v>668</v>
      </c>
      <c r="I29" s="722" t="s">
        <v>2645</v>
      </c>
      <c r="J29" s="727"/>
      <c r="K29" s="719"/>
      <c r="L29" s="719" t="s">
        <v>465</v>
      </c>
      <c r="M29" s="719"/>
      <c r="N29" s="719" t="s">
        <v>696</v>
      </c>
      <c r="O29" s="726" t="s">
        <v>697</v>
      </c>
      <c r="P29" s="719"/>
      <c r="Q29" s="719">
        <v>-19</v>
      </c>
      <c r="R29" s="719">
        <v>-500</v>
      </c>
      <c r="S29" s="724">
        <f t="shared" si="3"/>
        <v>1.539999999999992</v>
      </c>
      <c r="T29" s="719">
        <v>30</v>
      </c>
      <c r="U29" s="719">
        <v>-15</v>
      </c>
      <c r="V29" s="719"/>
      <c r="W29" s="719">
        <v>1.4</v>
      </c>
      <c r="X29" s="719">
        <v>2.2999999999999998</v>
      </c>
      <c r="Y29" s="719"/>
      <c r="Z29" s="724"/>
      <c r="AA29" s="724">
        <v>0.5</v>
      </c>
      <c r="AB29" s="719"/>
      <c r="AC29" s="719" t="s">
        <v>3003</v>
      </c>
      <c r="AD29" s="719"/>
      <c r="AE29" s="719"/>
      <c r="AF29" s="719">
        <v>200</v>
      </c>
      <c r="AG29" s="789">
        <v>208.25</v>
      </c>
      <c r="AH29" s="719">
        <v>1477</v>
      </c>
      <c r="AI29" s="719">
        <v>-5007</v>
      </c>
      <c r="AJ29" s="719" t="s">
        <v>2943</v>
      </c>
      <c r="AK29" s="719"/>
      <c r="AL29" s="719"/>
      <c r="AM29" s="719" t="s">
        <v>2609</v>
      </c>
      <c r="AN29" s="719">
        <v>5.25</v>
      </c>
      <c r="AO29" s="726"/>
      <c r="AP29" s="726"/>
      <c r="AQ29" s="719"/>
      <c r="AR29" s="719"/>
      <c r="AS29" s="719"/>
      <c r="AT29" s="719">
        <f>+ab($T$29,$T$27,$T$31,$G$28,$G$30, 1*$F$29,1200)</f>
        <v>-3.0920377835765391</v>
      </c>
      <c r="AU29" s="719"/>
      <c r="AV29" s="719"/>
      <c r="AW29" s="719"/>
      <c r="AX29" s="719"/>
      <c r="AY29" s="719"/>
      <c r="AZ29" s="6"/>
      <c r="BA29" s="6"/>
      <c r="BB29" s="1284" t="s">
        <v>1035</v>
      </c>
      <c r="BC29" s="1285" t="s">
        <v>995</v>
      </c>
      <c r="BD29" s="1301"/>
      <c r="BE29" s="1284"/>
      <c r="BF29" s="1285"/>
      <c r="BH29" s="518"/>
      <c r="BI29" s="531"/>
      <c r="BJ29" s="531"/>
      <c r="BK29" s="532">
        <v>0</v>
      </c>
      <c r="BL29" s="686"/>
    </row>
    <row r="30" spans="1:64" ht="15.75" customHeight="1">
      <c r="A30" s="716"/>
      <c r="B30" s="735"/>
      <c r="C30" s="789"/>
      <c r="D30" s="719"/>
      <c r="E30" s="719"/>
      <c r="F30" s="720"/>
      <c r="G30" s="721">
        <v>31</v>
      </c>
      <c r="H30" s="726"/>
      <c r="I30" s="722">
        <f>'HR Track 2'!G714+'HR Track 2'!G716+SUM(G18:G30)</f>
        <v>320</v>
      </c>
      <c r="J30" s="718">
        <f>C31-10</f>
        <v>230</v>
      </c>
      <c r="K30" s="719" t="s">
        <v>1097</v>
      </c>
      <c r="L30" s="719"/>
      <c r="M30" s="719"/>
      <c r="N30" s="719"/>
      <c r="O30" s="719"/>
      <c r="P30" s="719"/>
      <c r="Q30" s="719">
        <v>-20</v>
      </c>
      <c r="R30" s="719">
        <v>-500</v>
      </c>
      <c r="S30" s="724">
        <f>AG31-AG30</f>
        <v>30.240000000000009</v>
      </c>
      <c r="T30" s="719"/>
      <c r="U30" s="719"/>
      <c r="V30" s="719"/>
      <c r="W30" s="719"/>
      <c r="X30" s="719"/>
      <c r="Y30" s="719"/>
      <c r="Z30" s="719"/>
      <c r="AA30" s="719"/>
      <c r="AB30" s="719"/>
      <c r="AC30" s="719"/>
      <c r="AD30" s="719"/>
      <c r="AE30" s="719"/>
      <c r="AF30" s="719">
        <v>200</v>
      </c>
      <c r="AG30" s="789">
        <v>209.79</v>
      </c>
      <c r="AH30" s="719">
        <v>1481</v>
      </c>
      <c r="AI30" s="719">
        <v>-5063</v>
      </c>
      <c r="AJ30" s="719"/>
      <c r="AK30" s="719"/>
      <c r="AL30" s="719"/>
      <c r="AM30" s="719"/>
      <c r="AN30" s="726"/>
      <c r="AO30" s="726"/>
      <c r="AP30" s="726"/>
      <c r="AQ30" s="719">
        <f>+FL_1($T$31,$T$29,$G$30,1200,9.28, 1*$F$31)</f>
        <v>0.63320441448029774</v>
      </c>
      <c r="AR30" s="719"/>
      <c r="AS30" s="719"/>
      <c r="AT30" s="719"/>
      <c r="AU30" s="719"/>
      <c r="AV30" s="719"/>
      <c r="AW30" s="719"/>
      <c r="AX30" s="719"/>
      <c r="AY30" s="719"/>
      <c r="AZ30" s="6"/>
      <c r="BA30" s="6"/>
      <c r="BB30" s="1284" t="s">
        <v>2468</v>
      </c>
      <c r="BC30" s="1285" t="s">
        <v>1101</v>
      </c>
      <c r="BD30" s="1301"/>
      <c r="BE30" s="1286" t="s">
        <v>1045</v>
      </c>
      <c r="BF30" s="1287"/>
      <c r="BH30" s="518"/>
      <c r="BI30" s="531"/>
      <c r="BJ30" s="531"/>
      <c r="BK30" s="532">
        <v>0</v>
      </c>
      <c r="BL30" s="686"/>
    </row>
    <row r="31" spans="1:64" ht="15.75" customHeight="1">
      <c r="A31" s="716"/>
      <c r="B31" s="735" t="s">
        <v>2652</v>
      </c>
      <c r="C31" s="789">
        <f>C29+G30</f>
        <v>240</v>
      </c>
      <c r="D31" s="719"/>
      <c r="E31" s="719">
        <v>-20</v>
      </c>
      <c r="F31" s="720">
        <v>-500</v>
      </c>
      <c r="G31" s="721"/>
      <c r="H31" s="726" t="s">
        <v>138</v>
      </c>
      <c r="I31" s="726" t="s">
        <v>947</v>
      </c>
      <c r="J31" s="727"/>
      <c r="K31" s="719"/>
      <c r="L31" s="719" t="s">
        <v>241</v>
      </c>
      <c r="M31" s="719"/>
      <c r="N31" s="719" t="s">
        <v>696</v>
      </c>
      <c r="O31" s="719"/>
      <c r="P31" s="719"/>
      <c r="Q31" s="719">
        <v>-19</v>
      </c>
      <c r="R31" s="719">
        <v>-500</v>
      </c>
      <c r="S31" s="724"/>
      <c r="T31" s="719">
        <v>30</v>
      </c>
      <c r="U31" s="719"/>
      <c r="V31" s="719"/>
      <c r="W31" s="719">
        <v>1.4</v>
      </c>
      <c r="X31" s="719"/>
      <c r="Y31" s="719"/>
      <c r="Z31" s="719"/>
      <c r="AA31" s="719"/>
      <c r="AB31" s="719"/>
      <c r="AC31" s="719" t="s">
        <v>3003</v>
      </c>
      <c r="AD31" s="719"/>
      <c r="AE31" s="719"/>
      <c r="AF31" s="719">
        <v>200</v>
      </c>
      <c r="AG31" s="789">
        <v>240.03</v>
      </c>
      <c r="AH31" s="719">
        <v>1574</v>
      </c>
      <c r="AI31" s="719">
        <v>-4912</v>
      </c>
      <c r="AJ31" s="719"/>
      <c r="AK31" s="719"/>
      <c r="AL31" s="719"/>
      <c r="AM31" s="719" t="s">
        <v>2609</v>
      </c>
      <c r="AN31" s="719">
        <v>5.25</v>
      </c>
      <c r="AO31" s="726"/>
      <c r="AP31" s="726"/>
      <c r="AQ31" s="719"/>
      <c r="AR31" s="719"/>
      <c r="AS31" s="719"/>
      <c r="AT31" s="719">
        <f>+ab($T$31,$T$29,$T$33,$G$30,$G$32, 1*$F$31,1200)</f>
        <v>-3.0920377835765391</v>
      </c>
      <c r="AU31" s="719"/>
      <c r="AV31" s="719"/>
      <c r="AW31" s="719"/>
      <c r="AX31" s="719"/>
      <c r="AY31" s="719"/>
      <c r="AZ31" s="6"/>
      <c r="BA31" s="6"/>
      <c r="BB31" s="1284" t="s">
        <v>1081</v>
      </c>
      <c r="BC31" s="1285" t="s">
        <v>143</v>
      </c>
      <c r="BD31" s="1301"/>
      <c r="BE31" s="1284" t="s">
        <v>1062</v>
      </c>
      <c r="BF31" s="1285" t="s">
        <v>1001</v>
      </c>
      <c r="BH31" s="518"/>
      <c r="BI31" s="531"/>
      <c r="BJ31" s="531"/>
      <c r="BK31" s="532">
        <v>0</v>
      </c>
      <c r="BL31" s="686"/>
    </row>
    <row r="32" spans="1:64" ht="15.75" customHeight="1">
      <c r="A32" s="716"/>
      <c r="B32" s="735"/>
      <c r="C32" s="789"/>
      <c r="D32" s="719"/>
      <c r="E32" s="719"/>
      <c r="F32" s="720"/>
      <c r="G32" s="721">
        <v>31</v>
      </c>
      <c r="H32" s="719" t="s">
        <v>1101</v>
      </c>
      <c r="I32" s="722">
        <f>+SUM(G22:G32)</f>
        <v>182</v>
      </c>
      <c r="J32" s="718">
        <f>C31+1</f>
        <v>241</v>
      </c>
      <c r="K32" s="719" t="s">
        <v>1102</v>
      </c>
      <c r="L32" s="719"/>
      <c r="M32" s="719"/>
      <c r="N32" s="719"/>
      <c r="O32" s="719"/>
      <c r="P32" s="719"/>
      <c r="Q32" s="719"/>
      <c r="R32" s="719"/>
      <c r="S32" s="724">
        <f>AG33-AG31</f>
        <v>30.989999999999981</v>
      </c>
      <c r="T32" s="719"/>
      <c r="U32" s="719"/>
      <c r="V32" s="719"/>
      <c r="W32" s="719"/>
      <c r="X32" s="719"/>
      <c r="Y32" s="719"/>
      <c r="Z32" s="719"/>
      <c r="AA32" s="719"/>
      <c r="AB32" s="719"/>
      <c r="AC32" s="719"/>
      <c r="AD32" s="719"/>
      <c r="AE32" s="719"/>
      <c r="AF32" s="719"/>
      <c r="AG32" s="789"/>
      <c r="AH32" s="719"/>
      <c r="AI32" s="719"/>
      <c r="AJ32" s="719"/>
      <c r="AK32" s="719"/>
      <c r="AL32" s="719"/>
      <c r="AM32" s="719"/>
      <c r="AN32" s="719"/>
      <c r="AO32" s="726"/>
      <c r="AP32" s="726"/>
      <c r="AQ32" s="719">
        <f>+FL_1($T$33,$T$31,$G$32,1200,9.28, 1*$F$33)</f>
        <v>0.63320441448029774</v>
      </c>
      <c r="AR32" s="719"/>
      <c r="AS32" s="719"/>
      <c r="AT32" s="719"/>
      <c r="AU32" s="719"/>
      <c r="AV32" s="719"/>
      <c r="AW32" s="719"/>
      <c r="AX32" s="719"/>
      <c r="AY32" s="719"/>
      <c r="AZ32" s="6"/>
      <c r="BA32" s="6"/>
      <c r="BB32" s="1284" t="s">
        <v>1082</v>
      </c>
      <c r="BC32" s="1285" t="s">
        <v>142</v>
      </c>
      <c r="BD32" s="1301"/>
      <c r="BE32" s="1284" t="s">
        <v>1063</v>
      </c>
      <c r="BF32" s="1285" t="s">
        <v>1000</v>
      </c>
      <c r="BL32" s="555"/>
    </row>
    <row r="33" spans="1:64" ht="15.75" customHeight="1">
      <c r="A33" s="716"/>
      <c r="B33" s="735" t="s">
        <v>2653</v>
      </c>
      <c r="C33" s="789">
        <f>C31+G32</f>
        <v>271</v>
      </c>
      <c r="D33" s="719"/>
      <c r="E33" s="719">
        <v>-20</v>
      </c>
      <c r="F33" s="720">
        <v>-500</v>
      </c>
      <c r="G33" s="721"/>
      <c r="H33" s="719" t="s">
        <v>997</v>
      </c>
      <c r="I33" s="726"/>
      <c r="J33" s="727"/>
      <c r="K33" s="719"/>
      <c r="L33" s="719" t="s">
        <v>241</v>
      </c>
      <c r="M33" s="719"/>
      <c r="N33" s="719" t="s">
        <v>696</v>
      </c>
      <c r="O33" s="719"/>
      <c r="P33" s="719"/>
      <c r="Q33" s="719">
        <v>-20</v>
      </c>
      <c r="R33" s="719">
        <v>-500</v>
      </c>
      <c r="S33" s="719"/>
      <c r="T33" s="719">
        <v>30</v>
      </c>
      <c r="U33" s="719"/>
      <c r="V33" s="719"/>
      <c r="W33" s="719">
        <v>1.4</v>
      </c>
      <c r="X33" s="719"/>
      <c r="Y33" s="719"/>
      <c r="Z33" s="719"/>
      <c r="AA33" s="719"/>
      <c r="AB33" s="719"/>
      <c r="AC33" s="719" t="s">
        <v>2978</v>
      </c>
      <c r="AD33" s="719"/>
      <c r="AE33" s="719"/>
      <c r="AF33" s="719">
        <v>200</v>
      </c>
      <c r="AG33" s="789">
        <v>271.02</v>
      </c>
      <c r="AH33" s="719">
        <v>1506</v>
      </c>
      <c r="AI33" s="719">
        <v>-4707</v>
      </c>
      <c r="AJ33" s="719"/>
      <c r="AK33" s="719"/>
      <c r="AL33" s="719"/>
      <c r="AM33" s="719" t="s">
        <v>2609</v>
      </c>
      <c r="AN33" s="719">
        <v>5.25</v>
      </c>
      <c r="AO33" s="726"/>
      <c r="AP33" s="726"/>
      <c r="AQ33" s="719"/>
      <c r="AR33" s="719"/>
      <c r="AS33" s="719"/>
      <c r="AT33" s="719">
        <f>+ab($T$33,$T$31,$T$35,$G$32,$G$34, 1*$F$33,1200)</f>
        <v>-3.1171269270586048</v>
      </c>
      <c r="AU33" s="719"/>
      <c r="AV33" s="719"/>
      <c r="AW33" s="719"/>
      <c r="AX33" s="719"/>
      <c r="AY33" s="719"/>
      <c r="AZ33" s="6"/>
      <c r="BA33" s="6"/>
      <c r="BB33" s="1284"/>
      <c r="BC33" s="1285"/>
      <c r="BD33" s="1279"/>
      <c r="BE33" s="1284" t="s">
        <v>3044</v>
      </c>
      <c r="BF33" s="1285" t="s">
        <v>1004</v>
      </c>
      <c r="BH33" s="519" t="s">
        <v>973</v>
      </c>
      <c r="BL33" s="555">
        <f>SUM(BL24:BL32)</f>
        <v>0</v>
      </c>
    </row>
    <row r="34" spans="1:64" ht="15.75" customHeight="1">
      <c r="A34" s="716"/>
      <c r="B34" s="735"/>
      <c r="C34" s="789"/>
      <c r="D34" s="719"/>
      <c r="E34" s="719"/>
      <c r="F34" s="720"/>
      <c r="G34" s="721">
        <v>30.5</v>
      </c>
      <c r="H34" s="719"/>
      <c r="I34" s="722">
        <f>SUM(G34:G52)</f>
        <v>432</v>
      </c>
      <c r="J34" s="718">
        <f>C35-1</f>
        <v>300.5</v>
      </c>
      <c r="K34" s="719" t="s">
        <v>1102</v>
      </c>
      <c r="L34" s="719"/>
      <c r="M34" s="719"/>
      <c r="N34" s="719"/>
      <c r="O34" s="719"/>
      <c r="P34" s="719"/>
      <c r="Q34" s="719"/>
      <c r="R34" s="719"/>
      <c r="S34" s="724">
        <f t="shared" ref="S34:S38" si="5">AG35-AG33</f>
        <v>30.509999999999991</v>
      </c>
      <c r="T34" s="719"/>
      <c r="U34" s="719"/>
      <c r="V34" s="719"/>
      <c r="W34" s="719"/>
      <c r="X34" s="719"/>
      <c r="Y34" s="719"/>
      <c r="Z34" s="719"/>
      <c r="AA34" s="719"/>
      <c r="AB34" s="719"/>
      <c r="AC34" s="719"/>
      <c r="AD34" s="719"/>
      <c r="AE34" s="719"/>
      <c r="AF34" s="719"/>
      <c r="AG34" s="789"/>
      <c r="AH34" s="719"/>
      <c r="AI34" s="719"/>
      <c r="AJ34" s="719"/>
      <c r="AK34" s="719"/>
      <c r="AL34" s="719"/>
      <c r="AM34" s="719"/>
      <c r="AN34" s="726"/>
      <c r="AO34" s="726"/>
      <c r="AP34" s="726"/>
      <c r="AQ34" s="719">
        <f>+FL_1($T$35,$T$33,$G$34,1200,9.28, 1*$F$35)</f>
        <v>0.62254077715413536</v>
      </c>
      <c r="AR34" s="719"/>
      <c r="AS34" s="719"/>
      <c r="AT34" s="719"/>
      <c r="AU34" s="719"/>
      <c r="AV34" s="719"/>
      <c r="AW34" s="719"/>
      <c r="AX34" s="719"/>
      <c r="AY34" s="719"/>
      <c r="AZ34" s="6"/>
      <c r="BA34" s="6"/>
      <c r="BB34" s="1284"/>
      <c r="BC34" s="1285"/>
      <c r="BD34" s="1279"/>
      <c r="BE34" s="1284" t="s">
        <v>3045</v>
      </c>
      <c r="BF34" s="1285" t="s">
        <v>3046</v>
      </c>
      <c r="BL34" s="555"/>
    </row>
    <row r="35" spans="1:64" ht="15.75" customHeight="1">
      <c r="A35" s="716"/>
      <c r="B35" s="735" t="s">
        <v>2654</v>
      </c>
      <c r="C35" s="789">
        <f>C33+G34</f>
        <v>301.5</v>
      </c>
      <c r="D35" s="719"/>
      <c r="E35" s="719">
        <v>-20</v>
      </c>
      <c r="F35" s="720">
        <v>-500</v>
      </c>
      <c r="G35" s="721"/>
      <c r="H35" s="719" t="s">
        <v>1101</v>
      </c>
      <c r="I35" s="722"/>
      <c r="J35" s="718"/>
      <c r="K35" s="719"/>
      <c r="L35" s="719" t="s">
        <v>241</v>
      </c>
      <c r="M35" s="719"/>
      <c r="N35" s="719" t="s">
        <v>696</v>
      </c>
      <c r="O35" s="719"/>
      <c r="P35" s="719"/>
      <c r="Q35" s="719">
        <v>-20</v>
      </c>
      <c r="R35" s="719">
        <v>-500</v>
      </c>
      <c r="S35" s="719"/>
      <c r="T35" s="719">
        <v>30</v>
      </c>
      <c r="U35" s="719"/>
      <c r="V35" s="719"/>
      <c r="W35" s="719">
        <v>1.4</v>
      </c>
      <c r="X35" s="719"/>
      <c r="Y35" s="719"/>
      <c r="Z35" s="719"/>
      <c r="AA35" s="719"/>
      <c r="AB35" s="719"/>
      <c r="AC35" s="719" t="s">
        <v>2616</v>
      </c>
      <c r="AD35" s="719"/>
      <c r="AE35" s="719"/>
      <c r="AF35" s="719">
        <v>200</v>
      </c>
      <c r="AG35" s="789">
        <v>301.52999999999997</v>
      </c>
      <c r="AH35" s="719">
        <v>1489</v>
      </c>
      <c r="AI35" s="719">
        <v>-4904</v>
      </c>
      <c r="AJ35" s="719"/>
      <c r="AK35" s="719"/>
      <c r="AL35" s="719"/>
      <c r="AM35" s="719" t="s">
        <v>2609</v>
      </c>
      <c r="AN35" s="719">
        <v>5.25</v>
      </c>
      <c r="AO35" s="726"/>
      <c r="AP35" s="726"/>
      <c r="AQ35" s="719"/>
      <c r="AR35" s="719"/>
      <c r="AS35" s="719"/>
      <c r="AT35" s="719">
        <f>+ab($T$35,$T$33,$T$37,$G$34,$G$36, 1*$F$35,1200)</f>
        <v>-2.8831679565371662</v>
      </c>
      <c r="AU35" s="719"/>
      <c r="AV35" s="719"/>
      <c r="AW35" s="719"/>
      <c r="AX35" s="719"/>
      <c r="AY35" s="719"/>
      <c r="AZ35" s="6"/>
      <c r="BA35" s="6"/>
      <c r="BB35" s="1286" t="s">
        <v>3047</v>
      </c>
      <c r="BC35" s="1287"/>
      <c r="BD35" s="1279"/>
      <c r="BE35" s="1284" t="s">
        <v>2454</v>
      </c>
      <c r="BF35" s="1285" t="s">
        <v>2455</v>
      </c>
      <c r="BH35" s="517"/>
      <c r="BL35" s="555"/>
    </row>
    <row r="36" spans="1:64" ht="15.75" customHeight="1">
      <c r="A36" s="716"/>
      <c r="B36" s="735"/>
      <c r="C36" s="789"/>
      <c r="D36" s="719"/>
      <c r="E36" s="719"/>
      <c r="F36" s="720"/>
      <c r="G36" s="721">
        <v>36</v>
      </c>
      <c r="H36" s="726"/>
      <c r="I36" s="722"/>
      <c r="J36" s="718"/>
      <c r="K36" s="719"/>
      <c r="L36" s="719"/>
      <c r="M36" s="719"/>
      <c r="N36" s="719"/>
      <c r="O36" s="719"/>
      <c r="P36" s="719"/>
      <c r="Q36" s="719"/>
      <c r="R36" s="719"/>
      <c r="S36" s="724">
        <f t="shared" si="5"/>
        <v>35.970000000000027</v>
      </c>
      <c r="T36" s="719"/>
      <c r="U36" s="719"/>
      <c r="V36" s="719"/>
      <c r="W36" s="719"/>
      <c r="X36" s="719"/>
      <c r="Y36" s="719"/>
      <c r="Z36" s="719"/>
      <c r="AA36" s="719"/>
      <c r="AB36" s="719"/>
      <c r="AC36" s="719"/>
      <c r="AD36" s="719"/>
      <c r="AE36" s="719"/>
      <c r="AF36" s="719"/>
      <c r="AG36" s="789"/>
      <c r="AH36" s="719"/>
      <c r="AI36" s="719"/>
      <c r="AJ36" s="719"/>
      <c r="AK36" s="719"/>
      <c r="AL36" s="719"/>
      <c r="AM36" s="719"/>
      <c r="AN36" s="719"/>
      <c r="AO36" s="726"/>
      <c r="AP36" s="726"/>
      <c r="AQ36" s="719">
        <f>+FL_1($T$37,$T$35,$G$36,1200,9.28, 1*$F$37)</f>
        <v>0.7493850440796016</v>
      </c>
      <c r="AR36" s="719"/>
      <c r="AS36" s="719"/>
      <c r="AT36" s="719"/>
      <c r="AU36" s="719"/>
      <c r="AV36" s="719"/>
      <c r="AW36" s="719"/>
      <c r="AX36" s="719"/>
      <c r="AY36" s="719"/>
      <c r="AZ36" s="6"/>
      <c r="BA36" s="6"/>
      <c r="BB36" s="1284" t="s">
        <v>1037</v>
      </c>
      <c r="BC36" s="1285" t="s">
        <v>673</v>
      </c>
      <c r="BD36" s="1301"/>
      <c r="BE36" s="1284" t="s">
        <v>3048</v>
      </c>
      <c r="BF36" s="1285" t="s">
        <v>3049</v>
      </c>
      <c r="BH36" s="545" t="s">
        <v>1141</v>
      </c>
      <c r="BI36" s="546"/>
      <c r="BJ36" s="546"/>
      <c r="BK36" s="546"/>
      <c r="BL36" s="802">
        <f>(SUM(BJ24:BJ31)-SUM(BI24:BI31))/1000</f>
        <v>0</v>
      </c>
    </row>
    <row r="37" spans="1:64" ht="15.75" customHeight="1">
      <c r="A37" s="716"/>
      <c r="B37" s="735" t="s">
        <v>2655</v>
      </c>
      <c r="C37" s="789">
        <f>C35+G36</f>
        <v>337.5</v>
      </c>
      <c r="D37" s="790"/>
      <c r="E37" s="719">
        <v>-20</v>
      </c>
      <c r="F37" s="720">
        <v>-500</v>
      </c>
      <c r="G37" s="726"/>
      <c r="H37" s="726"/>
      <c r="I37" s="722"/>
      <c r="J37" s="718"/>
      <c r="K37" s="719"/>
      <c r="L37" s="719" t="s">
        <v>241</v>
      </c>
      <c r="M37" s="719"/>
      <c r="N37" s="719" t="s">
        <v>696</v>
      </c>
      <c r="O37" s="738"/>
      <c r="P37" s="738"/>
      <c r="Q37" s="726">
        <v>-15</v>
      </c>
      <c r="R37" s="726">
        <v>-574.48</v>
      </c>
      <c r="S37" s="719"/>
      <c r="T37" s="719">
        <v>30</v>
      </c>
      <c r="U37" s="788"/>
      <c r="V37" s="788"/>
      <c r="W37" s="721">
        <v>1</v>
      </c>
      <c r="X37" s="726"/>
      <c r="Y37" s="726"/>
      <c r="Z37" s="788"/>
      <c r="AA37" s="788"/>
      <c r="AB37" s="788"/>
      <c r="AC37" s="719" t="s">
        <v>3003</v>
      </c>
      <c r="AD37" s="788"/>
      <c r="AE37" s="788"/>
      <c r="AF37" s="719">
        <v>200</v>
      </c>
      <c r="AG37" s="789">
        <v>337.5</v>
      </c>
      <c r="AH37" s="726">
        <v>1618</v>
      </c>
      <c r="AI37" s="726">
        <v>-4644</v>
      </c>
      <c r="AJ37" s="726"/>
      <c r="AK37" s="726"/>
      <c r="AL37" s="788"/>
      <c r="AM37" s="719" t="s">
        <v>2609</v>
      </c>
      <c r="AN37" s="719">
        <v>5.25</v>
      </c>
      <c r="AO37" s="726"/>
      <c r="AP37" s="726"/>
      <c r="AQ37" s="719"/>
      <c r="AR37" s="719"/>
      <c r="AS37" s="719"/>
      <c r="AT37" s="719">
        <f>+ab($T$37,$T$35,$T$39,$G$36,$G$38, 1*$F$37,1200)</f>
        <v>-4.4060600270263146</v>
      </c>
      <c r="AU37" s="719"/>
      <c r="AV37" s="719"/>
      <c r="AW37" s="719"/>
      <c r="AX37" s="719"/>
      <c r="AY37" s="719"/>
      <c r="AZ37" s="6"/>
      <c r="BA37" s="6"/>
      <c r="BB37" s="1284" t="s">
        <v>1038</v>
      </c>
      <c r="BC37" s="1285" t="s">
        <v>674</v>
      </c>
      <c r="BD37" s="1301"/>
      <c r="BE37" s="1284" t="s">
        <v>1047</v>
      </c>
      <c r="BF37" s="1285" t="s">
        <v>1002</v>
      </c>
    </row>
    <row r="38" spans="1:64" ht="15.75" customHeight="1">
      <c r="A38" s="716"/>
      <c r="B38" s="735"/>
      <c r="C38" s="789"/>
      <c r="D38" s="790"/>
      <c r="E38" s="790"/>
      <c r="F38" s="722"/>
      <c r="G38" s="729">
        <v>29.5</v>
      </c>
      <c r="H38" s="726"/>
      <c r="I38" s="722"/>
      <c r="J38" s="718"/>
      <c r="K38" s="719"/>
      <c r="L38" s="719"/>
      <c r="M38" s="719"/>
      <c r="N38" s="719"/>
      <c r="O38" s="738"/>
      <c r="P38" s="738"/>
      <c r="Q38" s="726"/>
      <c r="R38" s="726"/>
      <c r="S38" s="724">
        <f t="shared" si="5"/>
        <v>29.519999999999982</v>
      </c>
      <c r="T38" s="719"/>
      <c r="U38" s="788"/>
      <c r="V38" s="788"/>
      <c r="W38" s="721"/>
      <c r="X38" s="726"/>
      <c r="Y38" s="726"/>
      <c r="Z38" s="788"/>
      <c r="AA38" s="788"/>
      <c r="AB38" s="788"/>
      <c r="AC38" s="719"/>
      <c r="AD38" s="788"/>
      <c r="AE38" s="788"/>
      <c r="AF38" s="726"/>
      <c r="AG38" s="789"/>
      <c r="AH38" s="726"/>
      <c r="AI38" s="726"/>
      <c r="AJ38" s="726"/>
      <c r="AK38" s="726"/>
      <c r="AL38" s="788"/>
      <c r="AM38" s="788"/>
      <c r="AN38" s="726"/>
      <c r="AO38" s="726"/>
      <c r="AP38" s="726"/>
      <c r="AQ38" s="719">
        <f>+FL_2($T$39,$T$37,$G$38,1200,9.28, 1*$F$39)</f>
        <v>-0.35</v>
      </c>
      <c r="AR38" s="719"/>
      <c r="AS38" s="719"/>
      <c r="AT38" s="719"/>
      <c r="AU38" s="719"/>
      <c r="AV38" s="719"/>
      <c r="AW38" s="719"/>
      <c r="AX38" s="719"/>
      <c r="AY38" s="719"/>
      <c r="AZ38" s="6"/>
      <c r="BA38" s="6"/>
      <c r="BB38" s="1284" t="s">
        <v>1039</v>
      </c>
      <c r="BC38" s="1285" t="s">
        <v>948</v>
      </c>
      <c r="BD38" s="1301"/>
      <c r="BE38" s="1284" t="s">
        <v>2465</v>
      </c>
      <c r="BF38" s="1285" t="s">
        <v>2466</v>
      </c>
    </row>
    <row r="39" spans="1:64" ht="15.75" customHeight="1">
      <c r="A39" s="716"/>
      <c r="B39" s="735" t="s">
        <v>2656</v>
      </c>
      <c r="C39" s="789">
        <f>C37+G38</f>
        <v>367</v>
      </c>
      <c r="D39" s="790"/>
      <c r="E39" s="790"/>
      <c r="F39" s="722">
        <v>0</v>
      </c>
      <c r="G39" s="729"/>
      <c r="H39" s="726"/>
      <c r="I39" s="722" t="s">
        <v>2053</v>
      </c>
      <c r="J39" s="718">
        <f>C39</f>
        <v>367</v>
      </c>
      <c r="K39" s="719" t="s">
        <v>1102</v>
      </c>
      <c r="L39" s="719" t="s">
        <v>2999</v>
      </c>
      <c r="M39" s="719"/>
      <c r="N39" s="719" t="s">
        <v>695</v>
      </c>
      <c r="O39" s="738"/>
      <c r="P39" s="738"/>
      <c r="Q39" s="726">
        <v>0</v>
      </c>
      <c r="R39" s="726">
        <v>0</v>
      </c>
      <c r="S39" s="719"/>
      <c r="T39" s="719">
        <v>-35</v>
      </c>
      <c r="U39" s="788"/>
      <c r="V39" s="788"/>
      <c r="W39" s="721">
        <v>1</v>
      </c>
      <c r="X39" s="726"/>
      <c r="Y39" s="726"/>
      <c r="Z39" s="788"/>
      <c r="AA39" s="788"/>
      <c r="AB39" s="788"/>
      <c r="AC39" s="719" t="s">
        <v>2978</v>
      </c>
      <c r="AD39" s="788"/>
      <c r="AE39" s="788"/>
      <c r="AF39" s="726">
        <v>400</v>
      </c>
      <c r="AG39" s="789">
        <v>367.02</v>
      </c>
      <c r="AH39" s="726">
        <v>2314</v>
      </c>
      <c r="AI39" s="726">
        <v>-4842</v>
      </c>
      <c r="AJ39" s="726"/>
      <c r="AK39" s="726"/>
      <c r="AL39" s="788"/>
      <c r="AM39" s="719" t="s">
        <v>2610</v>
      </c>
      <c r="AN39" s="719">
        <v>5.25</v>
      </c>
      <c r="AO39" s="726"/>
      <c r="AP39" s="726"/>
      <c r="AQ39" s="719"/>
      <c r="AR39" s="719"/>
      <c r="AS39" s="719"/>
      <c r="AT39" s="719">
        <f>+ab($T$39,$T$37,$T$41,$G$38,$G$40, 1*$F$39,1200)</f>
        <v>-4.9206707730519144</v>
      </c>
      <c r="AU39" s="719"/>
      <c r="AV39" s="719"/>
      <c r="AW39" s="719"/>
      <c r="AX39" s="719"/>
      <c r="AY39" s="719"/>
      <c r="AZ39" s="6"/>
      <c r="BA39" s="6"/>
      <c r="BB39" s="1284" t="s">
        <v>1040</v>
      </c>
      <c r="BC39" s="1285" t="s">
        <v>947</v>
      </c>
      <c r="BD39" s="1301"/>
      <c r="BE39" s="1284" t="s">
        <v>2216</v>
      </c>
      <c r="BF39" s="1285" t="s">
        <v>2453</v>
      </c>
    </row>
    <row r="40" spans="1:64" ht="15.75" customHeight="1">
      <c r="A40" s="716"/>
      <c r="B40" s="735"/>
      <c r="C40" s="789"/>
      <c r="D40" s="790"/>
      <c r="E40" s="790"/>
      <c r="F40" s="722"/>
      <c r="G40" s="729">
        <v>41.5</v>
      </c>
      <c r="H40" s="726"/>
      <c r="I40" s="726"/>
      <c r="J40" s="727"/>
      <c r="K40" s="719"/>
      <c r="L40" s="719"/>
      <c r="M40" s="719"/>
      <c r="N40" s="719"/>
      <c r="O40" s="738"/>
      <c r="P40" s="738"/>
      <c r="Q40" s="726"/>
      <c r="R40" s="726"/>
      <c r="S40" s="724">
        <f t="shared" ref="S40" si="6">AG41-AG39</f>
        <v>41.629999999999995</v>
      </c>
      <c r="T40" s="719"/>
      <c r="U40" s="788"/>
      <c r="V40" s="788"/>
      <c r="W40" s="721"/>
      <c r="X40" s="726"/>
      <c r="Y40" s="726"/>
      <c r="Z40" s="788"/>
      <c r="AA40" s="788"/>
      <c r="AB40" s="788"/>
      <c r="AC40" s="719"/>
      <c r="AD40" s="788"/>
      <c r="AE40" s="788"/>
      <c r="AF40" s="726"/>
      <c r="AG40" s="789"/>
      <c r="AH40" s="726"/>
      <c r="AI40" s="726"/>
      <c r="AJ40" s="726"/>
      <c r="AK40" s="726"/>
      <c r="AL40" s="788"/>
      <c r="AM40" s="788"/>
      <c r="AN40" s="719"/>
      <c r="AO40" s="726"/>
      <c r="AP40" s="726"/>
      <c r="AQ40" s="719">
        <f>+FL_2($T$41,$T$39,$G$40,1200,9.28, 1*$F$41)</f>
        <v>-0.35000000000000014</v>
      </c>
      <c r="AR40" s="719"/>
      <c r="AS40" s="719"/>
      <c r="AT40" s="719"/>
      <c r="AU40" s="719"/>
      <c r="AV40" s="719"/>
      <c r="AW40" s="719"/>
      <c r="AX40" s="719"/>
      <c r="AY40" s="719"/>
      <c r="AZ40" s="6"/>
      <c r="BA40" s="6"/>
      <c r="BB40" s="1284" t="s">
        <v>3050</v>
      </c>
      <c r="BC40" s="1285" t="s">
        <v>2831</v>
      </c>
      <c r="BD40" s="1301"/>
      <c r="BE40" s="1284" t="s">
        <v>2217</v>
      </c>
      <c r="BF40" s="1285" t="s">
        <v>2456</v>
      </c>
    </row>
    <row r="41" spans="1:64" ht="15.75" customHeight="1">
      <c r="A41" s="716"/>
      <c r="B41" s="735" t="s">
        <v>2657</v>
      </c>
      <c r="C41" s="789">
        <f>C39+G40</f>
        <v>408.5</v>
      </c>
      <c r="D41" s="790"/>
      <c r="E41" s="790"/>
      <c r="F41" s="722">
        <v>0</v>
      </c>
      <c r="G41" s="729"/>
      <c r="H41" s="726"/>
      <c r="I41" s="726"/>
      <c r="J41" s="727"/>
      <c r="K41" s="719"/>
      <c r="L41" s="719" t="s">
        <v>2999</v>
      </c>
      <c r="M41" s="719"/>
      <c r="N41" s="719" t="s">
        <v>696</v>
      </c>
      <c r="O41" s="738"/>
      <c r="P41" s="738"/>
      <c r="Q41" s="726">
        <v>0</v>
      </c>
      <c r="R41" s="726">
        <v>0</v>
      </c>
      <c r="S41" s="719"/>
      <c r="T41" s="719">
        <v>35</v>
      </c>
      <c r="U41" s="788"/>
      <c r="V41" s="788"/>
      <c r="W41" s="721">
        <v>1</v>
      </c>
      <c r="X41" s="726"/>
      <c r="Y41" s="726"/>
      <c r="Z41" s="788"/>
      <c r="AA41" s="788"/>
      <c r="AB41" s="788"/>
      <c r="AC41" s="719" t="s">
        <v>2977</v>
      </c>
      <c r="AD41" s="788"/>
      <c r="AE41" s="788"/>
      <c r="AF41" s="726">
        <v>400</v>
      </c>
      <c r="AG41" s="789">
        <v>408.65</v>
      </c>
      <c r="AH41" s="726">
        <v>2320</v>
      </c>
      <c r="AI41" s="726">
        <v>-4823</v>
      </c>
      <c r="AJ41" s="726"/>
      <c r="AK41" s="726"/>
      <c r="AL41" s="788"/>
      <c r="AM41" s="719" t="s">
        <v>2610</v>
      </c>
      <c r="AN41" s="719">
        <v>5.25</v>
      </c>
      <c r="AO41" s="726"/>
      <c r="AP41" s="726"/>
      <c r="AQ41" s="719"/>
      <c r="AR41" s="719"/>
      <c r="AS41" s="719"/>
      <c r="AT41" s="719">
        <f>+ab($T$41,$T$39,$T$43,$G$40,$G$42, 1*$F$41,1200)</f>
        <v>5.8660835108312268</v>
      </c>
      <c r="AU41" s="719"/>
      <c r="AV41" s="719"/>
      <c r="AW41" s="719"/>
      <c r="AX41" s="719"/>
      <c r="AY41" s="719"/>
      <c r="AZ41" s="6"/>
      <c r="BA41" s="6"/>
      <c r="BB41" s="1284" t="s">
        <v>3051</v>
      </c>
      <c r="BC41" s="1285" t="s">
        <v>2827</v>
      </c>
      <c r="BD41" s="1301"/>
      <c r="BE41" s="1284" t="s">
        <v>2213</v>
      </c>
      <c r="BF41" s="1285" t="s">
        <v>985</v>
      </c>
    </row>
    <row r="42" spans="1:64" ht="15.75" customHeight="1">
      <c r="A42" s="788"/>
      <c r="B42" s="735"/>
      <c r="C42" s="789"/>
      <c r="D42" s="790"/>
      <c r="E42" s="790"/>
      <c r="F42" s="722"/>
      <c r="G42" s="729">
        <v>44.5</v>
      </c>
      <c r="H42" s="726"/>
      <c r="I42" s="726"/>
      <c r="J42" s="727"/>
      <c r="K42" s="719"/>
      <c r="L42" s="719"/>
      <c r="M42" s="719"/>
      <c r="N42" s="719"/>
      <c r="O42" s="738"/>
      <c r="P42" s="738"/>
      <c r="Q42" s="726"/>
      <c r="R42" s="726"/>
      <c r="S42" s="724">
        <f t="shared" ref="S42" si="7">AG43-AG41</f>
        <v>44.100000000000023</v>
      </c>
      <c r="T42" s="719"/>
      <c r="U42" s="788"/>
      <c r="V42" s="788"/>
      <c r="W42" s="721"/>
      <c r="X42" s="726"/>
      <c r="Y42" s="726"/>
      <c r="Z42" s="788"/>
      <c r="AA42" s="788"/>
      <c r="AB42" s="788"/>
      <c r="AC42" s="719"/>
      <c r="AD42" s="788"/>
      <c r="AE42" s="788"/>
      <c r="AF42" s="726"/>
      <c r="AG42" s="789"/>
      <c r="AH42" s="726"/>
      <c r="AI42" s="726"/>
      <c r="AJ42" s="726"/>
      <c r="AK42" s="726"/>
      <c r="AL42" s="788"/>
      <c r="AM42" s="788"/>
      <c r="AN42" s="726"/>
      <c r="AO42" s="726"/>
      <c r="AP42" s="726"/>
      <c r="AQ42" s="719">
        <f>+FL_2($T$43,$T$41,$G$42,1200,9.28, 1*$F$43)</f>
        <v>-0.35140919084644195</v>
      </c>
      <c r="AR42" s="719"/>
      <c r="AS42" s="719"/>
      <c r="AT42" s="719"/>
      <c r="AU42" s="719"/>
      <c r="AV42" s="719"/>
      <c r="AW42" s="719"/>
      <c r="AX42" s="719"/>
      <c r="AY42" s="719"/>
      <c r="AZ42" s="6"/>
      <c r="BA42" s="6"/>
      <c r="BB42" s="1284" t="s">
        <v>3052</v>
      </c>
      <c r="BC42" s="1285" t="s">
        <v>2828</v>
      </c>
      <c r="BD42" s="1301"/>
      <c r="BE42" s="1284" t="s">
        <v>3053</v>
      </c>
      <c r="BF42" s="1285" t="s">
        <v>3054</v>
      </c>
    </row>
    <row r="43" spans="1:64" ht="15.75" customHeight="1">
      <c r="A43" s="788"/>
      <c r="B43" s="735" t="s">
        <v>2658</v>
      </c>
      <c r="C43" s="789">
        <f>C41+G42</f>
        <v>453</v>
      </c>
      <c r="D43" s="790"/>
      <c r="E43" s="790"/>
      <c r="F43" s="722">
        <v>0</v>
      </c>
      <c r="G43" s="729"/>
      <c r="H43" s="726"/>
      <c r="I43" s="726"/>
      <c r="J43" s="727"/>
      <c r="K43" s="719"/>
      <c r="L43" s="719" t="s">
        <v>2999</v>
      </c>
      <c r="M43" s="719"/>
      <c r="N43" s="719" t="s">
        <v>695</v>
      </c>
      <c r="O43" s="738"/>
      <c r="P43" s="738"/>
      <c r="Q43" s="726">
        <v>0</v>
      </c>
      <c r="R43" s="726">
        <v>0</v>
      </c>
      <c r="S43" s="719"/>
      <c r="T43" s="719">
        <v>-35</v>
      </c>
      <c r="U43" s="788"/>
      <c r="V43" s="788"/>
      <c r="W43" s="721">
        <v>1</v>
      </c>
      <c r="X43" s="726"/>
      <c r="Y43" s="726"/>
      <c r="Z43" s="788"/>
      <c r="AA43" s="788"/>
      <c r="AB43" s="788"/>
      <c r="AC43" s="719" t="s">
        <v>2978</v>
      </c>
      <c r="AD43" s="788"/>
      <c r="AE43" s="788"/>
      <c r="AF43" s="726">
        <v>400</v>
      </c>
      <c r="AG43" s="789">
        <v>452.75</v>
      </c>
      <c r="AH43" s="726">
        <v>2330</v>
      </c>
      <c r="AI43" s="726">
        <v>-4823</v>
      </c>
      <c r="AJ43" s="726"/>
      <c r="AK43" s="726"/>
      <c r="AL43" s="788"/>
      <c r="AM43" s="719" t="s">
        <v>2610</v>
      </c>
      <c r="AN43" s="719">
        <v>5.25</v>
      </c>
      <c r="AO43" s="726"/>
      <c r="AP43" s="726"/>
      <c r="AQ43" s="719"/>
      <c r="AR43" s="719"/>
      <c r="AS43" s="719"/>
      <c r="AT43" s="719">
        <f>+ab($T$43,$T$41,$T$45,$G$42,$G$44, 1*$F$43,1200)</f>
        <v>-6.1765128156013835</v>
      </c>
      <c r="AU43" s="719"/>
      <c r="AV43" s="719"/>
      <c r="AW43" s="719"/>
      <c r="AX43" s="719"/>
      <c r="AY43" s="719"/>
      <c r="AZ43" s="6"/>
      <c r="BA43" s="6"/>
      <c r="BB43" s="1284" t="s">
        <v>1083</v>
      </c>
      <c r="BC43" s="1285" t="s">
        <v>2051</v>
      </c>
      <c r="BD43" s="1301"/>
      <c r="BE43" s="1284"/>
      <c r="BF43" s="1285"/>
    </row>
    <row r="44" spans="1:64" ht="15.75" customHeight="1">
      <c r="A44" s="788"/>
      <c r="B44" s="735"/>
      <c r="C44" s="789"/>
      <c r="D44" s="790"/>
      <c r="E44" s="790"/>
      <c r="F44" s="722"/>
      <c r="G44" s="721">
        <v>46</v>
      </c>
      <c r="H44" s="726"/>
      <c r="I44" s="726"/>
      <c r="J44" s="726"/>
      <c r="K44" s="719"/>
      <c r="L44" s="719"/>
      <c r="M44" s="719"/>
      <c r="N44" s="719"/>
      <c r="O44" s="738"/>
      <c r="P44" s="738"/>
      <c r="Q44" s="726"/>
      <c r="R44" s="726"/>
      <c r="S44" s="724">
        <f t="shared" ref="S44" si="8">AG45-AG43</f>
        <v>46.5</v>
      </c>
      <c r="T44" s="719"/>
      <c r="U44" s="788"/>
      <c r="V44" s="788"/>
      <c r="W44" s="721"/>
      <c r="X44" s="726"/>
      <c r="Y44" s="726"/>
      <c r="Z44" s="788"/>
      <c r="AA44" s="788"/>
      <c r="AB44" s="788"/>
      <c r="AC44" s="719"/>
      <c r="AD44" s="788"/>
      <c r="AE44" s="788"/>
      <c r="AF44" s="726"/>
      <c r="AG44" s="789"/>
      <c r="AH44" s="726"/>
      <c r="AI44" s="726"/>
      <c r="AJ44" s="726"/>
      <c r="AK44" s="726"/>
      <c r="AL44" s="788"/>
      <c r="AM44" s="788"/>
      <c r="AN44" s="719"/>
      <c r="AO44" s="726"/>
      <c r="AP44" s="726"/>
      <c r="AQ44" s="719">
        <f>+FL_2($T$45,$T$43,$G$44,1200,9.28, 1*$F$45)</f>
        <v>-0.35426799953623195</v>
      </c>
      <c r="AR44" s="719"/>
      <c r="AS44" s="719"/>
      <c r="AT44" s="719"/>
      <c r="AU44" s="719"/>
      <c r="AV44" s="719"/>
      <c r="AW44" s="719"/>
      <c r="AX44" s="719"/>
      <c r="AY44" s="719"/>
      <c r="AZ44" s="6"/>
      <c r="BA44" s="6"/>
      <c r="BB44" s="1284" t="s">
        <v>1086</v>
      </c>
      <c r="BC44" s="1285" t="s">
        <v>2050</v>
      </c>
      <c r="BD44" s="1301"/>
      <c r="BE44" s="1284" t="s">
        <v>1050</v>
      </c>
      <c r="BF44" s="1285" t="s">
        <v>1009</v>
      </c>
    </row>
    <row r="45" spans="1:64" ht="15.75" customHeight="1">
      <c r="A45" s="788"/>
      <c r="B45" s="735" t="s">
        <v>2659</v>
      </c>
      <c r="C45" s="789">
        <f t="shared" ref="C45" si="9">C43+G44</f>
        <v>499</v>
      </c>
      <c r="D45" s="790"/>
      <c r="E45" s="790"/>
      <c r="F45" s="722">
        <v>0</v>
      </c>
      <c r="G45" s="721"/>
      <c r="H45" s="726"/>
      <c r="I45" s="726"/>
      <c r="J45" s="726"/>
      <c r="K45" s="719"/>
      <c r="L45" s="719" t="s">
        <v>2999</v>
      </c>
      <c r="M45" s="719"/>
      <c r="N45" s="719" t="s">
        <v>696</v>
      </c>
      <c r="O45" s="738"/>
      <c r="P45" s="738"/>
      <c r="Q45" s="726">
        <v>0</v>
      </c>
      <c r="R45" s="726">
        <v>0</v>
      </c>
      <c r="S45" s="719"/>
      <c r="T45" s="719">
        <v>35</v>
      </c>
      <c r="U45" s="788"/>
      <c r="V45" s="788"/>
      <c r="W45" s="721">
        <v>1</v>
      </c>
      <c r="X45" s="726"/>
      <c r="Y45" s="726"/>
      <c r="Z45" s="788"/>
      <c r="AA45" s="788"/>
      <c r="AB45" s="788"/>
      <c r="AC45" s="719" t="s">
        <v>2977</v>
      </c>
      <c r="AD45" s="788"/>
      <c r="AE45" s="788"/>
      <c r="AF45" s="726">
        <v>400</v>
      </c>
      <c r="AG45" s="789">
        <v>499.25</v>
      </c>
      <c r="AH45" s="726">
        <v>2330</v>
      </c>
      <c r="AI45" s="726">
        <v>-4827</v>
      </c>
      <c r="AJ45" s="726"/>
      <c r="AK45" s="726"/>
      <c r="AL45" s="788"/>
      <c r="AM45" s="719" t="s">
        <v>2610</v>
      </c>
      <c r="AN45" s="719">
        <v>5.25</v>
      </c>
      <c r="AO45" s="726"/>
      <c r="AP45" s="726"/>
      <c r="AQ45" s="719"/>
      <c r="AR45" s="719"/>
      <c r="AS45" s="719"/>
      <c r="AT45" s="719">
        <f>+ab($T$45,$T$43,$T$47,$G$44,$G$46, 1*$F$45,1200)</f>
        <v>6.6608857316734174</v>
      </c>
      <c r="AU45" s="719"/>
      <c r="AV45" s="719"/>
      <c r="AW45" s="719"/>
      <c r="AX45" s="719"/>
      <c r="AY45" s="719"/>
      <c r="AZ45" s="6"/>
      <c r="BA45" s="6"/>
      <c r="BB45" s="1284" t="s">
        <v>1084</v>
      </c>
      <c r="BC45" s="1285" t="s">
        <v>2052</v>
      </c>
      <c r="BD45" s="1301"/>
      <c r="BE45" s="1284" t="s">
        <v>1051</v>
      </c>
      <c r="BF45" s="1285" t="s">
        <v>1048</v>
      </c>
    </row>
    <row r="46" spans="1:64" ht="15.75" customHeight="1">
      <c r="A46" s="788"/>
      <c r="B46" s="735"/>
      <c r="C46" s="789"/>
      <c r="D46" s="790"/>
      <c r="E46" s="790"/>
      <c r="F46" s="790"/>
      <c r="G46" s="721">
        <v>52</v>
      </c>
      <c r="H46" s="726"/>
      <c r="I46" s="726"/>
      <c r="J46" s="726"/>
      <c r="K46" s="719"/>
      <c r="L46" s="719"/>
      <c r="M46" s="719"/>
      <c r="N46" s="719"/>
      <c r="O46" s="738"/>
      <c r="P46" s="738"/>
      <c r="Q46" s="726"/>
      <c r="R46" s="726"/>
      <c r="S46" s="724">
        <f t="shared" ref="S46" si="10">AG47-AG45</f>
        <v>51.399999999999977</v>
      </c>
      <c r="T46" s="719"/>
      <c r="U46" s="788"/>
      <c r="V46" s="788"/>
      <c r="W46" s="721"/>
      <c r="X46" s="726"/>
      <c r="Y46" s="726"/>
      <c r="Z46" s="788"/>
      <c r="AA46" s="788"/>
      <c r="AB46" s="788"/>
      <c r="AC46" s="719"/>
      <c r="AD46" s="788"/>
      <c r="AE46" s="788"/>
      <c r="AF46" s="726"/>
      <c r="AG46" s="789"/>
      <c r="AH46" s="726"/>
      <c r="AI46" s="726"/>
      <c r="AJ46" s="726"/>
      <c r="AK46" s="726"/>
      <c r="AL46" s="788"/>
      <c r="AM46" s="788"/>
      <c r="AN46" s="726"/>
      <c r="AO46" s="726"/>
      <c r="AP46" s="726"/>
      <c r="AQ46" s="719">
        <f>+FL_2($T$47,$T$45,$G$46,1200,9.28, 1*$F$47)</f>
        <v>-0.37855025261538461</v>
      </c>
      <c r="AR46" s="719"/>
      <c r="AS46" s="719"/>
      <c r="AT46" s="719"/>
      <c r="AU46" s="719"/>
      <c r="AV46" s="719"/>
      <c r="AW46" s="719"/>
      <c r="AX46" s="719"/>
      <c r="AY46" s="719"/>
      <c r="AZ46" s="6"/>
      <c r="BA46" s="6"/>
      <c r="BB46" s="1284" t="s">
        <v>1085</v>
      </c>
      <c r="BC46" s="1285" t="s">
        <v>2053</v>
      </c>
      <c r="BD46" s="1301"/>
      <c r="BE46" s="1284" t="s">
        <v>1052</v>
      </c>
      <c r="BF46" s="1285" t="s">
        <v>1003</v>
      </c>
    </row>
    <row r="47" spans="1:64" ht="15.75" customHeight="1">
      <c r="A47" s="716"/>
      <c r="B47" s="735" t="s">
        <v>2660</v>
      </c>
      <c r="C47" s="789">
        <f t="shared" ref="C47" si="11">C45+G46</f>
        <v>551</v>
      </c>
      <c r="D47" s="719"/>
      <c r="E47" s="719"/>
      <c r="F47" s="720">
        <v>0</v>
      </c>
      <c r="G47" s="721"/>
      <c r="H47" s="726"/>
      <c r="I47" s="722"/>
      <c r="J47" s="718"/>
      <c r="K47" s="719"/>
      <c r="L47" s="719" t="s">
        <v>2999</v>
      </c>
      <c r="M47" s="719"/>
      <c r="N47" s="719" t="s">
        <v>695</v>
      </c>
      <c r="O47" s="719"/>
      <c r="P47" s="719"/>
      <c r="Q47" s="719">
        <v>0</v>
      </c>
      <c r="R47" s="719">
        <v>0</v>
      </c>
      <c r="S47" s="719"/>
      <c r="T47" s="719">
        <v>-35</v>
      </c>
      <c r="U47" s="719"/>
      <c r="V47" s="719"/>
      <c r="W47" s="721">
        <v>1</v>
      </c>
      <c r="X47" s="719"/>
      <c r="Y47" s="719"/>
      <c r="Z47" s="719"/>
      <c r="AA47" s="719"/>
      <c r="AB47" s="719"/>
      <c r="AC47" s="719" t="s">
        <v>2616</v>
      </c>
      <c r="AD47" s="719"/>
      <c r="AE47" s="719"/>
      <c r="AF47" s="719">
        <v>400</v>
      </c>
      <c r="AG47" s="789">
        <v>550.65</v>
      </c>
      <c r="AH47" s="719">
        <v>2347</v>
      </c>
      <c r="AI47" s="719">
        <v>-4810</v>
      </c>
      <c r="AJ47" s="726"/>
      <c r="AK47" s="726"/>
      <c r="AL47" s="788"/>
      <c r="AM47" s="719" t="s">
        <v>2610</v>
      </c>
      <c r="AN47" s="719">
        <v>5.25</v>
      </c>
      <c r="AO47" s="726"/>
      <c r="AP47" s="726"/>
      <c r="AQ47" s="719"/>
      <c r="AR47" s="719"/>
      <c r="AS47" s="719"/>
      <c r="AT47" s="719">
        <f>+ab($T$47,$T$45,$T$49,$G$46,$G$48, 1*$F$47,1200)</f>
        <v>-6.9533622030276581</v>
      </c>
      <c r="AU47" s="719"/>
      <c r="AV47" s="719"/>
      <c r="AW47" s="719"/>
      <c r="AX47" s="719"/>
      <c r="AY47" s="719"/>
      <c r="AZ47" s="6"/>
      <c r="BA47" s="6"/>
      <c r="BB47" s="1284" t="s">
        <v>1087</v>
      </c>
      <c r="BC47" s="1285" t="s">
        <v>1046</v>
      </c>
      <c r="BD47" s="1301"/>
      <c r="BE47" s="1284" t="s">
        <v>1053</v>
      </c>
      <c r="BF47" s="1285" t="s">
        <v>1013</v>
      </c>
    </row>
    <row r="48" spans="1:64" ht="15.75" customHeight="1">
      <c r="A48" s="716"/>
      <c r="B48" s="735"/>
      <c r="C48" s="789"/>
      <c r="D48" s="719"/>
      <c r="E48" s="719"/>
      <c r="F48" s="720"/>
      <c r="G48" s="721">
        <v>50</v>
      </c>
      <c r="H48" s="726"/>
      <c r="I48" s="726"/>
      <c r="J48" s="718"/>
      <c r="K48" s="719"/>
      <c r="L48" s="719"/>
      <c r="M48" s="719"/>
      <c r="N48" s="719"/>
      <c r="O48" s="719"/>
      <c r="P48" s="719"/>
      <c r="Q48" s="719"/>
      <c r="R48" s="719"/>
      <c r="S48" s="724">
        <f t="shared" ref="S48" si="12">AG49-AG47</f>
        <v>50.159999999999968</v>
      </c>
      <c r="T48" s="719"/>
      <c r="U48" s="719"/>
      <c r="V48" s="719"/>
      <c r="W48" s="721"/>
      <c r="X48" s="719"/>
      <c r="Y48" s="719"/>
      <c r="Z48" s="719"/>
      <c r="AA48" s="719"/>
      <c r="AB48" s="719"/>
      <c r="AC48" s="719"/>
      <c r="AD48" s="719"/>
      <c r="AE48" s="719"/>
      <c r="AF48" s="719"/>
      <c r="AG48" s="789"/>
      <c r="AH48" s="719"/>
      <c r="AI48" s="719"/>
      <c r="AJ48" s="726"/>
      <c r="AK48" s="726"/>
      <c r="AL48" s="788"/>
      <c r="AM48" s="788"/>
      <c r="AN48" s="719"/>
      <c r="AO48" s="726"/>
      <c r="AP48" s="726"/>
      <c r="AQ48" s="719">
        <f>+FL_1($T$49,$T$47,$G$48,1200,9.28, 1*$F$49)</f>
        <v>0.36839079999999996</v>
      </c>
      <c r="AR48" s="719"/>
      <c r="AS48" s="719"/>
      <c r="AT48" s="719"/>
      <c r="AU48" s="719"/>
      <c r="AV48" s="719"/>
      <c r="AW48" s="719"/>
      <c r="AX48" s="719"/>
      <c r="AY48" s="719"/>
      <c r="AZ48" s="6"/>
      <c r="BA48" s="6"/>
      <c r="BB48" s="1284" t="s">
        <v>2644</v>
      </c>
      <c r="BC48" s="1285" t="s">
        <v>2645</v>
      </c>
      <c r="BD48" s="1301"/>
      <c r="BE48" s="1284" t="s">
        <v>1054</v>
      </c>
      <c r="BF48" s="1285" t="s">
        <v>1007</v>
      </c>
    </row>
    <row r="49" spans="1:61" ht="15.75" customHeight="1">
      <c r="A49" s="788"/>
      <c r="B49" s="735" t="s">
        <v>2661</v>
      </c>
      <c r="C49" s="789">
        <f t="shared" ref="C49" si="13">C47+G48</f>
        <v>601</v>
      </c>
      <c r="D49" s="719"/>
      <c r="E49" s="719"/>
      <c r="F49" s="720">
        <v>0</v>
      </c>
      <c r="G49" s="721"/>
      <c r="H49" s="726"/>
      <c r="I49" s="726"/>
      <c r="J49" s="726"/>
      <c r="K49" s="719"/>
      <c r="L49" s="719" t="s">
        <v>2999</v>
      </c>
      <c r="M49" s="719"/>
      <c r="N49" s="719" t="s">
        <v>696</v>
      </c>
      <c r="O49" s="719"/>
      <c r="P49" s="719"/>
      <c r="Q49" s="719">
        <v>0</v>
      </c>
      <c r="R49" s="719">
        <v>0</v>
      </c>
      <c r="S49" s="719"/>
      <c r="T49" s="719">
        <v>35</v>
      </c>
      <c r="U49" s="719"/>
      <c r="V49" s="719"/>
      <c r="W49" s="721">
        <v>1</v>
      </c>
      <c r="X49" s="719"/>
      <c r="Y49" s="719"/>
      <c r="Z49" s="719"/>
      <c r="AA49" s="719"/>
      <c r="AB49" s="719"/>
      <c r="AC49" s="719" t="s">
        <v>2977</v>
      </c>
      <c r="AD49" s="719"/>
      <c r="AE49" s="719"/>
      <c r="AF49" s="719">
        <v>400</v>
      </c>
      <c r="AG49" s="789">
        <v>600.80999999999995</v>
      </c>
      <c r="AH49" s="719">
        <v>2365</v>
      </c>
      <c r="AI49" s="719">
        <v>-4824</v>
      </c>
      <c r="AJ49" s="726"/>
      <c r="AK49" s="726"/>
      <c r="AL49" s="788"/>
      <c r="AM49" s="719" t="s">
        <v>2610</v>
      </c>
      <c r="AN49" s="719">
        <v>5.25</v>
      </c>
      <c r="AO49" s="726"/>
      <c r="AP49" s="726"/>
      <c r="AQ49" s="719"/>
      <c r="AR49" s="719"/>
      <c r="AS49" s="719"/>
      <c r="AT49" s="719">
        <f>+ab($T$49,$T$47,$T$51,$G$48,$G$50, 1*$F$49,1200)</f>
        <v>7.0176037471005026</v>
      </c>
      <c r="AU49" s="719"/>
      <c r="AV49" s="719"/>
      <c r="AW49" s="719"/>
      <c r="AX49" s="719"/>
      <c r="AY49" s="719"/>
      <c r="BB49" s="1284"/>
      <c r="BC49" s="1285"/>
      <c r="BD49" s="1301"/>
      <c r="BE49" s="1284" t="s">
        <v>1055</v>
      </c>
      <c r="BF49" s="1285" t="s">
        <v>1049</v>
      </c>
    </row>
    <row r="50" spans="1:61" ht="15.75" customHeight="1">
      <c r="A50" s="716"/>
      <c r="B50" s="735"/>
      <c r="C50" s="789"/>
      <c r="D50" s="719"/>
      <c r="E50" s="719"/>
      <c r="F50" s="720"/>
      <c r="G50" s="721">
        <v>53</v>
      </c>
      <c r="H50" s="726"/>
      <c r="I50" s="722"/>
      <c r="J50" s="718"/>
      <c r="K50" s="719"/>
      <c r="L50" s="719"/>
      <c r="M50" s="719"/>
      <c r="N50" s="719"/>
      <c r="O50" s="719"/>
      <c r="P50" s="719"/>
      <c r="Q50" s="788"/>
      <c r="R50" s="788"/>
      <c r="S50" s="724">
        <f t="shared" ref="S50" si="14">AG51-AG49</f>
        <v>47.75</v>
      </c>
      <c r="T50" s="719"/>
      <c r="U50" s="719"/>
      <c r="V50" s="719"/>
      <c r="W50" s="721"/>
      <c r="X50" s="719"/>
      <c r="Y50" s="719"/>
      <c r="Z50" s="719"/>
      <c r="AA50" s="719"/>
      <c r="AB50" s="719"/>
      <c r="AC50" s="719"/>
      <c r="AD50" s="719"/>
      <c r="AE50" s="719"/>
      <c r="AF50" s="719"/>
      <c r="AG50" s="789"/>
      <c r="AH50" s="719"/>
      <c r="AI50" s="719"/>
      <c r="AJ50" s="726"/>
      <c r="AK50" s="726"/>
      <c r="AL50" s="788"/>
      <c r="AM50" s="719"/>
      <c r="AN50" s="726"/>
      <c r="AO50" s="726"/>
      <c r="AP50" s="726"/>
      <c r="AQ50" s="719">
        <f>+FL_2($T$51,$T$49,$G$50,1200,9.28, 1*$F$51)</f>
        <v>-0.3843206976603773</v>
      </c>
      <c r="AR50" s="719"/>
      <c r="AS50" s="719"/>
      <c r="AT50" s="719"/>
      <c r="AU50" s="719"/>
      <c r="AV50" s="719"/>
      <c r="AW50" s="719"/>
      <c r="AX50" s="719"/>
      <c r="AY50" s="719"/>
      <c r="BB50" s="1286" t="s">
        <v>1041</v>
      </c>
      <c r="BC50" s="1287"/>
      <c r="BD50" s="1301"/>
      <c r="BE50" s="1284" t="s">
        <v>1056</v>
      </c>
      <c r="BF50" s="1285" t="s">
        <v>1012</v>
      </c>
    </row>
    <row r="51" spans="1:61" ht="15.75" customHeight="1">
      <c r="A51" s="716"/>
      <c r="B51" s="735" t="s">
        <v>2662</v>
      </c>
      <c r="C51" s="789">
        <f t="shared" ref="C51" si="15">C49+G50</f>
        <v>654</v>
      </c>
      <c r="D51" s="719"/>
      <c r="E51" s="719"/>
      <c r="F51" s="720">
        <v>0</v>
      </c>
      <c r="G51" s="721"/>
      <c r="H51" s="726"/>
      <c r="I51" s="726"/>
      <c r="J51" s="718"/>
      <c r="K51" s="719"/>
      <c r="L51" s="719" t="s">
        <v>2999</v>
      </c>
      <c r="M51" s="719"/>
      <c r="N51" s="719" t="s">
        <v>695</v>
      </c>
      <c r="O51" s="719"/>
      <c r="P51" s="719"/>
      <c r="Q51" s="719">
        <v>0</v>
      </c>
      <c r="R51" s="719">
        <v>0</v>
      </c>
      <c r="S51" s="719"/>
      <c r="T51" s="719">
        <v>-35</v>
      </c>
      <c r="U51" s="719"/>
      <c r="V51" s="719"/>
      <c r="W51" s="721">
        <v>1</v>
      </c>
      <c r="X51" s="719"/>
      <c r="Y51" s="719"/>
      <c r="Z51" s="719"/>
      <c r="AA51" s="719"/>
      <c r="AB51" s="719"/>
      <c r="AC51" s="719" t="s">
        <v>2616</v>
      </c>
      <c r="AD51" s="719"/>
      <c r="AE51" s="719"/>
      <c r="AF51" s="719">
        <v>400</v>
      </c>
      <c r="AG51" s="789">
        <v>648.55999999999995</v>
      </c>
      <c r="AH51" s="719">
        <v>2406</v>
      </c>
      <c r="AI51" s="719">
        <v>-4820</v>
      </c>
      <c r="AJ51" s="726"/>
      <c r="AK51" s="726"/>
      <c r="AL51" s="788"/>
      <c r="AM51" s="719" t="s">
        <v>2610</v>
      </c>
      <c r="AN51" s="719">
        <v>5.25</v>
      </c>
      <c r="AO51" s="726"/>
      <c r="AP51" s="726"/>
      <c r="AQ51" s="719"/>
      <c r="AR51" s="719"/>
      <c r="AS51" s="719"/>
      <c r="AT51" s="719">
        <f>+ab($T$51,$T$49,$T$53,$G$50,$G$52, 1*$F$51,1200)</f>
        <v>-9.345676225806411</v>
      </c>
      <c r="AU51" s="719"/>
      <c r="AV51" s="719"/>
      <c r="AW51" s="719"/>
      <c r="AX51" s="719"/>
      <c r="AY51" s="719"/>
      <c r="BB51" s="1284" t="s">
        <v>1088</v>
      </c>
      <c r="BC51" s="1285"/>
      <c r="BD51" s="1301"/>
      <c r="BE51" s="1284"/>
      <c r="BF51" s="1285"/>
    </row>
    <row r="52" spans="1:61" ht="15.75" customHeight="1">
      <c r="A52" s="716" t="s">
        <v>2967</v>
      </c>
      <c r="B52" s="735"/>
      <c r="C52" s="789"/>
      <c r="D52" s="719"/>
      <c r="E52" s="719"/>
      <c r="F52" s="720"/>
      <c r="G52" s="721">
        <v>49</v>
      </c>
      <c r="H52" s="726"/>
      <c r="I52" s="726"/>
      <c r="J52" s="718"/>
      <c r="K52" s="719"/>
      <c r="L52" s="726"/>
      <c r="M52" s="719"/>
      <c r="N52" s="719"/>
      <c r="O52" s="719"/>
      <c r="P52" s="719"/>
      <c r="Q52" s="719"/>
      <c r="R52" s="719"/>
      <c r="S52" s="719"/>
      <c r="T52" s="719"/>
      <c r="U52" s="719"/>
      <c r="V52" s="719"/>
      <c r="W52" s="719"/>
      <c r="X52" s="719"/>
      <c r="Y52" s="719"/>
      <c r="Z52" s="719"/>
      <c r="AA52" s="719"/>
      <c r="AB52" s="719"/>
      <c r="AC52" s="719"/>
      <c r="AD52" s="719"/>
      <c r="AE52" s="719"/>
      <c r="AF52" s="719"/>
      <c r="AG52" s="789"/>
      <c r="AH52" s="719"/>
      <c r="AI52" s="719"/>
      <c r="AJ52" s="719" t="s">
        <v>2665</v>
      </c>
      <c r="AK52" s="726"/>
      <c r="AL52" s="788"/>
      <c r="AM52" s="788"/>
      <c r="AN52" s="719"/>
      <c r="AO52" s="726"/>
      <c r="AP52" s="726"/>
      <c r="AQ52" s="719"/>
      <c r="AR52" s="719"/>
      <c r="AS52" s="719"/>
      <c r="AT52" s="719"/>
      <c r="AU52" s="719"/>
      <c r="AV52" s="719"/>
      <c r="AW52" s="719"/>
      <c r="AX52" s="719"/>
      <c r="AY52" s="719"/>
      <c r="BB52" s="1284" t="s">
        <v>3030</v>
      </c>
      <c r="BC52" s="1285" t="s">
        <v>3055</v>
      </c>
      <c r="BD52" s="1301"/>
      <c r="BE52" s="1286" t="s">
        <v>1057</v>
      </c>
      <c r="BF52" s="1287"/>
    </row>
    <row r="53" spans="1:61" ht="15.75" customHeight="1">
      <c r="A53" s="716" t="s">
        <v>480</v>
      </c>
      <c r="B53" s="735" t="s">
        <v>2663</v>
      </c>
      <c r="C53" s="789">
        <f t="shared" ref="C53" si="16">C51+G52</f>
        <v>703</v>
      </c>
      <c r="D53" s="719"/>
      <c r="E53" s="719"/>
      <c r="F53" s="720">
        <v>0</v>
      </c>
      <c r="G53" s="721"/>
      <c r="H53" s="726" t="s">
        <v>138</v>
      </c>
      <c r="I53" s="726" t="s">
        <v>2831</v>
      </c>
      <c r="J53" s="718">
        <f>C53</f>
        <v>703</v>
      </c>
      <c r="K53" s="719" t="s">
        <v>2587</v>
      </c>
      <c r="L53" s="719"/>
      <c r="M53" s="719"/>
      <c r="N53" s="719"/>
      <c r="O53" s="719"/>
      <c r="P53" s="719"/>
      <c r="Q53" s="719"/>
      <c r="R53" s="719"/>
      <c r="S53" s="719"/>
      <c r="T53" s="719">
        <v>0</v>
      </c>
      <c r="U53" s="719"/>
      <c r="V53" s="719"/>
      <c r="W53" s="719"/>
      <c r="X53" s="719"/>
      <c r="Y53" s="719"/>
      <c r="Z53" s="719"/>
      <c r="AA53" s="719"/>
      <c r="AB53" s="719"/>
      <c r="AC53" s="719"/>
      <c r="AD53" s="719"/>
      <c r="AE53" s="719"/>
      <c r="AF53" s="719"/>
      <c r="AG53" s="789"/>
      <c r="AH53" s="719"/>
      <c r="AI53" s="719"/>
      <c r="AJ53" s="719" t="s">
        <v>2456</v>
      </c>
      <c r="AK53" s="726"/>
      <c r="AL53" s="788"/>
      <c r="AM53" s="719"/>
      <c r="AN53" s="719"/>
      <c r="AO53" s="726"/>
      <c r="AP53" s="726"/>
      <c r="AQ53" s="719"/>
      <c r="AR53" s="719"/>
      <c r="AS53" s="719"/>
      <c r="AT53" s="719"/>
      <c r="AU53" s="719"/>
      <c r="AV53" s="719"/>
      <c r="AW53" s="719"/>
      <c r="AX53" s="719"/>
      <c r="AY53" s="719"/>
      <c r="BB53" s="1284" t="s">
        <v>1089</v>
      </c>
      <c r="BC53" s="1285"/>
      <c r="BD53" s="1301"/>
      <c r="BE53" s="1284" t="s">
        <v>1058</v>
      </c>
      <c r="BF53" s="1285" t="s">
        <v>1043</v>
      </c>
    </row>
    <row r="54" spans="1:61" ht="15.75" customHeight="1">
      <c r="A54" s="716" t="s">
        <v>1136</v>
      </c>
      <c r="B54" s="735"/>
      <c r="C54" s="718"/>
      <c r="D54" s="719"/>
      <c r="E54" s="719"/>
      <c r="F54" s="720"/>
      <c r="G54" s="721"/>
      <c r="H54" s="726"/>
      <c r="I54" s="726"/>
      <c r="J54" s="718"/>
      <c r="K54" s="719"/>
      <c r="L54" s="719"/>
      <c r="M54" s="719"/>
      <c r="N54" s="719"/>
      <c r="O54" s="719"/>
      <c r="P54" s="719"/>
      <c r="Q54" s="788"/>
      <c r="R54" s="788"/>
      <c r="S54" s="788"/>
      <c r="T54" s="719"/>
      <c r="U54" s="719"/>
      <c r="V54" s="719"/>
      <c r="W54" s="719"/>
      <c r="X54" s="719"/>
      <c r="Y54" s="719"/>
      <c r="Z54" s="719"/>
      <c r="AA54" s="719"/>
      <c r="AB54" s="719"/>
      <c r="AC54" s="719"/>
      <c r="AD54" s="719"/>
      <c r="AE54" s="719"/>
      <c r="AF54" s="719"/>
      <c r="AG54" s="719"/>
      <c r="AH54" s="719"/>
      <c r="AI54" s="719"/>
      <c r="AJ54" s="726"/>
      <c r="AK54" s="726"/>
      <c r="AL54" s="788"/>
      <c r="AM54" s="719"/>
      <c r="AN54" s="726"/>
      <c r="AO54" s="726"/>
      <c r="AP54" s="726"/>
      <c r="AQ54" s="719"/>
      <c r="AR54" s="719"/>
      <c r="AS54" s="719"/>
      <c r="AT54" s="719"/>
      <c r="AU54" s="719"/>
      <c r="AV54" s="719"/>
      <c r="AW54" s="719"/>
      <c r="AX54" s="719"/>
      <c r="AY54" s="719"/>
      <c r="BB54" s="1284" t="s">
        <v>3030</v>
      </c>
      <c r="BC54" s="1285" t="s">
        <v>3056</v>
      </c>
      <c r="BD54" s="1301"/>
      <c r="BE54" s="1284" t="s">
        <v>1059</v>
      </c>
      <c r="BF54" s="1285" t="s">
        <v>3057</v>
      </c>
      <c r="BH54" s="517"/>
    </row>
    <row r="55" spans="1:61" ht="15.75" customHeight="1">
      <c r="A55" s="500"/>
      <c r="B55" s="500"/>
      <c r="C55" s="500"/>
      <c r="D55" s="500"/>
      <c r="E55" s="500"/>
      <c r="F55" s="500"/>
      <c r="G55" s="500"/>
      <c r="H55" s="500"/>
      <c r="I55" s="500"/>
      <c r="J55" s="500"/>
      <c r="K55" s="500"/>
      <c r="L55" s="500"/>
      <c r="M55" s="500"/>
      <c r="N55" s="500"/>
      <c r="O55" s="500"/>
      <c r="P55" s="500"/>
      <c r="Q55" s="500"/>
      <c r="R55" s="500"/>
      <c r="S55" s="500"/>
      <c r="T55" s="500"/>
      <c r="U55" s="500"/>
      <c r="V55" s="500"/>
      <c r="W55" s="500"/>
      <c r="X55" s="500"/>
      <c r="Y55" s="500"/>
      <c r="Z55" s="500"/>
      <c r="AA55" s="500"/>
      <c r="AB55" s="500"/>
      <c r="AC55" s="500"/>
      <c r="AD55" s="500"/>
      <c r="AE55" s="500"/>
      <c r="AF55" s="500"/>
      <c r="AG55" s="500"/>
      <c r="AH55" s="500"/>
      <c r="AI55" s="500"/>
      <c r="AJ55" s="500"/>
      <c r="AK55" s="500"/>
      <c r="AL55" s="500"/>
      <c r="AM55" s="500"/>
      <c r="AN55" s="9"/>
      <c r="AO55" s="9"/>
      <c r="AP55" s="9"/>
      <c r="BB55" s="1284" t="s">
        <v>1091</v>
      </c>
      <c r="BC55" s="1285" t="s">
        <v>671</v>
      </c>
      <c r="BD55" s="1279"/>
      <c r="BE55" s="1284" t="s">
        <v>1060</v>
      </c>
      <c r="BF55" s="1285" t="s">
        <v>3058</v>
      </c>
      <c r="BH55" s="517"/>
    </row>
    <row r="56" spans="1:61" ht="15.75" customHeight="1">
      <c r="A56" s="500"/>
      <c r="B56" s="500"/>
      <c r="C56" s="500"/>
      <c r="D56" s="500"/>
      <c r="E56" s="500"/>
      <c r="F56" s="500"/>
      <c r="G56" s="500"/>
      <c r="H56" s="500"/>
      <c r="I56" s="500"/>
      <c r="J56" s="500"/>
      <c r="K56" s="500"/>
      <c r="L56" s="500"/>
      <c r="M56" s="500"/>
      <c r="N56" s="500"/>
      <c r="O56" s="500"/>
      <c r="P56" s="500"/>
      <c r="Q56" s="500"/>
      <c r="R56" s="500"/>
      <c r="S56" s="500"/>
      <c r="T56" s="500"/>
      <c r="U56" s="500"/>
      <c r="V56" s="500"/>
      <c r="W56" s="500"/>
      <c r="X56" s="500"/>
      <c r="Y56" s="500"/>
      <c r="Z56" s="500"/>
      <c r="AA56" s="500"/>
      <c r="AB56" s="500"/>
      <c r="AC56" s="500"/>
      <c r="AD56" s="500"/>
      <c r="AE56" s="500"/>
      <c r="AF56" s="500"/>
      <c r="AG56" s="500"/>
      <c r="AH56" s="500"/>
      <c r="AI56" s="500"/>
      <c r="AJ56" s="500"/>
      <c r="AK56" s="500"/>
      <c r="AL56" s="500"/>
      <c r="AM56" s="500"/>
      <c r="AN56" s="9"/>
      <c r="AO56" s="9"/>
      <c r="AP56" s="9"/>
      <c r="BB56" s="1284" t="s">
        <v>1090</v>
      </c>
      <c r="BC56" s="1285" t="s">
        <v>678</v>
      </c>
      <c r="BD56" s="1279"/>
      <c r="BE56" s="1284" t="s">
        <v>1061</v>
      </c>
      <c r="BF56" s="1285" t="s">
        <v>141</v>
      </c>
      <c r="BH56" s="517"/>
    </row>
    <row r="57" spans="1:61" ht="15.75" customHeight="1">
      <c r="A57" s="500"/>
      <c r="B57" s="500"/>
      <c r="C57" s="500"/>
      <c r="D57" s="500"/>
      <c r="E57" s="500"/>
      <c r="F57" s="500"/>
      <c r="G57" s="500"/>
      <c r="H57" s="500"/>
      <c r="I57" s="500"/>
      <c r="J57" s="500"/>
      <c r="K57" s="500"/>
      <c r="L57" s="500"/>
      <c r="M57" s="500"/>
      <c r="N57" s="500"/>
      <c r="O57" s="500"/>
      <c r="P57" s="500"/>
      <c r="Q57" s="500"/>
      <c r="R57" s="500"/>
      <c r="S57" s="500"/>
      <c r="T57" s="500"/>
      <c r="U57" s="500"/>
      <c r="V57" s="500"/>
      <c r="W57" s="500"/>
      <c r="X57" s="500"/>
      <c r="Y57" s="500"/>
      <c r="Z57" s="500"/>
      <c r="AA57" s="500"/>
      <c r="AB57" s="500"/>
      <c r="AC57" s="500"/>
      <c r="AD57" s="500"/>
      <c r="AE57" s="500"/>
      <c r="AF57" s="500"/>
      <c r="AG57" s="500"/>
      <c r="AH57" s="500"/>
      <c r="AI57" s="500"/>
      <c r="AJ57" s="500"/>
      <c r="AK57" s="500"/>
      <c r="AL57" s="500"/>
      <c r="AM57" s="500"/>
      <c r="AN57" s="9"/>
      <c r="AO57" s="9"/>
      <c r="AP57" s="9"/>
      <c r="BB57" s="1284" t="s">
        <v>3059</v>
      </c>
      <c r="BC57" s="1285" t="s">
        <v>3060</v>
      </c>
      <c r="BD57" s="1279"/>
      <c r="BE57" s="1302"/>
      <c r="BF57" s="1303"/>
      <c r="BH57" s="517"/>
    </row>
    <row r="58" spans="1:61" ht="15.75" customHeight="1">
      <c r="A58" s="500"/>
      <c r="B58" s="500"/>
      <c r="C58" s="500"/>
      <c r="D58" s="500"/>
      <c r="E58" s="500"/>
      <c r="F58" s="500"/>
      <c r="G58" s="500"/>
      <c r="H58" s="500"/>
      <c r="I58" s="500"/>
      <c r="J58" s="500"/>
      <c r="K58" s="500"/>
      <c r="L58" s="500"/>
      <c r="M58" s="500"/>
      <c r="N58" s="500"/>
      <c r="O58" s="500"/>
      <c r="P58" s="500"/>
      <c r="Q58" s="500"/>
      <c r="R58" s="500"/>
      <c r="S58" s="500"/>
      <c r="T58" s="500"/>
      <c r="U58" s="500"/>
      <c r="V58" s="500"/>
      <c r="W58" s="500"/>
      <c r="X58" s="500"/>
      <c r="Y58" s="500"/>
      <c r="Z58" s="500"/>
      <c r="AA58" s="500"/>
      <c r="AB58" s="500"/>
      <c r="AC58" s="500"/>
      <c r="AD58" s="500"/>
      <c r="AE58" s="500"/>
      <c r="AF58" s="500"/>
      <c r="AG58" s="500"/>
      <c r="AH58" s="500"/>
      <c r="AI58" s="500"/>
      <c r="AJ58" s="500"/>
      <c r="AK58" s="500"/>
      <c r="AL58" s="500"/>
      <c r="AM58" s="500"/>
      <c r="AN58" s="9"/>
      <c r="AO58" s="9"/>
      <c r="AP58" s="9"/>
      <c r="BB58" s="1284" t="s">
        <v>3061</v>
      </c>
      <c r="BC58" s="1285" t="s">
        <v>3062</v>
      </c>
      <c r="BD58" s="1279"/>
      <c r="BE58" s="1286" t="s">
        <v>692</v>
      </c>
      <c r="BF58" s="1287"/>
      <c r="BH58" s="517"/>
    </row>
    <row r="59" spans="1:61" ht="15.75" customHeight="1">
      <c r="A59" s="500"/>
      <c r="B59" s="480"/>
      <c r="C59" s="502"/>
      <c r="D59" s="47"/>
      <c r="E59" s="47"/>
      <c r="F59" s="478"/>
      <c r="G59" s="479"/>
      <c r="H59" s="47"/>
      <c r="I59" s="478"/>
      <c r="J59" s="481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7"/>
      <c r="AL59" s="47"/>
      <c r="AM59" s="47"/>
      <c r="AN59" s="9"/>
      <c r="AO59" s="9"/>
      <c r="AP59" s="9"/>
      <c r="BB59" s="1284" t="s">
        <v>2471</v>
      </c>
      <c r="BC59" s="1285" t="s">
        <v>1097</v>
      </c>
      <c r="BD59" s="1279"/>
      <c r="BE59" s="1284" t="s">
        <v>2563</v>
      </c>
      <c r="BF59" s="1285" t="s">
        <v>2054</v>
      </c>
      <c r="BH59" s="517"/>
    </row>
    <row r="60" spans="1:61" ht="15.75" customHeight="1">
      <c r="A60" s="500"/>
      <c r="B60" s="480"/>
      <c r="C60" s="481"/>
      <c r="D60" s="47"/>
      <c r="E60" s="47"/>
      <c r="F60" s="478"/>
      <c r="G60" s="479"/>
      <c r="I60" s="9"/>
      <c r="J60" s="481"/>
      <c r="K60" s="47"/>
      <c r="L60" s="47"/>
      <c r="M60" s="47"/>
      <c r="N60" s="47"/>
      <c r="O60" s="47"/>
      <c r="P60" s="47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47"/>
      <c r="AK60" s="47"/>
      <c r="AL60" s="47"/>
      <c r="AM60" s="47"/>
      <c r="AN60" s="9"/>
      <c r="AO60" s="9"/>
      <c r="AP60" s="9"/>
      <c r="BB60" s="1284" t="s">
        <v>2470</v>
      </c>
      <c r="BC60" s="1285" t="s">
        <v>1102</v>
      </c>
      <c r="BD60" s="1279"/>
      <c r="BE60" s="1284" t="s">
        <v>2564</v>
      </c>
      <c r="BF60" s="1285" t="s">
        <v>2055</v>
      </c>
      <c r="BH60" s="517"/>
      <c r="BI60" s="519"/>
    </row>
    <row r="61" spans="1:61" ht="15.75" customHeight="1">
      <c r="A61" s="500"/>
      <c r="B61" s="480"/>
      <c r="C61" s="481"/>
      <c r="D61" s="47"/>
      <c r="E61" s="47"/>
      <c r="F61" s="478"/>
      <c r="G61" s="479"/>
      <c r="H61" s="47"/>
      <c r="I61" s="10"/>
      <c r="J61" s="481"/>
      <c r="K61" s="47"/>
      <c r="L61" s="47"/>
      <c r="M61" s="47"/>
      <c r="N61" s="47"/>
      <c r="O61" s="47"/>
      <c r="P61" s="47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47"/>
      <c r="AK61" s="47"/>
      <c r="AL61" s="47"/>
      <c r="AM61" s="47"/>
      <c r="AN61" s="9"/>
      <c r="AO61" s="9"/>
      <c r="AP61" s="9"/>
      <c r="BB61" s="1284" t="s">
        <v>3063</v>
      </c>
      <c r="BC61" s="1285" t="s">
        <v>3064</v>
      </c>
      <c r="BD61" s="1279"/>
      <c r="BE61" s="1284" t="s">
        <v>2565</v>
      </c>
      <c r="BF61" s="1285" t="s">
        <v>2567</v>
      </c>
      <c r="BH61" s="517"/>
    </row>
    <row r="62" spans="1:61" ht="15.75" customHeight="1">
      <c r="A62" s="500"/>
      <c r="B62" s="480"/>
      <c r="C62" s="481"/>
      <c r="D62" s="47"/>
      <c r="E62" s="47"/>
      <c r="F62" s="478"/>
      <c r="G62" s="479"/>
      <c r="I62" s="10"/>
      <c r="J62" s="481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7"/>
      <c r="AL62" s="47"/>
      <c r="AM62" s="47"/>
      <c r="AN62" s="9"/>
      <c r="AO62" s="9"/>
      <c r="AP62" s="9"/>
      <c r="BB62" s="1284" t="s">
        <v>3065</v>
      </c>
      <c r="BC62" s="1285" t="s">
        <v>3066</v>
      </c>
      <c r="BD62" s="1279"/>
      <c r="BE62" s="1284" t="s">
        <v>2566</v>
      </c>
      <c r="BF62" s="1285" t="s">
        <v>2568</v>
      </c>
      <c r="BH62" s="517"/>
    </row>
    <row r="63" spans="1:61" ht="15.75" customHeight="1" thickBot="1">
      <c r="A63" s="500"/>
      <c r="B63" s="480"/>
      <c r="C63" s="481"/>
      <c r="D63" s="47"/>
      <c r="E63" s="47"/>
      <c r="F63" s="478"/>
      <c r="G63" s="479"/>
      <c r="I63" s="10"/>
      <c r="J63" s="481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9"/>
      <c r="AO63" s="9"/>
      <c r="AP63" s="9"/>
      <c r="BB63" s="1284" t="s">
        <v>2472</v>
      </c>
      <c r="BC63" s="1285" t="s">
        <v>2469</v>
      </c>
      <c r="BD63" s="1279"/>
      <c r="BE63" s="1304"/>
      <c r="BF63" s="1305"/>
      <c r="BH63" s="517"/>
    </row>
    <row r="64" spans="1:61" ht="15.75" customHeight="1">
      <c r="A64" s="500"/>
      <c r="B64" s="480"/>
      <c r="C64" s="481"/>
      <c r="D64" s="47"/>
      <c r="E64" s="47"/>
      <c r="F64" s="478"/>
      <c r="G64" s="479"/>
      <c r="I64" s="10"/>
      <c r="J64" s="481"/>
      <c r="K64" s="47"/>
      <c r="L64" s="47"/>
      <c r="M64" s="47"/>
      <c r="N64" s="47"/>
      <c r="O64" s="47"/>
      <c r="P64" s="47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9"/>
      <c r="AO64" s="9"/>
      <c r="AP64" s="9"/>
      <c r="BB64" s="1284"/>
      <c r="BC64" s="1303"/>
      <c r="BD64" s="1279"/>
      <c r="BE64" s="1301"/>
      <c r="BF64" s="1301"/>
      <c r="BH64" s="517"/>
    </row>
    <row r="65" spans="1:58" ht="15.75" customHeight="1">
      <c r="A65" s="500"/>
      <c r="B65" s="480"/>
      <c r="C65" s="481"/>
      <c r="D65" s="47"/>
      <c r="E65" s="47"/>
      <c r="F65" s="478"/>
      <c r="G65" s="479"/>
      <c r="I65" s="9"/>
      <c r="J65" s="481"/>
      <c r="K65" s="47"/>
      <c r="L65" s="47"/>
      <c r="M65" s="47"/>
      <c r="N65" s="47"/>
      <c r="O65" s="47"/>
      <c r="P65" s="47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9"/>
      <c r="AO65" s="9"/>
      <c r="AP65" s="9"/>
      <c r="BB65" s="1286" t="s">
        <v>1042</v>
      </c>
      <c r="BC65" s="1287"/>
      <c r="BD65" s="1279"/>
      <c r="BE65" s="1301"/>
      <c r="BF65" s="1301"/>
    </row>
    <row r="66" spans="1:58" ht="15.75" customHeight="1">
      <c r="A66" s="500"/>
      <c r="B66" s="480"/>
      <c r="C66" s="481"/>
      <c r="D66" s="47"/>
      <c r="E66" s="47"/>
      <c r="F66" s="478"/>
      <c r="G66" s="479"/>
      <c r="I66" s="10"/>
      <c r="J66" s="481"/>
      <c r="K66" s="47"/>
      <c r="L66" s="47"/>
      <c r="M66" s="47"/>
      <c r="N66" s="47"/>
      <c r="O66" s="47"/>
      <c r="P66" s="47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9"/>
      <c r="AO66" s="9"/>
      <c r="AP66" s="9"/>
      <c r="BB66" s="1284" t="s">
        <v>3067</v>
      </c>
      <c r="BC66" s="1285" t="s">
        <v>3068</v>
      </c>
      <c r="BD66" s="1279"/>
      <c r="BE66" s="1301"/>
      <c r="BF66" s="1301"/>
    </row>
    <row r="67" spans="1:58" ht="15.75" customHeight="1">
      <c r="A67" s="500"/>
      <c r="B67" s="480"/>
      <c r="C67" s="481"/>
      <c r="D67" s="47"/>
      <c r="E67" s="47"/>
      <c r="F67" s="478"/>
      <c r="G67" s="479"/>
      <c r="I67" s="9"/>
      <c r="J67" s="481"/>
      <c r="K67" s="47"/>
      <c r="L67" s="47"/>
      <c r="M67" s="47"/>
      <c r="N67" s="47"/>
      <c r="O67" s="47"/>
      <c r="P67" s="47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9"/>
      <c r="AO67" s="9"/>
      <c r="AP67" s="9"/>
      <c r="BB67" s="1284" t="s">
        <v>1076</v>
      </c>
      <c r="BC67" s="1285" t="s">
        <v>139</v>
      </c>
      <c r="BD67" s="1279"/>
      <c r="BE67" s="1301"/>
      <c r="BF67" s="1301"/>
    </row>
    <row r="68" spans="1:58" ht="15.75" customHeight="1">
      <c r="A68" s="500"/>
      <c r="B68" s="480"/>
      <c r="C68" s="481"/>
      <c r="D68" s="47"/>
      <c r="E68" s="47"/>
      <c r="F68" s="478"/>
      <c r="G68" s="479"/>
      <c r="I68" s="10"/>
      <c r="J68" s="481"/>
      <c r="K68" s="47"/>
      <c r="L68" s="47"/>
      <c r="M68" s="47"/>
      <c r="N68" s="47"/>
      <c r="O68" s="47"/>
      <c r="P68" s="47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9"/>
      <c r="AO68" s="9"/>
      <c r="AP68" s="9"/>
      <c r="BB68" s="1284" t="s">
        <v>1077</v>
      </c>
      <c r="BC68" s="1285" t="s">
        <v>231</v>
      </c>
      <c r="BD68" s="1279"/>
      <c r="BE68" s="1301"/>
      <c r="BF68" s="1301"/>
    </row>
    <row r="69" spans="1:58" ht="15.75" customHeight="1">
      <c r="A69" s="500"/>
      <c r="B69" s="480"/>
      <c r="C69" s="481"/>
      <c r="D69" s="47"/>
      <c r="E69" s="47"/>
      <c r="F69" s="478"/>
      <c r="G69" s="479"/>
      <c r="I69" s="9"/>
      <c r="J69" s="481"/>
      <c r="K69" s="47"/>
      <c r="L69" s="47"/>
      <c r="M69" s="47"/>
      <c r="N69" s="47"/>
      <c r="O69" s="47"/>
      <c r="P69" s="47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9"/>
      <c r="AO69" s="9"/>
      <c r="AP69" s="9"/>
      <c r="BB69" s="1284" t="s">
        <v>1078</v>
      </c>
      <c r="BC69" s="1285" t="s">
        <v>241</v>
      </c>
      <c r="BD69" s="1279"/>
      <c r="BE69" s="1279"/>
      <c r="BF69" s="1279"/>
    </row>
    <row r="70" spans="1:58" ht="15.75" customHeight="1">
      <c r="A70" s="500"/>
      <c r="B70" s="480"/>
      <c r="C70" s="481"/>
      <c r="D70" s="47"/>
      <c r="E70" s="47"/>
      <c r="F70" s="478"/>
      <c r="G70" s="479"/>
      <c r="I70" s="10"/>
      <c r="J70" s="481"/>
      <c r="K70" s="47"/>
      <c r="L70" s="47"/>
      <c r="M70" s="47"/>
      <c r="N70" s="47"/>
      <c r="O70" s="47"/>
      <c r="P70" s="47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9"/>
      <c r="AO70" s="9"/>
      <c r="AP70" s="9"/>
      <c r="BB70" s="1284" t="s">
        <v>3069</v>
      </c>
      <c r="BC70" s="1285" t="s">
        <v>465</v>
      </c>
      <c r="BD70" s="1279"/>
      <c r="BE70" s="1279"/>
      <c r="BF70" s="1279"/>
    </row>
    <row r="71" spans="1:58" ht="15.75" customHeight="1">
      <c r="A71" s="500"/>
      <c r="B71" s="480"/>
      <c r="C71" s="481"/>
      <c r="D71" s="47"/>
      <c r="E71" s="47"/>
      <c r="F71" s="478"/>
      <c r="G71" s="479"/>
      <c r="I71" s="9"/>
      <c r="J71" s="481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9"/>
      <c r="AO71" s="9"/>
      <c r="AP71" s="9"/>
      <c r="BB71" s="1284" t="s">
        <v>3070</v>
      </c>
      <c r="BC71" s="1285" t="s">
        <v>3071</v>
      </c>
      <c r="BD71" s="1279"/>
      <c r="BE71" s="1279"/>
      <c r="BF71" s="1279"/>
    </row>
    <row r="72" spans="1:58" ht="15.75" customHeight="1">
      <c r="A72" s="500"/>
      <c r="B72" s="480"/>
      <c r="C72" s="481"/>
      <c r="D72" s="47"/>
      <c r="E72" s="47"/>
      <c r="F72" s="478"/>
      <c r="G72" s="479"/>
      <c r="I72" s="10"/>
      <c r="J72" s="481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9"/>
      <c r="AO72" s="9"/>
      <c r="AP72" s="9"/>
      <c r="BB72" s="1284" t="s">
        <v>3072</v>
      </c>
      <c r="BC72" s="1285" t="s">
        <v>3073</v>
      </c>
      <c r="BD72" s="1279"/>
      <c r="BE72" s="1279"/>
      <c r="BF72" s="1279"/>
    </row>
    <row r="73" spans="1:58" ht="15.75" customHeight="1">
      <c r="A73" s="500"/>
      <c r="B73" s="480"/>
      <c r="C73" s="481"/>
      <c r="D73" s="47"/>
      <c r="E73" s="47"/>
      <c r="F73" s="478"/>
      <c r="G73" s="479"/>
      <c r="I73" s="10"/>
      <c r="J73" s="481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9"/>
      <c r="AO73" s="9"/>
      <c r="AP73" s="9"/>
      <c r="BB73" s="1284" t="s">
        <v>3074</v>
      </c>
      <c r="BC73" s="1285" t="s">
        <v>3075</v>
      </c>
      <c r="BD73" s="1279"/>
      <c r="BE73" s="1279"/>
      <c r="BF73" s="1279"/>
    </row>
    <row r="74" spans="1:58" ht="15.75" customHeight="1">
      <c r="A74" s="500"/>
      <c r="B74" s="480"/>
      <c r="C74" s="481"/>
      <c r="D74" s="47"/>
      <c r="E74" s="47"/>
      <c r="F74" s="478"/>
      <c r="G74" s="479"/>
      <c r="I74" s="10"/>
      <c r="J74" s="481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9"/>
      <c r="AO74" s="9"/>
      <c r="AP74" s="9"/>
      <c r="BB74" s="1284" t="s">
        <v>3076</v>
      </c>
      <c r="BC74" s="1285" t="s">
        <v>3077</v>
      </c>
      <c r="BD74" s="1279"/>
      <c r="BE74" s="1301"/>
      <c r="BF74" s="1301"/>
    </row>
    <row r="75" spans="1:58" ht="15.75" customHeight="1">
      <c r="A75" s="500"/>
      <c r="B75" s="480"/>
      <c r="C75" s="481"/>
      <c r="D75" s="47"/>
      <c r="E75" s="47"/>
      <c r="F75" s="478"/>
      <c r="G75" s="479"/>
      <c r="I75" s="9"/>
      <c r="J75" s="481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9"/>
      <c r="AO75" s="9"/>
      <c r="AP75" s="9"/>
      <c r="BB75" s="1284" t="s">
        <v>3074</v>
      </c>
      <c r="BC75" s="1285" t="s">
        <v>2999</v>
      </c>
      <c r="BD75" s="1279"/>
      <c r="BE75" s="1279"/>
      <c r="BF75" s="1279"/>
    </row>
    <row r="76" spans="1:58" ht="15.75" customHeight="1">
      <c r="A76" s="500"/>
      <c r="B76" s="480"/>
      <c r="C76" s="481"/>
      <c r="D76" s="47"/>
      <c r="E76" s="47"/>
      <c r="F76" s="478"/>
      <c r="G76" s="479"/>
      <c r="I76" s="10"/>
      <c r="J76" s="481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9"/>
      <c r="AO76" s="9"/>
      <c r="AP76" s="9"/>
      <c r="BB76" s="1284" t="s">
        <v>3076</v>
      </c>
      <c r="BC76" s="1285" t="s">
        <v>3000</v>
      </c>
      <c r="BD76" s="1279"/>
      <c r="BE76" s="1279"/>
      <c r="BF76" s="1279"/>
    </row>
    <row r="77" spans="1:58" ht="15.75" customHeight="1">
      <c r="A77" s="500"/>
      <c r="B77" s="480"/>
      <c r="C77" s="481"/>
      <c r="D77" s="47"/>
      <c r="E77" s="47"/>
      <c r="F77" s="478"/>
      <c r="G77" s="479"/>
      <c r="I77" s="10"/>
      <c r="J77" s="481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9"/>
      <c r="AO77" s="9"/>
      <c r="AP77" s="9"/>
      <c r="BB77" s="1284" t="s">
        <v>1080</v>
      </c>
      <c r="BC77" s="1285" t="s">
        <v>941</v>
      </c>
      <c r="BD77" s="1279"/>
      <c r="BE77" s="1279"/>
      <c r="BF77" s="1279"/>
    </row>
    <row r="78" spans="1:58" ht="15.75" customHeight="1">
      <c r="A78" s="500"/>
      <c r="B78" s="480"/>
      <c r="C78" s="481"/>
      <c r="D78" s="47"/>
      <c r="E78" s="47"/>
      <c r="F78" s="478"/>
      <c r="G78" s="479"/>
      <c r="I78" s="10"/>
      <c r="J78" s="481"/>
      <c r="K78" s="47"/>
      <c r="L78" s="47"/>
      <c r="M78" s="47"/>
      <c r="N78" s="47"/>
      <c r="O78" s="47"/>
      <c r="P78" s="47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9"/>
      <c r="AO78" s="9"/>
      <c r="AP78" s="9"/>
      <c r="BB78" s="1284" t="s">
        <v>3078</v>
      </c>
      <c r="BC78" s="1285" t="s">
        <v>3079</v>
      </c>
      <c r="BD78" s="1279"/>
      <c r="BE78" s="1279"/>
      <c r="BF78" s="1279"/>
    </row>
    <row r="79" spans="1:58" ht="15.75" customHeight="1" thickBot="1">
      <c r="A79" s="500"/>
      <c r="B79" s="480"/>
      <c r="C79" s="481"/>
      <c r="D79" s="47"/>
      <c r="E79" s="47"/>
      <c r="F79" s="478"/>
      <c r="G79" s="479"/>
      <c r="I79" s="10"/>
      <c r="J79" s="481"/>
      <c r="K79" s="47"/>
      <c r="L79" s="47"/>
      <c r="M79" s="47"/>
      <c r="N79" s="47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9"/>
      <c r="AO79" s="9"/>
      <c r="AP79" s="9"/>
      <c r="BB79" s="1304"/>
      <c r="BC79" s="1306"/>
      <c r="BD79" s="1279"/>
      <c r="BE79" s="1301"/>
      <c r="BF79" s="1301"/>
    </row>
    <row r="80" spans="1:58" ht="15.75" customHeight="1">
      <c r="A80" s="500"/>
      <c r="B80" s="480"/>
      <c r="C80" s="481"/>
      <c r="D80" s="47"/>
      <c r="E80" s="47"/>
      <c r="F80" s="478"/>
      <c r="G80" s="479"/>
      <c r="I80" s="10"/>
      <c r="J80" s="481"/>
      <c r="K80" s="47"/>
      <c r="L80" s="47"/>
      <c r="M80" s="47"/>
      <c r="N80" s="47"/>
      <c r="O80" s="47"/>
      <c r="P80" s="47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9"/>
      <c r="AO80" s="9"/>
      <c r="AP80" s="9"/>
    </row>
    <row r="81" spans="1:58" ht="15.75" customHeight="1">
      <c r="A81" s="500"/>
      <c r="B81" s="480"/>
      <c r="C81" s="481"/>
      <c r="D81" s="47"/>
      <c r="E81" s="47"/>
      <c r="F81" s="478"/>
      <c r="G81" s="479"/>
      <c r="I81" s="10"/>
      <c r="J81" s="481"/>
      <c r="K81" s="47"/>
      <c r="L81" s="47"/>
      <c r="M81" s="47"/>
      <c r="N81" s="47"/>
      <c r="O81" s="47"/>
      <c r="P81" s="47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9"/>
      <c r="AO81" s="9"/>
      <c r="AP81" s="9"/>
    </row>
    <row r="82" spans="1:58" ht="15.75" customHeight="1">
      <c r="A82" s="500"/>
      <c r="B82" s="480"/>
      <c r="C82" s="481"/>
      <c r="D82" s="47"/>
      <c r="E82" s="47"/>
      <c r="F82" s="478"/>
      <c r="G82" s="479"/>
      <c r="I82" s="10"/>
      <c r="J82" s="481"/>
      <c r="K82" s="47"/>
      <c r="L82" s="47"/>
      <c r="M82" s="47"/>
      <c r="N82" s="47"/>
      <c r="O82" s="47"/>
      <c r="P82" s="47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9"/>
      <c r="AO82" s="9"/>
      <c r="AP82" s="9"/>
    </row>
    <row r="83" spans="1:58" ht="15.75" customHeight="1">
      <c r="A83" s="500"/>
      <c r="B83" s="480"/>
      <c r="C83" s="481"/>
      <c r="D83" s="47"/>
      <c r="E83" s="47"/>
      <c r="F83" s="478"/>
      <c r="G83" s="479"/>
      <c r="I83" s="10"/>
      <c r="J83" s="481"/>
      <c r="K83" s="47"/>
      <c r="L83" s="47"/>
      <c r="M83" s="47"/>
      <c r="N83" s="47"/>
      <c r="O83" s="47"/>
      <c r="P83" s="47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9"/>
      <c r="AO83" s="9"/>
      <c r="AP83" s="9"/>
    </row>
    <row r="84" spans="1:58" ht="15.75" customHeight="1">
      <c r="A84" s="500"/>
      <c r="B84" s="480"/>
      <c r="C84" s="481"/>
      <c r="D84" s="47"/>
      <c r="E84" s="47"/>
      <c r="F84" s="478"/>
      <c r="G84" s="479"/>
      <c r="I84" s="10"/>
      <c r="J84" s="481"/>
      <c r="K84" s="47"/>
      <c r="L84" s="47"/>
      <c r="M84" s="47"/>
      <c r="N84" s="47"/>
      <c r="O84" s="47"/>
      <c r="P84" s="47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9"/>
      <c r="AO84" s="9"/>
      <c r="AP84" s="9"/>
    </row>
    <row r="85" spans="1:58" ht="15.75" customHeight="1">
      <c r="A85" s="500"/>
      <c r="B85" s="480"/>
      <c r="C85" s="481"/>
      <c r="D85" s="47"/>
      <c r="E85" s="47"/>
      <c r="F85" s="478"/>
      <c r="G85" s="479"/>
      <c r="I85" s="10"/>
      <c r="J85" s="481"/>
      <c r="K85" s="47"/>
      <c r="L85" s="47"/>
      <c r="M85" s="47"/>
      <c r="N85" s="47"/>
      <c r="O85" s="47"/>
      <c r="P85" s="47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9"/>
      <c r="AO85" s="9"/>
      <c r="AP85" s="9"/>
      <c r="BD85" s="560"/>
    </row>
    <row r="86" spans="1:58" ht="15.75" customHeight="1">
      <c r="A86" s="500"/>
      <c r="B86" s="480"/>
      <c r="C86" s="481"/>
      <c r="D86" s="47"/>
      <c r="E86" s="47"/>
      <c r="F86" s="478"/>
      <c r="G86" s="479"/>
      <c r="I86" s="10"/>
      <c r="J86" s="481"/>
      <c r="K86" s="47"/>
      <c r="L86" s="47"/>
      <c r="M86" s="47"/>
      <c r="N86" s="47"/>
      <c r="O86" s="47"/>
      <c r="P86" s="47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9"/>
      <c r="AO86" s="9"/>
      <c r="AP86" s="9"/>
      <c r="BC86" s="560"/>
    </row>
    <row r="87" spans="1:58" ht="15.75" customHeight="1">
      <c r="A87" s="500"/>
      <c r="B87" s="480"/>
      <c r="C87" s="481"/>
      <c r="D87" s="47"/>
      <c r="E87" s="47"/>
      <c r="F87" s="478"/>
      <c r="G87" s="479"/>
      <c r="I87" s="10"/>
      <c r="J87" s="481"/>
      <c r="K87" s="47"/>
      <c r="L87" s="47"/>
      <c r="M87" s="47"/>
      <c r="N87" s="47"/>
      <c r="O87" s="47"/>
      <c r="P87" s="47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9"/>
      <c r="AO87" s="9"/>
      <c r="AP87" s="9"/>
    </row>
    <row r="88" spans="1:58" ht="15.75" customHeight="1">
      <c r="A88" s="500"/>
      <c r="B88" s="480"/>
      <c r="C88" s="481"/>
      <c r="D88" s="47"/>
      <c r="E88" s="47"/>
      <c r="F88" s="478"/>
      <c r="G88" s="479"/>
      <c r="I88" s="10"/>
      <c r="J88" s="481"/>
      <c r="K88" s="47"/>
      <c r="L88" s="47"/>
      <c r="M88" s="47"/>
      <c r="N88" s="47"/>
      <c r="O88" s="47"/>
      <c r="P88" s="47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9"/>
      <c r="AO88" s="9"/>
      <c r="AP88" s="9"/>
    </row>
    <row r="89" spans="1:58" ht="15.75" customHeight="1">
      <c r="A89" s="500"/>
      <c r="B89" s="480"/>
      <c r="C89" s="481"/>
      <c r="D89" s="47"/>
      <c r="E89" s="47"/>
      <c r="F89" s="478"/>
      <c r="G89" s="479"/>
      <c r="I89" s="10"/>
      <c r="J89" s="481"/>
      <c r="K89" s="47"/>
      <c r="L89" s="47"/>
      <c r="M89" s="47"/>
      <c r="N89" s="47"/>
      <c r="O89" s="47"/>
      <c r="P89" s="47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9"/>
      <c r="AO89" s="9"/>
      <c r="AP89" s="9"/>
    </row>
    <row r="90" spans="1:58" ht="15.75" customHeight="1">
      <c r="A90" s="500"/>
      <c r="B90" s="480"/>
      <c r="C90" s="481"/>
      <c r="D90" s="47"/>
      <c r="E90" s="47"/>
      <c r="F90" s="478"/>
      <c r="G90" s="479"/>
      <c r="I90" s="10"/>
      <c r="J90" s="481"/>
      <c r="K90" s="47"/>
      <c r="L90" s="47"/>
      <c r="M90" s="47"/>
      <c r="N90" s="47"/>
      <c r="O90" s="47"/>
      <c r="P90" s="47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9"/>
      <c r="AO90" s="9"/>
      <c r="AP90" s="9"/>
      <c r="BE90" s="560"/>
      <c r="BF90" s="560"/>
    </row>
    <row r="91" spans="1:58" ht="15.75" customHeight="1">
      <c r="A91" s="500"/>
      <c r="B91" s="480"/>
      <c r="C91" s="481"/>
      <c r="D91" s="47"/>
      <c r="E91" s="47"/>
      <c r="F91" s="478"/>
      <c r="G91" s="479"/>
      <c r="I91" s="10"/>
      <c r="J91" s="481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9"/>
      <c r="AO91" s="9"/>
      <c r="AP91" s="9"/>
    </row>
    <row r="92" spans="1:58" ht="15.75" customHeight="1">
      <c r="A92" s="500"/>
      <c r="B92" s="480"/>
      <c r="C92" s="481"/>
      <c r="D92" s="47"/>
      <c r="E92" s="47"/>
      <c r="F92" s="478"/>
      <c r="G92" s="479"/>
      <c r="I92" s="10"/>
      <c r="J92" s="481"/>
      <c r="K92" s="47"/>
      <c r="L92" s="47"/>
      <c r="M92" s="47"/>
      <c r="N92" s="47"/>
      <c r="O92" s="47"/>
      <c r="P92" s="47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9"/>
      <c r="AO92" s="9"/>
      <c r="AP92" s="9"/>
    </row>
    <row r="93" spans="1:58" ht="15.75" customHeight="1">
      <c r="A93" s="500"/>
      <c r="B93" s="480"/>
      <c r="C93" s="481"/>
      <c r="D93" s="47"/>
      <c r="E93" s="47"/>
      <c r="F93" s="478"/>
      <c r="G93" s="479"/>
      <c r="I93" s="10"/>
      <c r="J93" s="481"/>
      <c r="K93" s="47"/>
      <c r="L93" s="47"/>
      <c r="M93" s="47"/>
      <c r="N93" s="47"/>
      <c r="O93" s="47"/>
      <c r="P93" s="47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9"/>
      <c r="AO93" s="9"/>
      <c r="AP93" s="9"/>
    </row>
    <row r="94" spans="1:58" ht="15.75" customHeight="1">
      <c r="B94" s="478"/>
      <c r="C94" s="478"/>
      <c r="D94" s="588"/>
      <c r="E94" s="588"/>
      <c r="F94" s="588"/>
      <c r="I94" s="9"/>
      <c r="J94" s="9"/>
      <c r="K94" s="47"/>
      <c r="M94" s="9"/>
      <c r="N94" s="8"/>
      <c r="O94" s="8"/>
      <c r="P94" s="8"/>
      <c r="AJ94" s="9"/>
      <c r="AN94" s="9"/>
      <c r="AO94" s="9"/>
      <c r="AP94" s="9"/>
    </row>
    <row r="95" spans="1:58" ht="15.75" customHeight="1">
      <c r="B95" s="478"/>
      <c r="C95" s="478"/>
      <c r="D95" s="588"/>
      <c r="E95" s="588"/>
      <c r="F95" s="588"/>
      <c r="I95" s="9"/>
      <c r="J95" s="9"/>
      <c r="K95" s="47"/>
      <c r="M95" s="9"/>
      <c r="N95" s="8"/>
      <c r="O95" s="8"/>
      <c r="P95" s="8"/>
      <c r="AJ95" s="9"/>
      <c r="AN95" s="9"/>
      <c r="AO95" s="9"/>
      <c r="AP95" s="9"/>
    </row>
    <row r="96" spans="1:58" ht="15.75" customHeight="1">
      <c r="B96" s="478"/>
      <c r="C96" s="478"/>
      <c r="D96" s="588"/>
      <c r="E96" s="588"/>
      <c r="F96" s="588"/>
      <c r="I96" s="9"/>
      <c r="J96" s="9"/>
      <c r="K96" s="47"/>
      <c r="M96" s="9"/>
      <c r="N96" s="8"/>
      <c r="O96" s="8"/>
      <c r="P96" s="8"/>
      <c r="AJ96" s="9"/>
      <c r="AN96" s="9"/>
      <c r="AO96" s="9"/>
      <c r="AP96" s="9"/>
    </row>
    <row r="97" spans="2:42" ht="15.75" customHeight="1">
      <c r="B97" s="478"/>
      <c r="C97" s="478"/>
      <c r="D97" s="588"/>
      <c r="E97" s="588"/>
      <c r="F97" s="588"/>
      <c r="I97" s="9"/>
      <c r="J97" s="9"/>
      <c r="K97" s="47"/>
      <c r="M97" s="9"/>
      <c r="N97" s="8"/>
      <c r="O97" s="8"/>
      <c r="P97" s="8"/>
      <c r="AJ97" s="9"/>
      <c r="AN97" s="9"/>
      <c r="AO97" s="9"/>
      <c r="AP97" s="9"/>
    </row>
    <row r="98" spans="2:42" ht="15.75" customHeight="1">
      <c r="B98" s="478"/>
      <c r="C98" s="478"/>
      <c r="D98" s="588"/>
      <c r="E98" s="588"/>
      <c r="F98" s="588"/>
      <c r="I98" s="9"/>
      <c r="J98" s="9"/>
      <c r="K98" s="47"/>
      <c r="M98" s="9"/>
      <c r="N98" s="8"/>
      <c r="O98" s="8"/>
      <c r="P98" s="8"/>
      <c r="AJ98" s="9"/>
      <c r="AN98" s="9"/>
      <c r="AO98" s="9"/>
      <c r="AP98" s="9"/>
    </row>
    <row r="99" spans="2:42" ht="15.75" customHeight="1">
      <c r="B99" s="478"/>
      <c r="C99" s="478"/>
      <c r="D99" s="588"/>
      <c r="E99" s="588"/>
      <c r="F99" s="588"/>
      <c r="I99" s="9"/>
      <c r="J99" s="9"/>
      <c r="K99" s="47"/>
      <c r="M99" s="9"/>
      <c r="N99" s="8"/>
      <c r="O99" s="8"/>
      <c r="P99" s="8"/>
      <c r="AJ99" s="9"/>
      <c r="AN99" s="9"/>
      <c r="AO99" s="9"/>
      <c r="AP99" s="9"/>
    </row>
    <row r="100" spans="2:42" ht="15.75" customHeight="1">
      <c r="B100" s="478"/>
      <c r="C100" s="478"/>
      <c r="D100" s="588"/>
      <c r="E100" s="588"/>
      <c r="F100" s="588"/>
      <c r="I100" s="9"/>
      <c r="J100" s="9"/>
      <c r="K100" s="47"/>
      <c r="M100" s="9"/>
      <c r="N100" s="8"/>
      <c r="O100" s="8"/>
      <c r="P100" s="8"/>
      <c r="AJ100" s="9"/>
      <c r="AN100" s="9"/>
      <c r="AO100" s="9"/>
      <c r="AP100" s="9"/>
    </row>
    <row r="101" spans="2:42" ht="15.75" customHeight="1">
      <c r="B101" s="478"/>
      <c r="C101" s="478"/>
      <c r="D101" s="588"/>
      <c r="E101" s="588"/>
      <c r="F101" s="588"/>
      <c r="I101" s="9"/>
      <c r="J101" s="9"/>
      <c r="K101" s="47"/>
      <c r="M101" s="9"/>
      <c r="N101" s="8"/>
      <c r="O101" s="8"/>
      <c r="P101" s="8"/>
      <c r="AJ101" s="9"/>
      <c r="AN101" s="9"/>
      <c r="AO101" s="9"/>
      <c r="AP101" s="9"/>
    </row>
    <row r="102" spans="2:42" ht="15.75" customHeight="1">
      <c r="B102" s="478"/>
      <c r="C102" s="478"/>
      <c r="D102" s="588"/>
      <c r="E102" s="588"/>
      <c r="F102" s="588"/>
      <c r="I102" s="9"/>
      <c r="J102" s="9"/>
      <c r="K102" s="47"/>
      <c r="M102" s="9"/>
      <c r="N102" s="8"/>
      <c r="O102" s="8"/>
      <c r="P102" s="8"/>
      <c r="AJ102" s="9"/>
      <c r="AN102" s="9"/>
      <c r="AO102" s="9"/>
      <c r="AP102" s="9"/>
    </row>
    <row r="103" spans="2:42" ht="15.75" customHeight="1">
      <c r="B103" s="478"/>
      <c r="C103" s="478"/>
      <c r="D103" s="588"/>
      <c r="E103" s="588"/>
      <c r="F103" s="588"/>
      <c r="I103" s="9"/>
      <c r="J103" s="9"/>
      <c r="K103" s="47"/>
      <c r="M103" s="9"/>
      <c r="N103" s="8"/>
      <c r="O103" s="8"/>
      <c r="P103" s="8"/>
      <c r="AJ103" s="9"/>
      <c r="AN103" s="9"/>
      <c r="AO103" s="9"/>
      <c r="AP103" s="9"/>
    </row>
    <row r="104" spans="2:42" ht="15.75" customHeight="1">
      <c r="B104" s="478"/>
      <c r="C104" s="478"/>
      <c r="D104" s="588"/>
      <c r="E104" s="588"/>
      <c r="F104" s="588"/>
      <c r="I104" s="9"/>
      <c r="J104" s="9"/>
      <c r="K104" s="47"/>
      <c r="M104" s="9"/>
      <c r="N104" s="8"/>
      <c r="O104" s="8"/>
      <c r="P104" s="8"/>
      <c r="AJ104" s="9"/>
      <c r="AN104" s="9"/>
      <c r="AO104" s="9"/>
      <c r="AP104" s="9"/>
    </row>
    <row r="105" spans="2:42" ht="15.75" customHeight="1">
      <c r="B105" s="478"/>
      <c r="C105" s="478"/>
      <c r="D105" s="588"/>
      <c r="E105" s="588"/>
      <c r="F105" s="588"/>
      <c r="I105" s="9"/>
      <c r="J105" s="9"/>
      <c r="K105" s="47"/>
      <c r="M105" s="9"/>
      <c r="N105" s="8"/>
      <c r="O105" s="8"/>
      <c r="P105" s="8"/>
      <c r="AJ105" s="9"/>
      <c r="AN105" s="9"/>
      <c r="AO105" s="9"/>
      <c r="AP105" s="9"/>
    </row>
    <row r="106" spans="2:42" ht="15.75" customHeight="1">
      <c r="B106" s="478"/>
      <c r="C106" s="478"/>
      <c r="D106" s="588"/>
      <c r="E106" s="588"/>
      <c r="F106" s="588"/>
      <c r="I106" s="9"/>
      <c r="J106" s="9"/>
      <c r="K106" s="47"/>
      <c r="M106" s="9"/>
      <c r="N106" s="8"/>
      <c r="O106" s="8"/>
      <c r="P106" s="8"/>
      <c r="AJ106" s="9"/>
      <c r="AN106" s="9"/>
      <c r="AO106" s="9"/>
      <c r="AP106" s="9"/>
    </row>
    <row r="107" spans="2:42" ht="15.75" customHeight="1">
      <c r="B107" s="478"/>
      <c r="C107" s="478"/>
      <c r="D107" s="588"/>
      <c r="E107" s="588"/>
      <c r="F107" s="588"/>
      <c r="I107" s="9"/>
      <c r="J107" s="9"/>
      <c r="K107" s="47"/>
      <c r="M107" s="9"/>
      <c r="N107" s="8"/>
      <c r="O107" s="8"/>
      <c r="P107" s="8"/>
      <c r="AJ107" s="9"/>
      <c r="AN107" s="9"/>
      <c r="AO107" s="9"/>
      <c r="AP107" s="9"/>
    </row>
    <row r="108" spans="2:42" ht="15.75" customHeight="1">
      <c r="B108" s="478"/>
      <c r="C108" s="478"/>
      <c r="D108" s="588"/>
      <c r="E108" s="588"/>
      <c r="F108" s="588"/>
      <c r="I108" s="9"/>
      <c r="J108" s="9"/>
      <c r="K108" s="47"/>
      <c r="M108" s="9"/>
      <c r="N108" s="8"/>
      <c r="O108" s="8"/>
      <c r="P108" s="8"/>
      <c r="AJ108" s="9"/>
      <c r="AN108" s="9"/>
      <c r="AO108" s="9"/>
      <c r="AP108" s="9"/>
    </row>
    <row r="109" spans="2:42" ht="15.75" customHeight="1">
      <c r="B109" s="478"/>
      <c r="C109" s="478"/>
      <c r="D109" s="588"/>
      <c r="E109" s="588"/>
      <c r="F109" s="588"/>
      <c r="I109" s="9"/>
      <c r="J109" s="9"/>
      <c r="K109" s="47"/>
      <c r="M109" s="9"/>
      <c r="N109" s="8"/>
      <c r="O109" s="8"/>
      <c r="P109" s="8"/>
      <c r="AJ109" s="9"/>
      <c r="AN109" s="9"/>
      <c r="AO109" s="9"/>
      <c r="AP109" s="9"/>
    </row>
    <row r="110" spans="2:42" ht="15.75" customHeight="1">
      <c r="B110" s="478"/>
      <c r="C110" s="478"/>
      <c r="D110" s="588"/>
      <c r="E110" s="588"/>
      <c r="F110" s="588"/>
      <c r="I110" s="9"/>
      <c r="J110" s="9"/>
      <c r="K110" s="47"/>
      <c r="M110" s="9"/>
      <c r="N110" s="8"/>
      <c r="O110" s="8"/>
      <c r="P110" s="8"/>
      <c r="AJ110" s="9"/>
      <c r="AN110" s="9"/>
      <c r="AO110" s="9"/>
      <c r="AP110" s="9"/>
    </row>
    <row r="111" spans="2:42" ht="15.75" customHeight="1">
      <c r="B111" s="478"/>
      <c r="C111" s="478"/>
      <c r="D111" s="588"/>
      <c r="E111" s="588"/>
      <c r="F111" s="588"/>
      <c r="I111" s="9"/>
      <c r="J111" s="9"/>
      <c r="K111" s="47"/>
      <c r="M111" s="9"/>
      <c r="N111" s="8"/>
      <c r="O111" s="8"/>
      <c r="P111" s="8"/>
      <c r="AJ111" s="9"/>
      <c r="AN111" s="9"/>
      <c r="AO111" s="9"/>
      <c r="AP111" s="9"/>
    </row>
    <row r="112" spans="2:42" ht="15.75" customHeight="1">
      <c r="B112" s="478"/>
      <c r="C112" s="478"/>
      <c r="D112" s="588"/>
      <c r="E112" s="588"/>
      <c r="F112" s="588"/>
      <c r="I112" s="9"/>
      <c r="J112" s="9"/>
      <c r="K112" s="47"/>
      <c r="M112" s="9"/>
      <c r="N112" s="8"/>
      <c r="O112" s="8"/>
      <c r="P112" s="8"/>
      <c r="AJ112" s="9"/>
      <c r="AN112" s="9"/>
      <c r="AO112" s="9"/>
      <c r="AP112" s="9"/>
    </row>
    <row r="113" spans="2:42" ht="15.75" customHeight="1">
      <c r="B113" s="478"/>
      <c r="C113" s="478"/>
      <c r="D113" s="588"/>
      <c r="E113" s="588"/>
      <c r="F113" s="588"/>
      <c r="I113" s="9"/>
      <c r="J113" s="9"/>
      <c r="K113" s="47"/>
      <c r="M113" s="9"/>
      <c r="N113" s="8"/>
      <c r="O113" s="8"/>
      <c r="P113" s="8"/>
      <c r="AJ113" s="9"/>
      <c r="AN113" s="9"/>
      <c r="AO113" s="9"/>
      <c r="AP113" s="9"/>
    </row>
    <row r="114" spans="2:42" ht="15.75" customHeight="1">
      <c r="B114" s="478"/>
      <c r="C114" s="478"/>
      <c r="D114" s="588"/>
      <c r="E114" s="588"/>
      <c r="F114" s="588"/>
      <c r="I114" s="9"/>
      <c r="J114" s="9"/>
      <c r="K114" s="47"/>
      <c r="M114" s="9"/>
      <c r="N114" s="8"/>
      <c r="O114" s="8"/>
      <c r="P114" s="8"/>
      <c r="AJ114" s="9"/>
      <c r="AN114" s="9"/>
      <c r="AO114" s="9"/>
      <c r="AP114" s="9"/>
    </row>
    <row r="115" spans="2:42" ht="15.75" customHeight="1">
      <c r="B115" s="478"/>
      <c r="C115" s="478"/>
      <c r="D115" s="588"/>
      <c r="E115" s="588"/>
      <c r="F115" s="588"/>
      <c r="I115" s="9"/>
      <c r="J115" s="9"/>
      <c r="K115" s="47"/>
      <c r="M115" s="9"/>
      <c r="N115" s="8"/>
      <c r="O115" s="8"/>
      <c r="P115" s="8"/>
      <c r="AJ115" s="9"/>
      <c r="AN115" s="9"/>
      <c r="AO115" s="9"/>
      <c r="AP115" s="9"/>
    </row>
    <row r="116" spans="2:42" ht="15.75" customHeight="1">
      <c r="B116" s="478"/>
      <c r="C116" s="478"/>
      <c r="D116" s="588"/>
      <c r="E116" s="588"/>
      <c r="F116" s="588"/>
      <c r="I116" s="9"/>
      <c r="J116" s="9"/>
      <c r="K116" s="47"/>
      <c r="M116" s="9"/>
      <c r="N116" s="8"/>
      <c r="O116" s="8"/>
      <c r="P116" s="8"/>
      <c r="AJ116" s="9"/>
      <c r="AN116" s="9"/>
      <c r="AO116" s="9"/>
      <c r="AP116" s="9"/>
    </row>
    <row r="117" spans="2:42" ht="15.75" customHeight="1">
      <c r="B117" s="478"/>
      <c r="C117" s="478"/>
      <c r="D117" s="588"/>
      <c r="E117" s="588"/>
      <c r="F117" s="588"/>
      <c r="I117" s="9"/>
      <c r="J117" s="9"/>
      <c r="K117" s="47"/>
      <c r="M117" s="9"/>
      <c r="N117" s="8"/>
      <c r="O117" s="8"/>
      <c r="P117" s="8"/>
      <c r="AJ117" s="9"/>
      <c r="AN117" s="9"/>
      <c r="AO117" s="9"/>
      <c r="AP117" s="9"/>
    </row>
    <row r="118" spans="2:42" ht="15.75" customHeight="1">
      <c r="B118" s="478"/>
      <c r="C118" s="478"/>
      <c r="D118" s="588"/>
      <c r="E118" s="588"/>
      <c r="F118" s="588"/>
      <c r="I118" s="9"/>
      <c r="J118" s="9"/>
      <c r="K118" s="47"/>
      <c r="M118" s="9"/>
      <c r="N118" s="8"/>
      <c r="O118" s="8"/>
      <c r="P118" s="8"/>
      <c r="AJ118" s="9"/>
      <c r="AN118" s="9"/>
      <c r="AO118" s="9"/>
      <c r="AP118" s="9"/>
    </row>
    <row r="119" spans="2:42" ht="15.75" customHeight="1">
      <c r="B119" s="478"/>
      <c r="C119" s="478"/>
      <c r="D119" s="588"/>
      <c r="E119" s="588"/>
      <c r="F119" s="588"/>
      <c r="I119" s="9"/>
      <c r="J119" s="9"/>
      <c r="K119" s="47"/>
      <c r="M119" s="9"/>
      <c r="N119" s="8"/>
      <c r="O119" s="8"/>
      <c r="P119" s="8"/>
      <c r="AJ119" s="9"/>
      <c r="AN119" s="9"/>
      <c r="AO119" s="9"/>
      <c r="AP119" s="9"/>
    </row>
    <row r="120" spans="2:42" ht="15.75" customHeight="1">
      <c r="B120" s="478"/>
      <c r="C120" s="478"/>
      <c r="D120" s="588"/>
      <c r="E120" s="588"/>
      <c r="F120" s="588"/>
      <c r="I120" s="9"/>
      <c r="J120" s="9"/>
      <c r="K120" s="47"/>
      <c r="M120" s="9"/>
      <c r="N120" s="8"/>
      <c r="O120" s="8"/>
      <c r="P120" s="8"/>
      <c r="AJ120" s="9"/>
      <c r="AN120" s="9"/>
      <c r="AO120" s="9"/>
      <c r="AP120" s="9"/>
    </row>
    <row r="121" spans="2:42" ht="15.75" customHeight="1">
      <c r="B121" s="478"/>
      <c r="C121" s="478"/>
      <c r="D121" s="588"/>
      <c r="E121" s="588"/>
      <c r="F121" s="588"/>
      <c r="I121" s="9"/>
      <c r="J121" s="9"/>
      <c r="K121" s="47"/>
      <c r="M121" s="9"/>
      <c r="N121" s="8"/>
      <c r="O121" s="8"/>
      <c r="P121" s="8"/>
      <c r="AJ121" s="9"/>
      <c r="AN121" s="9"/>
      <c r="AO121" s="9"/>
      <c r="AP121" s="9"/>
    </row>
    <row r="141" spans="55:56" ht="15.75" customHeight="1">
      <c r="BD141" s="560"/>
    </row>
    <row r="142" spans="55:56" ht="15.75" customHeight="1">
      <c r="BC142" s="560"/>
    </row>
    <row r="146" spans="57:58" ht="15.75" customHeight="1">
      <c r="BE146" s="560"/>
      <c r="BF146" s="560"/>
    </row>
    <row r="191" spans="40:51" ht="15.75" customHeight="1"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</row>
    <row r="192" spans="40:51" ht="15.75" customHeight="1"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</row>
    <row r="193" spans="40:58" ht="15.75" customHeight="1"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</row>
    <row r="194" spans="40:58" ht="15.75" customHeight="1"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BD194" s="560"/>
    </row>
    <row r="195" spans="40:58" ht="15.75" customHeight="1"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BC195" s="560"/>
    </row>
    <row r="199" spans="40:58" ht="15.75" customHeight="1">
      <c r="BE199" s="560"/>
      <c r="BF199" s="560"/>
    </row>
    <row r="276" spans="55:58" ht="15.75" customHeight="1">
      <c r="BD276" s="560"/>
    </row>
    <row r="277" spans="55:58" ht="15.75" customHeight="1">
      <c r="BC277" s="560"/>
    </row>
    <row r="281" spans="55:58" ht="15.75" customHeight="1">
      <c r="BE281" s="560"/>
      <c r="BF281" s="560"/>
    </row>
    <row r="311" spans="55:58" ht="15.75" customHeight="1">
      <c r="BD311" s="560"/>
    </row>
    <row r="312" spans="55:58" ht="15.75" customHeight="1">
      <c r="BC312" s="560"/>
    </row>
    <row r="316" spans="55:58" ht="15.75" customHeight="1">
      <c r="BE316" s="560"/>
      <c r="BF316" s="560"/>
    </row>
    <row r="494" spans="43:51" ht="15.75" customHeight="1">
      <c r="AQ494" s="478"/>
      <c r="AR494" s="478"/>
      <c r="AS494" s="478"/>
      <c r="AT494" s="478"/>
      <c r="AU494" s="478"/>
      <c r="AV494" s="478"/>
      <c r="AW494" s="478"/>
      <c r="AX494" s="478"/>
      <c r="AY494" s="478"/>
    </row>
    <row r="495" spans="43:51" ht="15.75" customHeight="1">
      <c r="AQ495" s="478"/>
      <c r="AR495" s="478"/>
      <c r="AS495" s="478"/>
      <c r="AT495" s="478"/>
      <c r="AU495" s="478"/>
      <c r="AV495" s="478"/>
      <c r="AW495" s="478"/>
      <c r="AX495" s="478"/>
      <c r="AY495" s="478"/>
    </row>
    <row r="496" spans="43:51" ht="15.75" customHeight="1">
      <c r="AQ496" s="478"/>
      <c r="AR496" s="478"/>
      <c r="AS496" s="478"/>
      <c r="AT496" s="478"/>
      <c r="AU496" s="478"/>
      <c r="AV496" s="478"/>
      <c r="AW496" s="478"/>
      <c r="AX496" s="478"/>
      <c r="AY496" s="478"/>
    </row>
    <row r="497" spans="43:51" ht="15.75" customHeight="1">
      <c r="AQ497" s="478"/>
      <c r="AR497" s="478"/>
      <c r="AS497" s="478"/>
      <c r="AT497" s="478"/>
      <c r="AU497" s="478"/>
      <c r="AV497" s="478"/>
      <c r="AW497" s="478"/>
      <c r="AX497" s="478"/>
      <c r="AY497" s="478"/>
    </row>
    <row r="498" spans="43:51" ht="15.75" customHeight="1">
      <c r="AQ498" s="478"/>
      <c r="AR498" s="478"/>
      <c r="AS498" s="478"/>
      <c r="AT498" s="478"/>
      <c r="AU498" s="478"/>
      <c r="AV498" s="478"/>
      <c r="AW498" s="478"/>
      <c r="AX498" s="478"/>
      <c r="AY498" s="478"/>
    </row>
    <row r="499" spans="43:51" ht="15.75" customHeight="1">
      <c r="AQ499" s="478"/>
      <c r="AR499" s="478"/>
      <c r="AS499" s="478"/>
      <c r="AT499" s="478"/>
      <c r="AU499" s="478"/>
      <c r="AV499" s="478"/>
      <c r="AW499" s="478"/>
      <c r="AX499" s="478"/>
      <c r="AY499" s="478"/>
    </row>
    <row r="500" spans="43:51" ht="15.75" customHeight="1">
      <c r="AQ500" s="478"/>
      <c r="AR500" s="478"/>
      <c r="AS500" s="478"/>
      <c r="AT500" s="478"/>
      <c r="AU500" s="478"/>
      <c r="AV500" s="478"/>
      <c r="AW500" s="478"/>
      <c r="AX500" s="478"/>
      <c r="AY500" s="478"/>
    </row>
    <row r="501" spans="43:51" ht="15.75" customHeight="1">
      <c r="AQ501" s="478"/>
      <c r="AR501" s="478"/>
      <c r="AS501" s="478"/>
      <c r="AT501" s="478"/>
      <c r="AU501" s="478"/>
      <c r="AV501" s="478"/>
      <c r="AW501" s="478"/>
      <c r="AX501" s="478"/>
      <c r="AY501" s="478"/>
    </row>
    <row r="502" spans="43:51" ht="15.75" customHeight="1">
      <c r="AQ502" s="478"/>
      <c r="AR502" s="478"/>
      <c r="AS502" s="478"/>
      <c r="AT502" s="478"/>
      <c r="AU502" s="478"/>
      <c r="AV502" s="478"/>
      <c r="AW502" s="478"/>
      <c r="AX502" s="478"/>
      <c r="AY502" s="478"/>
    </row>
    <row r="503" spans="43:51" ht="15.75" customHeight="1">
      <c r="AQ503" s="478"/>
      <c r="AR503" s="478"/>
      <c r="AS503" s="478"/>
      <c r="AT503" s="478"/>
      <c r="AU503" s="478"/>
      <c r="AV503" s="478"/>
      <c r="AW503" s="478"/>
      <c r="AX503" s="478"/>
      <c r="AY503" s="478"/>
    </row>
    <row r="504" spans="43:51" ht="15.75" customHeight="1">
      <c r="AQ504" s="478"/>
      <c r="AR504" s="478"/>
      <c r="AS504" s="478"/>
      <c r="AT504" s="478"/>
      <c r="AU504" s="478"/>
      <c r="AV504" s="478"/>
      <c r="AW504" s="478"/>
      <c r="AX504" s="478"/>
      <c r="AY504" s="478"/>
    </row>
    <row r="505" spans="43:51" ht="15.75" customHeight="1">
      <c r="AQ505" s="478"/>
      <c r="AR505" s="478"/>
      <c r="AS505" s="478"/>
      <c r="AT505" s="478"/>
      <c r="AU505" s="478"/>
      <c r="AV505" s="478"/>
      <c r="AW505" s="478"/>
      <c r="AX505" s="478"/>
      <c r="AY505" s="478"/>
    </row>
    <row r="506" spans="43:51" ht="15.75" customHeight="1">
      <c r="AQ506" s="478"/>
      <c r="AR506" s="478"/>
      <c r="AS506" s="478"/>
      <c r="AT506" s="478"/>
      <c r="AU506" s="478"/>
      <c r="AV506" s="478"/>
      <c r="AW506" s="478"/>
      <c r="AX506" s="478"/>
      <c r="AY506" s="478"/>
    </row>
    <row r="512" spans="43:51" ht="15.75" customHeight="1">
      <c r="AQ512" s="478"/>
      <c r="AR512" s="478"/>
      <c r="AS512" s="478"/>
      <c r="AT512" s="478"/>
      <c r="AU512" s="478"/>
      <c r="AV512" s="478"/>
      <c r="AW512" s="478"/>
      <c r="AX512" s="478"/>
      <c r="AY512" s="478"/>
    </row>
    <row r="513" spans="43:51" ht="15.75" customHeight="1">
      <c r="AQ513" s="478"/>
      <c r="AR513" s="478"/>
      <c r="AS513" s="478"/>
      <c r="AT513" s="478"/>
      <c r="AU513" s="478"/>
      <c r="AV513" s="478"/>
      <c r="AW513" s="478"/>
      <c r="AX513" s="478"/>
      <c r="AY513" s="478"/>
    </row>
    <row r="514" spans="43:51" ht="15.75" customHeight="1">
      <c r="AQ514" s="478"/>
      <c r="AR514" s="478"/>
      <c r="AS514" s="478"/>
      <c r="AT514" s="478"/>
      <c r="AU514" s="478"/>
      <c r="AV514" s="478"/>
      <c r="AW514" s="478"/>
      <c r="AX514" s="478"/>
      <c r="AY514" s="478"/>
    </row>
    <row r="515" spans="43:51" ht="15.75" customHeight="1">
      <c r="AQ515" s="478"/>
      <c r="AR515" s="478"/>
      <c r="AS515" s="478"/>
      <c r="AT515" s="478"/>
      <c r="AU515" s="478"/>
      <c r="AV515" s="478"/>
      <c r="AW515" s="478"/>
      <c r="AX515" s="478"/>
      <c r="AY515" s="478"/>
    </row>
    <row r="516" spans="43:51" ht="15.75" customHeight="1">
      <c r="AQ516" s="478"/>
      <c r="AR516" s="478"/>
      <c r="AS516" s="478"/>
      <c r="AT516" s="478"/>
      <c r="AU516" s="478"/>
      <c r="AV516" s="478"/>
      <c r="AW516" s="478"/>
      <c r="AX516" s="478"/>
      <c r="AY516" s="478"/>
    </row>
    <row r="520" spans="43:51" ht="15.75" customHeight="1">
      <c r="AQ520" s="478"/>
      <c r="AR520" s="478"/>
      <c r="AS520" s="478"/>
      <c r="AT520" s="478"/>
      <c r="AU520" s="478"/>
      <c r="AV520" s="478"/>
      <c r="AW520" s="478"/>
      <c r="AX520" s="478"/>
      <c r="AY520" s="478"/>
    </row>
    <row r="521" spans="43:51" ht="15.75" customHeight="1">
      <c r="AQ521" s="478"/>
      <c r="AR521" s="478"/>
      <c r="AS521" s="478"/>
      <c r="AT521" s="478"/>
      <c r="AU521" s="478"/>
      <c r="AV521" s="478"/>
      <c r="AW521" s="478"/>
      <c r="AX521" s="478"/>
      <c r="AY521" s="478"/>
    </row>
    <row r="522" spans="43:51" ht="15.75" customHeight="1">
      <c r="AQ522" s="478"/>
      <c r="AR522" s="478"/>
      <c r="AS522" s="478"/>
      <c r="AT522" s="478"/>
      <c r="AU522" s="478"/>
      <c r="AV522" s="478"/>
      <c r="AW522" s="478"/>
      <c r="AX522" s="478"/>
      <c r="AY522" s="478"/>
    </row>
    <row r="523" spans="43:51" ht="15.75" customHeight="1">
      <c r="AQ523" s="478"/>
      <c r="AR523" s="478"/>
      <c r="AS523" s="478"/>
      <c r="AT523" s="478"/>
      <c r="AU523" s="478"/>
      <c r="AV523" s="478"/>
      <c r="AW523" s="478"/>
      <c r="AX523" s="478"/>
      <c r="AY523" s="478"/>
    </row>
    <row r="524" spans="43:51" ht="15.75" customHeight="1">
      <c r="AQ524" s="478"/>
      <c r="AR524" s="478"/>
      <c r="AS524" s="478"/>
      <c r="AT524" s="478"/>
      <c r="AU524" s="478"/>
      <c r="AV524" s="478"/>
      <c r="AW524" s="478"/>
      <c r="AX524" s="478"/>
      <c r="AY524" s="478"/>
    </row>
    <row r="525" spans="43:51" ht="15.75" customHeight="1">
      <c r="AQ525" s="478"/>
      <c r="AR525" s="478"/>
      <c r="AS525" s="478"/>
      <c r="AT525" s="478"/>
      <c r="AU525" s="478"/>
      <c r="AV525" s="478"/>
      <c r="AW525" s="478"/>
      <c r="AX525" s="478"/>
      <c r="AY525" s="478"/>
    </row>
    <row r="526" spans="43:51" ht="15.75" customHeight="1">
      <c r="AQ526" s="478"/>
      <c r="AR526" s="478"/>
      <c r="AS526" s="478"/>
      <c r="AT526" s="478"/>
      <c r="AU526" s="478"/>
      <c r="AV526" s="478"/>
      <c r="AW526" s="478"/>
      <c r="AX526" s="478"/>
      <c r="AY526" s="478"/>
    </row>
    <row r="531" spans="54:54" ht="15.75" customHeight="1">
      <c r="BB531" s="561"/>
    </row>
    <row r="535" spans="54:54" ht="15.75" customHeight="1">
      <c r="BB535" s="561"/>
    </row>
  </sheetData>
  <autoFilter ref="A2:AV54" xr:uid="{00000000-0009-0000-0000-000004000000}">
    <filterColumn colId="13" showButton="0"/>
    <filterColumn colId="14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8" showButton="0"/>
    <filterColumn colId="29" showButton="0"/>
    <filterColumn colId="39" showButton="0"/>
    <filterColumn colId="40" showButton="0"/>
    <filterColumn colId="42" showButton="0"/>
    <filterColumn colId="43" showButton="0"/>
    <filterColumn colId="45" showButton="0"/>
    <filterColumn colId="46" showButton="0"/>
  </autoFilter>
  <mergeCells count="9">
    <mergeCell ref="A1:AY1"/>
    <mergeCell ref="W2:Y2"/>
    <mergeCell ref="Z2:AB2"/>
    <mergeCell ref="N2:P2"/>
    <mergeCell ref="AT2:AV2"/>
    <mergeCell ref="T2:V2"/>
    <mergeCell ref="AC2:AE2"/>
    <mergeCell ref="AN2:AP2"/>
    <mergeCell ref="AQ2:AS2"/>
  </mergeCells>
  <phoneticPr fontId="0" type="noConversion"/>
  <printOptions horizontalCentered="1" gridLines="1"/>
  <pageMargins left="0.39370078740157483" right="0.39370078740157483" top="0.78740157480314965" bottom="0.78740157480314965" header="0.31496062992125984" footer="0.31496062992125984"/>
  <pageSetup paperSize="9" scale="44" fitToHeight="0" orientation="landscape" cellComments="asDisplayed" r:id="rId1"/>
  <headerFooter alignWithMargins="0">
    <oddHeader>&amp;L&amp;G&amp;C
LAYOUT AND EQUIPMENT
EP 15 TRACK 4
KP 30-48&amp;R&amp;G</oddHeader>
    <oddFooter>&amp;L
&amp;F&amp;C&amp;G
&amp;D&amp;R
Page &amp;P of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9">
    <tabColor theme="7"/>
  </sheetPr>
  <dimension ref="A1:BL535"/>
  <sheetViews>
    <sheetView zoomScale="80" zoomScaleNormal="80" workbookViewId="0">
      <selection activeCell="A2" sqref="A2"/>
    </sheetView>
  </sheetViews>
  <sheetFormatPr baseColWidth="10" defaultColWidth="11.44140625" defaultRowHeight="15.75" customHeight="1"/>
  <cols>
    <col min="1" max="1" width="18.6640625" style="7" customWidth="1"/>
    <col min="2" max="2" width="10" style="9" customWidth="1"/>
    <col min="3" max="3" width="13.33203125" style="7" customWidth="1"/>
    <col min="4" max="4" width="13.5546875" style="7" customWidth="1"/>
    <col min="5" max="5" width="10.6640625" style="7" customWidth="1"/>
    <col min="6" max="6" width="9.5546875" style="7" customWidth="1"/>
    <col min="7" max="7" width="9.5546875" style="9" customWidth="1"/>
    <col min="8" max="8" width="18" style="9" customWidth="1"/>
    <col min="9" max="9" width="15.109375" style="7" customWidth="1"/>
    <col min="10" max="10" width="13.33203125" style="7" customWidth="1"/>
    <col min="11" max="11" width="15.6640625" style="7" customWidth="1"/>
    <col min="12" max="12" width="16.44140625" style="7" customWidth="1"/>
    <col min="13" max="13" width="15.6640625" style="7" customWidth="1"/>
    <col min="14" max="16" width="9.33203125" style="7" customWidth="1"/>
    <col min="17" max="19" width="11.44140625" style="7" customWidth="1"/>
    <col min="20" max="31" width="7.5546875" style="7" customWidth="1"/>
    <col min="32" max="36" width="11.44140625" style="7" customWidth="1"/>
    <col min="37" max="37" width="11.44140625" style="9" customWidth="1"/>
    <col min="38" max="39" width="11.44140625" style="7" customWidth="1"/>
    <col min="40" max="51" width="7.109375" style="47" customWidth="1"/>
    <col min="52" max="53" width="11.44140625" style="7" customWidth="1"/>
    <col min="54" max="54" width="54.6640625" style="518" customWidth="1"/>
    <col min="55" max="55" width="15.6640625" style="517" customWidth="1"/>
    <col min="56" max="56" width="2.6640625" style="517" customWidth="1"/>
    <col min="57" max="57" width="45.6640625" style="517" customWidth="1"/>
    <col min="58" max="58" width="19.109375" style="517" customWidth="1"/>
    <col min="59" max="59" width="4.6640625" style="517" customWidth="1"/>
    <col min="60" max="60" width="22.88671875" style="519" customWidth="1"/>
    <col min="61" max="64" width="11.44140625" style="517" customWidth="1"/>
    <col min="65" max="16384" width="11.44140625" style="7"/>
  </cols>
  <sheetData>
    <row r="1" spans="1:64" ht="36.75" customHeight="1" thickBot="1">
      <c r="A1" s="1376" t="s">
        <v>2046</v>
      </c>
      <c r="B1" s="1377"/>
      <c r="C1" s="1377"/>
      <c r="D1" s="1377"/>
      <c r="E1" s="1377"/>
      <c r="F1" s="1377"/>
      <c r="G1" s="1377"/>
      <c r="H1" s="1377"/>
      <c r="I1" s="1377"/>
      <c r="J1" s="1377"/>
      <c r="K1" s="1377"/>
      <c r="L1" s="1377"/>
      <c r="M1" s="1377"/>
      <c r="N1" s="1377"/>
      <c r="O1" s="1377"/>
      <c r="P1" s="1377"/>
      <c r="Q1" s="1377"/>
      <c r="R1" s="1377"/>
      <c r="S1" s="1377"/>
      <c r="T1" s="1377"/>
      <c r="U1" s="1377"/>
      <c r="V1" s="1377"/>
      <c r="W1" s="1377"/>
      <c r="X1" s="1377"/>
      <c r="Y1" s="1377"/>
      <c r="Z1" s="1377"/>
      <c r="AA1" s="1377"/>
      <c r="AB1" s="1377"/>
      <c r="AC1" s="1377"/>
      <c r="AD1" s="1377"/>
      <c r="AE1" s="1377"/>
      <c r="AF1" s="1377"/>
      <c r="AG1" s="1377"/>
      <c r="AH1" s="1377"/>
      <c r="AI1" s="1377"/>
      <c r="AJ1" s="1377"/>
      <c r="AK1" s="1377"/>
      <c r="AL1" s="1377"/>
      <c r="AM1" s="1377"/>
      <c r="AN1" s="1377"/>
      <c r="AO1" s="1377"/>
      <c r="AP1" s="1377"/>
      <c r="AQ1" s="1377"/>
      <c r="AR1" s="1377"/>
      <c r="AS1" s="1377"/>
      <c r="AT1" s="1377"/>
      <c r="AU1" s="1377"/>
      <c r="AV1" s="1377"/>
      <c r="AW1" s="1377"/>
      <c r="AX1" s="1377"/>
      <c r="AY1" s="1377"/>
    </row>
    <row r="2" spans="1:64" ht="42" customHeight="1" thickBot="1">
      <c r="A2" s="791" t="s">
        <v>2457</v>
      </c>
      <c r="B2" s="791" t="s">
        <v>467</v>
      </c>
      <c r="C2" s="791" t="s">
        <v>468</v>
      </c>
      <c r="D2" s="791" t="s">
        <v>2458</v>
      </c>
      <c r="E2" s="791" t="s">
        <v>681</v>
      </c>
      <c r="F2" s="791" t="s">
        <v>470</v>
      </c>
      <c r="G2" s="791" t="s">
        <v>469</v>
      </c>
      <c r="H2" s="791" t="s">
        <v>473</v>
      </c>
      <c r="I2" s="791" t="s">
        <v>472</v>
      </c>
      <c r="J2" s="791" t="s">
        <v>1017</v>
      </c>
      <c r="K2" s="791" t="s">
        <v>2463</v>
      </c>
      <c r="L2" s="791" t="s">
        <v>474</v>
      </c>
      <c r="M2" s="791" t="s">
        <v>471</v>
      </c>
      <c r="N2" s="1373" t="s">
        <v>475</v>
      </c>
      <c r="O2" s="1374"/>
      <c r="P2" s="1375"/>
      <c r="Q2" s="791" t="s">
        <v>680</v>
      </c>
      <c r="R2" s="791" t="s">
        <v>682</v>
      </c>
      <c r="S2" s="791" t="s">
        <v>683</v>
      </c>
      <c r="T2" s="1373" t="s">
        <v>481</v>
      </c>
      <c r="U2" s="1374"/>
      <c r="V2" s="1375"/>
      <c r="W2" s="1373" t="s">
        <v>484</v>
      </c>
      <c r="X2" s="1374"/>
      <c r="Y2" s="1375"/>
      <c r="Z2" s="1373" t="s">
        <v>2459</v>
      </c>
      <c r="AA2" s="1374"/>
      <c r="AB2" s="1375"/>
      <c r="AC2" s="1373" t="s">
        <v>685</v>
      </c>
      <c r="AD2" s="1374"/>
      <c r="AE2" s="1375"/>
      <c r="AF2" s="791" t="s">
        <v>686</v>
      </c>
      <c r="AG2" s="791" t="s">
        <v>687</v>
      </c>
      <c r="AH2" s="791" t="s">
        <v>688</v>
      </c>
      <c r="AI2" s="791" t="s">
        <v>689</v>
      </c>
      <c r="AJ2" s="791" t="s">
        <v>690</v>
      </c>
      <c r="AK2" s="791" t="s">
        <v>476</v>
      </c>
      <c r="AL2" s="792" t="s">
        <v>477</v>
      </c>
      <c r="AM2" s="792" t="s">
        <v>692</v>
      </c>
      <c r="AN2" s="1373" t="s">
        <v>482</v>
      </c>
      <c r="AO2" s="1374"/>
      <c r="AP2" s="1375"/>
      <c r="AQ2" s="1373" t="s">
        <v>483</v>
      </c>
      <c r="AR2" s="1374"/>
      <c r="AS2" s="1375"/>
      <c r="AT2" s="1373" t="s">
        <v>691</v>
      </c>
      <c r="AU2" s="1374"/>
      <c r="AV2" s="1375"/>
      <c r="AW2" s="792" t="s">
        <v>2460</v>
      </c>
      <c r="AX2" s="792" t="s">
        <v>2461</v>
      </c>
      <c r="AY2" s="792" t="s">
        <v>2462</v>
      </c>
      <c r="BB2" s="797" t="s">
        <v>1018</v>
      </c>
      <c r="BC2" s="511"/>
      <c r="BD2" s="512"/>
      <c r="BE2" s="798" t="s">
        <v>1018</v>
      </c>
      <c r="BF2" s="513"/>
      <c r="BG2" s="514"/>
      <c r="BH2" s="515" t="s">
        <v>1019</v>
      </c>
      <c r="BI2" s="515" t="s">
        <v>962</v>
      </c>
      <c r="BJ2" s="515" t="s">
        <v>963</v>
      </c>
      <c r="BK2" s="515" t="s">
        <v>964</v>
      </c>
      <c r="BL2" s="516" t="s">
        <v>200</v>
      </c>
    </row>
    <row r="3" spans="1:64" ht="15.75" customHeight="1" thickBot="1">
      <c r="C3" s="593"/>
      <c r="F3" s="482"/>
      <c r="G3" s="7"/>
      <c r="I3" s="9"/>
      <c r="J3" s="9"/>
      <c r="K3" s="9"/>
      <c r="N3" s="4" t="s">
        <v>123</v>
      </c>
      <c r="O3" s="4" t="s">
        <v>124</v>
      </c>
      <c r="P3" s="4" t="s">
        <v>125</v>
      </c>
      <c r="T3" s="4" t="s">
        <v>126</v>
      </c>
      <c r="U3" s="5" t="s">
        <v>127</v>
      </c>
      <c r="V3" s="4" t="s">
        <v>128</v>
      </c>
      <c r="W3" s="4" t="s">
        <v>129</v>
      </c>
      <c r="X3" s="5" t="s">
        <v>130</v>
      </c>
      <c r="Y3" s="4" t="s">
        <v>131</v>
      </c>
      <c r="Z3" s="4" t="s">
        <v>132</v>
      </c>
      <c r="AA3" s="5" t="s">
        <v>133</v>
      </c>
      <c r="AB3" s="4" t="s">
        <v>134</v>
      </c>
      <c r="AC3" s="4" t="s">
        <v>135</v>
      </c>
      <c r="AD3" s="5" t="s">
        <v>136</v>
      </c>
      <c r="AE3" s="4" t="s">
        <v>137</v>
      </c>
      <c r="AJ3" s="9"/>
      <c r="AN3" s="4" t="s">
        <v>129</v>
      </c>
      <c r="AO3" s="4" t="s">
        <v>130</v>
      </c>
      <c r="AP3" s="4" t="s">
        <v>131</v>
      </c>
      <c r="AQ3" s="4" t="s">
        <v>662</v>
      </c>
      <c r="AR3" s="4" t="s">
        <v>663</v>
      </c>
      <c r="AS3" s="4" t="s">
        <v>664</v>
      </c>
      <c r="AT3" s="4" t="s">
        <v>665</v>
      </c>
      <c r="AU3" s="4" t="s">
        <v>666</v>
      </c>
      <c r="AV3" s="4" t="s">
        <v>667</v>
      </c>
      <c r="AW3" s="7"/>
      <c r="AX3" s="7"/>
      <c r="AY3" s="7"/>
      <c r="BB3" s="536"/>
      <c r="BC3" s="537"/>
      <c r="BD3" s="512"/>
      <c r="BE3" s="536"/>
      <c r="BF3" s="537"/>
      <c r="BH3" s="517"/>
      <c r="BL3" s="519"/>
    </row>
    <row r="4" spans="1:64" ht="15.75" customHeight="1">
      <c r="B4" s="477"/>
      <c r="C4" s="481"/>
      <c r="D4" s="478"/>
      <c r="E4" s="478"/>
      <c r="G4" s="479"/>
      <c r="H4" s="47"/>
      <c r="I4" s="47"/>
      <c r="J4" s="47"/>
      <c r="K4" s="47"/>
      <c r="L4" s="47"/>
      <c r="M4" s="47"/>
      <c r="N4" s="47"/>
      <c r="O4" s="47"/>
      <c r="P4" s="483"/>
      <c r="Q4" s="483"/>
      <c r="R4" s="483"/>
      <c r="S4" s="483"/>
      <c r="T4" s="483"/>
      <c r="U4" s="483"/>
      <c r="V4" s="483"/>
      <c r="W4" s="483"/>
      <c r="X4" s="483"/>
      <c r="Y4" s="483"/>
      <c r="Z4" s="483"/>
      <c r="AA4" s="483"/>
      <c r="AB4" s="483"/>
      <c r="AC4" s="483"/>
      <c r="AD4" s="483"/>
      <c r="AE4" s="483"/>
      <c r="AF4" s="47"/>
      <c r="AG4" s="483"/>
      <c r="AH4" s="483"/>
      <c r="AI4" s="585"/>
      <c r="AJ4" s="47"/>
      <c r="AL4" s="47"/>
      <c r="AM4" s="47"/>
      <c r="AN4" s="9"/>
      <c r="AO4" s="9"/>
      <c r="AP4" s="9"/>
      <c r="BB4" s="799" t="s">
        <v>1027</v>
      </c>
      <c r="BC4" s="539"/>
      <c r="BD4" s="512"/>
      <c r="BE4" s="799" t="s">
        <v>1044</v>
      </c>
      <c r="BF4" s="539"/>
      <c r="BH4" s="518"/>
      <c r="BI4" s="531"/>
      <c r="BJ4" s="531"/>
      <c r="BK4" s="532"/>
      <c r="BL4" s="519">
        <f>+(BJ4-BI4)*BK4/1000</f>
        <v>0</v>
      </c>
    </row>
    <row r="5" spans="1:64" ht="15.75" customHeight="1">
      <c r="B5" s="477"/>
      <c r="C5" s="481"/>
      <c r="D5" s="478"/>
      <c r="E5" s="478"/>
      <c r="G5" s="479"/>
      <c r="I5" s="9"/>
      <c r="J5" s="47"/>
      <c r="K5" s="47"/>
      <c r="L5" s="47"/>
      <c r="M5" s="47"/>
      <c r="N5" s="9"/>
      <c r="O5" s="9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585"/>
      <c r="AJ5" s="47"/>
      <c r="AL5" s="47"/>
      <c r="AM5" s="47"/>
      <c r="AN5" s="9"/>
      <c r="AO5" s="9"/>
      <c r="AP5" s="9"/>
      <c r="BB5" s="540" t="s">
        <v>1021</v>
      </c>
      <c r="BC5" s="541"/>
      <c r="BD5" s="542"/>
      <c r="BE5" s="540" t="s">
        <v>1073</v>
      </c>
      <c r="BF5" s="543" t="s">
        <v>485</v>
      </c>
      <c r="BH5" s="518"/>
      <c r="BI5" s="531"/>
      <c r="BJ5" s="531"/>
      <c r="BK5" s="532"/>
      <c r="BL5" s="519">
        <f>+(BJ5-BI5)*BK5/1000</f>
        <v>0</v>
      </c>
    </row>
    <row r="6" spans="1:64" ht="15.75" customHeight="1">
      <c r="B6" s="477"/>
      <c r="C6" s="481"/>
      <c r="D6" s="478"/>
      <c r="E6" s="478"/>
      <c r="G6" s="479"/>
      <c r="H6" s="483"/>
      <c r="I6" s="479"/>
      <c r="J6" s="483"/>
      <c r="K6" s="483"/>
      <c r="L6" s="47"/>
      <c r="M6" s="47"/>
      <c r="N6" s="9"/>
      <c r="O6" s="9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585"/>
      <c r="AJ6" s="47"/>
      <c r="AL6" s="47"/>
      <c r="AM6" s="47"/>
      <c r="AN6" s="9"/>
      <c r="AO6" s="9"/>
      <c r="AP6" s="9"/>
      <c r="BB6" s="540" t="s">
        <v>1023</v>
      </c>
      <c r="BC6" s="544"/>
      <c r="BD6" s="542"/>
      <c r="BE6" s="540" t="s">
        <v>1074</v>
      </c>
      <c r="BF6" s="543" t="s">
        <v>486</v>
      </c>
      <c r="BH6" s="518"/>
      <c r="BI6" s="531"/>
      <c r="BJ6" s="531"/>
      <c r="BK6" s="532"/>
      <c r="BL6" s="519">
        <f>+(BJ6-BI6)*BK6/1000</f>
        <v>0</v>
      </c>
    </row>
    <row r="7" spans="1:64" ht="15.75" customHeight="1">
      <c r="B7" s="477"/>
      <c r="C7" s="481"/>
      <c r="D7" s="478"/>
      <c r="E7" s="478"/>
      <c r="G7" s="479"/>
      <c r="H7" s="47"/>
      <c r="I7" s="478"/>
      <c r="J7" s="483"/>
      <c r="K7" s="47"/>
      <c r="L7" s="47"/>
      <c r="M7" s="47"/>
      <c r="N7" s="9"/>
      <c r="O7" s="9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585"/>
      <c r="AJ7" s="47"/>
      <c r="AL7" s="47"/>
      <c r="AM7" s="47"/>
      <c r="AN7" s="9"/>
      <c r="AO7" s="9"/>
      <c r="AP7" s="9"/>
      <c r="BB7" s="540" t="s">
        <v>1022</v>
      </c>
      <c r="BC7" s="800"/>
      <c r="BD7" s="542"/>
      <c r="BE7" s="540"/>
      <c r="BF7" s="543"/>
      <c r="BH7" s="518"/>
      <c r="BI7" s="531"/>
      <c r="BJ7" s="531"/>
      <c r="BK7" s="532"/>
      <c r="BL7" s="519">
        <f>+(BJ7-BI7)*BK7/1000</f>
        <v>0</v>
      </c>
    </row>
    <row r="8" spans="1:64" ht="15.75" customHeight="1">
      <c r="B8" s="477"/>
      <c r="C8" s="481"/>
      <c r="D8" s="478"/>
      <c r="E8" s="478"/>
      <c r="G8" s="479"/>
      <c r="H8" s="47"/>
      <c r="I8" s="47"/>
      <c r="J8" s="47"/>
      <c r="K8" s="47"/>
      <c r="L8" s="47"/>
      <c r="M8" s="47"/>
      <c r="N8" s="47"/>
      <c r="O8" s="47"/>
      <c r="P8" s="483"/>
      <c r="Q8" s="483"/>
      <c r="R8" s="483"/>
      <c r="S8" s="483"/>
      <c r="T8" s="483"/>
      <c r="U8" s="483"/>
      <c r="V8" s="483"/>
      <c r="W8" s="483"/>
      <c r="X8" s="483"/>
      <c r="Y8" s="483"/>
      <c r="Z8" s="483"/>
      <c r="AA8" s="483"/>
      <c r="AB8" s="483"/>
      <c r="AC8" s="483"/>
      <c r="AD8" s="483"/>
      <c r="AE8" s="483"/>
      <c r="AF8" s="47"/>
      <c r="AG8" s="483"/>
      <c r="AH8" s="483"/>
      <c r="AI8" s="585"/>
      <c r="AJ8" s="47"/>
      <c r="AL8" s="47"/>
      <c r="AM8" s="47"/>
      <c r="AN8" s="9"/>
      <c r="AO8" s="9"/>
      <c r="AP8" s="9"/>
      <c r="BB8" s="540" t="s">
        <v>1020</v>
      </c>
      <c r="BC8" s="801"/>
      <c r="BD8" s="542"/>
      <c r="BE8" s="799" t="s">
        <v>919</v>
      </c>
      <c r="BF8" s="539"/>
      <c r="BH8" s="545" t="s">
        <v>1015</v>
      </c>
      <c r="BI8" s="546"/>
      <c r="BJ8" s="546"/>
      <c r="BK8" s="546"/>
      <c r="BL8" s="547">
        <f>SUM(BL4:BL7)</f>
        <v>0</v>
      </c>
    </row>
    <row r="9" spans="1:64" ht="15.75" customHeight="1">
      <c r="B9" s="477"/>
      <c r="C9" s="481"/>
      <c r="D9" s="478"/>
      <c r="E9" s="478"/>
      <c r="G9" s="479"/>
      <c r="I9" s="9"/>
      <c r="J9" s="47"/>
      <c r="K9" s="47"/>
      <c r="L9" s="47"/>
      <c r="M9" s="47"/>
      <c r="N9" s="9"/>
      <c r="O9" s="9"/>
      <c r="P9" s="47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585"/>
      <c r="AJ9" s="47"/>
      <c r="AL9" s="47"/>
      <c r="AM9" s="47"/>
      <c r="AN9" s="9"/>
      <c r="AO9" s="9"/>
      <c r="AP9" s="9"/>
      <c r="BB9" s="540" t="s">
        <v>1024</v>
      </c>
      <c r="BC9" s="693"/>
      <c r="BD9" s="542"/>
      <c r="BE9" s="540" t="s">
        <v>1093</v>
      </c>
      <c r="BF9" s="543" t="s">
        <v>1092</v>
      </c>
      <c r="BH9" s="517"/>
    </row>
    <row r="10" spans="1:64" ht="15.75" customHeight="1">
      <c r="B10" s="477"/>
      <c r="C10" s="481"/>
      <c r="D10" s="478"/>
      <c r="E10" s="478"/>
      <c r="G10" s="479"/>
      <c r="H10" s="483"/>
      <c r="I10" s="479"/>
      <c r="J10" s="483"/>
      <c r="K10" s="483"/>
      <c r="L10" s="47"/>
      <c r="M10" s="47"/>
      <c r="N10" s="9"/>
      <c r="O10" s="9"/>
      <c r="P10" s="47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585"/>
      <c r="AJ10" s="47"/>
      <c r="AL10" s="47"/>
      <c r="AM10" s="47"/>
      <c r="AN10" s="9"/>
      <c r="AO10" s="9"/>
      <c r="AP10" s="9"/>
      <c r="BB10" s="540" t="s">
        <v>1025</v>
      </c>
      <c r="BC10" s="548"/>
      <c r="BD10" s="542"/>
      <c r="BE10" s="540" t="s">
        <v>2642</v>
      </c>
      <c r="BF10" s="543" t="s">
        <v>924</v>
      </c>
      <c r="BH10" s="545" t="s">
        <v>1016</v>
      </c>
      <c r="BI10" s="546"/>
      <c r="BJ10" s="546"/>
      <c r="BK10" s="546"/>
      <c r="BL10" s="547">
        <f>+(BJ7-BI4)/1000</f>
        <v>0</v>
      </c>
    </row>
    <row r="11" spans="1:64" ht="15.75" customHeight="1">
      <c r="B11" s="477"/>
      <c r="C11" s="481"/>
      <c r="D11" s="478"/>
      <c r="E11" s="478"/>
      <c r="G11" s="479"/>
      <c r="H11" s="47"/>
      <c r="I11" s="478"/>
      <c r="J11" s="483"/>
      <c r="K11" s="47"/>
      <c r="L11" s="47"/>
      <c r="M11" s="47"/>
      <c r="N11" s="9"/>
      <c r="O11" s="9"/>
      <c r="P11" s="47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585"/>
      <c r="AJ11" s="47"/>
      <c r="AL11" s="47"/>
      <c r="AM11" s="47"/>
      <c r="AN11" s="9"/>
      <c r="AO11" s="9"/>
      <c r="AP11" s="9"/>
      <c r="BB11" s="540"/>
      <c r="BC11" s="549"/>
      <c r="BD11" s="542"/>
      <c r="BE11" s="540" t="s">
        <v>2643</v>
      </c>
      <c r="BF11" s="543" t="s">
        <v>923</v>
      </c>
      <c r="BH11" s="517"/>
    </row>
    <row r="12" spans="1:64" ht="15.75" customHeight="1">
      <c r="B12" s="477"/>
      <c r="C12" s="481"/>
      <c r="D12" s="478"/>
      <c r="E12" s="478"/>
      <c r="G12" s="479"/>
      <c r="H12" s="47"/>
      <c r="I12" s="47"/>
      <c r="J12" s="47"/>
      <c r="K12" s="47"/>
      <c r="L12" s="47"/>
      <c r="M12" s="47"/>
      <c r="N12" s="47"/>
      <c r="O12" s="47"/>
      <c r="P12" s="483"/>
      <c r="Q12" s="483"/>
      <c r="R12" s="483"/>
      <c r="S12" s="483"/>
      <c r="T12" s="483"/>
      <c r="U12" s="483"/>
      <c r="V12" s="483"/>
      <c r="W12" s="483"/>
      <c r="X12" s="483"/>
      <c r="Y12" s="483"/>
      <c r="Z12" s="483"/>
      <c r="AA12" s="483"/>
      <c r="AB12" s="483"/>
      <c r="AC12" s="483"/>
      <c r="AD12" s="483"/>
      <c r="AE12" s="483"/>
      <c r="AF12" s="47"/>
      <c r="AG12" s="483"/>
      <c r="AH12" s="483"/>
      <c r="AI12" s="585"/>
      <c r="AJ12" s="47"/>
      <c r="AL12" s="47"/>
      <c r="AM12" s="47"/>
      <c r="AN12" s="9"/>
      <c r="AO12" s="9"/>
      <c r="AP12" s="9"/>
      <c r="BB12" s="799" t="s">
        <v>1026</v>
      </c>
      <c r="BC12" s="539"/>
      <c r="BD12" s="512"/>
      <c r="BE12" s="540"/>
      <c r="BF12" s="543"/>
      <c r="BH12" s="515" t="s">
        <v>969</v>
      </c>
      <c r="BI12" s="515" t="s">
        <v>962</v>
      </c>
      <c r="BJ12" s="515" t="s">
        <v>963</v>
      </c>
      <c r="BK12" s="515" t="s">
        <v>964</v>
      </c>
      <c r="BL12" s="516" t="s">
        <v>200</v>
      </c>
    </row>
    <row r="13" spans="1:64" ht="15.75" customHeight="1">
      <c r="B13" s="477"/>
      <c r="C13" s="481"/>
      <c r="D13" s="478"/>
      <c r="E13" s="478"/>
      <c r="G13" s="479"/>
      <c r="I13" s="9"/>
      <c r="J13" s="47"/>
      <c r="K13" s="47"/>
      <c r="L13" s="47"/>
      <c r="M13" s="47"/>
      <c r="N13" s="9"/>
      <c r="O13" s="9"/>
      <c r="P13" s="47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585"/>
      <c r="AJ13" s="47"/>
      <c r="AL13" s="47"/>
      <c r="AM13" s="47"/>
      <c r="AN13" s="9"/>
      <c r="AO13" s="9"/>
      <c r="AP13" s="9"/>
      <c r="BB13" s="540" t="s">
        <v>1029</v>
      </c>
      <c r="BC13" s="543" t="s">
        <v>138</v>
      </c>
      <c r="BD13" s="550"/>
      <c r="BE13" s="799" t="s">
        <v>897</v>
      </c>
      <c r="BF13" s="539"/>
      <c r="BH13" s="545"/>
      <c r="BI13" s="546"/>
      <c r="BJ13" s="546"/>
      <c r="BK13" s="546"/>
      <c r="BL13" s="547">
        <f>SUM(BL14:BL19)+SUM(BL24:BL32)</f>
        <v>0</v>
      </c>
    </row>
    <row r="14" spans="1:64" ht="15.75" customHeight="1">
      <c r="B14" s="477"/>
      <c r="C14" s="481"/>
      <c r="D14" s="478"/>
      <c r="E14" s="478"/>
      <c r="G14" s="479"/>
      <c r="H14" s="483"/>
      <c r="I14" s="479"/>
      <c r="J14" s="483"/>
      <c r="K14" s="483"/>
      <c r="L14" s="47"/>
      <c r="M14" s="47"/>
      <c r="N14" s="9"/>
      <c r="O14" s="9"/>
      <c r="P14" s="47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585"/>
      <c r="AJ14" s="47"/>
      <c r="AL14" s="47"/>
      <c r="AM14" s="47"/>
      <c r="AN14" s="9"/>
      <c r="AO14" s="9"/>
      <c r="AP14" s="9"/>
      <c r="BB14" s="540" t="s">
        <v>1030</v>
      </c>
      <c r="BC14" s="543" t="s">
        <v>1028</v>
      </c>
      <c r="BD14" s="550"/>
      <c r="BE14" s="540" t="s">
        <v>1065</v>
      </c>
      <c r="BF14" s="543" t="s">
        <v>144</v>
      </c>
      <c r="BH14" s="518"/>
      <c r="BI14" s="531"/>
      <c r="BJ14" s="531"/>
      <c r="BK14" s="532"/>
      <c r="BL14" s="519">
        <f t="shared" ref="BL14:BL19" si="0">+(BJ14-BI14)*BK14/1000</f>
        <v>0</v>
      </c>
    </row>
    <row r="15" spans="1:64" ht="15.75" customHeight="1">
      <c r="B15" s="477"/>
      <c r="C15" s="481"/>
      <c r="D15" s="478"/>
      <c r="E15" s="478"/>
      <c r="G15" s="479"/>
      <c r="H15" s="47"/>
      <c r="I15" s="478"/>
      <c r="J15" s="483"/>
      <c r="K15" s="47"/>
      <c r="L15" s="47"/>
      <c r="M15" s="47"/>
      <c r="N15" s="9"/>
      <c r="O15" s="9"/>
      <c r="P15" s="47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585"/>
      <c r="AJ15" s="47"/>
      <c r="AL15" s="47"/>
      <c r="AM15" s="47"/>
      <c r="AN15" s="9"/>
      <c r="AO15" s="9"/>
      <c r="AP15" s="9"/>
      <c r="BB15" s="540" t="s">
        <v>1032</v>
      </c>
      <c r="BC15" s="543" t="s">
        <v>668</v>
      </c>
      <c r="BD15" s="550"/>
      <c r="BE15" s="540" t="s">
        <v>1094</v>
      </c>
      <c r="BF15" s="543" t="s">
        <v>145</v>
      </c>
      <c r="BH15" s="518"/>
      <c r="BI15" s="531"/>
      <c r="BJ15" s="531"/>
      <c r="BK15" s="532"/>
      <c r="BL15" s="519">
        <f t="shared" si="0"/>
        <v>0</v>
      </c>
    </row>
    <row r="16" spans="1:64" ht="15.75" customHeight="1">
      <c r="B16" s="477"/>
      <c r="C16" s="481"/>
      <c r="D16" s="478"/>
      <c r="E16" s="478"/>
      <c r="G16" s="479"/>
      <c r="H16" s="483"/>
      <c r="I16" s="47"/>
      <c r="J16" s="483"/>
      <c r="K16" s="47"/>
      <c r="L16" s="9"/>
      <c r="M16" s="47"/>
      <c r="N16" s="9"/>
      <c r="O16" s="9"/>
      <c r="P16" s="47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585"/>
      <c r="AJ16" s="47"/>
      <c r="AL16" s="47"/>
      <c r="AM16" s="47"/>
      <c r="AN16" s="9"/>
      <c r="AO16" s="9"/>
      <c r="AP16" s="9"/>
      <c r="BB16" s="540" t="s">
        <v>1031</v>
      </c>
      <c r="BC16" s="543" t="s">
        <v>669</v>
      </c>
      <c r="BD16" s="550"/>
      <c r="BE16" s="540" t="s">
        <v>1066</v>
      </c>
      <c r="BF16" s="543" t="s">
        <v>140</v>
      </c>
      <c r="BH16" s="518"/>
      <c r="BI16" s="531"/>
      <c r="BJ16" s="531"/>
      <c r="BK16" s="532"/>
      <c r="BL16" s="519">
        <f t="shared" si="0"/>
        <v>0</v>
      </c>
    </row>
    <row r="17" spans="2:64" ht="15.75" customHeight="1">
      <c r="B17" s="477"/>
      <c r="C17" s="481"/>
      <c r="D17" s="478"/>
      <c r="E17" s="478"/>
      <c r="G17" s="479"/>
      <c r="H17" s="483"/>
      <c r="I17" s="47"/>
      <c r="J17" s="483"/>
      <c r="K17" s="483"/>
      <c r="L17" s="47"/>
      <c r="M17" s="47"/>
      <c r="N17" s="9"/>
      <c r="O17" s="9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585"/>
      <c r="AJ17" s="47"/>
      <c r="AL17" s="47"/>
      <c r="AM17" s="47"/>
      <c r="AN17" s="9"/>
      <c r="AO17" s="9"/>
      <c r="AP17" s="9"/>
      <c r="BB17" s="540" t="s">
        <v>1034</v>
      </c>
      <c r="BC17" s="543" t="s">
        <v>996</v>
      </c>
      <c r="BD17" s="550"/>
      <c r="BE17" s="540" t="s">
        <v>1067</v>
      </c>
      <c r="BF17" s="543" t="s">
        <v>695</v>
      </c>
      <c r="BH17" s="518"/>
      <c r="BI17" s="531"/>
      <c r="BJ17" s="531"/>
      <c r="BK17" s="532"/>
      <c r="BL17" s="519">
        <f t="shared" si="0"/>
        <v>0</v>
      </c>
    </row>
    <row r="18" spans="2:64" ht="15.75" customHeight="1">
      <c r="B18" s="477"/>
      <c r="C18" s="481"/>
      <c r="D18" s="478"/>
      <c r="E18" s="478"/>
      <c r="G18" s="479"/>
      <c r="H18" s="483"/>
      <c r="I18" s="47"/>
      <c r="J18" s="483"/>
      <c r="K18" s="483"/>
      <c r="L18" s="47"/>
      <c r="M18" s="47"/>
      <c r="N18" s="9"/>
      <c r="O18" s="9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585"/>
      <c r="AJ18" s="47"/>
      <c r="AL18" s="47"/>
      <c r="AM18" s="47"/>
      <c r="AN18" s="9"/>
      <c r="AO18" s="9"/>
      <c r="AP18" s="9"/>
      <c r="BB18" s="540" t="s">
        <v>1033</v>
      </c>
      <c r="BC18" s="543" t="s">
        <v>997</v>
      </c>
      <c r="BD18" s="550"/>
      <c r="BE18" s="540" t="s">
        <v>1068</v>
      </c>
      <c r="BF18" s="543" t="s">
        <v>696</v>
      </c>
      <c r="BH18" s="518"/>
      <c r="BI18" s="531"/>
      <c r="BJ18" s="531"/>
      <c r="BK18" s="532"/>
      <c r="BL18" s="519">
        <f t="shared" si="0"/>
        <v>0</v>
      </c>
    </row>
    <row r="19" spans="2:64" ht="15.75" customHeight="1">
      <c r="B19" s="477"/>
      <c r="C19" s="481"/>
      <c r="D19" s="478"/>
      <c r="E19" s="478"/>
      <c r="G19" s="479"/>
      <c r="H19" s="483"/>
      <c r="I19" s="47"/>
      <c r="J19" s="483"/>
      <c r="K19" s="483"/>
      <c r="L19" s="47"/>
      <c r="M19" s="47"/>
      <c r="N19" s="9"/>
      <c r="O19" s="9"/>
      <c r="P19" s="47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585"/>
      <c r="AJ19" s="47"/>
      <c r="AL19" s="47"/>
      <c r="AM19" s="47"/>
      <c r="AN19" s="9"/>
      <c r="AO19" s="9"/>
      <c r="AP19" s="9"/>
      <c r="BB19" s="540" t="s">
        <v>1035</v>
      </c>
      <c r="BC19" s="543" t="s">
        <v>995</v>
      </c>
      <c r="BD19" s="550"/>
      <c r="BE19" s="540" t="s">
        <v>1069</v>
      </c>
      <c r="BF19" s="543" t="s">
        <v>697</v>
      </c>
      <c r="BH19" s="518"/>
      <c r="BI19" s="551"/>
      <c r="BJ19" s="551"/>
      <c r="BK19" s="552"/>
      <c r="BL19" s="553">
        <f t="shared" si="0"/>
        <v>0</v>
      </c>
    </row>
    <row r="20" spans="2:64" ht="15.75" customHeight="1">
      <c r="B20" s="477"/>
      <c r="C20" s="481"/>
      <c r="D20" s="478"/>
      <c r="E20" s="478"/>
      <c r="G20" s="479"/>
      <c r="I20" s="9"/>
      <c r="J20" s="47"/>
      <c r="K20" s="47"/>
      <c r="L20" s="47"/>
      <c r="M20" s="47"/>
      <c r="N20" s="47"/>
      <c r="O20" s="9"/>
      <c r="P20" s="47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585"/>
      <c r="AJ20" s="47"/>
      <c r="AL20" s="47"/>
      <c r="AM20" s="47"/>
      <c r="AN20" s="9"/>
      <c r="AO20" s="9"/>
      <c r="AP20" s="9"/>
      <c r="BB20" s="540" t="s">
        <v>2468</v>
      </c>
      <c r="BC20" s="543" t="s">
        <v>1101</v>
      </c>
      <c r="BD20" s="550"/>
      <c r="BE20" s="540" t="s">
        <v>1070</v>
      </c>
      <c r="BF20" s="543" t="s">
        <v>952</v>
      </c>
      <c r="BH20" s="545" t="s">
        <v>1139</v>
      </c>
      <c r="BL20" s="554">
        <f>SUM(BL14:BL19)</f>
        <v>0</v>
      </c>
    </row>
    <row r="21" spans="2:64" ht="15.75" customHeight="1">
      <c r="B21" s="477"/>
      <c r="C21" s="481"/>
      <c r="D21" s="478"/>
      <c r="E21" s="478"/>
      <c r="G21" s="479"/>
      <c r="I21" s="9"/>
      <c r="J21" s="47"/>
      <c r="K21" s="47"/>
      <c r="L21" s="47"/>
      <c r="M21" s="47"/>
      <c r="N21" s="9"/>
      <c r="O21" s="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585"/>
      <c r="AJ21" s="47"/>
      <c r="AL21" s="47"/>
      <c r="AM21" s="47"/>
      <c r="AN21" s="9"/>
      <c r="AO21" s="9"/>
      <c r="AP21" s="9"/>
      <c r="BB21" s="540" t="s">
        <v>1081</v>
      </c>
      <c r="BC21" s="543" t="s">
        <v>143</v>
      </c>
      <c r="BD21" s="550"/>
      <c r="BE21" s="540" t="s">
        <v>1071</v>
      </c>
      <c r="BF21" s="543" t="s">
        <v>953</v>
      </c>
      <c r="BH21" s="517"/>
      <c r="BL21" s="519"/>
    </row>
    <row r="22" spans="2:64" ht="15.75" customHeight="1">
      <c r="B22" s="477"/>
      <c r="C22" s="481"/>
      <c r="D22" s="478"/>
      <c r="E22" s="478"/>
      <c r="G22" s="479"/>
      <c r="H22" s="47"/>
      <c r="I22" s="47"/>
      <c r="J22" s="47"/>
      <c r="K22" s="47"/>
      <c r="L22" s="47"/>
      <c r="M22" s="47"/>
      <c r="N22" s="9"/>
      <c r="O22" s="9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585"/>
      <c r="AJ22" s="47"/>
      <c r="AL22" s="47"/>
      <c r="AM22" s="47"/>
      <c r="AN22" s="9"/>
      <c r="AO22" s="9"/>
      <c r="AP22" s="9"/>
      <c r="BB22" s="540" t="s">
        <v>1082</v>
      </c>
      <c r="BC22" s="543" t="s">
        <v>142</v>
      </c>
      <c r="BD22" s="550"/>
      <c r="BE22" s="540" t="s">
        <v>1072</v>
      </c>
      <c r="BF22" s="543" t="s">
        <v>954</v>
      </c>
      <c r="BH22" s="545" t="s">
        <v>1142</v>
      </c>
      <c r="BI22" s="546"/>
      <c r="BJ22" s="546"/>
      <c r="BK22" s="546"/>
      <c r="BL22" s="547">
        <f>(SUM(BJ14:BJ19)-SUM(BI14:BI19))/1000</f>
        <v>0</v>
      </c>
    </row>
    <row r="23" spans="2:64" ht="15.75" customHeight="1" thickBot="1">
      <c r="B23" s="477"/>
      <c r="C23" s="481"/>
      <c r="D23" s="478"/>
      <c r="E23" s="478"/>
      <c r="G23" s="479"/>
      <c r="H23" s="47"/>
      <c r="I23" s="47"/>
      <c r="J23" s="47"/>
      <c r="K23" s="47"/>
      <c r="L23" s="47"/>
      <c r="M23" s="47"/>
      <c r="N23" s="9"/>
      <c r="O23" s="9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L23" s="47"/>
      <c r="AM23" s="47"/>
      <c r="AN23" s="9"/>
      <c r="AO23" s="9"/>
      <c r="AP23" s="9"/>
      <c r="BB23" s="540" t="s">
        <v>2644</v>
      </c>
      <c r="BC23" s="543" t="s">
        <v>2645</v>
      </c>
      <c r="BD23" s="512"/>
      <c r="BE23" s="540"/>
      <c r="BF23" s="543"/>
      <c r="BH23" s="517"/>
      <c r="BL23" s="519"/>
    </row>
    <row r="24" spans="2:64" ht="15.75" customHeight="1">
      <c r="B24" s="477"/>
      <c r="C24" s="481"/>
      <c r="D24" s="478"/>
      <c r="E24" s="478"/>
      <c r="G24" s="479"/>
      <c r="H24" s="47"/>
      <c r="I24" s="485"/>
      <c r="J24" s="47"/>
      <c r="K24" s="47"/>
      <c r="L24" s="47"/>
      <c r="M24" s="47"/>
      <c r="N24" s="9"/>
      <c r="O24" s="9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L24" s="47"/>
      <c r="AM24" s="47"/>
      <c r="AN24" s="9"/>
      <c r="AO24" s="9"/>
      <c r="AP24" s="9"/>
      <c r="BB24" s="540"/>
      <c r="BC24" s="543"/>
      <c r="BE24" s="799" t="s">
        <v>1045</v>
      </c>
      <c r="BF24" s="539"/>
      <c r="BH24" s="518"/>
      <c r="BI24" s="531"/>
      <c r="BJ24" s="531"/>
      <c r="BK24" s="532"/>
      <c r="BL24" s="684">
        <f t="shared" ref="BL24:BL26" si="1">+(BJ24-BI24)*BK24/1000</f>
        <v>0</v>
      </c>
    </row>
    <row r="25" spans="2:64" ht="15.75" customHeight="1">
      <c r="B25" s="477"/>
      <c r="C25" s="481"/>
      <c r="D25" s="478"/>
      <c r="E25" s="478"/>
      <c r="G25" s="479"/>
      <c r="H25" s="7"/>
      <c r="I25" s="9"/>
      <c r="J25" s="47"/>
      <c r="K25" s="47"/>
      <c r="L25" s="47"/>
      <c r="M25" s="47"/>
      <c r="N25" s="9"/>
      <c r="O25" s="9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585"/>
      <c r="AJ25" s="47"/>
      <c r="AL25" s="47"/>
      <c r="AM25" s="47"/>
      <c r="AN25" s="9"/>
      <c r="AO25" s="9"/>
      <c r="AP25" s="9"/>
      <c r="BB25" s="799" t="s">
        <v>1036</v>
      </c>
      <c r="BC25" s="539"/>
      <c r="BE25" s="540" t="s">
        <v>1062</v>
      </c>
      <c r="BF25" s="543" t="s">
        <v>1001</v>
      </c>
      <c r="BH25" s="518"/>
      <c r="BI25" s="531"/>
      <c r="BJ25" s="531"/>
      <c r="BK25" s="532"/>
      <c r="BL25" s="686">
        <f t="shared" si="1"/>
        <v>0</v>
      </c>
    </row>
    <row r="26" spans="2:64" ht="15.75" customHeight="1">
      <c r="B26" s="477"/>
      <c r="C26" s="481"/>
      <c r="D26" s="478"/>
      <c r="E26" s="478"/>
      <c r="G26" s="479"/>
      <c r="H26" s="7"/>
      <c r="I26" s="9"/>
      <c r="J26" s="47"/>
      <c r="K26" s="47"/>
      <c r="L26" s="47"/>
      <c r="M26" s="47"/>
      <c r="N26" s="9"/>
      <c r="O26" s="9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585"/>
      <c r="AJ26" s="47"/>
      <c r="AL26" s="47"/>
      <c r="AM26" s="47"/>
      <c r="AN26" s="9"/>
      <c r="AO26" s="9"/>
      <c r="AP26" s="9"/>
      <c r="BB26" s="540" t="s">
        <v>1037</v>
      </c>
      <c r="BC26" s="543" t="s">
        <v>673</v>
      </c>
      <c r="BE26" s="540" t="s">
        <v>1063</v>
      </c>
      <c r="BF26" s="543" t="s">
        <v>1000</v>
      </c>
      <c r="BH26" s="518"/>
      <c r="BI26" s="531"/>
      <c r="BJ26" s="531"/>
      <c r="BK26" s="532"/>
      <c r="BL26" s="686">
        <f t="shared" si="1"/>
        <v>0</v>
      </c>
    </row>
    <row r="27" spans="2:64" ht="15.75" customHeight="1">
      <c r="B27" s="477"/>
      <c r="C27" s="481"/>
      <c r="D27" s="478"/>
      <c r="E27" s="478"/>
      <c r="G27" s="479"/>
      <c r="H27" s="7"/>
      <c r="I27" s="9"/>
      <c r="J27" s="47"/>
      <c r="K27" s="47"/>
      <c r="L27" s="47"/>
      <c r="M27" s="47"/>
      <c r="N27" s="9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585"/>
      <c r="AJ27" s="47"/>
      <c r="AL27" s="47"/>
      <c r="AM27" s="47"/>
      <c r="AN27" s="9"/>
      <c r="AO27" s="9"/>
      <c r="AP27" s="9"/>
      <c r="BB27" s="540" t="s">
        <v>1038</v>
      </c>
      <c r="BC27" s="543" t="s">
        <v>674</v>
      </c>
      <c r="BE27" s="540" t="s">
        <v>1064</v>
      </c>
      <c r="BF27" s="543" t="s">
        <v>1004</v>
      </c>
      <c r="BH27" s="518"/>
      <c r="BI27" s="531"/>
      <c r="BJ27" s="531"/>
      <c r="BK27" s="532"/>
      <c r="BL27" s="686"/>
    </row>
    <row r="28" spans="2:64" ht="15.75" customHeight="1">
      <c r="B28" s="477"/>
      <c r="C28" s="481"/>
      <c r="D28" s="478"/>
      <c r="E28" s="478"/>
      <c r="G28" s="479"/>
      <c r="H28" s="55"/>
      <c r="I28" s="51"/>
      <c r="J28" s="47"/>
      <c r="K28" s="47"/>
      <c r="L28" s="47"/>
      <c r="M28" s="47"/>
      <c r="N28" s="47"/>
      <c r="O28" s="9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585"/>
      <c r="AJ28" s="47"/>
      <c r="AL28" s="47"/>
      <c r="AM28" s="47"/>
      <c r="AN28" s="9"/>
      <c r="AO28" s="9"/>
      <c r="AP28" s="9"/>
      <c r="BB28" s="540" t="s">
        <v>1039</v>
      </c>
      <c r="BC28" s="543" t="s">
        <v>948</v>
      </c>
      <c r="BE28" s="540" t="s">
        <v>2454</v>
      </c>
      <c r="BF28" s="543" t="s">
        <v>2455</v>
      </c>
      <c r="BH28" s="518"/>
      <c r="BI28" s="531"/>
      <c r="BJ28" s="531"/>
      <c r="BK28" s="532"/>
      <c r="BL28" s="686"/>
    </row>
    <row r="29" spans="2:64" ht="15.75" customHeight="1">
      <c r="B29" s="477"/>
      <c r="C29" s="481"/>
      <c r="D29" s="478"/>
      <c r="E29" s="478"/>
      <c r="G29" s="479"/>
      <c r="H29" s="54"/>
      <c r="I29" s="53"/>
      <c r="J29" s="47"/>
      <c r="K29" s="47"/>
      <c r="L29" s="47"/>
      <c r="M29" s="47"/>
      <c r="N29" s="9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585"/>
      <c r="AJ29" s="47"/>
      <c r="AL29" s="47"/>
      <c r="AM29" s="47"/>
      <c r="AN29" s="9"/>
      <c r="AO29" s="9"/>
      <c r="AP29" s="9"/>
      <c r="BB29" s="540" t="s">
        <v>1040</v>
      </c>
      <c r="BC29" s="543" t="s">
        <v>947</v>
      </c>
      <c r="BE29" s="540" t="s">
        <v>1047</v>
      </c>
      <c r="BF29" s="543" t="s">
        <v>1002</v>
      </c>
      <c r="BH29" s="518"/>
      <c r="BI29" s="531"/>
      <c r="BJ29" s="531"/>
      <c r="BK29" s="532"/>
      <c r="BL29" s="686"/>
    </row>
    <row r="30" spans="2:64" ht="15.75" customHeight="1">
      <c r="B30" s="477"/>
      <c r="C30" s="481"/>
      <c r="D30" s="478"/>
      <c r="E30" s="478"/>
      <c r="G30" s="479"/>
      <c r="H30" s="54"/>
      <c r="I30" s="56"/>
      <c r="J30" s="47"/>
      <c r="K30" s="47"/>
      <c r="L30" s="47"/>
      <c r="M30" s="47"/>
      <c r="N30" s="9"/>
      <c r="O30" s="9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585"/>
      <c r="AJ30" s="47"/>
      <c r="AL30" s="47"/>
      <c r="AM30" s="47"/>
      <c r="AN30" s="9"/>
      <c r="AO30" s="9"/>
      <c r="AP30" s="9"/>
      <c r="BB30" s="540" t="s">
        <v>2467</v>
      </c>
      <c r="BC30" s="543" t="s">
        <v>1133</v>
      </c>
      <c r="BE30" s="540" t="s">
        <v>2465</v>
      </c>
      <c r="BF30" s="543" t="s">
        <v>2466</v>
      </c>
      <c r="BH30" s="518"/>
      <c r="BI30" s="531"/>
      <c r="BJ30" s="531"/>
      <c r="BK30" s="532"/>
      <c r="BL30" s="686"/>
    </row>
    <row r="31" spans="2:64" ht="15.75" customHeight="1">
      <c r="B31" s="477"/>
      <c r="C31" s="481"/>
      <c r="D31" s="478"/>
      <c r="E31" s="478"/>
      <c r="G31" s="479"/>
      <c r="H31" s="54"/>
      <c r="I31" s="53"/>
      <c r="J31" s="47"/>
      <c r="K31" s="47"/>
      <c r="L31" s="47"/>
      <c r="M31" s="47"/>
      <c r="N31" s="9"/>
      <c r="O31" s="9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585"/>
      <c r="AJ31" s="47"/>
      <c r="AL31" s="47"/>
      <c r="AM31" s="47"/>
      <c r="AN31" s="9"/>
      <c r="AO31" s="9"/>
      <c r="AP31" s="9"/>
      <c r="BB31" s="540" t="s">
        <v>1083</v>
      </c>
      <c r="BC31" s="543" t="s">
        <v>2051</v>
      </c>
      <c r="BE31" s="540" t="s">
        <v>2216</v>
      </c>
      <c r="BF31" s="543" t="s">
        <v>2453</v>
      </c>
      <c r="BH31" s="518"/>
      <c r="BI31" s="531"/>
      <c r="BJ31" s="531"/>
      <c r="BK31" s="532"/>
      <c r="BL31" s="686"/>
    </row>
    <row r="32" spans="2:64" ht="15.75" customHeight="1">
      <c r="B32" s="477"/>
      <c r="C32" s="481"/>
      <c r="D32" s="478"/>
      <c r="E32" s="478"/>
      <c r="G32" s="479"/>
      <c r="H32" s="54"/>
      <c r="I32" s="56"/>
      <c r="J32" s="47"/>
      <c r="K32" s="47"/>
      <c r="L32" s="47"/>
      <c r="M32" s="47"/>
      <c r="N32" s="9"/>
      <c r="O32" s="9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585"/>
      <c r="AJ32" s="47"/>
      <c r="AL32" s="47"/>
      <c r="AM32" s="47"/>
      <c r="AN32" s="9"/>
      <c r="AO32" s="9"/>
      <c r="AP32" s="9"/>
      <c r="BB32" s="540" t="s">
        <v>1086</v>
      </c>
      <c r="BC32" s="543" t="s">
        <v>2050</v>
      </c>
      <c r="BE32" s="540" t="s">
        <v>2217</v>
      </c>
      <c r="BF32" s="543" t="s">
        <v>2456</v>
      </c>
      <c r="BL32" s="555"/>
    </row>
    <row r="33" spans="2:64" ht="15.75" customHeight="1">
      <c r="B33" s="477"/>
      <c r="C33" s="481"/>
      <c r="D33" s="478"/>
      <c r="E33" s="478"/>
      <c r="G33" s="479"/>
      <c r="H33" s="54"/>
      <c r="I33" s="54"/>
      <c r="J33" s="47"/>
      <c r="K33" s="47"/>
      <c r="L33" s="47"/>
      <c r="M33" s="47"/>
      <c r="N33" s="9"/>
      <c r="O33" s="9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585"/>
      <c r="AJ33" s="47"/>
      <c r="AL33" s="47"/>
      <c r="AM33" s="47"/>
      <c r="AN33" s="9"/>
      <c r="AO33" s="9"/>
      <c r="AP33" s="9"/>
      <c r="BB33" s="540" t="s">
        <v>1084</v>
      </c>
      <c r="BC33" s="543" t="s">
        <v>2052</v>
      </c>
      <c r="BD33" s="512"/>
      <c r="BE33" s="540" t="s">
        <v>2213</v>
      </c>
      <c r="BF33" s="543" t="s">
        <v>985</v>
      </c>
      <c r="BH33" s="519" t="s">
        <v>973</v>
      </c>
      <c r="BL33" s="555">
        <f>SUM(BL24:BL32)</f>
        <v>0</v>
      </c>
    </row>
    <row r="34" spans="2:64" ht="15.75" customHeight="1">
      <c r="B34" s="477"/>
      <c r="C34" s="481"/>
      <c r="D34" s="478"/>
      <c r="E34" s="478"/>
      <c r="G34" s="479"/>
      <c r="H34" s="55"/>
      <c r="I34" s="51"/>
      <c r="J34" s="47"/>
      <c r="K34" s="47"/>
      <c r="L34" s="47"/>
      <c r="M34" s="47"/>
      <c r="N34" s="9"/>
      <c r="O34" s="9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585"/>
      <c r="AJ34" s="47"/>
      <c r="AL34" s="47"/>
      <c r="AM34" s="47"/>
      <c r="AN34" s="9"/>
      <c r="AO34" s="9"/>
      <c r="AP34" s="9"/>
      <c r="BB34" s="540" t="s">
        <v>1085</v>
      </c>
      <c r="BC34" s="543" t="s">
        <v>2053</v>
      </c>
      <c r="BD34" s="550"/>
      <c r="BE34" s="540"/>
      <c r="BF34" s="543"/>
      <c r="BL34" s="555"/>
    </row>
    <row r="35" spans="2:64" ht="15.75" customHeight="1">
      <c r="B35" s="477"/>
      <c r="C35" s="481"/>
      <c r="D35" s="478"/>
      <c r="E35" s="478"/>
      <c r="G35" s="479"/>
      <c r="H35" s="55"/>
      <c r="I35" s="51"/>
      <c r="J35" s="47"/>
      <c r="K35" s="47"/>
      <c r="L35" s="47"/>
      <c r="M35" s="47"/>
      <c r="N35" s="9"/>
      <c r="O35" s="9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585"/>
      <c r="AJ35" s="47"/>
      <c r="AL35" s="47"/>
      <c r="AM35" s="47"/>
      <c r="AN35" s="9"/>
      <c r="AO35" s="9"/>
      <c r="AP35" s="9"/>
      <c r="BB35" s="540" t="s">
        <v>1087</v>
      </c>
      <c r="BC35" s="543" t="s">
        <v>1046</v>
      </c>
      <c r="BD35" s="550"/>
      <c r="BE35" s="540" t="s">
        <v>1050</v>
      </c>
      <c r="BF35" s="543" t="s">
        <v>1009</v>
      </c>
      <c r="BH35" s="517"/>
      <c r="BL35" s="555"/>
    </row>
    <row r="36" spans="2:64" ht="15.75" customHeight="1">
      <c r="B36" s="477"/>
      <c r="C36" s="481"/>
      <c r="D36" s="478"/>
      <c r="E36" s="478"/>
      <c r="G36" s="479"/>
      <c r="H36" s="47"/>
      <c r="I36" s="47"/>
      <c r="J36" s="47"/>
      <c r="K36" s="47"/>
      <c r="L36" s="47"/>
      <c r="M36" s="47"/>
      <c r="N36" s="47"/>
      <c r="O36" s="9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585"/>
      <c r="AJ36" s="47"/>
      <c r="AL36" s="47"/>
      <c r="AM36" s="47"/>
      <c r="AN36" s="9"/>
      <c r="AO36" s="9"/>
      <c r="AP36" s="9"/>
      <c r="BB36" s="540"/>
      <c r="BC36" s="543"/>
      <c r="BE36" s="540" t="s">
        <v>1051</v>
      </c>
      <c r="BF36" s="543" t="s">
        <v>1048</v>
      </c>
      <c r="BH36" s="545" t="s">
        <v>1141</v>
      </c>
      <c r="BI36" s="546"/>
      <c r="BJ36" s="546"/>
      <c r="BK36" s="546"/>
      <c r="BL36" s="802">
        <f>(SUM(BJ24:BJ31)-SUM(BI24:BI31))/1000</f>
        <v>0</v>
      </c>
    </row>
    <row r="37" spans="2:64" ht="15.75" customHeight="1">
      <c r="B37" s="477"/>
      <c r="C37" s="481"/>
      <c r="D37" s="478"/>
      <c r="E37" s="478"/>
      <c r="G37" s="479"/>
      <c r="H37" s="47"/>
      <c r="I37" s="47"/>
      <c r="J37" s="47"/>
      <c r="K37" s="47"/>
      <c r="L37" s="47"/>
      <c r="M37" s="47"/>
      <c r="N37" s="9"/>
      <c r="O37" s="9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585"/>
      <c r="AJ37" s="47"/>
      <c r="AL37" s="47"/>
      <c r="AM37" s="47"/>
      <c r="AN37" s="9"/>
      <c r="AO37" s="9"/>
      <c r="AP37" s="9"/>
      <c r="BB37" s="799" t="s">
        <v>1041</v>
      </c>
      <c r="BC37" s="539"/>
      <c r="BE37" s="540" t="s">
        <v>1052</v>
      </c>
      <c r="BF37" s="543" t="s">
        <v>1003</v>
      </c>
    </row>
    <row r="38" spans="2:64" ht="15.75" customHeight="1">
      <c r="B38" s="477"/>
      <c r="C38" s="481"/>
      <c r="D38" s="478"/>
      <c r="E38" s="478"/>
      <c r="G38" s="479"/>
      <c r="H38" s="47"/>
      <c r="I38" s="47"/>
      <c r="J38" s="47"/>
      <c r="K38" s="47"/>
      <c r="L38" s="47"/>
      <c r="M38" s="47"/>
      <c r="N38" s="9"/>
      <c r="O38" s="9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585"/>
      <c r="AJ38" s="47"/>
      <c r="AL38" s="47"/>
      <c r="AM38" s="47"/>
      <c r="AN38" s="9"/>
      <c r="AO38" s="9"/>
      <c r="AP38" s="9"/>
      <c r="BB38" s="540" t="s">
        <v>1088</v>
      </c>
      <c r="BC38" s="543" t="s">
        <v>670</v>
      </c>
      <c r="BE38" s="540" t="s">
        <v>1053</v>
      </c>
      <c r="BF38" s="543" t="s">
        <v>1013</v>
      </c>
    </row>
    <row r="39" spans="2:64" ht="15.75" customHeight="1">
      <c r="B39" s="477"/>
      <c r="C39" s="481"/>
      <c r="D39" s="478"/>
      <c r="E39" s="478"/>
      <c r="G39" s="479"/>
      <c r="H39" s="47"/>
      <c r="I39" s="478"/>
      <c r="J39" s="483"/>
      <c r="K39" s="47"/>
      <c r="L39" s="47"/>
      <c r="M39" s="47"/>
      <c r="N39" s="9"/>
      <c r="O39" s="9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585"/>
      <c r="AJ39" s="47"/>
      <c r="AL39" s="47"/>
      <c r="AM39" s="47"/>
      <c r="AN39" s="9"/>
      <c r="AO39" s="9"/>
      <c r="AP39" s="9"/>
      <c r="BB39" s="540" t="s">
        <v>1089</v>
      </c>
      <c r="BC39" s="543" t="s">
        <v>675</v>
      </c>
      <c r="BE39" s="540" t="s">
        <v>1054</v>
      </c>
      <c r="BF39" s="543" t="s">
        <v>1007</v>
      </c>
    </row>
    <row r="40" spans="2:64" ht="15.75" customHeight="1">
      <c r="B40" s="477"/>
      <c r="C40" s="481"/>
      <c r="D40" s="478"/>
      <c r="E40" s="478"/>
      <c r="G40" s="479"/>
      <c r="H40" s="47"/>
      <c r="I40" s="479"/>
      <c r="J40" s="47"/>
      <c r="K40" s="47"/>
      <c r="L40" s="47"/>
      <c r="M40" s="47"/>
      <c r="N40" s="9"/>
      <c r="O40" s="9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585"/>
      <c r="AJ40" s="47"/>
      <c r="AL40" s="47"/>
      <c r="AM40" s="47"/>
      <c r="AN40" s="9"/>
      <c r="AO40" s="9"/>
      <c r="AP40" s="9"/>
      <c r="BB40" s="540" t="s">
        <v>1091</v>
      </c>
      <c r="BC40" s="543" t="s">
        <v>671</v>
      </c>
      <c r="BE40" s="540" t="s">
        <v>1055</v>
      </c>
      <c r="BF40" s="543" t="s">
        <v>1049</v>
      </c>
    </row>
    <row r="41" spans="2:64" ht="15.75" customHeight="1">
      <c r="B41" s="477"/>
      <c r="C41" s="481"/>
      <c r="D41" s="478"/>
      <c r="E41" s="478"/>
      <c r="G41" s="479"/>
      <c r="H41" s="47"/>
      <c r="I41" s="47"/>
      <c r="J41" s="47"/>
      <c r="K41" s="47"/>
      <c r="L41" s="47"/>
      <c r="M41" s="47"/>
      <c r="N41" s="9"/>
      <c r="O41" s="9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585"/>
      <c r="AJ41" s="47"/>
      <c r="AL41" s="47"/>
      <c r="AM41" s="47"/>
      <c r="AN41" s="9"/>
      <c r="AO41" s="9"/>
      <c r="AP41" s="9"/>
      <c r="BB41" s="540" t="s">
        <v>1090</v>
      </c>
      <c r="BC41" s="543" t="s">
        <v>678</v>
      </c>
      <c r="BE41" s="540" t="s">
        <v>1056</v>
      </c>
      <c r="BF41" s="543" t="s">
        <v>1012</v>
      </c>
    </row>
    <row r="42" spans="2:64" ht="15.75" customHeight="1">
      <c r="B42" s="477"/>
      <c r="C42" s="481"/>
      <c r="D42" s="478"/>
      <c r="E42" s="478"/>
      <c r="G42" s="479"/>
      <c r="H42" s="47"/>
      <c r="I42" s="47"/>
      <c r="J42" s="47"/>
      <c r="K42" s="47"/>
      <c r="L42" s="47"/>
      <c r="M42" s="47"/>
      <c r="N42" s="9"/>
      <c r="O42" s="9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585"/>
      <c r="AJ42" s="47"/>
      <c r="AL42" s="47"/>
      <c r="AM42" s="47"/>
      <c r="AN42" s="9"/>
      <c r="AO42" s="9"/>
      <c r="AP42" s="9"/>
      <c r="BB42" s="540" t="s">
        <v>2471</v>
      </c>
      <c r="BC42" s="543" t="s">
        <v>1097</v>
      </c>
      <c r="BE42" s="540"/>
      <c r="BF42" s="543"/>
    </row>
    <row r="43" spans="2:64" ht="15.75" customHeight="1">
      <c r="B43" s="477"/>
      <c r="C43" s="481"/>
      <c r="D43" s="478"/>
      <c r="E43" s="478"/>
      <c r="G43" s="479"/>
      <c r="H43" s="54"/>
      <c r="I43" s="47"/>
      <c r="J43" s="47"/>
      <c r="K43" s="47"/>
      <c r="L43" s="47"/>
      <c r="M43" s="47"/>
      <c r="N43" s="9"/>
      <c r="O43" s="9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585"/>
      <c r="AJ43" s="47"/>
      <c r="AL43" s="47"/>
      <c r="AM43" s="47"/>
      <c r="AN43" s="9"/>
      <c r="AO43" s="9"/>
      <c r="AP43" s="9"/>
      <c r="BB43" s="540" t="s">
        <v>2470</v>
      </c>
      <c r="BC43" s="543" t="s">
        <v>1102</v>
      </c>
      <c r="BE43" s="799" t="s">
        <v>1057</v>
      </c>
      <c r="BF43" s="539"/>
    </row>
    <row r="44" spans="2:64" ht="15.75" customHeight="1">
      <c r="B44" s="477"/>
      <c r="C44" s="481"/>
      <c r="D44" s="478"/>
      <c r="E44" s="478"/>
      <c r="G44" s="479"/>
      <c r="I44" s="9"/>
      <c r="J44" s="47"/>
      <c r="K44" s="47"/>
      <c r="L44" s="47"/>
      <c r="M44" s="47"/>
      <c r="N44" s="47"/>
      <c r="O44" s="9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585"/>
      <c r="AJ44" s="47"/>
      <c r="AL44" s="47"/>
      <c r="AM44" s="47"/>
      <c r="AN44" s="9"/>
      <c r="AO44" s="9"/>
      <c r="AP44" s="9"/>
      <c r="BB44" s="540" t="s">
        <v>2472</v>
      </c>
      <c r="BC44" s="543" t="s">
        <v>2469</v>
      </c>
      <c r="BE44" s="540" t="s">
        <v>1058</v>
      </c>
      <c r="BF44" s="543" t="s">
        <v>1043</v>
      </c>
    </row>
    <row r="45" spans="2:64" ht="15.75" customHeight="1">
      <c r="B45" s="477"/>
      <c r="C45" s="481"/>
      <c r="D45" s="478"/>
      <c r="E45" s="478"/>
      <c r="G45" s="479"/>
      <c r="I45" s="9"/>
      <c r="J45" s="47"/>
      <c r="K45" s="47"/>
      <c r="L45" s="47"/>
      <c r="M45" s="47"/>
      <c r="N45" s="9"/>
      <c r="O45" s="9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585"/>
      <c r="AJ45" s="47"/>
      <c r="AL45" s="47"/>
      <c r="AM45" s="47"/>
      <c r="AN45" s="9"/>
      <c r="AO45" s="9"/>
      <c r="AP45" s="9"/>
      <c r="BB45" s="540"/>
      <c r="BC45" s="555"/>
      <c r="BE45" s="540" t="s">
        <v>1059</v>
      </c>
      <c r="BF45" s="543" t="s">
        <v>2561</v>
      </c>
    </row>
    <row r="46" spans="2:64" ht="15.75" customHeight="1">
      <c r="B46" s="477"/>
      <c r="C46" s="481"/>
      <c r="D46" s="478"/>
      <c r="E46" s="478"/>
      <c r="G46" s="479"/>
      <c r="I46" s="9"/>
      <c r="J46" s="47"/>
      <c r="K46" s="47"/>
      <c r="L46" s="47"/>
      <c r="M46" s="47"/>
      <c r="N46" s="9"/>
      <c r="O46" s="9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585"/>
      <c r="AJ46" s="47"/>
      <c r="AL46" s="47"/>
      <c r="AM46" s="47"/>
      <c r="AN46" s="9"/>
      <c r="AO46" s="9"/>
      <c r="AP46" s="9"/>
      <c r="BB46" s="799" t="s">
        <v>1042</v>
      </c>
      <c r="BC46" s="539"/>
      <c r="BE46" s="540" t="s">
        <v>1060</v>
      </c>
      <c r="BF46" s="543" t="s">
        <v>2562</v>
      </c>
    </row>
    <row r="47" spans="2:64" ht="15.75" customHeight="1">
      <c r="B47" s="477"/>
      <c r="C47" s="481"/>
      <c r="D47" s="478"/>
      <c r="E47" s="478"/>
      <c r="G47" s="479"/>
      <c r="I47" s="9"/>
      <c r="J47" s="47"/>
      <c r="K47" s="47"/>
      <c r="L47" s="47"/>
      <c r="M47" s="47"/>
      <c r="N47" s="9"/>
      <c r="O47" s="9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585"/>
      <c r="AJ47" s="47"/>
      <c r="AL47" s="47"/>
      <c r="AM47" s="47"/>
      <c r="AN47" s="9"/>
      <c r="AO47" s="9"/>
      <c r="AP47" s="9"/>
      <c r="BB47" s="540" t="s">
        <v>1075</v>
      </c>
      <c r="BC47" s="543" t="s">
        <v>672</v>
      </c>
      <c r="BE47" s="540" t="s">
        <v>1061</v>
      </c>
      <c r="BF47" s="543" t="s">
        <v>141</v>
      </c>
    </row>
    <row r="48" spans="2:64" ht="15.75" customHeight="1">
      <c r="B48" s="477"/>
      <c r="C48" s="481"/>
      <c r="D48" s="478"/>
      <c r="E48" s="478"/>
      <c r="G48" s="479"/>
      <c r="I48" s="9"/>
      <c r="J48" s="47"/>
      <c r="K48" s="47"/>
      <c r="L48" s="47"/>
      <c r="M48" s="47"/>
      <c r="N48" s="483"/>
      <c r="O48" s="9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585"/>
      <c r="AJ48" s="47"/>
      <c r="AL48" s="47"/>
      <c r="AM48" s="47"/>
      <c r="AN48" s="9"/>
      <c r="AO48" s="9"/>
      <c r="AP48" s="9"/>
      <c r="BB48" s="540" t="s">
        <v>1076</v>
      </c>
      <c r="BC48" s="543" t="s">
        <v>139</v>
      </c>
      <c r="BE48" s="673"/>
      <c r="BF48" s="555"/>
    </row>
    <row r="49" spans="2:61" ht="15.75" customHeight="1">
      <c r="B49" s="477"/>
      <c r="C49" s="481"/>
      <c r="D49" s="478"/>
      <c r="E49" s="478"/>
      <c r="G49" s="479"/>
      <c r="H49" s="47"/>
      <c r="I49" s="478"/>
      <c r="J49" s="47"/>
      <c r="K49" s="47"/>
      <c r="L49" s="47"/>
      <c r="M49" s="47"/>
      <c r="N49" s="9"/>
      <c r="O49" s="9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585"/>
      <c r="AJ49" s="47"/>
      <c r="AL49" s="47"/>
      <c r="AM49" s="47"/>
      <c r="AN49" s="9"/>
      <c r="AO49" s="9"/>
      <c r="AP49" s="9"/>
      <c r="BB49" s="540" t="s">
        <v>1077</v>
      </c>
      <c r="BC49" s="543" t="s">
        <v>231</v>
      </c>
      <c r="BE49" s="799" t="s">
        <v>692</v>
      </c>
      <c r="BF49" s="539"/>
    </row>
    <row r="50" spans="2:61" ht="15.75" customHeight="1">
      <c r="B50" s="477"/>
      <c r="C50" s="481"/>
      <c r="D50" s="477"/>
      <c r="E50" s="478"/>
      <c r="F50" s="478"/>
      <c r="G50" s="478"/>
      <c r="I50" s="9"/>
      <c r="J50" s="9"/>
      <c r="L50" s="47"/>
      <c r="M50" s="47"/>
      <c r="N50" s="47"/>
      <c r="O50" s="9"/>
      <c r="P50" s="9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585"/>
      <c r="AK50" s="47"/>
      <c r="AL50" s="47"/>
      <c r="AM50" s="47"/>
      <c r="AN50" s="9"/>
      <c r="AO50" s="9"/>
      <c r="AP50" s="9"/>
      <c r="BB50" s="540" t="s">
        <v>1078</v>
      </c>
      <c r="BC50" s="543" t="s">
        <v>241</v>
      </c>
      <c r="BE50" s="540" t="s">
        <v>2563</v>
      </c>
      <c r="BF50" s="543" t="s">
        <v>2054</v>
      </c>
    </row>
    <row r="51" spans="2:61" ht="15.75" customHeight="1">
      <c r="B51" s="477"/>
      <c r="C51" s="481"/>
      <c r="D51" s="477"/>
      <c r="E51" s="478"/>
      <c r="F51" s="478"/>
      <c r="G51" s="478"/>
      <c r="H51" s="47"/>
      <c r="I51" s="478"/>
      <c r="J51" s="9"/>
      <c r="K51" s="47"/>
      <c r="L51" s="47"/>
      <c r="M51" s="47"/>
      <c r="N51" s="9"/>
      <c r="O51" s="9"/>
      <c r="P51" s="9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585"/>
      <c r="AK51" s="47"/>
      <c r="AL51" s="47"/>
      <c r="AM51" s="47"/>
      <c r="AN51" s="9"/>
      <c r="AO51" s="9"/>
      <c r="AP51" s="9"/>
      <c r="BB51" s="540" t="s">
        <v>1079</v>
      </c>
      <c r="BC51" s="543" t="s">
        <v>465</v>
      </c>
      <c r="BE51" s="540" t="s">
        <v>2564</v>
      </c>
      <c r="BF51" s="543" t="s">
        <v>2055</v>
      </c>
    </row>
    <row r="52" spans="2:61" ht="15.75" customHeight="1">
      <c r="B52" s="477"/>
      <c r="C52" s="481"/>
      <c r="D52" s="477"/>
      <c r="E52" s="478"/>
      <c r="F52" s="478"/>
      <c r="G52" s="478"/>
      <c r="I52" s="9"/>
      <c r="J52" s="9"/>
      <c r="K52" s="47"/>
      <c r="L52" s="47"/>
      <c r="M52" s="47"/>
      <c r="N52" s="47"/>
      <c r="O52" s="9"/>
      <c r="P52" s="9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585"/>
      <c r="AK52" s="47"/>
      <c r="AL52" s="47"/>
      <c r="AM52" s="47"/>
      <c r="AN52" s="9"/>
      <c r="AO52" s="9"/>
      <c r="AP52" s="9"/>
      <c r="BB52" s="540" t="s">
        <v>1080</v>
      </c>
      <c r="BC52" s="543" t="s">
        <v>941</v>
      </c>
      <c r="BE52" s="540" t="s">
        <v>2565</v>
      </c>
      <c r="BF52" s="543" t="s">
        <v>2567</v>
      </c>
    </row>
    <row r="53" spans="2:61" ht="15.75" customHeight="1" thickBot="1">
      <c r="B53" s="477"/>
      <c r="C53" s="481"/>
      <c r="D53" s="477"/>
      <c r="E53" s="478"/>
      <c r="F53" s="478"/>
      <c r="G53" s="478"/>
      <c r="H53" s="47"/>
      <c r="I53" s="47"/>
      <c r="J53" s="47"/>
      <c r="K53" s="47"/>
      <c r="L53" s="47"/>
      <c r="M53" s="47"/>
      <c r="N53" s="9"/>
      <c r="O53" s="9"/>
      <c r="P53" s="9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585"/>
      <c r="AK53" s="47"/>
      <c r="AL53" s="47"/>
      <c r="AM53" s="47"/>
      <c r="AN53" s="9"/>
      <c r="AO53" s="9"/>
      <c r="AP53" s="9"/>
      <c r="BB53" s="558"/>
      <c r="BC53" s="559"/>
      <c r="BE53" s="540" t="s">
        <v>2566</v>
      </c>
      <c r="BF53" s="543" t="s">
        <v>2568</v>
      </c>
    </row>
    <row r="54" spans="2:61" ht="15.75" customHeight="1" thickBot="1">
      <c r="B54" s="477"/>
      <c r="C54" s="481"/>
      <c r="D54" s="477"/>
      <c r="E54" s="478"/>
      <c r="F54" s="478"/>
      <c r="G54" s="478"/>
      <c r="H54" s="47"/>
      <c r="I54" s="47"/>
      <c r="J54" s="47"/>
      <c r="K54" s="47"/>
      <c r="L54" s="47"/>
      <c r="M54" s="47"/>
      <c r="N54" s="9"/>
      <c r="O54" s="9"/>
      <c r="P54" s="9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585"/>
      <c r="AK54" s="47"/>
      <c r="AL54" s="47"/>
      <c r="AM54" s="47"/>
      <c r="AN54" s="9"/>
      <c r="AO54" s="9"/>
      <c r="AP54" s="9"/>
      <c r="BC54" s="560"/>
      <c r="BE54" s="556"/>
      <c r="BF54" s="557"/>
      <c r="BH54" s="517"/>
    </row>
    <row r="55" spans="2:61" ht="15.75" customHeight="1">
      <c r="B55" s="477"/>
      <c r="C55" s="481"/>
      <c r="D55" s="477"/>
      <c r="E55" s="478"/>
      <c r="F55" s="478"/>
      <c r="G55" s="478"/>
      <c r="H55" s="47"/>
      <c r="I55" s="47"/>
      <c r="J55" s="47"/>
      <c r="K55" s="47"/>
      <c r="L55" s="47"/>
      <c r="M55" s="47"/>
      <c r="N55" s="9"/>
      <c r="O55" s="9"/>
      <c r="P55" s="9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585"/>
      <c r="AK55" s="47"/>
      <c r="AL55" s="47"/>
      <c r="AM55" s="47"/>
      <c r="AN55" s="9"/>
      <c r="AO55" s="9"/>
      <c r="AP55" s="9"/>
      <c r="BC55" s="560"/>
      <c r="BH55" s="517"/>
    </row>
    <row r="56" spans="2:61" ht="15.75" customHeight="1">
      <c r="B56" s="477"/>
      <c r="C56" s="481"/>
      <c r="D56" s="477"/>
      <c r="E56" s="478"/>
      <c r="F56" s="478"/>
      <c r="G56" s="478"/>
      <c r="H56" s="47"/>
      <c r="I56" s="47"/>
      <c r="J56" s="47"/>
      <c r="K56" s="47"/>
      <c r="L56" s="47"/>
      <c r="M56" s="47"/>
      <c r="N56" s="9"/>
      <c r="O56" s="9"/>
      <c r="P56" s="9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585"/>
      <c r="AK56" s="47"/>
      <c r="AL56" s="47"/>
      <c r="AM56" s="47"/>
      <c r="AN56" s="9"/>
      <c r="AO56" s="9"/>
      <c r="AP56" s="9"/>
      <c r="BC56" s="560"/>
      <c r="BH56" s="517"/>
    </row>
    <row r="57" spans="2:61" ht="15.75" customHeight="1">
      <c r="B57" s="477"/>
      <c r="C57" s="481"/>
      <c r="D57" s="477"/>
      <c r="E57" s="478"/>
      <c r="F57" s="478"/>
      <c r="G57" s="478"/>
      <c r="H57" s="47"/>
      <c r="I57" s="47"/>
      <c r="J57" s="47"/>
      <c r="K57" s="47"/>
      <c r="L57" s="47"/>
      <c r="M57" s="47"/>
      <c r="N57" s="9"/>
      <c r="O57" s="9"/>
      <c r="P57" s="9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585"/>
      <c r="AK57" s="47"/>
      <c r="AL57" s="47"/>
      <c r="AM57" s="47"/>
      <c r="AN57" s="9"/>
      <c r="AO57" s="9"/>
      <c r="AP57" s="9"/>
      <c r="BC57" s="560"/>
      <c r="BD57" s="512"/>
      <c r="BH57" s="517"/>
    </row>
    <row r="58" spans="2:61" ht="15.75" customHeight="1">
      <c r="B58" s="477"/>
      <c r="C58" s="481"/>
      <c r="D58" s="477"/>
      <c r="E58" s="478"/>
      <c r="F58" s="478"/>
      <c r="G58" s="478"/>
      <c r="H58" s="47"/>
      <c r="I58" s="47"/>
      <c r="J58" s="47"/>
      <c r="K58" s="47"/>
      <c r="L58" s="47"/>
      <c r="M58" s="47"/>
      <c r="N58" s="47"/>
      <c r="O58" s="9"/>
      <c r="P58" s="9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585"/>
      <c r="AK58" s="47"/>
      <c r="AL58" s="47"/>
      <c r="AM58" s="47"/>
      <c r="AN58" s="9"/>
      <c r="AO58" s="9"/>
      <c r="AP58" s="9"/>
      <c r="BC58" s="560"/>
      <c r="BD58" s="550"/>
      <c r="BH58" s="517"/>
    </row>
    <row r="59" spans="2:61" ht="15.75" customHeight="1">
      <c r="B59" s="477"/>
      <c r="C59" s="481"/>
      <c r="D59" s="477"/>
      <c r="E59" s="478"/>
      <c r="F59" s="478"/>
      <c r="G59" s="478"/>
      <c r="H59" s="47"/>
      <c r="I59" s="47"/>
      <c r="J59" s="47"/>
      <c r="K59" s="47"/>
      <c r="L59" s="47"/>
      <c r="M59" s="47"/>
      <c r="N59" s="9"/>
      <c r="O59" s="9"/>
      <c r="P59" s="9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585"/>
      <c r="AK59" s="47"/>
      <c r="AL59" s="47"/>
      <c r="AM59" s="47"/>
      <c r="AN59" s="9"/>
      <c r="AO59" s="9"/>
      <c r="AP59" s="9"/>
      <c r="BC59" s="560"/>
      <c r="BD59" s="550"/>
      <c r="BH59" s="517"/>
    </row>
    <row r="60" spans="2:61" ht="15.75" customHeight="1">
      <c r="B60" s="477"/>
      <c r="C60" s="481"/>
      <c r="D60" s="477"/>
      <c r="E60" s="478"/>
      <c r="F60" s="478"/>
      <c r="G60" s="478"/>
      <c r="H60" s="47"/>
      <c r="I60" s="47"/>
      <c r="J60" s="47"/>
      <c r="K60" s="47"/>
      <c r="L60" s="47"/>
      <c r="M60" s="47"/>
      <c r="N60" s="47"/>
      <c r="O60" s="9"/>
      <c r="P60" s="9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585"/>
      <c r="AK60" s="47"/>
      <c r="AL60" s="47"/>
      <c r="AM60" s="47"/>
      <c r="AN60" s="9"/>
      <c r="AO60" s="9"/>
      <c r="AP60" s="9"/>
      <c r="BC60" s="560"/>
      <c r="BD60" s="550"/>
      <c r="BE60" s="550"/>
      <c r="BF60" s="550"/>
      <c r="BH60" s="517"/>
      <c r="BI60" s="519"/>
    </row>
    <row r="61" spans="2:61" ht="15.75" customHeight="1">
      <c r="B61" s="477"/>
      <c r="C61" s="481"/>
      <c r="D61" s="477"/>
      <c r="E61" s="478"/>
      <c r="F61" s="478"/>
      <c r="G61" s="478"/>
      <c r="I61" s="9"/>
      <c r="J61" s="9"/>
      <c r="K61" s="47"/>
      <c r="L61" s="47"/>
      <c r="M61" s="47"/>
      <c r="N61" s="9"/>
      <c r="O61" s="9"/>
      <c r="P61" s="9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585"/>
      <c r="AK61" s="47"/>
      <c r="AL61" s="47"/>
      <c r="AM61" s="47"/>
      <c r="AN61" s="9"/>
      <c r="AO61" s="9"/>
      <c r="AP61" s="9"/>
      <c r="BB61" s="517"/>
      <c r="BH61" s="517"/>
    </row>
    <row r="62" spans="2:61" ht="15.75" customHeight="1">
      <c r="B62" s="477"/>
      <c r="C62" s="481"/>
      <c r="D62" s="477"/>
      <c r="E62" s="478"/>
      <c r="F62" s="478"/>
      <c r="G62" s="478"/>
      <c r="I62" s="9"/>
      <c r="J62" s="9"/>
      <c r="K62" s="47"/>
      <c r="L62" s="47"/>
      <c r="M62" s="47"/>
      <c r="N62" s="9"/>
      <c r="O62" s="9"/>
      <c r="P62" s="9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585"/>
      <c r="AK62" s="47"/>
      <c r="AL62" s="47"/>
      <c r="AM62" s="47"/>
      <c r="AN62" s="9"/>
      <c r="AO62" s="9"/>
      <c r="AP62" s="9"/>
      <c r="BE62" s="512"/>
      <c r="BF62" s="512"/>
      <c r="BH62" s="517"/>
    </row>
    <row r="63" spans="2:61" ht="15.75" customHeight="1">
      <c r="B63" s="477"/>
      <c r="C63" s="481"/>
      <c r="D63" s="477"/>
      <c r="E63" s="478"/>
      <c r="F63" s="478"/>
      <c r="G63" s="478"/>
      <c r="I63" s="9"/>
      <c r="J63" s="9"/>
      <c r="K63" s="47"/>
      <c r="L63" s="47"/>
      <c r="M63" s="47"/>
      <c r="N63" s="9"/>
      <c r="O63" s="9"/>
      <c r="P63" s="9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585"/>
      <c r="AK63" s="47"/>
      <c r="AL63" s="47"/>
      <c r="AM63" s="47"/>
      <c r="AN63" s="9"/>
      <c r="AO63" s="9"/>
      <c r="AP63" s="9"/>
      <c r="BE63" s="589"/>
      <c r="BF63" s="589"/>
      <c r="BH63" s="517"/>
    </row>
    <row r="64" spans="2:61" ht="15.75" customHeight="1">
      <c r="B64" s="477"/>
      <c r="C64" s="481"/>
      <c r="D64" s="477"/>
      <c r="E64" s="478"/>
      <c r="F64" s="478"/>
      <c r="G64" s="478"/>
      <c r="I64" s="9"/>
      <c r="J64" s="9"/>
      <c r="K64" s="47"/>
      <c r="L64" s="47"/>
      <c r="M64" s="47"/>
      <c r="N64" s="9"/>
      <c r="O64" s="9"/>
      <c r="P64" s="9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9"/>
      <c r="AO64" s="9"/>
      <c r="AP64" s="9"/>
      <c r="BE64" s="589"/>
      <c r="BF64" s="589"/>
      <c r="BH64" s="517"/>
    </row>
    <row r="65" spans="2:58" ht="15.75" customHeight="1">
      <c r="B65" s="477"/>
      <c r="C65" s="481"/>
      <c r="D65" s="477"/>
      <c r="E65" s="478"/>
      <c r="F65" s="478"/>
      <c r="G65" s="478"/>
      <c r="I65" s="9"/>
      <c r="J65" s="9"/>
      <c r="K65" s="47"/>
      <c r="L65" s="47"/>
      <c r="M65" s="47"/>
      <c r="N65" s="9"/>
      <c r="O65" s="9"/>
      <c r="P65" s="9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9"/>
      <c r="AO65" s="9"/>
      <c r="AP65" s="9"/>
      <c r="BE65" s="589"/>
      <c r="BF65" s="589"/>
    </row>
    <row r="66" spans="2:58" ht="15.75" customHeight="1">
      <c r="B66" s="477"/>
      <c r="C66" s="481"/>
      <c r="D66" s="477"/>
      <c r="E66" s="478"/>
      <c r="F66" s="478"/>
      <c r="G66" s="478"/>
      <c r="I66" s="11"/>
      <c r="J66" s="9"/>
      <c r="K66" s="47"/>
      <c r="L66" s="47"/>
      <c r="M66" s="47"/>
      <c r="N66" s="47"/>
      <c r="O66" s="9"/>
      <c r="P66" s="9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9"/>
      <c r="AO66" s="9"/>
      <c r="AP66" s="9"/>
    </row>
    <row r="67" spans="2:58" ht="15.75" customHeight="1">
      <c r="B67" s="477"/>
      <c r="C67" s="481"/>
      <c r="D67" s="477"/>
      <c r="E67" s="478"/>
      <c r="F67" s="478"/>
      <c r="G67" s="478"/>
      <c r="I67" s="9"/>
      <c r="J67" s="9"/>
      <c r="K67" s="47"/>
      <c r="L67" s="47"/>
      <c r="M67" s="47"/>
      <c r="N67" s="9"/>
      <c r="O67" s="9"/>
      <c r="P67" s="9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9"/>
      <c r="AO67" s="9"/>
      <c r="AP67" s="9"/>
    </row>
    <row r="68" spans="2:58" ht="15.75" customHeight="1">
      <c r="B68" s="477"/>
      <c r="C68" s="481"/>
      <c r="D68" s="477"/>
      <c r="E68" s="478"/>
      <c r="F68" s="478"/>
      <c r="G68" s="478"/>
      <c r="I68" s="11"/>
      <c r="J68" s="9"/>
      <c r="K68" s="47"/>
      <c r="L68" s="47"/>
      <c r="M68" s="47"/>
      <c r="N68" s="47"/>
      <c r="O68" s="9"/>
      <c r="P68" s="9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9"/>
      <c r="AO68" s="9"/>
      <c r="AP68" s="9"/>
    </row>
    <row r="69" spans="2:58" ht="15.75" customHeight="1">
      <c r="B69" s="477"/>
      <c r="C69" s="481"/>
      <c r="D69" s="477"/>
      <c r="E69" s="478"/>
      <c r="F69" s="478"/>
      <c r="G69" s="478"/>
      <c r="I69" s="9"/>
      <c r="J69" s="9"/>
      <c r="K69" s="47"/>
      <c r="L69" s="47"/>
      <c r="M69" s="47"/>
      <c r="N69" s="9"/>
      <c r="O69" s="9"/>
      <c r="P69" s="9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9"/>
      <c r="AO69" s="9"/>
      <c r="AP69" s="9"/>
    </row>
    <row r="70" spans="2:58" ht="15.75" customHeight="1">
      <c r="B70" s="477"/>
      <c r="C70" s="481"/>
      <c r="D70" s="477"/>
      <c r="E70" s="478"/>
      <c r="F70" s="478"/>
      <c r="G70" s="478"/>
      <c r="H70" s="47"/>
      <c r="I70" s="47"/>
      <c r="J70" s="47"/>
      <c r="K70" s="47"/>
      <c r="L70" s="47"/>
      <c r="M70" s="47"/>
      <c r="N70" s="9"/>
      <c r="O70" s="9"/>
      <c r="P70" s="9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9"/>
      <c r="AO70" s="9"/>
      <c r="AP70" s="9"/>
    </row>
    <row r="71" spans="2:58" ht="15.75" customHeight="1">
      <c r="B71" s="477"/>
      <c r="C71" s="481"/>
      <c r="D71" s="477"/>
      <c r="E71" s="478"/>
      <c r="F71" s="478"/>
      <c r="G71" s="478"/>
      <c r="H71" s="47"/>
      <c r="I71" s="47"/>
      <c r="J71" s="47"/>
      <c r="K71" s="47"/>
      <c r="L71" s="47"/>
      <c r="M71" s="47"/>
      <c r="N71" s="9"/>
      <c r="O71" s="9"/>
      <c r="P71" s="9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9"/>
      <c r="AO71" s="9"/>
      <c r="AP71" s="9"/>
    </row>
    <row r="72" spans="2:58" ht="15.75" customHeight="1">
      <c r="B72" s="477"/>
      <c r="C72" s="481"/>
      <c r="D72" s="477"/>
      <c r="E72" s="478"/>
      <c r="F72" s="478"/>
      <c r="G72" s="478"/>
      <c r="I72" s="9"/>
      <c r="J72" s="9"/>
      <c r="K72" s="47"/>
      <c r="L72" s="47"/>
      <c r="M72" s="47"/>
      <c r="N72" s="9"/>
      <c r="O72" s="9"/>
      <c r="P72" s="9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9"/>
      <c r="AO72" s="9"/>
      <c r="AP72" s="9"/>
    </row>
    <row r="73" spans="2:58" ht="15.75" customHeight="1">
      <c r="B73" s="477"/>
      <c r="C73" s="481"/>
      <c r="D73" s="477"/>
      <c r="E73" s="478"/>
      <c r="F73" s="478"/>
      <c r="G73" s="478"/>
      <c r="I73" s="9"/>
      <c r="J73" s="9"/>
      <c r="K73" s="47"/>
      <c r="L73" s="47"/>
      <c r="M73" s="47"/>
      <c r="N73" s="9"/>
      <c r="O73" s="9"/>
      <c r="P73" s="9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9"/>
      <c r="AO73" s="9"/>
      <c r="AP73" s="9"/>
    </row>
    <row r="74" spans="2:58" ht="15.75" customHeight="1">
      <c r="B74" s="477"/>
      <c r="C74" s="481"/>
      <c r="D74" s="477"/>
      <c r="E74" s="478"/>
      <c r="F74" s="478"/>
      <c r="G74" s="478"/>
      <c r="I74" s="9"/>
      <c r="J74" s="9"/>
      <c r="K74" s="47"/>
      <c r="L74" s="47"/>
      <c r="M74" s="47"/>
      <c r="N74" s="47"/>
      <c r="O74" s="9"/>
      <c r="P74" s="9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9"/>
      <c r="AO74" s="9"/>
      <c r="AP74" s="9"/>
    </row>
    <row r="75" spans="2:58" ht="15.75" customHeight="1">
      <c r="B75" s="477"/>
      <c r="C75" s="481"/>
      <c r="D75" s="477"/>
      <c r="E75" s="478"/>
      <c r="F75" s="478"/>
      <c r="G75" s="478"/>
      <c r="H75" s="49"/>
      <c r="I75" s="49"/>
      <c r="J75" s="9"/>
      <c r="K75" s="47"/>
      <c r="L75" s="47"/>
      <c r="M75" s="47"/>
      <c r="N75" s="9"/>
      <c r="O75" s="9"/>
      <c r="P75" s="9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9"/>
      <c r="AO75" s="9"/>
      <c r="AP75" s="9"/>
    </row>
    <row r="76" spans="2:58" ht="15.75" customHeight="1">
      <c r="B76" s="477"/>
      <c r="C76" s="481"/>
      <c r="D76" s="477"/>
      <c r="E76" s="478"/>
      <c r="F76" s="478"/>
      <c r="G76" s="478"/>
      <c r="I76" s="9"/>
      <c r="J76" s="9"/>
      <c r="K76" s="47"/>
      <c r="L76" s="47"/>
      <c r="M76" s="47"/>
      <c r="N76" s="47"/>
      <c r="O76" s="9"/>
      <c r="P76" s="9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9"/>
      <c r="AO76" s="9"/>
      <c r="AP76" s="9"/>
    </row>
    <row r="77" spans="2:58" ht="15.75" customHeight="1">
      <c r="B77" s="477"/>
      <c r="C77" s="481"/>
      <c r="D77" s="477"/>
      <c r="E77" s="478"/>
      <c r="F77" s="478"/>
      <c r="G77" s="478"/>
      <c r="H77" s="51"/>
      <c r="I77" s="9"/>
      <c r="J77" s="9"/>
      <c r="K77" s="47"/>
      <c r="L77" s="47"/>
      <c r="M77" s="47"/>
      <c r="N77" s="9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9"/>
      <c r="AO77" s="9"/>
      <c r="AP77" s="9"/>
    </row>
    <row r="78" spans="2:58" ht="15.75" customHeight="1">
      <c r="B78" s="477"/>
      <c r="C78" s="481"/>
      <c r="D78" s="477"/>
      <c r="E78" s="478"/>
      <c r="F78" s="478"/>
      <c r="G78" s="478"/>
      <c r="I78" s="9"/>
      <c r="J78" s="9"/>
      <c r="K78" s="47"/>
      <c r="L78" s="47"/>
      <c r="M78" s="47"/>
      <c r="N78" s="9"/>
      <c r="O78" s="9"/>
      <c r="P78" s="9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9"/>
      <c r="AO78" s="9"/>
      <c r="AP78" s="9"/>
    </row>
    <row r="79" spans="2:58" ht="15.75" customHeight="1">
      <c r="B79" s="477"/>
      <c r="C79" s="481"/>
      <c r="D79" s="477"/>
      <c r="E79" s="478"/>
      <c r="F79" s="478"/>
      <c r="G79" s="478"/>
      <c r="H79" s="51"/>
      <c r="I79" s="9"/>
      <c r="J79" s="9"/>
      <c r="K79" s="47"/>
      <c r="L79" s="47"/>
      <c r="M79" s="47"/>
      <c r="N79" s="9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9"/>
      <c r="AO79" s="9"/>
      <c r="AP79" s="9"/>
    </row>
    <row r="80" spans="2:58" ht="15.75" customHeight="1">
      <c r="B80" s="477"/>
      <c r="C80" s="481"/>
      <c r="D80" s="477"/>
      <c r="E80" s="478"/>
      <c r="F80" s="478"/>
      <c r="G80" s="478"/>
      <c r="I80" s="52"/>
      <c r="J80" s="9"/>
      <c r="K80" s="47"/>
      <c r="L80" s="47"/>
      <c r="M80" s="47"/>
      <c r="N80" s="9"/>
      <c r="O80" s="9"/>
      <c r="P80" s="9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9"/>
      <c r="AO80" s="9"/>
      <c r="AP80" s="9"/>
    </row>
    <row r="81" spans="2:58" ht="15.75" customHeight="1">
      <c r="B81" s="477"/>
      <c r="C81" s="481"/>
      <c r="D81" s="477"/>
      <c r="E81" s="478"/>
      <c r="F81" s="478"/>
      <c r="G81" s="478"/>
      <c r="H81" s="51"/>
      <c r="I81" s="51"/>
      <c r="J81" s="9"/>
      <c r="K81" s="47"/>
      <c r="L81" s="47"/>
      <c r="M81" s="47"/>
      <c r="N81" s="9"/>
      <c r="O81" s="9"/>
      <c r="P81" s="9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9"/>
      <c r="AO81" s="9"/>
      <c r="AP81" s="9"/>
    </row>
    <row r="82" spans="2:58" ht="15.75" customHeight="1">
      <c r="B82" s="477"/>
      <c r="C82" s="481"/>
      <c r="D82" s="477"/>
      <c r="E82" s="478"/>
      <c r="F82" s="478"/>
      <c r="G82" s="478"/>
      <c r="I82" s="9"/>
      <c r="J82" s="9"/>
      <c r="K82" s="47"/>
      <c r="L82" s="484"/>
      <c r="M82" s="484"/>
      <c r="N82" s="49"/>
      <c r="O82" s="9"/>
      <c r="P82" s="9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9"/>
      <c r="AO82" s="9"/>
      <c r="AP82" s="9"/>
    </row>
    <row r="83" spans="2:58" ht="15.75" customHeight="1">
      <c r="B83" s="477"/>
      <c r="C83" s="481"/>
      <c r="D83" s="477"/>
      <c r="E83" s="478"/>
      <c r="F83" s="478"/>
      <c r="G83" s="478"/>
      <c r="I83" s="9"/>
      <c r="J83" s="9"/>
      <c r="K83" s="47"/>
      <c r="L83" s="47"/>
      <c r="M83" s="47"/>
      <c r="N83" s="9"/>
      <c r="O83" s="9"/>
      <c r="P83" s="9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9"/>
      <c r="AO83" s="9"/>
      <c r="AP83" s="9"/>
    </row>
    <row r="84" spans="2:58" ht="15.75" customHeight="1">
      <c r="B84" s="477"/>
      <c r="C84" s="481"/>
      <c r="D84" s="477"/>
      <c r="E84" s="478"/>
      <c r="F84" s="478"/>
      <c r="G84" s="478"/>
      <c r="I84" s="9"/>
      <c r="J84" s="9"/>
      <c r="K84" s="47"/>
      <c r="L84" s="47"/>
      <c r="M84" s="47"/>
      <c r="N84" s="47"/>
      <c r="O84" s="9"/>
      <c r="P84" s="9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9"/>
      <c r="AO84" s="9"/>
      <c r="AP84" s="9"/>
    </row>
    <row r="85" spans="2:58" ht="15.75" customHeight="1">
      <c r="B85" s="477"/>
      <c r="C85" s="481"/>
      <c r="D85" s="477"/>
      <c r="E85" s="478"/>
      <c r="F85" s="478"/>
      <c r="G85" s="478"/>
      <c r="I85" s="9"/>
      <c r="J85" s="9"/>
      <c r="K85" s="47"/>
      <c r="L85" s="47"/>
      <c r="M85" s="47"/>
      <c r="N85" s="9"/>
      <c r="O85" s="9"/>
      <c r="P85" s="9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9"/>
      <c r="AO85" s="9"/>
      <c r="AP85" s="9"/>
      <c r="BD85" s="590"/>
    </row>
    <row r="86" spans="2:58" ht="15.75" customHeight="1">
      <c r="B86" s="477"/>
      <c r="C86" s="481"/>
      <c r="D86" s="477"/>
      <c r="E86" s="478"/>
      <c r="F86" s="478"/>
      <c r="G86" s="478"/>
      <c r="I86" s="10"/>
      <c r="J86" s="9"/>
      <c r="K86" s="47"/>
      <c r="L86" s="47"/>
      <c r="M86" s="47"/>
      <c r="N86" s="9"/>
      <c r="O86" s="9"/>
      <c r="P86" s="9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9"/>
      <c r="AO86" s="9"/>
      <c r="AP86" s="9"/>
      <c r="BC86" s="590"/>
    </row>
    <row r="87" spans="2:58" ht="15.75" customHeight="1">
      <c r="B87" s="477"/>
      <c r="C87" s="481"/>
      <c r="D87" s="477"/>
      <c r="E87" s="478"/>
      <c r="F87" s="478"/>
      <c r="G87" s="478"/>
      <c r="I87" s="9"/>
      <c r="J87" s="9"/>
      <c r="K87" s="47"/>
      <c r="L87" s="47"/>
      <c r="M87" s="47"/>
      <c r="N87" s="9"/>
      <c r="O87" s="9"/>
      <c r="P87" s="9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9"/>
      <c r="AO87" s="9"/>
      <c r="AP87" s="9"/>
    </row>
    <row r="88" spans="2:58" ht="15.75" customHeight="1">
      <c r="B88" s="477"/>
      <c r="C88" s="481"/>
      <c r="D88" s="477"/>
      <c r="E88" s="478"/>
      <c r="F88" s="478"/>
      <c r="G88" s="478"/>
      <c r="I88" s="9"/>
      <c r="J88" s="9"/>
      <c r="K88" s="47"/>
      <c r="L88" s="47"/>
      <c r="M88" s="47"/>
      <c r="N88" s="9"/>
      <c r="O88" s="9"/>
      <c r="P88" s="9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9"/>
      <c r="AO88" s="9"/>
      <c r="AP88" s="9"/>
    </row>
    <row r="89" spans="2:58" ht="15.75" customHeight="1">
      <c r="B89" s="477"/>
      <c r="C89" s="481"/>
      <c r="D89" s="477"/>
      <c r="E89" s="478"/>
      <c r="F89" s="478"/>
      <c r="G89" s="478"/>
      <c r="I89" s="9"/>
      <c r="J89" s="9"/>
      <c r="K89" s="47"/>
      <c r="L89" s="47"/>
      <c r="M89" s="47"/>
      <c r="N89" s="9"/>
      <c r="O89" s="9"/>
      <c r="P89" s="9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9"/>
      <c r="AO89" s="9"/>
      <c r="AP89" s="9"/>
      <c r="BD89" s="591"/>
    </row>
    <row r="90" spans="2:58" ht="15.75" customHeight="1">
      <c r="B90" s="477"/>
      <c r="C90" s="481"/>
      <c r="D90" s="477"/>
      <c r="E90" s="478"/>
      <c r="F90" s="478"/>
      <c r="G90" s="478"/>
      <c r="I90" s="9"/>
      <c r="J90" s="9"/>
      <c r="K90" s="47"/>
      <c r="L90" s="47"/>
      <c r="M90" s="47"/>
      <c r="N90" s="47"/>
      <c r="O90" s="9"/>
      <c r="P90" s="9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9"/>
      <c r="AO90" s="9"/>
      <c r="AP90" s="9"/>
      <c r="BC90" s="591"/>
      <c r="BE90" s="590"/>
      <c r="BF90" s="590"/>
    </row>
    <row r="91" spans="2:58" ht="15.75" customHeight="1">
      <c r="B91" s="477"/>
      <c r="C91" s="481"/>
      <c r="D91" s="477"/>
      <c r="E91" s="478"/>
      <c r="F91" s="478"/>
      <c r="G91" s="478"/>
      <c r="H91" s="49"/>
      <c r="I91" s="9"/>
      <c r="J91" s="9"/>
      <c r="K91" s="47"/>
      <c r="L91" s="47"/>
      <c r="M91" s="47"/>
      <c r="N91" s="9"/>
      <c r="O91" s="9"/>
      <c r="P91" s="9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9"/>
      <c r="AO91" s="9"/>
      <c r="AP91" s="9"/>
    </row>
    <row r="92" spans="2:58" ht="15.75" customHeight="1">
      <c r="B92" s="477"/>
      <c r="C92" s="481"/>
      <c r="D92" s="477"/>
      <c r="E92" s="478"/>
      <c r="F92" s="478"/>
      <c r="G92" s="478"/>
      <c r="H92" s="47"/>
      <c r="I92" s="9"/>
      <c r="J92" s="9"/>
      <c r="K92" s="47"/>
      <c r="L92" s="47"/>
      <c r="M92" s="47"/>
      <c r="N92" s="47"/>
      <c r="O92" s="485"/>
      <c r="P92" s="9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9"/>
      <c r="AO92" s="9"/>
      <c r="AP92" s="9"/>
    </row>
    <row r="93" spans="2:58" ht="15.75" customHeight="1">
      <c r="B93" s="477"/>
      <c r="C93" s="481"/>
      <c r="D93" s="477"/>
      <c r="E93" s="478"/>
      <c r="F93" s="478"/>
      <c r="G93" s="478"/>
      <c r="I93" s="9"/>
      <c r="J93" s="9"/>
      <c r="K93" s="47"/>
      <c r="L93" s="47"/>
      <c r="M93" s="47"/>
      <c r="N93" s="9"/>
      <c r="O93" s="9"/>
      <c r="P93" s="9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9"/>
      <c r="AO93" s="9"/>
      <c r="AP93" s="9"/>
    </row>
    <row r="94" spans="2:58" ht="15.75" customHeight="1">
      <c r="B94" s="477"/>
      <c r="C94" s="481"/>
      <c r="D94" s="477"/>
      <c r="E94" s="478"/>
      <c r="F94" s="478"/>
      <c r="G94" s="478"/>
      <c r="I94" s="50"/>
      <c r="J94" s="9"/>
      <c r="K94" s="47"/>
      <c r="L94" s="592"/>
      <c r="M94" s="47"/>
      <c r="N94" s="9"/>
      <c r="O94" s="9"/>
      <c r="P94" s="9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9"/>
      <c r="AO94" s="9"/>
      <c r="AP94" s="9"/>
      <c r="BE94" s="591"/>
      <c r="BF94" s="591"/>
    </row>
    <row r="95" spans="2:58" ht="15.75" customHeight="1">
      <c r="B95" s="477"/>
      <c r="C95" s="481"/>
      <c r="D95" s="477"/>
      <c r="E95" s="478"/>
      <c r="F95" s="478"/>
      <c r="G95" s="478"/>
      <c r="I95" s="49"/>
      <c r="J95" s="9"/>
      <c r="K95" s="47"/>
      <c r="L95" s="47"/>
      <c r="M95" s="47"/>
      <c r="N95" s="9"/>
      <c r="O95" s="9"/>
      <c r="P95" s="9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9"/>
      <c r="AO95" s="9"/>
      <c r="AP95" s="9"/>
    </row>
    <row r="96" spans="2:58" ht="15.75" customHeight="1">
      <c r="B96" s="477"/>
      <c r="C96" s="481"/>
      <c r="D96" s="477"/>
      <c r="E96" s="478"/>
      <c r="F96" s="478"/>
      <c r="G96" s="478"/>
      <c r="I96" s="9"/>
      <c r="J96" s="9"/>
      <c r="K96" s="47"/>
      <c r="L96" s="47"/>
      <c r="M96" s="47"/>
      <c r="N96" s="9"/>
      <c r="O96" s="9"/>
      <c r="P96" s="9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9"/>
      <c r="AO96" s="9"/>
      <c r="AP96" s="9"/>
    </row>
    <row r="97" spans="2:42" ht="15.75" customHeight="1">
      <c r="B97" s="477"/>
      <c r="C97" s="481"/>
      <c r="D97" s="477"/>
      <c r="E97" s="478"/>
      <c r="F97" s="478"/>
      <c r="G97" s="478"/>
      <c r="I97" s="47"/>
      <c r="J97" s="9"/>
      <c r="K97" s="47"/>
      <c r="L97" s="47"/>
      <c r="M97" s="47"/>
      <c r="N97" s="9"/>
      <c r="O97" s="9"/>
      <c r="P97" s="9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9"/>
      <c r="AO97" s="9"/>
      <c r="AP97" s="9"/>
    </row>
    <row r="98" spans="2:42" ht="15.75" customHeight="1">
      <c r="B98" s="477"/>
      <c r="C98" s="481"/>
      <c r="D98" s="477"/>
      <c r="E98" s="478"/>
      <c r="F98" s="478"/>
      <c r="G98" s="478"/>
      <c r="I98" s="9"/>
      <c r="J98" s="9"/>
      <c r="K98" s="47"/>
      <c r="L98" s="592"/>
      <c r="M98" s="47"/>
      <c r="N98" s="47"/>
      <c r="O98" s="9"/>
      <c r="P98" s="9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9"/>
      <c r="AO98" s="9"/>
      <c r="AP98" s="9"/>
    </row>
    <row r="99" spans="2:42" ht="15.75" customHeight="1">
      <c r="B99" s="477"/>
      <c r="C99" s="481"/>
      <c r="D99" s="478"/>
      <c r="E99" s="47"/>
      <c r="F99" s="478"/>
      <c r="G99" s="478"/>
      <c r="I99" s="9"/>
      <c r="J99" s="9"/>
      <c r="K99" s="47"/>
      <c r="L99" s="47"/>
      <c r="M99" s="47"/>
      <c r="N99" s="9"/>
      <c r="O99" s="9"/>
      <c r="P99" s="9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9"/>
      <c r="AO99" s="9"/>
      <c r="AP99" s="9"/>
    </row>
    <row r="100" spans="2:42" ht="15.75" customHeight="1">
      <c r="B100" s="477"/>
      <c r="C100" s="481"/>
      <c r="D100" s="478"/>
      <c r="E100" s="47"/>
      <c r="F100" s="478"/>
      <c r="G100" s="478"/>
      <c r="I100" s="9"/>
      <c r="J100" s="9"/>
      <c r="K100" s="47"/>
      <c r="L100" s="47"/>
      <c r="M100" s="47"/>
      <c r="N100" s="9"/>
      <c r="O100" s="9"/>
      <c r="P100" s="9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9"/>
      <c r="AO100" s="9"/>
      <c r="AP100" s="9"/>
    </row>
    <row r="101" spans="2:42" ht="15.75" customHeight="1">
      <c r="B101" s="477"/>
      <c r="C101" s="481"/>
      <c r="D101" s="478"/>
      <c r="E101" s="47"/>
      <c r="F101" s="478"/>
      <c r="G101" s="478"/>
      <c r="I101" s="9"/>
      <c r="J101" s="9"/>
      <c r="K101" s="47"/>
      <c r="L101" s="47"/>
      <c r="M101" s="47"/>
      <c r="N101" s="9"/>
      <c r="O101" s="9"/>
      <c r="P101" s="9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9"/>
      <c r="AO101" s="9"/>
      <c r="AP101" s="9"/>
    </row>
    <row r="102" spans="2:42" ht="15.75" customHeight="1">
      <c r="B102" s="477"/>
      <c r="C102" s="481"/>
      <c r="D102" s="478"/>
      <c r="E102" s="47"/>
      <c r="F102" s="478"/>
      <c r="G102" s="478"/>
      <c r="I102" s="9"/>
      <c r="J102" s="9"/>
      <c r="K102" s="47"/>
      <c r="L102" s="47"/>
      <c r="M102" s="47"/>
      <c r="N102" s="9"/>
      <c r="O102" s="9"/>
      <c r="P102" s="9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9"/>
      <c r="AO102" s="9"/>
      <c r="AP102" s="9"/>
    </row>
    <row r="103" spans="2:42" ht="15.75" customHeight="1">
      <c r="B103" s="477"/>
      <c r="C103" s="481"/>
      <c r="D103" s="478"/>
      <c r="E103" s="47"/>
      <c r="F103" s="478"/>
      <c r="G103" s="478"/>
      <c r="I103" s="9"/>
      <c r="J103" s="9"/>
      <c r="K103" s="47"/>
      <c r="L103" s="47"/>
      <c r="M103" s="47"/>
      <c r="N103" s="9"/>
      <c r="O103" s="9"/>
      <c r="P103" s="9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9"/>
      <c r="AO103" s="9"/>
      <c r="AP103" s="9"/>
    </row>
    <row r="104" spans="2:42" ht="15.75" customHeight="1">
      <c r="B104" s="477"/>
      <c r="C104" s="481"/>
      <c r="D104" s="478"/>
      <c r="E104" s="47"/>
      <c r="F104" s="478"/>
      <c r="G104" s="478"/>
      <c r="I104" s="9"/>
      <c r="J104" s="9"/>
      <c r="K104" s="47"/>
      <c r="L104" s="47"/>
      <c r="M104" s="47"/>
      <c r="N104" s="9"/>
      <c r="O104" s="9"/>
      <c r="P104" s="9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9"/>
      <c r="AO104" s="9"/>
      <c r="AP104" s="9"/>
    </row>
    <row r="105" spans="2:42" ht="15.75" customHeight="1">
      <c r="B105" s="477"/>
      <c r="C105" s="481"/>
      <c r="D105" s="478"/>
      <c r="E105" s="47"/>
      <c r="F105" s="478"/>
      <c r="G105" s="478"/>
      <c r="I105" s="9"/>
      <c r="J105" s="9"/>
      <c r="K105" s="47"/>
      <c r="L105" s="47"/>
      <c r="M105" s="47"/>
      <c r="N105" s="9"/>
      <c r="O105" s="9"/>
      <c r="P105" s="9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9"/>
      <c r="AO105" s="9"/>
      <c r="AP105" s="9"/>
    </row>
    <row r="106" spans="2:42" ht="15.75" customHeight="1">
      <c r="B106" s="477"/>
      <c r="C106" s="481"/>
      <c r="D106" s="478"/>
      <c r="E106" s="47"/>
      <c r="F106" s="478"/>
      <c r="G106" s="478"/>
      <c r="I106" s="9"/>
      <c r="J106" s="9"/>
      <c r="K106" s="47"/>
      <c r="L106" s="47"/>
      <c r="M106" s="47"/>
      <c r="N106" s="9"/>
      <c r="O106" s="9"/>
      <c r="P106" s="9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9"/>
      <c r="AO106" s="9"/>
      <c r="AP106" s="9"/>
    </row>
    <row r="107" spans="2:42" ht="15.75" customHeight="1">
      <c r="B107" s="477"/>
      <c r="C107" s="481"/>
      <c r="D107" s="478"/>
      <c r="E107" s="47"/>
      <c r="F107" s="478"/>
      <c r="G107" s="478"/>
      <c r="I107" s="9"/>
      <c r="J107" s="9"/>
      <c r="K107" s="47"/>
      <c r="L107" s="47"/>
      <c r="M107" s="47"/>
      <c r="N107" s="9"/>
      <c r="O107" s="9"/>
      <c r="P107" s="9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9"/>
      <c r="AO107" s="9"/>
      <c r="AP107" s="9"/>
    </row>
    <row r="108" spans="2:42" ht="15.75" customHeight="1">
      <c r="B108" s="477"/>
      <c r="C108" s="481"/>
      <c r="D108" s="478"/>
      <c r="E108" s="47"/>
      <c r="F108" s="478"/>
      <c r="G108" s="478"/>
      <c r="I108" s="9"/>
      <c r="J108" s="9"/>
      <c r="K108" s="47"/>
      <c r="L108" s="47"/>
      <c r="M108" s="47"/>
      <c r="N108" s="9"/>
      <c r="O108" s="9"/>
      <c r="P108" s="9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9"/>
      <c r="AO108" s="9"/>
      <c r="AP108" s="9"/>
    </row>
    <row r="109" spans="2:42" ht="15.75" customHeight="1">
      <c r="B109" s="477"/>
      <c r="C109" s="481"/>
      <c r="D109" s="478"/>
      <c r="E109" s="47"/>
      <c r="F109" s="478"/>
      <c r="G109" s="478"/>
      <c r="I109" s="9"/>
      <c r="J109" s="9"/>
      <c r="K109" s="47"/>
      <c r="L109" s="47"/>
      <c r="M109" s="47"/>
      <c r="N109" s="9"/>
      <c r="O109" s="9"/>
      <c r="P109" s="9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9"/>
      <c r="AO109" s="9"/>
      <c r="AP109" s="9"/>
    </row>
    <row r="110" spans="2:42" ht="15.75" customHeight="1">
      <c r="B110" s="477"/>
      <c r="C110" s="481"/>
      <c r="D110" s="478"/>
      <c r="E110" s="47"/>
      <c r="F110" s="478"/>
      <c r="G110" s="478"/>
      <c r="I110" s="9"/>
      <c r="J110" s="9"/>
      <c r="K110" s="47"/>
      <c r="L110" s="47"/>
      <c r="M110" s="47"/>
      <c r="N110" s="9"/>
      <c r="O110" s="9"/>
      <c r="P110" s="9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9"/>
      <c r="AO110" s="9"/>
      <c r="AP110" s="9"/>
    </row>
    <row r="111" spans="2:42" ht="15.75" customHeight="1">
      <c r="B111" s="477"/>
      <c r="C111" s="481"/>
      <c r="D111" s="478"/>
      <c r="E111" s="47"/>
      <c r="F111" s="478"/>
      <c r="G111" s="478"/>
      <c r="I111" s="9"/>
      <c r="J111" s="9"/>
      <c r="K111" s="47"/>
      <c r="L111" s="47"/>
      <c r="M111" s="47"/>
      <c r="N111" s="9"/>
      <c r="O111" s="9"/>
      <c r="P111" s="9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9"/>
      <c r="AO111" s="9"/>
      <c r="AP111" s="9"/>
    </row>
    <row r="112" spans="2:42" ht="15.75" customHeight="1">
      <c r="B112" s="477"/>
      <c r="C112" s="481"/>
      <c r="D112" s="478"/>
      <c r="E112" s="47"/>
      <c r="F112" s="478"/>
      <c r="G112" s="478"/>
      <c r="I112" s="9"/>
      <c r="J112" s="9"/>
      <c r="K112" s="47"/>
      <c r="L112" s="47"/>
      <c r="M112" s="47"/>
      <c r="N112" s="9"/>
      <c r="O112" s="9"/>
      <c r="P112" s="9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9"/>
      <c r="AO112" s="9"/>
      <c r="AP112" s="9"/>
    </row>
    <row r="113" spans="2:42" ht="15.75" customHeight="1">
      <c r="B113" s="477"/>
      <c r="C113" s="481"/>
      <c r="D113" s="478"/>
      <c r="E113" s="47"/>
      <c r="F113" s="478"/>
      <c r="G113" s="478"/>
      <c r="I113" s="9"/>
      <c r="J113" s="9"/>
      <c r="K113" s="47"/>
      <c r="L113" s="47"/>
      <c r="M113" s="47"/>
      <c r="N113" s="9"/>
      <c r="O113" s="9"/>
      <c r="P113" s="9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9"/>
      <c r="AO113" s="9"/>
      <c r="AP113" s="9"/>
    </row>
    <row r="114" spans="2:42" ht="15.75" customHeight="1">
      <c r="B114" s="477"/>
      <c r="C114" s="481"/>
      <c r="D114" s="478"/>
      <c r="E114" s="47"/>
      <c r="F114" s="478"/>
      <c r="G114" s="478"/>
      <c r="I114" s="9"/>
      <c r="J114" s="9"/>
      <c r="K114" s="47"/>
      <c r="L114" s="47"/>
      <c r="M114" s="47"/>
      <c r="N114" s="9"/>
      <c r="O114" s="9"/>
      <c r="P114" s="9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9"/>
      <c r="AO114" s="9"/>
      <c r="AP114" s="9"/>
    </row>
    <row r="115" spans="2:42" ht="15.75" customHeight="1">
      <c r="B115" s="477"/>
      <c r="C115" s="481"/>
      <c r="D115" s="478"/>
      <c r="E115" s="47"/>
      <c r="F115" s="478"/>
      <c r="G115" s="478"/>
      <c r="I115" s="9"/>
      <c r="J115" s="9"/>
      <c r="K115" s="47"/>
      <c r="L115" s="47"/>
      <c r="M115" s="47"/>
      <c r="N115" s="9"/>
      <c r="O115" s="9"/>
      <c r="P115" s="9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9"/>
      <c r="AO115" s="9"/>
      <c r="AP115" s="9"/>
    </row>
    <row r="116" spans="2:42" ht="15.75" customHeight="1">
      <c r="B116" s="480"/>
      <c r="C116" s="481"/>
      <c r="D116" s="478"/>
      <c r="E116" s="47"/>
      <c r="F116" s="478"/>
      <c r="G116" s="478"/>
      <c r="H116" s="47"/>
      <c r="I116" s="47"/>
      <c r="J116" s="47"/>
      <c r="K116" s="47"/>
      <c r="L116" s="47"/>
      <c r="M116" s="47"/>
      <c r="N116" s="47"/>
      <c r="O116" s="47"/>
      <c r="P116" s="47"/>
      <c r="Q116" s="483"/>
      <c r="R116" s="483"/>
      <c r="S116" s="483"/>
      <c r="T116" s="483"/>
      <c r="U116" s="483"/>
      <c r="V116" s="483"/>
      <c r="W116" s="483"/>
      <c r="X116" s="483"/>
      <c r="Y116" s="483"/>
      <c r="Z116" s="483"/>
      <c r="AA116" s="483"/>
      <c r="AB116" s="483"/>
      <c r="AC116" s="483"/>
      <c r="AD116" s="483"/>
      <c r="AE116" s="483"/>
      <c r="AF116" s="483"/>
      <c r="AG116" s="47"/>
      <c r="AH116" s="483"/>
      <c r="AI116" s="483"/>
      <c r="AJ116" s="47"/>
      <c r="AK116" s="47"/>
      <c r="AL116" s="47"/>
      <c r="AM116" s="47"/>
      <c r="AN116" s="9"/>
      <c r="AO116" s="9"/>
      <c r="AP116" s="9"/>
    </row>
    <row r="117" spans="2:42" ht="15.75" customHeight="1">
      <c r="B117" s="480"/>
      <c r="C117" s="481"/>
      <c r="D117" s="478"/>
      <c r="E117" s="483"/>
      <c r="F117" s="478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83"/>
      <c r="R117" s="483"/>
      <c r="S117" s="483"/>
      <c r="T117" s="483"/>
      <c r="U117" s="483"/>
      <c r="V117" s="483"/>
      <c r="W117" s="483"/>
      <c r="X117" s="483"/>
      <c r="Y117" s="483"/>
      <c r="Z117" s="483"/>
      <c r="AA117" s="483"/>
      <c r="AB117" s="483"/>
      <c r="AC117" s="483"/>
      <c r="AD117" s="483"/>
      <c r="AE117" s="483"/>
      <c r="AF117" s="483"/>
      <c r="AG117" s="47"/>
      <c r="AH117" s="483"/>
      <c r="AI117" s="483"/>
      <c r="AJ117" s="47"/>
      <c r="AK117" s="47"/>
      <c r="AL117" s="47"/>
      <c r="AM117" s="47"/>
    </row>
    <row r="118" spans="2:42" ht="15.75" customHeight="1">
      <c r="B118" s="480"/>
      <c r="C118" s="481"/>
      <c r="D118" s="478"/>
      <c r="E118" s="47"/>
      <c r="F118" s="478"/>
      <c r="G118" s="478"/>
      <c r="H118" s="47"/>
      <c r="I118" s="47"/>
      <c r="J118" s="47"/>
      <c r="K118" s="47"/>
      <c r="L118" s="483"/>
      <c r="M118" s="47"/>
      <c r="N118" s="47"/>
      <c r="O118" s="47"/>
      <c r="P118" s="47"/>
      <c r="Q118" s="483"/>
      <c r="R118" s="483"/>
      <c r="S118" s="483"/>
      <c r="T118" s="483"/>
      <c r="U118" s="483"/>
      <c r="V118" s="483"/>
      <c r="W118" s="483"/>
      <c r="X118" s="483"/>
      <c r="Y118" s="483"/>
      <c r="Z118" s="483"/>
      <c r="AA118" s="483"/>
      <c r="AB118" s="483"/>
      <c r="AC118" s="483"/>
      <c r="AD118" s="483"/>
      <c r="AE118" s="483"/>
      <c r="AF118" s="483"/>
      <c r="AG118" s="47"/>
      <c r="AH118" s="483"/>
      <c r="AI118" s="483"/>
      <c r="AJ118" s="483"/>
      <c r="AK118" s="483"/>
      <c r="AL118" s="47"/>
      <c r="AM118" s="47"/>
    </row>
    <row r="119" spans="2:42" ht="15.75" customHeight="1">
      <c r="C119" s="481"/>
    </row>
    <row r="120" spans="2:42" ht="15.75" customHeight="1">
      <c r="C120" s="481"/>
    </row>
    <row r="121" spans="2:42" ht="15.75" customHeight="1">
      <c r="C121" s="481"/>
    </row>
    <row r="122" spans="2:42" ht="15.75" customHeight="1">
      <c r="C122" s="481"/>
    </row>
    <row r="123" spans="2:42" ht="15.75" customHeight="1">
      <c r="C123" s="481"/>
    </row>
    <row r="124" spans="2:42" ht="15.75" customHeight="1">
      <c r="C124" s="481"/>
    </row>
    <row r="125" spans="2:42" ht="15.75" customHeight="1">
      <c r="C125" s="481"/>
    </row>
    <row r="126" spans="2:42" ht="15.75" customHeight="1">
      <c r="C126" s="481"/>
    </row>
    <row r="127" spans="2:42" ht="15.75" customHeight="1">
      <c r="C127" s="481"/>
    </row>
    <row r="128" spans="2:42" ht="15.75" customHeight="1">
      <c r="C128" s="481"/>
    </row>
    <row r="129" spans="3:56" ht="15.75" customHeight="1">
      <c r="C129" s="481"/>
    </row>
    <row r="130" spans="3:56" ht="15.75" customHeight="1">
      <c r="C130" s="481"/>
    </row>
    <row r="131" spans="3:56" ht="15.75" customHeight="1">
      <c r="C131" s="481"/>
    </row>
    <row r="132" spans="3:56" ht="15.75" customHeight="1">
      <c r="C132" s="481"/>
    </row>
    <row r="133" spans="3:56" ht="15.75" customHeight="1">
      <c r="C133" s="481"/>
    </row>
    <row r="134" spans="3:56" ht="15.75" customHeight="1">
      <c r="C134" s="481"/>
    </row>
    <row r="135" spans="3:56" ht="15.75" customHeight="1">
      <c r="C135" s="481"/>
    </row>
    <row r="136" spans="3:56" ht="15.75" customHeight="1">
      <c r="C136" s="481"/>
    </row>
    <row r="137" spans="3:56" ht="15.75" customHeight="1">
      <c r="C137" s="481"/>
    </row>
    <row r="138" spans="3:56" ht="15.75" customHeight="1">
      <c r="C138" s="481"/>
    </row>
    <row r="139" spans="3:56" ht="15.75" customHeight="1">
      <c r="C139" s="481"/>
    </row>
    <row r="140" spans="3:56" ht="15.75" customHeight="1">
      <c r="C140" s="481"/>
    </row>
    <row r="141" spans="3:56" ht="15.75" customHeight="1">
      <c r="C141" s="481"/>
      <c r="BD141" s="590"/>
    </row>
    <row r="142" spans="3:56" ht="15.75" customHeight="1">
      <c r="C142" s="481"/>
      <c r="BC142" s="590"/>
    </row>
    <row r="143" spans="3:56" ht="15.75" customHeight="1">
      <c r="C143" s="481"/>
    </row>
    <row r="144" spans="3:56" ht="15.75" customHeight="1">
      <c r="C144" s="481"/>
    </row>
    <row r="145" spans="3:58" ht="15.75" customHeight="1">
      <c r="C145" s="481"/>
    </row>
    <row r="146" spans="3:58" ht="15.75" customHeight="1">
      <c r="C146" s="481"/>
      <c r="BE146" s="590"/>
      <c r="BF146" s="590"/>
    </row>
    <row r="147" spans="3:58" ht="15.75" customHeight="1">
      <c r="C147" s="481"/>
    </row>
    <row r="148" spans="3:58" ht="15.75" customHeight="1">
      <c r="C148" s="481"/>
    </row>
    <row r="149" spans="3:58" ht="15.75" customHeight="1">
      <c r="C149" s="481"/>
    </row>
    <row r="150" spans="3:58" ht="15.75" customHeight="1">
      <c r="C150" s="481"/>
    </row>
    <row r="151" spans="3:58" ht="15.75" customHeight="1">
      <c r="C151" s="481"/>
    </row>
    <row r="152" spans="3:58" ht="15.75" customHeight="1">
      <c r="C152" s="481"/>
    </row>
    <row r="153" spans="3:58" ht="15.75" customHeight="1">
      <c r="C153" s="481"/>
    </row>
    <row r="154" spans="3:58" ht="15.75" customHeight="1">
      <c r="C154" s="481"/>
    </row>
    <row r="155" spans="3:58" ht="15.75" customHeight="1">
      <c r="C155" s="481"/>
    </row>
    <row r="156" spans="3:58" ht="15.75" customHeight="1">
      <c r="C156" s="481"/>
    </row>
    <row r="157" spans="3:58" ht="15.75" customHeight="1">
      <c r="C157" s="481"/>
    </row>
    <row r="158" spans="3:58" ht="15.75" customHeight="1">
      <c r="C158" s="481"/>
    </row>
    <row r="159" spans="3:58" ht="15.75" customHeight="1">
      <c r="C159" s="481"/>
    </row>
    <row r="160" spans="3:58" ht="15.75" customHeight="1">
      <c r="C160" s="481"/>
    </row>
    <row r="161" spans="3:3" ht="15.75" customHeight="1">
      <c r="C161" s="481"/>
    </row>
    <row r="162" spans="3:3" ht="15.75" customHeight="1">
      <c r="C162" s="481"/>
    </row>
    <row r="163" spans="3:3" ht="15.75" customHeight="1">
      <c r="C163" s="481"/>
    </row>
    <row r="164" spans="3:3" ht="15.75" customHeight="1">
      <c r="C164" s="481"/>
    </row>
    <row r="165" spans="3:3" ht="15.75" customHeight="1">
      <c r="C165" s="481"/>
    </row>
    <row r="166" spans="3:3" ht="15.75" customHeight="1">
      <c r="C166" s="481"/>
    </row>
    <row r="167" spans="3:3" ht="15.75" customHeight="1">
      <c r="C167" s="481"/>
    </row>
    <row r="168" spans="3:3" ht="15.75" customHeight="1">
      <c r="C168" s="481"/>
    </row>
    <row r="169" spans="3:3" ht="15.75" customHeight="1">
      <c r="C169" s="481"/>
    </row>
    <row r="170" spans="3:3" ht="15.75" customHeight="1">
      <c r="C170" s="481"/>
    </row>
    <row r="171" spans="3:3" ht="15.75" customHeight="1">
      <c r="C171" s="481"/>
    </row>
    <row r="172" spans="3:3" ht="15.75" customHeight="1">
      <c r="C172" s="481"/>
    </row>
    <row r="173" spans="3:3" ht="15.75" customHeight="1">
      <c r="C173" s="481"/>
    </row>
    <row r="174" spans="3:3" ht="15.75" customHeight="1">
      <c r="C174" s="481"/>
    </row>
    <row r="175" spans="3:3" ht="15.75" customHeight="1">
      <c r="C175" s="481"/>
    </row>
    <row r="176" spans="3:3" ht="15.75" customHeight="1">
      <c r="C176" s="481"/>
    </row>
    <row r="177" spans="3:3" ht="15.75" customHeight="1">
      <c r="C177" s="481"/>
    </row>
    <row r="178" spans="3:3" ht="15.75" customHeight="1">
      <c r="C178" s="481"/>
    </row>
    <row r="179" spans="3:3" ht="15.75" customHeight="1">
      <c r="C179" s="481"/>
    </row>
    <row r="180" spans="3:3" ht="15.75" customHeight="1">
      <c r="C180" s="481"/>
    </row>
    <row r="181" spans="3:3" ht="15.75" customHeight="1">
      <c r="C181" s="481"/>
    </row>
    <row r="182" spans="3:3" ht="15.75" customHeight="1">
      <c r="C182" s="481"/>
    </row>
    <row r="183" spans="3:3" ht="15.75" customHeight="1">
      <c r="C183" s="481"/>
    </row>
    <row r="184" spans="3:3" ht="15.75" customHeight="1">
      <c r="C184" s="481"/>
    </row>
    <row r="185" spans="3:3" ht="15.75" customHeight="1">
      <c r="C185" s="481"/>
    </row>
    <row r="186" spans="3:3" ht="15.75" customHeight="1">
      <c r="C186" s="481"/>
    </row>
    <row r="187" spans="3:3" ht="15.75" customHeight="1">
      <c r="C187" s="481"/>
    </row>
    <row r="188" spans="3:3" ht="15.75" customHeight="1">
      <c r="C188" s="481"/>
    </row>
    <row r="189" spans="3:3" ht="15.75" customHeight="1">
      <c r="C189" s="481"/>
    </row>
    <row r="190" spans="3:3" ht="15.75" customHeight="1">
      <c r="C190" s="481"/>
    </row>
    <row r="191" spans="3:3" ht="15.75" customHeight="1">
      <c r="C191" s="481"/>
    </row>
    <row r="192" spans="3:3" ht="15.75" customHeight="1">
      <c r="C192" s="481"/>
    </row>
    <row r="193" spans="3:58" ht="15.75" customHeight="1">
      <c r="C193" s="481"/>
    </row>
    <row r="194" spans="3:58" ht="15.75" customHeight="1">
      <c r="C194" s="481"/>
      <c r="BD194" s="590"/>
    </row>
    <row r="195" spans="3:58" ht="15.75" customHeight="1">
      <c r="C195" s="481"/>
      <c r="BC195" s="590"/>
    </row>
    <row r="196" spans="3:58" ht="15.75" customHeight="1">
      <c r="C196" s="481"/>
    </row>
    <row r="197" spans="3:58" ht="15.75" customHeight="1">
      <c r="C197" s="481"/>
    </row>
    <row r="198" spans="3:58" ht="15.75" customHeight="1">
      <c r="C198" s="481"/>
    </row>
    <row r="199" spans="3:58" ht="15.75" customHeight="1">
      <c r="C199" s="481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BE199" s="590"/>
      <c r="BF199" s="590"/>
    </row>
    <row r="200" spans="3:58" ht="15.75" customHeight="1">
      <c r="C200" s="481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</row>
    <row r="201" spans="3:58" ht="15.75" customHeight="1">
      <c r="C201" s="481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</row>
    <row r="202" spans="3:58" ht="15.75" customHeight="1">
      <c r="C202" s="481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</row>
    <row r="203" spans="3:58" ht="15.75" customHeight="1">
      <c r="C203" s="481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</row>
    <row r="204" spans="3:58" ht="15.75" customHeight="1">
      <c r="C204" s="481"/>
    </row>
    <row r="205" spans="3:58" ht="15.75" customHeight="1">
      <c r="C205" s="481"/>
    </row>
    <row r="206" spans="3:58" ht="15.75" customHeight="1">
      <c r="C206" s="481"/>
    </row>
    <row r="207" spans="3:58" ht="15.75" customHeight="1">
      <c r="C207" s="481"/>
    </row>
    <row r="208" spans="3:58" ht="15.75" customHeight="1">
      <c r="C208" s="481"/>
    </row>
    <row r="209" spans="3:3" ht="15.75" customHeight="1">
      <c r="C209" s="481"/>
    </row>
    <row r="210" spans="3:3" ht="15.75" customHeight="1">
      <c r="C210" s="481"/>
    </row>
    <row r="211" spans="3:3" ht="15.75" customHeight="1">
      <c r="C211" s="481"/>
    </row>
    <row r="212" spans="3:3" ht="15.75" customHeight="1">
      <c r="C212" s="481"/>
    </row>
    <row r="213" spans="3:3" ht="15.75" customHeight="1">
      <c r="C213" s="481"/>
    </row>
    <row r="214" spans="3:3" ht="15.75" customHeight="1">
      <c r="C214" s="481"/>
    </row>
    <row r="215" spans="3:3" ht="15.75" customHeight="1">
      <c r="C215" s="481"/>
    </row>
    <row r="216" spans="3:3" ht="15.75" customHeight="1">
      <c r="C216" s="481"/>
    </row>
    <row r="217" spans="3:3" ht="15.75" customHeight="1">
      <c r="C217" s="481"/>
    </row>
    <row r="218" spans="3:3" ht="15.75" customHeight="1">
      <c r="C218" s="481"/>
    </row>
    <row r="219" spans="3:3" ht="15.75" customHeight="1">
      <c r="C219" s="481"/>
    </row>
    <row r="220" spans="3:3" ht="15.75" customHeight="1">
      <c r="C220" s="481"/>
    </row>
    <row r="221" spans="3:3" ht="15.75" customHeight="1">
      <c r="C221" s="481"/>
    </row>
    <row r="222" spans="3:3" ht="15.75" customHeight="1">
      <c r="C222" s="481"/>
    </row>
    <row r="223" spans="3:3" ht="15.75" customHeight="1">
      <c r="C223" s="481"/>
    </row>
    <row r="224" spans="3:3" ht="15.75" customHeight="1">
      <c r="C224" s="481"/>
    </row>
    <row r="225" spans="3:3" ht="15.75" customHeight="1">
      <c r="C225" s="481"/>
    </row>
    <row r="226" spans="3:3" ht="15.75" customHeight="1">
      <c r="C226" s="481"/>
    </row>
    <row r="227" spans="3:3" ht="15.75" customHeight="1">
      <c r="C227" s="481"/>
    </row>
    <row r="228" spans="3:3" ht="15.75" customHeight="1">
      <c r="C228" s="481"/>
    </row>
    <row r="229" spans="3:3" ht="15.75" customHeight="1">
      <c r="C229" s="481"/>
    </row>
    <row r="230" spans="3:3" ht="15.75" customHeight="1">
      <c r="C230" s="481"/>
    </row>
    <row r="231" spans="3:3" ht="15.75" customHeight="1">
      <c r="C231" s="481"/>
    </row>
    <row r="232" spans="3:3" ht="15.75" customHeight="1">
      <c r="C232" s="481"/>
    </row>
    <row r="233" spans="3:3" ht="15.75" customHeight="1">
      <c r="C233" s="481"/>
    </row>
    <row r="234" spans="3:3" ht="15.75" customHeight="1">
      <c r="C234" s="481"/>
    </row>
    <row r="235" spans="3:3" ht="15.75" customHeight="1">
      <c r="C235" s="481"/>
    </row>
    <row r="236" spans="3:3" ht="15.75" customHeight="1">
      <c r="C236" s="481"/>
    </row>
    <row r="237" spans="3:3" ht="15.75" customHeight="1">
      <c r="C237" s="481"/>
    </row>
    <row r="238" spans="3:3" ht="15.75" customHeight="1">
      <c r="C238" s="481"/>
    </row>
    <row r="239" spans="3:3" ht="15.75" customHeight="1">
      <c r="C239" s="481"/>
    </row>
    <row r="240" spans="3:3" ht="15.75" customHeight="1">
      <c r="C240" s="481"/>
    </row>
    <row r="241" spans="3:3" ht="15.75" customHeight="1">
      <c r="C241" s="481"/>
    </row>
    <row r="242" spans="3:3" ht="15.75" customHeight="1">
      <c r="C242" s="481"/>
    </row>
    <row r="243" spans="3:3" ht="15.75" customHeight="1">
      <c r="C243" s="481"/>
    </row>
    <row r="244" spans="3:3" ht="15.75" customHeight="1">
      <c r="C244" s="481"/>
    </row>
    <row r="245" spans="3:3" ht="15.75" customHeight="1">
      <c r="C245" s="481"/>
    </row>
    <row r="246" spans="3:3" ht="15.75" customHeight="1">
      <c r="C246" s="481"/>
    </row>
    <row r="247" spans="3:3" ht="15.75" customHeight="1">
      <c r="C247" s="481"/>
    </row>
    <row r="248" spans="3:3" ht="15.75" customHeight="1">
      <c r="C248" s="481"/>
    </row>
    <row r="249" spans="3:3" ht="15.75" customHeight="1">
      <c r="C249" s="481"/>
    </row>
    <row r="250" spans="3:3" ht="15.75" customHeight="1">
      <c r="C250" s="481"/>
    </row>
    <row r="251" spans="3:3" ht="15.75" customHeight="1">
      <c r="C251" s="481"/>
    </row>
    <row r="252" spans="3:3" ht="15.75" customHeight="1">
      <c r="C252" s="481"/>
    </row>
    <row r="253" spans="3:3" ht="15.75" customHeight="1">
      <c r="C253" s="481"/>
    </row>
    <row r="254" spans="3:3" ht="15.75" customHeight="1">
      <c r="C254" s="481"/>
    </row>
    <row r="255" spans="3:3" ht="15.75" customHeight="1">
      <c r="C255" s="481"/>
    </row>
    <row r="256" spans="3:3" ht="15.75" customHeight="1">
      <c r="C256" s="481"/>
    </row>
    <row r="257" spans="3:3" ht="15.75" customHeight="1">
      <c r="C257" s="481"/>
    </row>
    <row r="258" spans="3:3" ht="15.75" customHeight="1">
      <c r="C258" s="481"/>
    </row>
    <row r="259" spans="3:3" ht="15.75" customHeight="1">
      <c r="C259" s="481"/>
    </row>
    <row r="260" spans="3:3" ht="15.75" customHeight="1">
      <c r="C260" s="481"/>
    </row>
    <row r="261" spans="3:3" ht="15.75" customHeight="1">
      <c r="C261" s="481"/>
    </row>
    <row r="262" spans="3:3" ht="15.75" customHeight="1">
      <c r="C262" s="481"/>
    </row>
    <row r="263" spans="3:3" ht="15.75" customHeight="1">
      <c r="C263" s="481"/>
    </row>
    <row r="264" spans="3:3" ht="15.75" customHeight="1">
      <c r="C264" s="481"/>
    </row>
    <row r="265" spans="3:3" ht="15.75" customHeight="1">
      <c r="C265" s="481"/>
    </row>
    <row r="266" spans="3:3" ht="15.75" customHeight="1">
      <c r="C266" s="481"/>
    </row>
    <row r="267" spans="3:3" ht="15.75" customHeight="1">
      <c r="C267" s="481"/>
    </row>
    <row r="268" spans="3:3" ht="15.75" customHeight="1">
      <c r="C268" s="481"/>
    </row>
    <row r="269" spans="3:3" ht="15.75" customHeight="1">
      <c r="C269" s="481"/>
    </row>
    <row r="270" spans="3:3" ht="15.75" customHeight="1">
      <c r="C270" s="481"/>
    </row>
    <row r="271" spans="3:3" ht="15.75" customHeight="1">
      <c r="C271" s="481"/>
    </row>
    <row r="272" spans="3:3" ht="15.75" customHeight="1">
      <c r="C272" s="481"/>
    </row>
    <row r="273" spans="3:58" ht="15.75" customHeight="1">
      <c r="C273" s="481"/>
    </row>
    <row r="274" spans="3:58" ht="15.75" customHeight="1">
      <c r="C274" s="481"/>
    </row>
    <row r="275" spans="3:58" ht="15.75" customHeight="1">
      <c r="C275" s="481"/>
    </row>
    <row r="276" spans="3:58" ht="15.75" customHeight="1">
      <c r="C276" s="481"/>
      <c r="BD276" s="590"/>
    </row>
    <row r="277" spans="3:58" ht="15.75" customHeight="1">
      <c r="C277" s="481"/>
      <c r="BC277" s="590"/>
    </row>
    <row r="278" spans="3:58" ht="15.75" customHeight="1">
      <c r="C278" s="481"/>
    </row>
    <row r="279" spans="3:58" ht="15.75" customHeight="1">
      <c r="C279" s="481"/>
    </row>
    <row r="280" spans="3:58" ht="15.75" customHeight="1">
      <c r="C280" s="481"/>
    </row>
    <row r="281" spans="3:58" ht="15.75" customHeight="1">
      <c r="C281" s="481"/>
      <c r="BE281" s="590"/>
      <c r="BF281" s="590"/>
    </row>
    <row r="282" spans="3:58" ht="15.75" customHeight="1">
      <c r="C282" s="481"/>
    </row>
    <row r="283" spans="3:58" ht="15.75" customHeight="1">
      <c r="C283" s="481"/>
    </row>
    <row r="284" spans="3:58" ht="15.75" customHeight="1">
      <c r="C284" s="481"/>
    </row>
    <row r="285" spans="3:58" ht="15.75" customHeight="1">
      <c r="C285" s="481"/>
    </row>
    <row r="286" spans="3:58" ht="15.75" customHeight="1">
      <c r="C286" s="481"/>
    </row>
    <row r="287" spans="3:58" ht="15.75" customHeight="1">
      <c r="C287" s="481"/>
    </row>
    <row r="288" spans="3:58" ht="15.75" customHeight="1">
      <c r="C288" s="481"/>
    </row>
    <row r="289" spans="3:3" ht="15.75" customHeight="1">
      <c r="C289" s="481"/>
    </row>
    <row r="290" spans="3:3" ht="15.75" customHeight="1">
      <c r="C290" s="481"/>
    </row>
    <row r="291" spans="3:3" ht="15.75" customHeight="1">
      <c r="C291" s="481"/>
    </row>
    <row r="292" spans="3:3" ht="15.75" customHeight="1">
      <c r="C292" s="481"/>
    </row>
    <row r="293" spans="3:3" ht="15.75" customHeight="1">
      <c r="C293" s="481"/>
    </row>
    <row r="294" spans="3:3" ht="15.75" customHeight="1">
      <c r="C294" s="481"/>
    </row>
    <row r="295" spans="3:3" ht="15.75" customHeight="1">
      <c r="C295" s="481"/>
    </row>
    <row r="296" spans="3:3" ht="15.75" customHeight="1">
      <c r="C296" s="481"/>
    </row>
    <row r="297" spans="3:3" ht="15.75" customHeight="1">
      <c r="C297" s="481"/>
    </row>
    <row r="298" spans="3:3" ht="15.75" customHeight="1">
      <c r="C298" s="481"/>
    </row>
    <row r="299" spans="3:3" ht="15.75" customHeight="1">
      <c r="C299" s="481"/>
    </row>
    <row r="300" spans="3:3" ht="15.75" customHeight="1">
      <c r="C300" s="481"/>
    </row>
    <row r="301" spans="3:3" ht="15.75" customHeight="1">
      <c r="C301" s="481"/>
    </row>
    <row r="302" spans="3:3" ht="15.75" customHeight="1">
      <c r="C302" s="481"/>
    </row>
    <row r="303" spans="3:3" ht="15.75" customHeight="1">
      <c r="C303" s="481"/>
    </row>
    <row r="304" spans="3:3" ht="15.75" customHeight="1">
      <c r="C304" s="481"/>
    </row>
    <row r="305" spans="3:58" ht="15.75" customHeight="1">
      <c r="C305" s="481"/>
    </row>
    <row r="306" spans="3:58" ht="15.75" customHeight="1">
      <c r="C306" s="481"/>
    </row>
    <row r="307" spans="3:58" ht="15.75" customHeight="1">
      <c r="C307" s="481"/>
    </row>
    <row r="308" spans="3:58" ht="15.75" customHeight="1">
      <c r="C308" s="481"/>
    </row>
    <row r="309" spans="3:58" ht="15.75" customHeight="1">
      <c r="C309" s="481"/>
    </row>
    <row r="310" spans="3:58" ht="15.75" customHeight="1">
      <c r="C310" s="481"/>
    </row>
    <row r="311" spans="3:58" ht="15.75" customHeight="1">
      <c r="C311" s="481"/>
      <c r="BD311" s="590"/>
    </row>
    <row r="312" spans="3:58" ht="15.75" customHeight="1">
      <c r="C312" s="481"/>
      <c r="BC312" s="590"/>
    </row>
    <row r="313" spans="3:58" ht="15.75" customHeight="1">
      <c r="C313" s="481"/>
    </row>
    <row r="314" spans="3:58" ht="15.75" customHeight="1">
      <c r="C314" s="481"/>
    </row>
    <row r="315" spans="3:58" ht="15.75" customHeight="1">
      <c r="C315" s="481"/>
    </row>
    <row r="316" spans="3:58" ht="15.75" customHeight="1">
      <c r="C316" s="481"/>
      <c r="BE316" s="590"/>
      <c r="BF316" s="590"/>
    </row>
    <row r="317" spans="3:58" ht="15.75" customHeight="1">
      <c r="C317" s="481"/>
    </row>
    <row r="318" spans="3:58" ht="15.75" customHeight="1">
      <c r="C318" s="481"/>
    </row>
    <row r="319" spans="3:58" ht="15.75" customHeight="1">
      <c r="C319" s="481"/>
    </row>
    <row r="320" spans="3:58" ht="15.75" customHeight="1">
      <c r="C320" s="481"/>
    </row>
    <row r="321" spans="3:3" ht="15.75" customHeight="1">
      <c r="C321" s="481"/>
    </row>
    <row r="322" spans="3:3" ht="15.75" customHeight="1">
      <c r="C322" s="481"/>
    </row>
    <row r="323" spans="3:3" ht="15.75" customHeight="1">
      <c r="C323" s="481"/>
    </row>
    <row r="324" spans="3:3" ht="15.75" customHeight="1">
      <c r="C324" s="481"/>
    </row>
    <row r="325" spans="3:3" ht="15.75" customHeight="1">
      <c r="C325" s="481"/>
    </row>
    <row r="326" spans="3:3" ht="15.75" customHeight="1">
      <c r="C326" s="481"/>
    </row>
    <row r="327" spans="3:3" ht="15.75" customHeight="1">
      <c r="C327" s="481"/>
    </row>
    <row r="328" spans="3:3" ht="15.75" customHeight="1">
      <c r="C328" s="481"/>
    </row>
    <row r="329" spans="3:3" ht="15.75" customHeight="1">
      <c r="C329" s="481"/>
    </row>
    <row r="330" spans="3:3" ht="15.75" customHeight="1">
      <c r="C330" s="481"/>
    </row>
    <row r="331" spans="3:3" ht="15.75" customHeight="1">
      <c r="C331" s="481"/>
    </row>
    <row r="332" spans="3:3" ht="15.75" customHeight="1">
      <c r="C332" s="481"/>
    </row>
    <row r="333" spans="3:3" ht="15.75" customHeight="1">
      <c r="C333" s="481"/>
    </row>
    <row r="334" spans="3:3" ht="15.75" customHeight="1">
      <c r="C334" s="481"/>
    </row>
    <row r="335" spans="3:3" ht="15.75" customHeight="1">
      <c r="C335" s="481"/>
    </row>
    <row r="336" spans="3:3" ht="15.75" customHeight="1">
      <c r="C336" s="481"/>
    </row>
    <row r="337" spans="3:3" ht="15.75" customHeight="1">
      <c r="C337" s="481"/>
    </row>
    <row r="338" spans="3:3" ht="15.75" customHeight="1">
      <c r="C338" s="481"/>
    </row>
    <row r="339" spans="3:3" ht="15.75" customHeight="1">
      <c r="C339" s="481"/>
    </row>
    <row r="340" spans="3:3" ht="15.75" customHeight="1">
      <c r="C340" s="481"/>
    </row>
    <row r="341" spans="3:3" ht="15.75" customHeight="1">
      <c r="C341" s="481"/>
    </row>
    <row r="342" spans="3:3" ht="15.75" customHeight="1">
      <c r="C342" s="481"/>
    </row>
    <row r="343" spans="3:3" ht="15.75" customHeight="1">
      <c r="C343" s="481"/>
    </row>
    <row r="344" spans="3:3" ht="15.75" customHeight="1">
      <c r="C344" s="481"/>
    </row>
    <row r="345" spans="3:3" ht="15.75" customHeight="1">
      <c r="C345" s="481"/>
    </row>
    <row r="502" spans="43:51" ht="15.75" customHeight="1">
      <c r="AQ502" s="478"/>
      <c r="AR502" s="478"/>
      <c r="AS502" s="478"/>
      <c r="AT502" s="478"/>
      <c r="AU502" s="478"/>
      <c r="AV502" s="478"/>
      <c r="AW502" s="478"/>
      <c r="AX502" s="478"/>
      <c r="AY502" s="478"/>
    </row>
    <row r="503" spans="43:51" ht="15.75" customHeight="1">
      <c r="AQ503" s="478"/>
      <c r="AR503" s="478"/>
      <c r="AS503" s="478"/>
      <c r="AT503" s="478"/>
      <c r="AU503" s="478"/>
      <c r="AV503" s="478"/>
      <c r="AW503" s="478"/>
      <c r="AX503" s="478"/>
      <c r="AY503" s="478"/>
    </row>
    <row r="504" spans="43:51" ht="15.75" customHeight="1">
      <c r="AQ504" s="478"/>
      <c r="AR504" s="478"/>
      <c r="AS504" s="478"/>
      <c r="AT504" s="478"/>
      <c r="AU504" s="478"/>
      <c r="AV504" s="478"/>
      <c r="AW504" s="478"/>
      <c r="AX504" s="478"/>
      <c r="AY504" s="478"/>
    </row>
    <row r="505" spans="43:51" ht="15.75" customHeight="1">
      <c r="AQ505" s="478"/>
      <c r="AR505" s="478"/>
      <c r="AS505" s="478"/>
      <c r="AT505" s="478"/>
      <c r="AU505" s="478"/>
      <c r="AV505" s="478"/>
      <c r="AW505" s="478"/>
      <c r="AX505" s="478"/>
      <c r="AY505" s="478"/>
    </row>
    <row r="506" spans="43:51" ht="15.75" customHeight="1">
      <c r="AQ506" s="478"/>
      <c r="AR506" s="478"/>
      <c r="AS506" s="478"/>
      <c r="AT506" s="478"/>
      <c r="AU506" s="478"/>
      <c r="AV506" s="478"/>
      <c r="AW506" s="478"/>
      <c r="AX506" s="478"/>
      <c r="AY506" s="478"/>
    </row>
    <row r="507" spans="43:51" ht="15.75" customHeight="1">
      <c r="AQ507" s="478"/>
      <c r="AR507" s="478"/>
      <c r="AS507" s="478"/>
      <c r="AT507" s="478"/>
      <c r="AU507" s="478"/>
      <c r="AV507" s="478"/>
      <c r="AW507" s="478"/>
      <c r="AX507" s="478"/>
      <c r="AY507" s="478"/>
    </row>
    <row r="508" spans="43:51" ht="15.75" customHeight="1">
      <c r="AQ508" s="478"/>
      <c r="AR508" s="478"/>
      <c r="AS508" s="478"/>
      <c r="AT508" s="478"/>
      <c r="AU508" s="478"/>
      <c r="AV508" s="478"/>
      <c r="AW508" s="478"/>
      <c r="AX508" s="478"/>
      <c r="AY508" s="478"/>
    </row>
    <row r="509" spans="43:51" ht="15.75" customHeight="1">
      <c r="AQ509" s="478"/>
      <c r="AR509" s="478"/>
      <c r="AS509" s="478"/>
      <c r="AT509" s="478"/>
      <c r="AU509" s="478"/>
      <c r="AV509" s="478"/>
      <c r="AW509" s="478"/>
      <c r="AX509" s="478"/>
      <c r="AY509" s="478"/>
    </row>
    <row r="510" spans="43:51" ht="15.75" customHeight="1">
      <c r="AQ510" s="478"/>
      <c r="AR510" s="478"/>
      <c r="AS510" s="478"/>
      <c r="AT510" s="478"/>
      <c r="AU510" s="478"/>
      <c r="AV510" s="478"/>
      <c r="AW510" s="478"/>
      <c r="AX510" s="478"/>
      <c r="AY510" s="478"/>
    </row>
    <row r="511" spans="43:51" ht="15.75" customHeight="1">
      <c r="AQ511" s="478"/>
      <c r="AR511" s="478"/>
      <c r="AS511" s="478"/>
      <c r="AT511" s="478"/>
      <c r="AU511" s="478"/>
      <c r="AV511" s="478"/>
      <c r="AW511" s="478"/>
      <c r="AX511" s="478"/>
      <c r="AY511" s="478"/>
    </row>
    <row r="512" spans="43:51" ht="15.75" customHeight="1">
      <c r="AQ512" s="478"/>
      <c r="AR512" s="478"/>
      <c r="AS512" s="478"/>
      <c r="AT512" s="478"/>
      <c r="AU512" s="478"/>
      <c r="AV512" s="478"/>
      <c r="AW512" s="478"/>
      <c r="AX512" s="478"/>
      <c r="AY512" s="478"/>
    </row>
    <row r="513" spans="43:51" ht="15.75" customHeight="1">
      <c r="AQ513" s="478"/>
      <c r="AR513" s="478"/>
      <c r="AS513" s="478"/>
      <c r="AT513" s="478"/>
      <c r="AU513" s="478"/>
      <c r="AV513" s="478"/>
      <c r="AW513" s="478"/>
      <c r="AX513" s="478"/>
      <c r="AY513" s="478"/>
    </row>
    <row r="514" spans="43:51" ht="15.75" customHeight="1">
      <c r="AQ514" s="478"/>
      <c r="AR514" s="478"/>
      <c r="AS514" s="478"/>
      <c r="AT514" s="478"/>
      <c r="AU514" s="478"/>
      <c r="AV514" s="478"/>
      <c r="AW514" s="478"/>
      <c r="AX514" s="478"/>
      <c r="AY514" s="478"/>
    </row>
    <row r="520" spans="43:51" ht="15.75" customHeight="1">
      <c r="AQ520" s="478"/>
      <c r="AR520" s="478"/>
      <c r="AS520" s="478"/>
      <c r="AT520" s="478"/>
      <c r="AU520" s="478"/>
      <c r="AV520" s="478"/>
      <c r="AW520" s="478"/>
      <c r="AX520" s="478"/>
      <c r="AY520" s="478"/>
    </row>
    <row r="521" spans="43:51" ht="15.75" customHeight="1">
      <c r="AQ521" s="478"/>
      <c r="AR521" s="478"/>
      <c r="AS521" s="478"/>
      <c r="AT521" s="478"/>
      <c r="AU521" s="478"/>
      <c r="AV521" s="478"/>
      <c r="AW521" s="478"/>
      <c r="AX521" s="478"/>
      <c r="AY521" s="478"/>
    </row>
    <row r="522" spans="43:51" ht="15.75" customHeight="1">
      <c r="AQ522" s="478"/>
      <c r="AR522" s="478"/>
      <c r="AS522" s="478"/>
      <c r="AT522" s="478"/>
      <c r="AU522" s="478"/>
      <c r="AV522" s="478"/>
      <c r="AW522" s="478"/>
      <c r="AX522" s="478"/>
      <c r="AY522" s="478"/>
    </row>
    <row r="523" spans="43:51" ht="15.75" customHeight="1">
      <c r="AQ523" s="478"/>
      <c r="AR523" s="478"/>
      <c r="AS523" s="478"/>
      <c r="AT523" s="478"/>
      <c r="AU523" s="478"/>
      <c r="AV523" s="478"/>
      <c r="AW523" s="478"/>
      <c r="AX523" s="478"/>
      <c r="AY523" s="478"/>
    </row>
    <row r="524" spans="43:51" ht="15.75" customHeight="1">
      <c r="AQ524" s="478"/>
      <c r="AR524" s="478"/>
      <c r="AS524" s="478"/>
      <c r="AT524" s="478"/>
      <c r="AU524" s="478"/>
      <c r="AV524" s="478"/>
      <c r="AW524" s="478"/>
      <c r="AX524" s="478"/>
      <c r="AY524" s="478"/>
    </row>
    <row r="528" spans="43:51" ht="15.75" customHeight="1">
      <c r="AQ528" s="478"/>
      <c r="AR528" s="478"/>
      <c r="AS528" s="478"/>
      <c r="AT528" s="478"/>
      <c r="AU528" s="478"/>
      <c r="AV528" s="478"/>
      <c r="AW528" s="478"/>
      <c r="AX528" s="478"/>
      <c r="AY528" s="478"/>
    </row>
    <row r="529" spans="43:54" ht="15.75" customHeight="1">
      <c r="AQ529" s="478"/>
      <c r="AR529" s="478"/>
      <c r="AS529" s="478"/>
      <c r="AT529" s="478"/>
      <c r="AU529" s="478"/>
      <c r="AV529" s="478"/>
      <c r="AW529" s="478"/>
      <c r="AX529" s="478"/>
      <c r="AY529" s="478"/>
    </row>
    <row r="530" spans="43:54" ht="15.75" customHeight="1">
      <c r="AQ530" s="478"/>
      <c r="AR530" s="478"/>
      <c r="AS530" s="478"/>
      <c r="AT530" s="478"/>
      <c r="AU530" s="478"/>
      <c r="AV530" s="478"/>
      <c r="AW530" s="478"/>
      <c r="AX530" s="478"/>
      <c r="AY530" s="478"/>
    </row>
    <row r="531" spans="43:54" ht="15.75" customHeight="1">
      <c r="AQ531" s="478"/>
      <c r="AR531" s="478"/>
      <c r="AS531" s="478"/>
      <c r="AT531" s="478"/>
      <c r="AU531" s="478"/>
      <c r="AV531" s="478"/>
      <c r="AW531" s="478"/>
      <c r="AX531" s="478"/>
      <c r="AY531" s="478"/>
      <c r="BB531" s="561"/>
    </row>
    <row r="532" spans="43:54" ht="15.75" customHeight="1">
      <c r="AQ532" s="478"/>
      <c r="AR532" s="478"/>
      <c r="AS532" s="478"/>
      <c r="AT532" s="478"/>
      <c r="AU532" s="478"/>
      <c r="AV532" s="478"/>
      <c r="AW532" s="478"/>
      <c r="AX532" s="478"/>
      <c r="AY532" s="478"/>
    </row>
    <row r="533" spans="43:54" ht="15.75" customHeight="1">
      <c r="AQ533" s="478"/>
      <c r="AR533" s="478"/>
      <c r="AS533" s="478"/>
      <c r="AT533" s="478"/>
      <c r="AU533" s="478"/>
      <c r="AV533" s="478"/>
      <c r="AW533" s="478"/>
      <c r="AX533" s="478"/>
      <c r="AY533" s="478"/>
    </row>
    <row r="534" spans="43:54" ht="15.75" customHeight="1">
      <c r="AQ534" s="478"/>
      <c r="AR534" s="478"/>
      <c r="AS534" s="478"/>
      <c r="AT534" s="478"/>
      <c r="AU534" s="478"/>
      <c r="AV534" s="478"/>
      <c r="AW534" s="478"/>
      <c r="AX534" s="478"/>
      <c r="AY534" s="478"/>
    </row>
    <row r="535" spans="43:54" ht="15.75" customHeight="1">
      <c r="BB535" s="561"/>
    </row>
  </sheetData>
  <mergeCells count="9">
    <mergeCell ref="AN2:AP2"/>
    <mergeCell ref="AQ2:AS2"/>
    <mergeCell ref="AT2:AV2"/>
    <mergeCell ref="A1:AY1"/>
    <mergeCell ref="N2:P2"/>
    <mergeCell ref="T2:V2"/>
    <mergeCell ref="W2:Y2"/>
    <mergeCell ref="Z2:AB2"/>
    <mergeCell ref="AC2:AE2"/>
  </mergeCells>
  <printOptions horizontalCentered="1" gridLines="1"/>
  <pageMargins left="0.39370078740157483" right="0.39370078740157483" top="0.59055118110236227" bottom="0.59055118110236227" header="0.31496062992125984" footer="0.31496062992125984"/>
  <pageSetup paperSize="9" scale="45" orientation="portrait" r:id="rId1"/>
  <headerFooter alignWithMargins="0">
    <oddHeader>&amp;L&amp;G&amp;CLAYOUT AND EQUIPMENT
EP TRACK 5
KP &amp;R&amp;G</oddHeader>
    <oddFooter>&amp;L&amp;F&amp;RPag &amp;P of &amp;N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theme="4" tint="-0.249977111117893"/>
  </sheetPr>
  <dimension ref="A1:BL535"/>
  <sheetViews>
    <sheetView zoomScale="80" zoomScaleNormal="80" workbookViewId="0">
      <selection activeCell="A2" sqref="A2"/>
    </sheetView>
  </sheetViews>
  <sheetFormatPr baseColWidth="10" defaultColWidth="11.44140625" defaultRowHeight="15.75" customHeight="1"/>
  <cols>
    <col min="1" max="1" width="18.6640625" style="7" customWidth="1"/>
    <col min="2" max="2" width="9.88671875" style="9" customWidth="1"/>
    <col min="3" max="3" width="13.33203125" style="7" customWidth="1"/>
    <col min="4" max="4" width="13.6640625" style="7" customWidth="1"/>
    <col min="5" max="5" width="10.6640625" style="7" customWidth="1"/>
    <col min="6" max="6" width="9.6640625" style="7" customWidth="1"/>
    <col min="7" max="7" width="9.6640625" style="9" customWidth="1"/>
    <col min="8" max="8" width="18.109375" style="9" customWidth="1"/>
    <col min="9" max="9" width="15.44140625" style="7" customWidth="1"/>
    <col min="10" max="10" width="11.44140625" style="7" customWidth="1"/>
    <col min="11" max="11" width="15.6640625" style="7" customWidth="1"/>
    <col min="12" max="12" width="16.6640625" style="7" customWidth="1"/>
    <col min="13" max="13" width="15.6640625" style="7" customWidth="1"/>
    <col min="14" max="16" width="9.33203125" style="7" customWidth="1"/>
    <col min="17" max="19" width="11.44140625" style="7" customWidth="1"/>
    <col min="20" max="31" width="7.5546875" style="7" customWidth="1"/>
    <col min="32" max="36" width="11.44140625" style="7" customWidth="1"/>
    <col min="37" max="37" width="11.44140625" style="9" customWidth="1"/>
    <col min="38" max="39" width="11.44140625" style="7" customWidth="1"/>
    <col min="40" max="51" width="7.5546875" style="47" customWidth="1"/>
    <col min="52" max="53" width="11.44140625" style="7" customWidth="1"/>
    <col min="54" max="54" width="54.6640625" style="518" customWidth="1"/>
    <col min="55" max="55" width="15.6640625" style="517" customWidth="1"/>
    <col min="56" max="56" width="2.6640625" style="517" customWidth="1"/>
    <col min="57" max="57" width="45.6640625" style="517" customWidth="1"/>
    <col min="58" max="58" width="19.109375" style="517" customWidth="1"/>
    <col min="59" max="59" width="4.6640625" style="517" customWidth="1"/>
    <col min="60" max="60" width="22.88671875" style="519" customWidth="1"/>
    <col min="61" max="64" width="11.44140625" style="517" customWidth="1"/>
    <col min="65" max="16384" width="11.44140625" style="7"/>
  </cols>
  <sheetData>
    <row r="1" spans="1:64" ht="35.25" customHeight="1" thickBot="1">
      <c r="A1" s="1381" t="s">
        <v>2047</v>
      </c>
      <c r="B1" s="1382"/>
      <c r="C1" s="1382"/>
      <c r="D1" s="1382"/>
      <c r="E1" s="1382"/>
      <c r="F1" s="1382"/>
      <c r="G1" s="1382"/>
      <c r="H1" s="1382"/>
      <c r="I1" s="1382"/>
      <c r="J1" s="1382"/>
      <c r="K1" s="1382"/>
      <c r="L1" s="1382"/>
      <c r="M1" s="1382"/>
      <c r="N1" s="1382"/>
      <c r="O1" s="1382"/>
      <c r="P1" s="1382"/>
      <c r="Q1" s="1382"/>
      <c r="R1" s="1382"/>
      <c r="S1" s="1382"/>
      <c r="T1" s="1382"/>
      <c r="U1" s="1382"/>
      <c r="V1" s="1382"/>
      <c r="W1" s="1382"/>
      <c r="X1" s="1382"/>
      <c r="Y1" s="1382"/>
      <c r="Z1" s="1382"/>
      <c r="AA1" s="1382"/>
      <c r="AB1" s="1382"/>
      <c r="AC1" s="1382"/>
      <c r="AD1" s="1382"/>
      <c r="AE1" s="1382"/>
      <c r="AF1" s="1382"/>
      <c r="AG1" s="1382"/>
      <c r="AH1" s="1382"/>
      <c r="AI1" s="1382"/>
      <c r="AJ1" s="1382"/>
      <c r="AK1" s="1382"/>
      <c r="AL1" s="1382"/>
      <c r="AM1" s="1382"/>
      <c r="AN1" s="1382"/>
      <c r="AO1" s="1382"/>
      <c r="AP1" s="1382"/>
      <c r="AQ1" s="1382"/>
      <c r="AR1" s="1382"/>
      <c r="AS1" s="1382"/>
      <c r="AT1" s="1382"/>
      <c r="AU1" s="1382"/>
      <c r="AV1" s="1382"/>
      <c r="AW1" s="1382"/>
      <c r="AX1" s="1382"/>
      <c r="AY1" s="1382"/>
    </row>
    <row r="2" spans="1:64" ht="42.75" customHeight="1" thickBot="1">
      <c r="A2" s="793" t="s">
        <v>2457</v>
      </c>
      <c r="B2" s="793" t="s">
        <v>467</v>
      </c>
      <c r="C2" s="793" t="s">
        <v>468</v>
      </c>
      <c r="D2" s="793" t="s">
        <v>2458</v>
      </c>
      <c r="E2" s="793" t="s">
        <v>681</v>
      </c>
      <c r="F2" s="793" t="s">
        <v>470</v>
      </c>
      <c r="G2" s="793" t="s">
        <v>469</v>
      </c>
      <c r="H2" s="793" t="s">
        <v>473</v>
      </c>
      <c r="I2" s="793" t="s">
        <v>472</v>
      </c>
      <c r="J2" s="793" t="s">
        <v>1017</v>
      </c>
      <c r="K2" s="793" t="s">
        <v>2463</v>
      </c>
      <c r="L2" s="793" t="s">
        <v>474</v>
      </c>
      <c r="M2" s="793" t="s">
        <v>471</v>
      </c>
      <c r="N2" s="1378" t="s">
        <v>475</v>
      </c>
      <c r="O2" s="1379"/>
      <c r="P2" s="1380"/>
      <c r="Q2" s="793" t="s">
        <v>680</v>
      </c>
      <c r="R2" s="793" t="s">
        <v>682</v>
      </c>
      <c r="S2" s="793" t="s">
        <v>683</v>
      </c>
      <c r="T2" s="1378" t="s">
        <v>481</v>
      </c>
      <c r="U2" s="1379"/>
      <c r="V2" s="1380"/>
      <c r="W2" s="1378" t="s">
        <v>484</v>
      </c>
      <c r="X2" s="1379"/>
      <c r="Y2" s="1380"/>
      <c r="Z2" s="1378" t="s">
        <v>2459</v>
      </c>
      <c r="AA2" s="1379"/>
      <c r="AB2" s="1380"/>
      <c r="AC2" s="1378" t="s">
        <v>685</v>
      </c>
      <c r="AD2" s="1379"/>
      <c r="AE2" s="1380"/>
      <c r="AF2" s="793" t="s">
        <v>686</v>
      </c>
      <c r="AG2" s="793" t="s">
        <v>687</v>
      </c>
      <c r="AH2" s="793" t="s">
        <v>688</v>
      </c>
      <c r="AI2" s="793" t="s">
        <v>689</v>
      </c>
      <c r="AJ2" s="793" t="s">
        <v>690</v>
      </c>
      <c r="AK2" s="793" t="s">
        <v>476</v>
      </c>
      <c r="AL2" s="794" t="s">
        <v>477</v>
      </c>
      <c r="AM2" s="794" t="s">
        <v>692</v>
      </c>
      <c r="AN2" s="1378" t="s">
        <v>482</v>
      </c>
      <c r="AO2" s="1379"/>
      <c r="AP2" s="1380"/>
      <c r="AQ2" s="1378" t="s">
        <v>483</v>
      </c>
      <c r="AR2" s="1379"/>
      <c r="AS2" s="1380"/>
      <c r="AT2" s="1378" t="s">
        <v>691</v>
      </c>
      <c r="AU2" s="1379"/>
      <c r="AV2" s="1380"/>
      <c r="AW2" s="794" t="s">
        <v>2460</v>
      </c>
      <c r="AX2" s="794" t="s">
        <v>2461</v>
      </c>
      <c r="AY2" s="794" t="s">
        <v>2462</v>
      </c>
      <c r="BB2" s="797" t="s">
        <v>1018</v>
      </c>
      <c r="BC2" s="511"/>
      <c r="BD2" s="512"/>
      <c r="BE2" s="798" t="s">
        <v>1018</v>
      </c>
      <c r="BF2" s="513"/>
      <c r="BG2" s="514"/>
      <c r="BH2" s="515" t="s">
        <v>1019</v>
      </c>
      <c r="BI2" s="515" t="s">
        <v>962</v>
      </c>
      <c r="BJ2" s="515" t="s">
        <v>963</v>
      </c>
      <c r="BK2" s="515" t="s">
        <v>964</v>
      </c>
      <c r="BL2" s="516" t="s">
        <v>200</v>
      </c>
    </row>
    <row r="3" spans="1:64" ht="15.75" customHeight="1" thickBot="1">
      <c r="C3" s="593"/>
      <c r="F3" s="482"/>
      <c r="G3" s="7"/>
      <c r="I3" s="9"/>
      <c r="J3" s="9"/>
      <c r="K3" s="9"/>
      <c r="N3" s="795" t="s">
        <v>123</v>
      </c>
      <c r="O3" s="795" t="s">
        <v>124</v>
      </c>
      <c r="P3" s="795" t="s">
        <v>125</v>
      </c>
      <c r="T3" s="795" t="s">
        <v>126</v>
      </c>
      <c r="U3" s="796" t="s">
        <v>127</v>
      </c>
      <c r="V3" s="795" t="s">
        <v>128</v>
      </c>
      <c r="W3" s="795" t="s">
        <v>129</v>
      </c>
      <c r="X3" s="796" t="s">
        <v>130</v>
      </c>
      <c r="Y3" s="795" t="s">
        <v>131</v>
      </c>
      <c r="Z3" s="795" t="s">
        <v>132</v>
      </c>
      <c r="AA3" s="796" t="s">
        <v>133</v>
      </c>
      <c r="AB3" s="795" t="s">
        <v>134</v>
      </c>
      <c r="AC3" s="795" t="s">
        <v>135</v>
      </c>
      <c r="AD3" s="796" t="s">
        <v>136</v>
      </c>
      <c r="AE3" s="795" t="s">
        <v>137</v>
      </c>
      <c r="AJ3" s="9"/>
      <c r="AN3" s="795" t="s">
        <v>129</v>
      </c>
      <c r="AO3" s="795" t="s">
        <v>130</v>
      </c>
      <c r="AP3" s="795" t="s">
        <v>131</v>
      </c>
      <c r="AQ3" s="795" t="s">
        <v>662</v>
      </c>
      <c r="AR3" s="795" t="s">
        <v>663</v>
      </c>
      <c r="AS3" s="795" t="s">
        <v>664</v>
      </c>
      <c r="AT3" s="795" t="s">
        <v>665</v>
      </c>
      <c r="AU3" s="795" t="s">
        <v>666</v>
      </c>
      <c r="AV3" s="795" t="s">
        <v>667</v>
      </c>
      <c r="AW3" s="7"/>
      <c r="AX3" s="7"/>
      <c r="AY3" s="7"/>
      <c r="BB3" s="536"/>
      <c r="BC3" s="537"/>
      <c r="BD3" s="512"/>
      <c r="BE3" s="536"/>
      <c r="BF3" s="537"/>
      <c r="BH3" s="517"/>
      <c r="BL3" s="519"/>
    </row>
    <row r="4" spans="1:64" ht="15.75" customHeight="1">
      <c r="B4" s="7"/>
      <c r="C4" s="593"/>
      <c r="F4" s="588"/>
      <c r="I4" s="9"/>
      <c r="J4" s="9"/>
      <c r="K4" s="47"/>
      <c r="L4" s="47"/>
      <c r="M4" s="47"/>
      <c r="N4" s="8"/>
      <c r="O4" s="8"/>
      <c r="P4" s="8"/>
      <c r="AJ4" s="9"/>
      <c r="AN4" s="9"/>
      <c r="AO4" s="9"/>
      <c r="AP4" s="9"/>
      <c r="BB4" s="799" t="s">
        <v>1027</v>
      </c>
      <c r="BC4" s="539"/>
      <c r="BD4" s="512"/>
      <c r="BE4" s="799" t="s">
        <v>1044</v>
      </c>
      <c r="BF4" s="539"/>
      <c r="BH4" s="518"/>
      <c r="BI4" s="531"/>
      <c r="BJ4" s="531"/>
      <c r="BK4" s="532"/>
      <c r="BL4" s="519">
        <f>+(BJ4-BI4)*BK4/1000</f>
        <v>0</v>
      </c>
    </row>
    <row r="5" spans="1:64" ht="15.75" customHeight="1">
      <c r="B5" s="477"/>
      <c r="C5" s="481"/>
      <c r="D5" s="478"/>
      <c r="E5" s="478"/>
      <c r="G5" s="479"/>
      <c r="I5" s="9"/>
      <c r="J5" s="47"/>
      <c r="K5" s="47"/>
      <c r="L5" s="47"/>
      <c r="M5" s="47"/>
      <c r="N5" s="9"/>
      <c r="O5" s="9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585"/>
      <c r="AJ5" s="47"/>
      <c r="AL5" s="47"/>
      <c r="AM5" s="47"/>
      <c r="AN5" s="9"/>
      <c r="AO5" s="9"/>
      <c r="AP5" s="9"/>
      <c r="BB5" s="540" t="s">
        <v>1021</v>
      </c>
      <c r="BC5" s="541"/>
      <c r="BD5" s="542"/>
      <c r="BE5" s="540" t="s">
        <v>1073</v>
      </c>
      <c r="BF5" s="543" t="s">
        <v>485</v>
      </c>
      <c r="BH5" s="518"/>
      <c r="BI5" s="531"/>
      <c r="BJ5" s="531"/>
      <c r="BK5" s="532"/>
      <c r="BL5" s="519">
        <f>+(BJ5-BI5)*BK5/1000</f>
        <v>0</v>
      </c>
    </row>
    <row r="6" spans="1:64" ht="15.75" customHeight="1">
      <c r="B6" s="477"/>
      <c r="C6" s="481"/>
      <c r="D6" s="478"/>
      <c r="E6" s="478"/>
      <c r="G6" s="479"/>
      <c r="I6" s="9"/>
      <c r="J6" s="47"/>
      <c r="K6" s="47"/>
      <c r="L6" s="47"/>
      <c r="M6" s="47"/>
      <c r="N6" s="9"/>
      <c r="O6" s="9"/>
      <c r="P6" s="47"/>
      <c r="Q6" s="47"/>
      <c r="R6" s="47"/>
      <c r="S6" s="47"/>
      <c r="T6" s="47"/>
      <c r="U6" s="47"/>
      <c r="V6" s="47"/>
      <c r="W6" s="47"/>
      <c r="X6" s="47"/>
      <c r="Y6" s="47"/>
      <c r="Z6" s="47"/>
      <c r="AA6" s="47"/>
      <c r="AB6" s="47"/>
      <c r="AC6" s="47"/>
      <c r="AD6" s="47"/>
      <c r="AE6" s="47"/>
      <c r="AF6" s="47"/>
      <c r="AG6" s="47"/>
      <c r="AH6" s="47"/>
      <c r="AI6" s="585"/>
      <c r="AJ6" s="47"/>
      <c r="AL6" s="47"/>
      <c r="AM6" s="47"/>
      <c r="AN6" s="9"/>
      <c r="AO6" s="9"/>
      <c r="AP6" s="9"/>
      <c r="BB6" s="540" t="s">
        <v>1023</v>
      </c>
      <c r="BC6" s="544"/>
      <c r="BD6" s="542"/>
      <c r="BE6" s="540" t="s">
        <v>1074</v>
      </c>
      <c r="BF6" s="543" t="s">
        <v>486</v>
      </c>
      <c r="BH6" s="518"/>
      <c r="BI6" s="531"/>
      <c r="BJ6" s="531"/>
      <c r="BK6" s="532"/>
      <c r="BL6" s="519">
        <f>+(BJ6-BI6)*BK6/1000</f>
        <v>0</v>
      </c>
    </row>
    <row r="7" spans="1:64" ht="15.75" customHeight="1">
      <c r="B7" s="477"/>
      <c r="C7" s="481"/>
      <c r="D7" s="478"/>
      <c r="E7" s="478"/>
      <c r="G7" s="479"/>
      <c r="I7" s="9"/>
      <c r="J7" s="481"/>
      <c r="K7" s="47"/>
      <c r="L7" s="47"/>
      <c r="M7" s="47"/>
      <c r="N7" s="9"/>
      <c r="O7" s="9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585"/>
      <c r="AJ7" s="47"/>
      <c r="AL7" s="47"/>
      <c r="AM7" s="47"/>
      <c r="AN7" s="9"/>
      <c r="AO7" s="9"/>
      <c r="AP7" s="9"/>
      <c r="BB7" s="540" t="s">
        <v>1022</v>
      </c>
      <c r="BC7" s="800"/>
      <c r="BD7" s="542"/>
      <c r="BE7" s="540"/>
      <c r="BF7" s="543"/>
      <c r="BH7" s="518"/>
      <c r="BI7" s="531"/>
      <c r="BJ7" s="531"/>
      <c r="BK7" s="532"/>
      <c r="BL7" s="519">
        <f>+(BJ7-BI7)*BK7/1000</f>
        <v>0</v>
      </c>
    </row>
    <row r="8" spans="1:64" ht="15.75" customHeight="1">
      <c r="A8" s="500"/>
      <c r="B8" s="480"/>
      <c r="C8" s="481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7"/>
      <c r="R8" s="47"/>
      <c r="S8" s="47"/>
      <c r="T8" s="47"/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585"/>
      <c r="AJ8" s="480"/>
      <c r="AK8" s="480"/>
      <c r="AL8" s="480"/>
      <c r="AM8" s="480"/>
      <c r="AN8" s="480"/>
      <c r="AO8" s="480"/>
      <c r="AP8" s="480"/>
      <c r="AQ8" s="480"/>
      <c r="AR8" s="480"/>
      <c r="AS8" s="480"/>
      <c r="AT8" s="480"/>
      <c r="AU8" s="480"/>
      <c r="AV8" s="480"/>
      <c r="AW8" s="480"/>
      <c r="AX8" s="480"/>
      <c r="AY8" s="480"/>
      <c r="BB8" s="540" t="s">
        <v>1020</v>
      </c>
      <c r="BC8" s="801"/>
      <c r="BD8" s="542"/>
      <c r="BE8" s="799" t="s">
        <v>919</v>
      </c>
      <c r="BF8" s="539"/>
      <c r="BH8" s="545" t="s">
        <v>1015</v>
      </c>
      <c r="BI8" s="546"/>
      <c r="BJ8" s="546"/>
      <c r="BK8" s="546"/>
      <c r="BL8" s="547">
        <f>SUM(BL4:BL7)</f>
        <v>0</v>
      </c>
    </row>
    <row r="9" spans="1:64" ht="15.75" customHeight="1">
      <c r="A9" s="500"/>
      <c r="B9" s="480"/>
      <c r="C9" s="481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7"/>
      <c r="R9" s="47"/>
      <c r="S9" s="47"/>
      <c r="T9" s="47"/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585"/>
      <c r="AJ9" s="480"/>
      <c r="AK9" s="480"/>
      <c r="AL9" s="480"/>
      <c r="AM9" s="480"/>
      <c r="AN9" s="480"/>
      <c r="AO9" s="480"/>
      <c r="AP9" s="480"/>
      <c r="AQ9" s="480"/>
      <c r="AR9" s="480"/>
      <c r="AS9" s="480"/>
      <c r="AT9" s="480"/>
      <c r="AU9" s="480"/>
      <c r="AV9" s="480"/>
      <c r="AW9" s="480"/>
      <c r="AX9" s="480"/>
      <c r="AY9" s="480"/>
      <c r="BB9" s="540" t="s">
        <v>1024</v>
      </c>
      <c r="BC9" s="693"/>
      <c r="BD9" s="542"/>
      <c r="BE9" s="540" t="s">
        <v>1093</v>
      </c>
      <c r="BF9" s="543" t="s">
        <v>1092</v>
      </c>
      <c r="BH9" s="517"/>
    </row>
    <row r="10" spans="1:64" ht="15.75" customHeight="1">
      <c r="A10" s="500"/>
      <c r="B10" s="480"/>
      <c r="C10" s="481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7"/>
      <c r="R10" s="47"/>
      <c r="S10" s="47"/>
      <c r="T10" s="47"/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585"/>
      <c r="AJ10" s="480"/>
      <c r="AK10" s="480"/>
      <c r="AL10" s="480"/>
      <c r="AM10" s="480"/>
      <c r="AN10" s="480"/>
      <c r="AO10" s="480"/>
      <c r="AP10" s="480"/>
      <c r="AQ10" s="480"/>
      <c r="AR10" s="480"/>
      <c r="AS10" s="480"/>
      <c r="AT10" s="480"/>
      <c r="AU10" s="480"/>
      <c r="AV10" s="480"/>
      <c r="AW10" s="480"/>
      <c r="AX10" s="480"/>
      <c r="AY10" s="480"/>
      <c r="BB10" s="540" t="s">
        <v>1025</v>
      </c>
      <c r="BC10" s="548"/>
      <c r="BD10" s="542"/>
      <c r="BE10" s="540" t="s">
        <v>2642</v>
      </c>
      <c r="BF10" s="543" t="s">
        <v>924</v>
      </c>
      <c r="BH10" s="545" t="s">
        <v>1016</v>
      </c>
      <c r="BI10" s="546"/>
      <c r="BJ10" s="546"/>
      <c r="BK10" s="546"/>
      <c r="BL10" s="547">
        <f>+(BJ7-BI7)/1000</f>
        <v>0</v>
      </c>
    </row>
    <row r="11" spans="1:64" ht="15.75" customHeight="1">
      <c r="A11" s="500"/>
      <c r="B11" s="480"/>
      <c r="C11" s="481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7"/>
      <c r="R11" s="47"/>
      <c r="S11" s="47"/>
      <c r="T11" s="47"/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585"/>
      <c r="AJ11" s="480"/>
      <c r="AK11" s="480"/>
      <c r="AL11" s="480"/>
      <c r="AM11" s="480"/>
      <c r="AN11" s="480"/>
      <c r="AO11" s="480"/>
      <c r="AP11" s="480"/>
      <c r="AQ11" s="480"/>
      <c r="AR11" s="480"/>
      <c r="AS11" s="480"/>
      <c r="AT11" s="480"/>
      <c r="AU11" s="480"/>
      <c r="AV11" s="480"/>
      <c r="AW11" s="480"/>
      <c r="AX11" s="480"/>
      <c r="AY11" s="480"/>
      <c r="BB11" s="540"/>
      <c r="BC11" s="549"/>
      <c r="BD11" s="542"/>
      <c r="BE11" s="540" t="s">
        <v>2643</v>
      </c>
      <c r="BF11" s="543" t="s">
        <v>923</v>
      </c>
      <c r="BH11" s="517"/>
    </row>
    <row r="12" spans="1:64" ht="15.75" customHeight="1">
      <c r="A12" s="500"/>
      <c r="B12" s="480"/>
      <c r="C12" s="481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585"/>
      <c r="AJ12" s="480"/>
      <c r="AK12" s="480"/>
      <c r="AL12" s="480"/>
      <c r="AM12" s="480"/>
      <c r="AN12" s="480"/>
      <c r="AO12" s="480"/>
      <c r="AP12" s="480"/>
      <c r="AQ12" s="480"/>
      <c r="AR12" s="480"/>
      <c r="AS12" s="480"/>
      <c r="AT12" s="480"/>
      <c r="AU12" s="480"/>
      <c r="AV12" s="480"/>
      <c r="AW12" s="480"/>
      <c r="AX12" s="480"/>
      <c r="AY12" s="480"/>
      <c r="BB12" s="799" t="s">
        <v>1026</v>
      </c>
      <c r="BC12" s="539"/>
      <c r="BD12" s="512"/>
      <c r="BE12" s="540"/>
      <c r="BF12" s="543"/>
      <c r="BH12" s="515" t="s">
        <v>969</v>
      </c>
      <c r="BI12" s="515" t="s">
        <v>962</v>
      </c>
      <c r="BJ12" s="515" t="s">
        <v>963</v>
      </c>
      <c r="BK12" s="515" t="s">
        <v>964</v>
      </c>
      <c r="BL12" s="516" t="s">
        <v>200</v>
      </c>
    </row>
    <row r="13" spans="1:64" ht="15.75" customHeight="1">
      <c r="A13" s="500"/>
      <c r="B13" s="480"/>
      <c r="C13" s="481"/>
      <c r="D13" s="480"/>
      <c r="E13" s="480"/>
      <c r="F13" s="480"/>
      <c r="G13" s="480"/>
      <c r="H13" s="480"/>
      <c r="I13" s="480"/>
      <c r="J13" s="480"/>
      <c r="K13" s="480"/>
      <c r="L13" s="480"/>
      <c r="M13" s="480"/>
      <c r="N13" s="480"/>
      <c r="O13" s="480"/>
      <c r="P13" s="480"/>
      <c r="Q13" s="47"/>
      <c r="R13" s="47"/>
      <c r="S13" s="47"/>
      <c r="T13" s="47"/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585"/>
      <c r="AJ13" s="480"/>
      <c r="AK13" s="480"/>
      <c r="AL13" s="480"/>
      <c r="AM13" s="480"/>
      <c r="AN13" s="480"/>
      <c r="AO13" s="480"/>
      <c r="AP13" s="480"/>
      <c r="AQ13" s="480"/>
      <c r="AR13" s="480"/>
      <c r="AS13" s="480"/>
      <c r="AT13" s="480"/>
      <c r="AU13" s="480"/>
      <c r="AV13" s="480"/>
      <c r="AW13" s="480"/>
      <c r="AX13" s="480"/>
      <c r="AY13" s="480"/>
      <c r="BB13" s="540" t="s">
        <v>1029</v>
      </c>
      <c r="BC13" s="543" t="s">
        <v>138</v>
      </c>
      <c r="BD13" s="550"/>
      <c r="BE13" s="799" t="s">
        <v>897</v>
      </c>
      <c r="BF13" s="539"/>
      <c r="BH13" s="545"/>
      <c r="BI13" s="546"/>
      <c r="BJ13" s="546"/>
      <c r="BK13" s="546"/>
      <c r="BL13" s="547">
        <f>SUM(BL14:BL19)+SUM(BL24:BL32)</f>
        <v>0</v>
      </c>
    </row>
    <row r="14" spans="1:64" ht="15.75" customHeight="1">
      <c r="A14" s="500"/>
      <c r="B14" s="480"/>
      <c r="C14" s="481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7"/>
      <c r="R14" s="47"/>
      <c r="S14" s="47"/>
      <c r="T14" s="47"/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585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BB14" s="540" t="s">
        <v>1030</v>
      </c>
      <c r="BC14" s="543" t="s">
        <v>1028</v>
      </c>
      <c r="BD14" s="550"/>
      <c r="BE14" s="540" t="s">
        <v>1065</v>
      </c>
      <c r="BF14" s="543" t="s">
        <v>144</v>
      </c>
      <c r="BH14" s="518"/>
      <c r="BI14" s="531"/>
      <c r="BJ14" s="531"/>
      <c r="BK14" s="532">
        <v>0</v>
      </c>
      <c r="BL14" s="519">
        <f t="shared" ref="BL14:BL19" si="0">+(BJ14-BI14)*BK14/1000</f>
        <v>0</v>
      </c>
    </row>
    <row r="15" spans="1:64" ht="15.75" customHeight="1">
      <c r="A15" s="500"/>
      <c r="B15" s="480"/>
      <c r="C15" s="481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7"/>
      <c r="R15" s="47"/>
      <c r="S15" s="47"/>
      <c r="T15" s="47"/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585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BB15" s="540" t="s">
        <v>1032</v>
      </c>
      <c r="BC15" s="543" t="s">
        <v>668</v>
      </c>
      <c r="BD15" s="550"/>
      <c r="BE15" s="540" t="s">
        <v>1094</v>
      </c>
      <c r="BF15" s="543" t="s">
        <v>145</v>
      </c>
      <c r="BH15" s="518"/>
      <c r="BI15" s="531"/>
      <c r="BJ15" s="531"/>
      <c r="BK15" s="532">
        <v>0</v>
      </c>
      <c r="BL15" s="519">
        <f t="shared" si="0"/>
        <v>0</v>
      </c>
    </row>
    <row r="16" spans="1:64" ht="15.75" customHeight="1">
      <c r="A16" s="500"/>
      <c r="B16" s="480"/>
      <c r="C16" s="481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7"/>
      <c r="R16" s="47"/>
      <c r="S16" s="47"/>
      <c r="T16" s="47"/>
      <c r="U16" s="47"/>
      <c r="V16" s="47"/>
      <c r="W16" s="47"/>
      <c r="X16" s="47"/>
      <c r="Y16" s="47"/>
      <c r="Z16" s="47"/>
      <c r="AA16" s="47"/>
      <c r="AB16" s="47"/>
      <c r="AC16" s="47"/>
      <c r="AD16" s="47"/>
      <c r="AE16" s="47"/>
      <c r="AF16" s="47"/>
      <c r="AG16" s="47"/>
      <c r="AH16" s="47"/>
      <c r="AI16" s="585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BB16" s="540" t="s">
        <v>1031</v>
      </c>
      <c r="BC16" s="543" t="s">
        <v>669</v>
      </c>
      <c r="BD16" s="550"/>
      <c r="BE16" s="540" t="s">
        <v>1066</v>
      </c>
      <c r="BF16" s="543" t="s">
        <v>140</v>
      </c>
      <c r="BH16" s="518"/>
      <c r="BI16" s="531"/>
      <c r="BJ16" s="531"/>
      <c r="BK16" s="532">
        <v>0</v>
      </c>
      <c r="BL16" s="519">
        <f t="shared" si="0"/>
        <v>0</v>
      </c>
    </row>
    <row r="17" spans="1:64" ht="15.75" customHeight="1">
      <c r="A17" s="500"/>
      <c r="B17" s="480"/>
      <c r="C17" s="481"/>
      <c r="D17" s="480"/>
      <c r="E17" s="480"/>
      <c r="F17" s="480"/>
      <c r="G17" s="480"/>
      <c r="H17" s="480"/>
      <c r="I17" s="480"/>
      <c r="J17" s="480"/>
      <c r="K17" s="480"/>
      <c r="L17" s="480"/>
      <c r="M17" s="480"/>
      <c r="N17" s="480"/>
      <c r="O17" s="480"/>
      <c r="P17" s="480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47"/>
      <c r="AD17" s="47"/>
      <c r="AE17" s="47"/>
      <c r="AF17" s="47"/>
      <c r="AG17" s="47"/>
      <c r="AH17" s="47"/>
      <c r="AI17" s="585"/>
      <c r="AJ17" s="480"/>
      <c r="AK17" s="480"/>
      <c r="AL17" s="480"/>
      <c r="AM17" s="480"/>
      <c r="AN17" s="480"/>
      <c r="AO17" s="480"/>
      <c r="AP17" s="480"/>
      <c r="AQ17" s="480"/>
      <c r="AR17" s="480"/>
      <c r="AS17" s="480"/>
      <c r="AT17" s="480"/>
      <c r="AU17" s="480"/>
      <c r="AV17" s="480"/>
      <c r="AW17" s="480"/>
      <c r="AX17" s="480"/>
      <c r="AY17" s="480"/>
      <c r="BB17" s="540" t="s">
        <v>1034</v>
      </c>
      <c r="BC17" s="543" t="s">
        <v>996</v>
      </c>
      <c r="BD17" s="550"/>
      <c r="BE17" s="540" t="s">
        <v>1067</v>
      </c>
      <c r="BF17" s="543" t="s">
        <v>695</v>
      </c>
      <c r="BH17" s="518"/>
      <c r="BI17" s="531"/>
      <c r="BJ17" s="531"/>
      <c r="BK17" s="532">
        <v>0</v>
      </c>
      <c r="BL17" s="519">
        <f t="shared" si="0"/>
        <v>0</v>
      </c>
    </row>
    <row r="18" spans="1:64" ht="15.75" customHeight="1">
      <c r="A18" s="500"/>
      <c r="B18" s="480"/>
      <c r="C18" s="481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47"/>
      <c r="AD18" s="47"/>
      <c r="AE18" s="47"/>
      <c r="AF18" s="47"/>
      <c r="AG18" s="47"/>
      <c r="AH18" s="47"/>
      <c r="AI18" s="585"/>
      <c r="AJ18" s="480"/>
      <c r="AK18" s="480"/>
      <c r="AL18" s="480"/>
      <c r="AM18" s="480"/>
      <c r="AN18" s="480"/>
      <c r="AO18" s="480"/>
      <c r="AP18" s="480"/>
      <c r="AQ18" s="480"/>
      <c r="AR18" s="480"/>
      <c r="AS18" s="480"/>
      <c r="AT18" s="480"/>
      <c r="AU18" s="480"/>
      <c r="AV18" s="480"/>
      <c r="AW18" s="480"/>
      <c r="AX18" s="480"/>
      <c r="AY18" s="480"/>
      <c r="BB18" s="540" t="s">
        <v>1033</v>
      </c>
      <c r="BC18" s="543" t="s">
        <v>997</v>
      </c>
      <c r="BD18" s="550"/>
      <c r="BE18" s="540" t="s">
        <v>1068</v>
      </c>
      <c r="BF18" s="543" t="s">
        <v>696</v>
      </c>
      <c r="BH18" s="518"/>
      <c r="BI18" s="531"/>
      <c r="BJ18" s="531"/>
      <c r="BK18" s="532">
        <v>0</v>
      </c>
      <c r="BL18" s="519">
        <f t="shared" si="0"/>
        <v>0</v>
      </c>
    </row>
    <row r="19" spans="1:64" ht="15.75" customHeight="1">
      <c r="A19" s="500"/>
      <c r="B19" s="480"/>
      <c r="C19" s="481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7"/>
      <c r="R19" s="47"/>
      <c r="S19" s="47"/>
      <c r="T19" s="47"/>
      <c r="U19" s="47"/>
      <c r="V19" s="47"/>
      <c r="W19" s="47"/>
      <c r="X19" s="47"/>
      <c r="Y19" s="47"/>
      <c r="Z19" s="47"/>
      <c r="AA19" s="47"/>
      <c r="AB19" s="47"/>
      <c r="AC19" s="47"/>
      <c r="AD19" s="47"/>
      <c r="AE19" s="47"/>
      <c r="AF19" s="47"/>
      <c r="AG19" s="47"/>
      <c r="AH19" s="47"/>
      <c r="AI19" s="585"/>
      <c r="AJ19" s="480"/>
      <c r="AK19" s="480"/>
      <c r="AL19" s="480"/>
      <c r="AM19" s="480"/>
      <c r="AN19" s="480"/>
      <c r="AO19" s="480"/>
      <c r="AP19" s="480"/>
      <c r="AQ19" s="480"/>
      <c r="AR19" s="480"/>
      <c r="AS19" s="480"/>
      <c r="AT19" s="480"/>
      <c r="AU19" s="480"/>
      <c r="AV19" s="480"/>
      <c r="AW19" s="480"/>
      <c r="AX19" s="480"/>
      <c r="AY19" s="480"/>
      <c r="BB19" s="540" t="s">
        <v>1035</v>
      </c>
      <c r="BC19" s="543" t="s">
        <v>995</v>
      </c>
      <c r="BD19" s="550"/>
      <c r="BE19" s="540" t="s">
        <v>1069</v>
      </c>
      <c r="BF19" s="543" t="s">
        <v>697</v>
      </c>
      <c r="BH19" s="518"/>
      <c r="BI19" s="551"/>
      <c r="BJ19" s="551"/>
      <c r="BK19" s="552">
        <v>0</v>
      </c>
      <c r="BL19" s="553">
        <f t="shared" si="0"/>
        <v>0</v>
      </c>
    </row>
    <row r="20" spans="1:64" ht="15.75" customHeight="1">
      <c r="A20" s="500"/>
      <c r="B20" s="480"/>
      <c r="C20" s="481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7"/>
      <c r="R20" s="47"/>
      <c r="S20" s="47"/>
      <c r="T20" s="47"/>
      <c r="U20" s="47"/>
      <c r="V20" s="47"/>
      <c r="W20" s="47"/>
      <c r="X20" s="47"/>
      <c r="Y20" s="47"/>
      <c r="Z20" s="47"/>
      <c r="AA20" s="47"/>
      <c r="AB20" s="47"/>
      <c r="AC20" s="47"/>
      <c r="AD20" s="47"/>
      <c r="AE20" s="47"/>
      <c r="AF20" s="47"/>
      <c r="AG20" s="47"/>
      <c r="AH20" s="47"/>
      <c r="AI20" s="585"/>
      <c r="AJ20" s="480"/>
      <c r="AK20" s="480"/>
      <c r="AL20" s="480"/>
      <c r="AM20" s="480"/>
      <c r="AN20" s="480"/>
      <c r="AO20" s="480"/>
      <c r="AP20" s="480"/>
      <c r="AQ20" s="480"/>
      <c r="AR20" s="480"/>
      <c r="AS20" s="480"/>
      <c r="AT20" s="480"/>
      <c r="AU20" s="480"/>
      <c r="AV20" s="480"/>
      <c r="AW20" s="480"/>
      <c r="AX20" s="480"/>
      <c r="AY20" s="480"/>
      <c r="BB20" s="540" t="s">
        <v>2468</v>
      </c>
      <c r="BC20" s="543" t="s">
        <v>1101</v>
      </c>
      <c r="BD20" s="550"/>
      <c r="BE20" s="540" t="s">
        <v>1070</v>
      </c>
      <c r="BF20" s="543" t="s">
        <v>952</v>
      </c>
      <c r="BH20" s="545" t="s">
        <v>1139</v>
      </c>
      <c r="BL20" s="554">
        <f>SUM(BL14:BL19)</f>
        <v>0</v>
      </c>
    </row>
    <row r="21" spans="1:64" ht="15.75" customHeight="1">
      <c r="A21" s="500"/>
      <c r="B21" s="478"/>
      <c r="C21" s="481"/>
      <c r="D21" s="478"/>
      <c r="E21" s="478"/>
      <c r="G21" s="479"/>
      <c r="I21" s="9"/>
      <c r="J21" s="47"/>
      <c r="K21" s="47"/>
      <c r="L21" s="47"/>
      <c r="M21" s="47"/>
      <c r="N21" s="9"/>
      <c r="O21" s="9"/>
      <c r="P21" s="47"/>
      <c r="Q21" s="47"/>
      <c r="R21" s="47"/>
      <c r="S21" s="47"/>
      <c r="T21" s="47"/>
      <c r="U21" s="47"/>
      <c r="V21" s="47"/>
      <c r="W21" s="47"/>
      <c r="X21" s="47"/>
      <c r="Y21" s="47"/>
      <c r="Z21" s="47"/>
      <c r="AA21" s="47"/>
      <c r="AB21" s="47"/>
      <c r="AC21" s="47"/>
      <c r="AD21" s="47"/>
      <c r="AE21" s="47"/>
      <c r="AF21" s="47"/>
      <c r="AG21" s="47"/>
      <c r="AH21" s="47"/>
      <c r="AI21" s="585"/>
      <c r="AJ21" s="47"/>
      <c r="AL21" s="47"/>
      <c r="AM21" s="47"/>
      <c r="AN21" s="9"/>
      <c r="AO21" s="9"/>
      <c r="AP21" s="9"/>
      <c r="BB21" s="540" t="s">
        <v>1081</v>
      </c>
      <c r="BC21" s="543" t="s">
        <v>143</v>
      </c>
      <c r="BD21" s="550"/>
      <c r="BE21" s="540" t="s">
        <v>1071</v>
      </c>
      <c r="BF21" s="543" t="s">
        <v>953</v>
      </c>
      <c r="BH21" s="517"/>
      <c r="BL21" s="519"/>
    </row>
    <row r="22" spans="1:64" ht="15.75" customHeight="1">
      <c r="A22" s="478"/>
      <c r="B22" s="478"/>
      <c r="C22" s="481"/>
      <c r="D22" s="478"/>
      <c r="E22" s="478"/>
      <c r="G22" s="479"/>
      <c r="H22" s="47"/>
      <c r="I22" s="47"/>
      <c r="J22" s="47"/>
      <c r="K22" s="47"/>
      <c r="L22" s="47"/>
      <c r="M22" s="47"/>
      <c r="N22" s="9"/>
      <c r="O22" s="9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47"/>
      <c r="AC22" s="47"/>
      <c r="AD22" s="47"/>
      <c r="AE22" s="47"/>
      <c r="AF22" s="47"/>
      <c r="AG22" s="47"/>
      <c r="AH22" s="47"/>
      <c r="AI22" s="585"/>
      <c r="AJ22" s="47"/>
      <c r="AL22" s="47"/>
      <c r="AM22" s="47"/>
      <c r="AN22" s="9"/>
      <c r="AO22" s="9"/>
      <c r="AP22" s="9"/>
      <c r="BB22" s="540" t="s">
        <v>1082</v>
      </c>
      <c r="BC22" s="543" t="s">
        <v>142</v>
      </c>
      <c r="BD22" s="550"/>
      <c r="BE22" s="540" t="s">
        <v>1072</v>
      </c>
      <c r="BF22" s="543" t="s">
        <v>954</v>
      </c>
      <c r="BH22" s="545" t="s">
        <v>1142</v>
      </c>
      <c r="BI22" s="546"/>
      <c r="BJ22" s="546"/>
      <c r="BK22" s="546"/>
      <c r="BL22" s="547">
        <f>(SUM(BJ14:BJ19)-SUM(BI14:BI19))/1000</f>
        <v>0</v>
      </c>
    </row>
    <row r="23" spans="1:64" ht="15.75" customHeight="1" thickBot="1">
      <c r="B23" s="477"/>
      <c r="C23" s="481"/>
      <c r="D23" s="478"/>
      <c r="E23" s="478"/>
      <c r="G23" s="479"/>
      <c r="H23" s="47"/>
      <c r="I23" s="47"/>
      <c r="J23" s="47"/>
      <c r="K23" s="47"/>
      <c r="L23" s="47"/>
      <c r="M23" s="47"/>
      <c r="N23" s="9"/>
      <c r="O23" s="9"/>
      <c r="P23" s="47"/>
      <c r="Q23" s="47"/>
      <c r="R23" s="47"/>
      <c r="S23" s="47"/>
      <c r="T23" s="47"/>
      <c r="U23" s="47"/>
      <c r="V23" s="47"/>
      <c r="W23" s="47"/>
      <c r="X23" s="47"/>
      <c r="Y23" s="47"/>
      <c r="Z23" s="47"/>
      <c r="AA23" s="47"/>
      <c r="AB23" s="47"/>
      <c r="AC23" s="47"/>
      <c r="AD23" s="47"/>
      <c r="AE23" s="47"/>
      <c r="AF23" s="47"/>
      <c r="AG23" s="47"/>
      <c r="AH23" s="47"/>
      <c r="AI23" s="47"/>
      <c r="AJ23" s="47"/>
      <c r="AL23" s="47"/>
      <c r="AM23" s="47"/>
      <c r="AN23" s="9"/>
      <c r="AO23" s="9"/>
      <c r="AP23" s="9"/>
      <c r="BB23" s="540" t="s">
        <v>2644</v>
      </c>
      <c r="BC23" s="543" t="s">
        <v>2645</v>
      </c>
      <c r="BD23" s="512"/>
      <c r="BE23" s="540"/>
      <c r="BF23" s="543"/>
      <c r="BH23" s="517"/>
      <c r="BL23" s="519"/>
    </row>
    <row r="24" spans="1:64" ht="15.75" customHeight="1">
      <c r="B24" s="477"/>
      <c r="C24" s="481"/>
      <c r="D24" s="478"/>
      <c r="E24" s="478"/>
      <c r="G24" s="479"/>
      <c r="H24" s="47"/>
      <c r="I24" s="485"/>
      <c r="J24" s="47"/>
      <c r="K24" s="47"/>
      <c r="L24" s="47"/>
      <c r="M24" s="47"/>
      <c r="N24" s="9"/>
      <c r="O24" s="9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  <c r="AH24" s="47"/>
      <c r="AI24" s="47"/>
      <c r="AJ24" s="47"/>
      <c r="AL24" s="47"/>
      <c r="AM24" s="47"/>
      <c r="AN24" s="9"/>
      <c r="AO24" s="9"/>
      <c r="AP24" s="9"/>
      <c r="BB24" s="540"/>
      <c r="BC24" s="543"/>
      <c r="BE24" s="799" t="s">
        <v>1045</v>
      </c>
      <c r="BF24" s="539"/>
      <c r="BH24" s="518"/>
      <c r="BI24" s="531"/>
      <c r="BJ24" s="531"/>
      <c r="BK24" s="532">
        <v>0</v>
      </c>
      <c r="BL24" s="684">
        <f t="shared" ref="BL24:BL26" si="1">+(BJ24-BI24)*BK24/1000</f>
        <v>0</v>
      </c>
    </row>
    <row r="25" spans="1:64" ht="15.75" customHeight="1">
      <c r="B25" s="477"/>
      <c r="C25" s="481"/>
      <c r="D25" s="478"/>
      <c r="E25" s="478"/>
      <c r="G25" s="479"/>
      <c r="H25" s="7"/>
      <c r="I25" s="9"/>
      <c r="J25" s="47"/>
      <c r="K25" s="47"/>
      <c r="L25" s="47"/>
      <c r="M25" s="47"/>
      <c r="N25" s="9"/>
      <c r="O25" s="9"/>
      <c r="P25" s="47"/>
      <c r="Q25" s="47"/>
      <c r="R25" s="47"/>
      <c r="S25" s="47"/>
      <c r="T25" s="47"/>
      <c r="U25" s="47"/>
      <c r="V25" s="47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585"/>
      <c r="AJ25" s="47"/>
      <c r="AL25" s="47"/>
      <c r="AM25" s="47"/>
      <c r="AN25" s="9"/>
      <c r="AO25" s="9"/>
      <c r="AP25" s="9"/>
      <c r="BB25" s="799" t="s">
        <v>1036</v>
      </c>
      <c r="BC25" s="539"/>
      <c r="BE25" s="540" t="s">
        <v>1062</v>
      </c>
      <c r="BF25" s="543" t="s">
        <v>1001</v>
      </c>
      <c r="BH25" s="518"/>
      <c r="BI25" s="531"/>
      <c r="BJ25" s="531"/>
      <c r="BK25" s="532">
        <v>0</v>
      </c>
      <c r="BL25" s="686">
        <f t="shared" si="1"/>
        <v>0</v>
      </c>
    </row>
    <row r="26" spans="1:64" ht="15.75" customHeight="1">
      <c r="B26" s="477"/>
      <c r="C26" s="481"/>
      <c r="D26" s="478"/>
      <c r="E26" s="478"/>
      <c r="G26" s="479"/>
      <c r="H26" s="7"/>
      <c r="I26" s="9"/>
      <c r="J26" s="47"/>
      <c r="K26" s="47"/>
      <c r="L26" s="47"/>
      <c r="M26" s="47"/>
      <c r="N26" s="9"/>
      <c r="O26" s="9"/>
      <c r="P26" s="47"/>
      <c r="Q26" s="47"/>
      <c r="R26" s="47"/>
      <c r="S26" s="47"/>
      <c r="T26" s="47"/>
      <c r="U26" s="47"/>
      <c r="V26" s="47"/>
      <c r="W26" s="47"/>
      <c r="X26" s="47"/>
      <c r="Y26" s="47"/>
      <c r="Z26" s="47"/>
      <c r="AA26" s="47"/>
      <c r="AB26" s="47"/>
      <c r="AC26" s="47"/>
      <c r="AD26" s="47"/>
      <c r="AE26" s="47"/>
      <c r="AF26" s="47"/>
      <c r="AG26" s="47"/>
      <c r="AH26" s="47"/>
      <c r="AI26" s="585"/>
      <c r="AJ26" s="47"/>
      <c r="AL26" s="47"/>
      <c r="AM26" s="47"/>
      <c r="AN26" s="9"/>
      <c r="AO26" s="9"/>
      <c r="AP26" s="9"/>
      <c r="BB26" s="540" t="s">
        <v>1037</v>
      </c>
      <c r="BC26" s="543" t="s">
        <v>673</v>
      </c>
      <c r="BE26" s="540" t="s">
        <v>1063</v>
      </c>
      <c r="BF26" s="543" t="s">
        <v>1000</v>
      </c>
      <c r="BH26" s="518"/>
      <c r="BI26" s="531"/>
      <c r="BJ26" s="531"/>
      <c r="BK26" s="532">
        <v>0</v>
      </c>
      <c r="BL26" s="686">
        <f t="shared" si="1"/>
        <v>0</v>
      </c>
    </row>
    <row r="27" spans="1:64" ht="15.75" customHeight="1">
      <c r="B27" s="477"/>
      <c r="C27" s="481"/>
      <c r="D27" s="478"/>
      <c r="E27" s="478"/>
      <c r="G27" s="479"/>
      <c r="H27" s="7"/>
      <c r="I27" s="9"/>
      <c r="J27" s="47"/>
      <c r="K27" s="47"/>
      <c r="L27" s="47"/>
      <c r="M27" s="47"/>
      <c r="N27" s="9"/>
      <c r="O27" s="47"/>
      <c r="P27" s="47"/>
      <c r="Q27" s="47"/>
      <c r="R27" s="47"/>
      <c r="S27" s="47"/>
      <c r="T27" s="47"/>
      <c r="U27" s="47"/>
      <c r="V27" s="47"/>
      <c r="W27" s="47"/>
      <c r="X27" s="47"/>
      <c r="Y27" s="47"/>
      <c r="Z27" s="47"/>
      <c r="AA27" s="47"/>
      <c r="AB27" s="47"/>
      <c r="AC27" s="47"/>
      <c r="AD27" s="47"/>
      <c r="AE27" s="47"/>
      <c r="AF27" s="47"/>
      <c r="AG27" s="47"/>
      <c r="AH27" s="47"/>
      <c r="AI27" s="585"/>
      <c r="AJ27" s="47"/>
      <c r="AL27" s="47"/>
      <c r="AM27" s="47"/>
      <c r="AN27" s="9"/>
      <c r="AO27" s="9"/>
      <c r="AP27" s="9"/>
      <c r="BB27" s="540" t="s">
        <v>1038</v>
      </c>
      <c r="BC27" s="543" t="s">
        <v>674</v>
      </c>
      <c r="BE27" s="540" t="s">
        <v>1064</v>
      </c>
      <c r="BF27" s="543" t="s">
        <v>1004</v>
      </c>
      <c r="BH27" s="518"/>
      <c r="BI27" s="531"/>
      <c r="BJ27" s="531"/>
      <c r="BK27" s="532">
        <v>0</v>
      </c>
      <c r="BL27" s="686"/>
    </row>
    <row r="28" spans="1:64" ht="15.75" customHeight="1">
      <c r="B28" s="477"/>
      <c r="C28" s="481"/>
      <c r="D28" s="478"/>
      <c r="E28" s="478"/>
      <c r="G28" s="479"/>
      <c r="H28" s="7"/>
      <c r="I28" s="9"/>
      <c r="J28" s="47"/>
      <c r="K28" s="47"/>
      <c r="L28" s="47"/>
      <c r="M28" s="47"/>
      <c r="N28" s="47"/>
      <c r="O28" s="9"/>
      <c r="P28" s="47"/>
      <c r="Q28" s="47"/>
      <c r="R28" s="47"/>
      <c r="S28" s="47"/>
      <c r="T28" s="47"/>
      <c r="U28" s="47"/>
      <c r="V28" s="47"/>
      <c r="W28" s="47"/>
      <c r="X28" s="47"/>
      <c r="Y28" s="47"/>
      <c r="Z28" s="47"/>
      <c r="AA28" s="47"/>
      <c r="AB28" s="47"/>
      <c r="AC28" s="47"/>
      <c r="AD28" s="47"/>
      <c r="AE28" s="47"/>
      <c r="AF28" s="47"/>
      <c r="AG28" s="47"/>
      <c r="AH28" s="47"/>
      <c r="AI28" s="585"/>
      <c r="AJ28" s="47"/>
      <c r="AL28" s="47"/>
      <c r="AM28" s="47"/>
      <c r="AN28" s="9"/>
      <c r="AO28" s="9"/>
      <c r="AP28" s="9"/>
      <c r="BB28" s="540" t="s">
        <v>1039</v>
      </c>
      <c r="BC28" s="543" t="s">
        <v>948</v>
      </c>
      <c r="BE28" s="540" t="s">
        <v>2454</v>
      </c>
      <c r="BF28" s="543" t="s">
        <v>2455</v>
      </c>
      <c r="BH28" s="518"/>
      <c r="BI28" s="531"/>
      <c r="BJ28" s="531"/>
      <c r="BK28" s="532">
        <v>0</v>
      </c>
      <c r="BL28" s="686"/>
    </row>
    <row r="29" spans="1:64" ht="15.75" customHeight="1">
      <c r="B29" s="477"/>
      <c r="C29" s="481"/>
      <c r="D29" s="478"/>
      <c r="E29" s="478"/>
      <c r="G29" s="479"/>
      <c r="H29" s="485"/>
      <c r="I29" s="8"/>
      <c r="J29" s="47"/>
      <c r="K29" s="47"/>
      <c r="L29" s="47"/>
      <c r="M29" s="47"/>
      <c r="N29" s="9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47"/>
      <c r="AC29" s="47"/>
      <c r="AD29" s="47"/>
      <c r="AE29" s="47"/>
      <c r="AF29" s="47"/>
      <c r="AG29" s="47"/>
      <c r="AH29" s="47"/>
      <c r="AI29" s="585"/>
      <c r="AJ29" s="47"/>
      <c r="AL29" s="47"/>
      <c r="AM29" s="47"/>
      <c r="AN29" s="9"/>
      <c r="AO29" s="9"/>
      <c r="AP29" s="9"/>
      <c r="BB29" s="540" t="s">
        <v>1040</v>
      </c>
      <c r="BC29" s="543" t="s">
        <v>947</v>
      </c>
      <c r="BE29" s="540" t="s">
        <v>1047</v>
      </c>
      <c r="BF29" s="543" t="s">
        <v>1002</v>
      </c>
      <c r="BH29" s="518"/>
      <c r="BI29" s="531"/>
      <c r="BJ29" s="531"/>
      <c r="BK29" s="532">
        <v>0</v>
      </c>
      <c r="BL29" s="686"/>
    </row>
    <row r="30" spans="1:64" ht="15.75" customHeight="1">
      <c r="B30" s="477"/>
      <c r="C30" s="481"/>
      <c r="D30" s="478"/>
      <c r="E30" s="478"/>
      <c r="G30" s="479"/>
      <c r="H30" s="485"/>
      <c r="I30" s="486"/>
      <c r="J30" s="47"/>
      <c r="K30" s="47"/>
      <c r="L30" s="47"/>
      <c r="M30" s="47"/>
      <c r="N30" s="9"/>
      <c r="O30" s="9"/>
      <c r="P30" s="47"/>
      <c r="Q30" s="47"/>
      <c r="R30" s="47"/>
      <c r="S30" s="47"/>
      <c r="T30" s="47"/>
      <c r="U30" s="47"/>
      <c r="V30" s="47"/>
      <c r="W30" s="47"/>
      <c r="X30" s="47"/>
      <c r="Y30" s="47"/>
      <c r="Z30" s="47"/>
      <c r="AA30" s="47"/>
      <c r="AB30" s="47"/>
      <c r="AC30" s="47"/>
      <c r="AD30" s="47"/>
      <c r="AE30" s="47"/>
      <c r="AF30" s="47"/>
      <c r="AG30" s="47"/>
      <c r="AH30" s="47"/>
      <c r="AI30" s="585"/>
      <c r="AJ30" s="47"/>
      <c r="AL30" s="47"/>
      <c r="AM30" s="47"/>
      <c r="AN30" s="9"/>
      <c r="AO30" s="9"/>
      <c r="AP30" s="9"/>
      <c r="BB30" s="540" t="s">
        <v>2467</v>
      </c>
      <c r="BC30" s="543" t="s">
        <v>1133</v>
      </c>
      <c r="BE30" s="540" t="s">
        <v>2465</v>
      </c>
      <c r="BF30" s="543" t="s">
        <v>2466</v>
      </c>
      <c r="BH30" s="518"/>
      <c r="BI30" s="531"/>
      <c r="BJ30" s="531"/>
      <c r="BK30" s="532">
        <v>0</v>
      </c>
      <c r="BL30" s="686"/>
    </row>
    <row r="31" spans="1:64" ht="15.75" customHeight="1">
      <c r="B31" s="477"/>
      <c r="C31" s="481"/>
      <c r="D31" s="478"/>
      <c r="E31" s="478"/>
      <c r="G31" s="479"/>
      <c r="H31" s="485"/>
      <c r="I31" s="8"/>
      <c r="J31" s="47"/>
      <c r="K31" s="47"/>
      <c r="L31" s="47"/>
      <c r="M31" s="47"/>
      <c r="N31" s="9"/>
      <c r="O31" s="9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47"/>
      <c r="AC31" s="47"/>
      <c r="AD31" s="47"/>
      <c r="AE31" s="47"/>
      <c r="AF31" s="47"/>
      <c r="AG31" s="47"/>
      <c r="AH31" s="47"/>
      <c r="AI31" s="585"/>
      <c r="AJ31" s="47"/>
      <c r="AL31" s="47"/>
      <c r="AM31" s="47"/>
      <c r="AN31" s="9"/>
      <c r="AO31" s="9"/>
      <c r="AP31" s="9"/>
      <c r="BB31" s="540" t="s">
        <v>1083</v>
      </c>
      <c r="BC31" s="543" t="s">
        <v>2051</v>
      </c>
      <c r="BE31" s="540" t="s">
        <v>2216</v>
      </c>
      <c r="BF31" s="543" t="s">
        <v>2453</v>
      </c>
      <c r="BH31" s="518"/>
      <c r="BI31" s="531"/>
      <c r="BJ31" s="531"/>
      <c r="BK31" s="532">
        <v>0</v>
      </c>
      <c r="BL31" s="686"/>
    </row>
    <row r="32" spans="1:64" ht="15.75" customHeight="1">
      <c r="B32" s="477"/>
      <c r="C32" s="481"/>
      <c r="D32" s="478"/>
      <c r="E32" s="478"/>
      <c r="G32" s="479"/>
      <c r="H32" s="485"/>
      <c r="I32" s="486"/>
      <c r="J32" s="47"/>
      <c r="K32" s="47"/>
      <c r="L32" s="47"/>
      <c r="M32" s="47"/>
      <c r="N32" s="9"/>
      <c r="O32" s="9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47"/>
      <c r="AC32" s="47"/>
      <c r="AD32" s="47"/>
      <c r="AE32" s="47"/>
      <c r="AF32" s="47"/>
      <c r="AG32" s="47"/>
      <c r="AH32" s="47"/>
      <c r="AI32" s="585"/>
      <c r="AJ32" s="47"/>
      <c r="AL32" s="47"/>
      <c r="AM32" s="47"/>
      <c r="AN32" s="9"/>
      <c r="AO32" s="9"/>
      <c r="AP32" s="9"/>
      <c r="BB32" s="540" t="s">
        <v>1086</v>
      </c>
      <c r="BC32" s="543" t="s">
        <v>2050</v>
      </c>
      <c r="BE32" s="540" t="s">
        <v>2217</v>
      </c>
      <c r="BF32" s="543" t="s">
        <v>2456</v>
      </c>
      <c r="BL32" s="555"/>
    </row>
    <row r="33" spans="2:64" ht="15.75" customHeight="1">
      <c r="B33" s="477"/>
      <c r="C33" s="481"/>
      <c r="D33" s="478"/>
      <c r="E33" s="478"/>
      <c r="G33" s="479"/>
      <c r="H33" s="485"/>
      <c r="I33" s="485"/>
      <c r="J33" s="47"/>
      <c r="K33" s="47"/>
      <c r="L33" s="47"/>
      <c r="M33" s="47"/>
      <c r="N33" s="9"/>
      <c r="O33" s="9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47"/>
      <c r="AC33" s="47"/>
      <c r="AD33" s="47"/>
      <c r="AE33" s="47"/>
      <c r="AF33" s="47"/>
      <c r="AG33" s="47"/>
      <c r="AH33" s="47"/>
      <c r="AI33" s="585"/>
      <c r="AJ33" s="47"/>
      <c r="AL33" s="47"/>
      <c r="AM33" s="47"/>
      <c r="AN33" s="9"/>
      <c r="AO33" s="9"/>
      <c r="AP33" s="9"/>
      <c r="BB33" s="540" t="s">
        <v>1084</v>
      </c>
      <c r="BC33" s="543" t="s">
        <v>2052</v>
      </c>
      <c r="BD33" s="512"/>
      <c r="BE33" s="540" t="s">
        <v>2213</v>
      </c>
      <c r="BF33" s="543" t="s">
        <v>985</v>
      </c>
      <c r="BH33" s="519" t="s">
        <v>973</v>
      </c>
      <c r="BL33" s="555">
        <f>SUM(BL24:BL32)</f>
        <v>0</v>
      </c>
    </row>
    <row r="34" spans="2:64" ht="15.75" customHeight="1">
      <c r="B34" s="477"/>
      <c r="C34" s="481"/>
      <c r="D34" s="478"/>
      <c r="E34" s="478"/>
      <c r="G34" s="479"/>
      <c r="H34" s="7"/>
      <c r="I34" s="9"/>
      <c r="J34" s="47"/>
      <c r="K34" s="47"/>
      <c r="L34" s="47"/>
      <c r="M34" s="47"/>
      <c r="N34" s="9"/>
      <c r="O34" s="9"/>
      <c r="P34" s="47"/>
      <c r="Q34" s="47"/>
      <c r="R34" s="47"/>
      <c r="S34" s="47"/>
      <c r="T34" s="47"/>
      <c r="U34" s="47"/>
      <c r="V34" s="47"/>
      <c r="W34" s="47"/>
      <c r="X34" s="47"/>
      <c r="Y34" s="47"/>
      <c r="Z34" s="47"/>
      <c r="AA34" s="47"/>
      <c r="AB34" s="47"/>
      <c r="AC34" s="47"/>
      <c r="AD34" s="47"/>
      <c r="AE34" s="47"/>
      <c r="AF34" s="47"/>
      <c r="AG34" s="47"/>
      <c r="AH34" s="47"/>
      <c r="AI34" s="585"/>
      <c r="AJ34" s="47"/>
      <c r="AL34" s="47"/>
      <c r="AM34" s="47"/>
      <c r="AN34" s="9"/>
      <c r="AO34" s="9"/>
      <c r="AP34" s="9"/>
      <c r="BB34" s="540" t="s">
        <v>1085</v>
      </c>
      <c r="BC34" s="543" t="s">
        <v>2053</v>
      </c>
      <c r="BD34" s="550"/>
      <c r="BE34" s="540"/>
      <c r="BF34" s="543"/>
      <c r="BL34" s="555"/>
    </row>
    <row r="35" spans="2:64" ht="15.75" customHeight="1">
      <c r="B35" s="477"/>
      <c r="C35" s="481"/>
      <c r="D35" s="478"/>
      <c r="E35" s="478"/>
      <c r="G35" s="479"/>
      <c r="H35" s="7"/>
      <c r="I35" s="9"/>
      <c r="J35" s="47"/>
      <c r="K35" s="47"/>
      <c r="L35" s="47"/>
      <c r="M35" s="47"/>
      <c r="N35" s="9"/>
      <c r="O35" s="9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47"/>
      <c r="AC35" s="47"/>
      <c r="AD35" s="47"/>
      <c r="AE35" s="47"/>
      <c r="AF35" s="47"/>
      <c r="AG35" s="47"/>
      <c r="AH35" s="47"/>
      <c r="AI35" s="585"/>
      <c r="AJ35" s="47"/>
      <c r="AL35" s="47"/>
      <c r="AM35" s="47"/>
      <c r="AN35" s="9"/>
      <c r="AO35" s="9"/>
      <c r="AP35" s="9"/>
      <c r="BB35" s="540" t="s">
        <v>1087</v>
      </c>
      <c r="BC35" s="543" t="s">
        <v>1046</v>
      </c>
      <c r="BD35" s="550"/>
      <c r="BE35" s="540" t="s">
        <v>1050</v>
      </c>
      <c r="BF35" s="543" t="s">
        <v>1009</v>
      </c>
      <c r="BH35" s="517"/>
      <c r="BL35" s="555"/>
    </row>
    <row r="36" spans="2:64" ht="15.75" customHeight="1">
      <c r="B36" s="477"/>
      <c r="C36" s="481"/>
      <c r="D36" s="478"/>
      <c r="E36" s="478"/>
      <c r="G36" s="479"/>
      <c r="H36" s="47"/>
      <c r="I36" s="47"/>
      <c r="J36" s="47"/>
      <c r="K36" s="47"/>
      <c r="L36" s="47"/>
      <c r="M36" s="47"/>
      <c r="N36" s="47"/>
      <c r="O36" s="9"/>
      <c r="P36" s="47"/>
      <c r="Q36" s="47"/>
      <c r="R36" s="47"/>
      <c r="S36" s="47"/>
      <c r="T36" s="47"/>
      <c r="U36" s="47"/>
      <c r="V36" s="47"/>
      <c r="W36" s="47"/>
      <c r="X36" s="47"/>
      <c r="Y36" s="47"/>
      <c r="Z36" s="47"/>
      <c r="AA36" s="47"/>
      <c r="AB36" s="47"/>
      <c r="AC36" s="47"/>
      <c r="AD36" s="47"/>
      <c r="AE36" s="47"/>
      <c r="AF36" s="47"/>
      <c r="AG36" s="47"/>
      <c r="AH36" s="47"/>
      <c r="AI36" s="585"/>
      <c r="AJ36" s="47"/>
      <c r="AL36" s="47"/>
      <c r="AM36" s="47"/>
      <c r="AN36" s="9"/>
      <c r="AO36" s="9"/>
      <c r="AP36" s="9"/>
      <c r="BB36" s="540"/>
      <c r="BC36" s="543"/>
      <c r="BE36" s="540" t="s">
        <v>1051</v>
      </c>
      <c r="BF36" s="543" t="s">
        <v>1048</v>
      </c>
      <c r="BH36" s="545" t="s">
        <v>1141</v>
      </c>
      <c r="BI36" s="546"/>
      <c r="BJ36" s="546"/>
      <c r="BK36" s="546"/>
      <c r="BL36" s="802">
        <f>(SUM(BJ24:BJ31)-SUM(BI24:BI31))/1000</f>
        <v>0</v>
      </c>
    </row>
    <row r="37" spans="2:64" ht="15.75" customHeight="1">
      <c r="B37" s="477"/>
      <c r="C37" s="481"/>
      <c r="D37" s="478"/>
      <c r="E37" s="478"/>
      <c r="G37" s="479"/>
      <c r="H37" s="47"/>
      <c r="I37" s="47"/>
      <c r="J37" s="47"/>
      <c r="K37" s="47"/>
      <c r="L37" s="47"/>
      <c r="M37" s="47"/>
      <c r="N37" s="9"/>
      <c r="O37" s="9"/>
      <c r="P37" s="47"/>
      <c r="Q37" s="47"/>
      <c r="R37" s="47"/>
      <c r="S37" s="47"/>
      <c r="T37" s="47"/>
      <c r="U37" s="47"/>
      <c r="V37" s="47"/>
      <c r="W37" s="47"/>
      <c r="X37" s="47"/>
      <c r="Y37" s="47"/>
      <c r="Z37" s="47"/>
      <c r="AA37" s="47"/>
      <c r="AB37" s="47"/>
      <c r="AC37" s="47"/>
      <c r="AD37" s="47"/>
      <c r="AE37" s="47"/>
      <c r="AF37" s="47"/>
      <c r="AG37" s="47"/>
      <c r="AH37" s="47"/>
      <c r="AI37" s="585"/>
      <c r="AJ37" s="47"/>
      <c r="AL37" s="47"/>
      <c r="AM37" s="47"/>
      <c r="AN37" s="9"/>
      <c r="AO37" s="9"/>
      <c r="AP37" s="9"/>
      <c r="BB37" s="799" t="s">
        <v>1041</v>
      </c>
      <c r="BC37" s="539"/>
      <c r="BE37" s="540" t="s">
        <v>1052</v>
      </c>
      <c r="BF37" s="543" t="s">
        <v>1003</v>
      </c>
    </row>
    <row r="38" spans="2:64" ht="15.75" customHeight="1">
      <c r="B38" s="477"/>
      <c r="C38" s="481"/>
      <c r="D38" s="478"/>
      <c r="E38" s="478"/>
      <c r="G38" s="479"/>
      <c r="H38" s="47"/>
      <c r="I38" s="47"/>
      <c r="J38" s="47"/>
      <c r="K38" s="47"/>
      <c r="L38" s="47"/>
      <c r="M38" s="47"/>
      <c r="N38" s="9"/>
      <c r="O38" s="9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47"/>
      <c r="AC38" s="47"/>
      <c r="AD38" s="47"/>
      <c r="AE38" s="47"/>
      <c r="AF38" s="47"/>
      <c r="AG38" s="47"/>
      <c r="AH38" s="47"/>
      <c r="AI38" s="585"/>
      <c r="AJ38" s="47"/>
      <c r="AL38" s="47"/>
      <c r="AM38" s="47"/>
      <c r="AN38" s="9"/>
      <c r="AO38" s="9"/>
      <c r="AP38" s="9"/>
      <c r="BB38" s="540" t="s">
        <v>1088</v>
      </c>
      <c r="BC38" s="543" t="s">
        <v>670</v>
      </c>
      <c r="BE38" s="540" t="s">
        <v>1053</v>
      </c>
      <c r="BF38" s="543" t="s">
        <v>1013</v>
      </c>
    </row>
    <row r="39" spans="2:64" ht="15.75" customHeight="1">
      <c r="B39" s="477"/>
      <c r="C39" s="481"/>
      <c r="D39" s="478"/>
      <c r="E39" s="478"/>
      <c r="G39" s="479"/>
      <c r="H39" s="47"/>
      <c r="I39" s="478"/>
      <c r="J39" s="483"/>
      <c r="K39" s="47"/>
      <c r="L39" s="47"/>
      <c r="M39" s="47"/>
      <c r="N39" s="9"/>
      <c r="O39" s="9"/>
      <c r="P39" s="47"/>
      <c r="Q39" s="47"/>
      <c r="R39" s="47"/>
      <c r="S39" s="47"/>
      <c r="T39" s="47"/>
      <c r="U39" s="47"/>
      <c r="V39" s="47"/>
      <c r="W39" s="47"/>
      <c r="X39" s="47"/>
      <c r="Y39" s="47"/>
      <c r="Z39" s="47"/>
      <c r="AA39" s="47"/>
      <c r="AB39" s="47"/>
      <c r="AC39" s="47"/>
      <c r="AD39" s="47"/>
      <c r="AE39" s="47"/>
      <c r="AF39" s="47"/>
      <c r="AG39" s="47"/>
      <c r="AH39" s="47"/>
      <c r="AI39" s="585"/>
      <c r="AJ39" s="47"/>
      <c r="AL39" s="47"/>
      <c r="AM39" s="47"/>
      <c r="AN39" s="9"/>
      <c r="AO39" s="9"/>
      <c r="AP39" s="9"/>
      <c r="BB39" s="540" t="s">
        <v>1089</v>
      </c>
      <c r="BC39" s="543" t="s">
        <v>675</v>
      </c>
      <c r="BE39" s="540" t="s">
        <v>1054</v>
      </c>
      <c r="BF39" s="543" t="s">
        <v>1007</v>
      </c>
    </row>
    <row r="40" spans="2:64" ht="15.75" customHeight="1">
      <c r="B40" s="477"/>
      <c r="C40" s="481"/>
      <c r="D40" s="478"/>
      <c r="E40" s="478"/>
      <c r="G40" s="479"/>
      <c r="H40" s="47"/>
      <c r="I40" s="479"/>
      <c r="J40" s="47"/>
      <c r="K40" s="47"/>
      <c r="L40" s="47"/>
      <c r="M40" s="47"/>
      <c r="N40" s="9"/>
      <c r="O40" s="9"/>
      <c r="P40" s="47"/>
      <c r="Q40" s="47"/>
      <c r="R40" s="47"/>
      <c r="S40" s="47"/>
      <c r="T40" s="47"/>
      <c r="U40" s="47"/>
      <c r="V40" s="47"/>
      <c r="W40" s="47"/>
      <c r="X40" s="47"/>
      <c r="Y40" s="47"/>
      <c r="Z40" s="47"/>
      <c r="AA40" s="47"/>
      <c r="AB40" s="47"/>
      <c r="AC40" s="47"/>
      <c r="AD40" s="47"/>
      <c r="AE40" s="47"/>
      <c r="AF40" s="47"/>
      <c r="AG40" s="47"/>
      <c r="AH40" s="47"/>
      <c r="AI40" s="585"/>
      <c r="AJ40" s="47"/>
      <c r="AL40" s="47"/>
      <c r="AM40" s="47"/>
      <c r="AN40" s="9"/>
      <c r="AO40" s="9"/>
      <c r="AP40" s="9"/>
      <c r="BB40" s="540" t="s">
        <v>1091</v>
      </c>
      <c r="BC40" s="543" t="s">
        <v>671</v>
      </c>
      <c r="BE40" s="540" t="s">
        <v>1055</v>
      </c>
      <c r="BF40" s="543" t="s">
        <v>1049</v>
      </c>
    </row>
    <row r="41" spans="2:64" ht="15.75" customHeight="1">
      <c r="B41" s="477"/>
      <c r="C41" s="481"/>
      <c r="D41" s="478"/>
      <c r="E41" s="478"/>
      <c r="G41" s="479"/>
      <c r="H41" s="47"/>
      <c r="I41" s="47"/>
      <c r="J41" s="47"/>
      <c r="K41" s="47"/>
      <c r="L41" s="47"/>
      <c r="M41" s="47"/>
      <c r="N41" s="9"/>
      <c r="O41" s="9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585"/>
      <c r="AJ41" s="47"/>
      <c r="AL41" s="47"/>
      <c r="AM41" s="47"/>
      <c r="AN41" s="9"/>
      <c r="AO41" s="9"/>
      <c r="AP41" s="9"/>
      <c r="BB41" s="540" t="s">
        <v>1090</v>
      </c>
      <c r="BC41" s="543" t="s">
        <v>678</v>
      </c>
      <c r="BE41" s="540" t="s">
        <v>1056</v>
      </c>
      <c r="BF41" s="543" t="s">
        <v>1012</v>
      </c>
    </row>
    <row r="42" spans="2:64" ht="15.75" customHeight="1">
      <c r="B42" s="477"/>
      <c r="C42" s="481"/>
      <c r="D42" s="478"/>
      <c r="E42" s="478"/>
      <c r="G42" s="479"/>
      <c r="H42" s="47"/>
      <c r="I42" s="47"/>
      <c r="J42" s="47"/>
      <c r="K42" s="47"/>
      <c r="L42" s="47"/>
      <c r="M42" s="47"/>
      <c r="N42" s="9"/>
      <c r="O42" s="9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585"/>
      <c r="AJ42" s="47"/>
      <c r="AL42" s="47"/>
      <c r="AM42" s="47"/>
      <c r="AN42" s="9"/>
      <c r="AO42" s="9"/>
      <c r="AP42" s="9"/>
      <c r="BB42" s="540" t="s">
        <v>2471</v>
      </c>
      <c r="BC42" s="543" t="s">
        <v>1097</v>
      </c>
      <c r="BE42" s="540"/>
      <c r="BF42" s="543"/>
    </row>
    <row r="43" spans="2:64" ht="15.75" customHeight="1">
      <c r="B43" s="477"/>
      <c r="C43" s="481"/>
      <c r="D43" s="478"/>
      <c r="E43" s="478"/>
      <c r="G43" s="479"/>
      <c r="H43" s="485"/>
      <c r="I43" s="47"/>
      <c r="J43" s="47"/>
      <c r="K43" s="47"/>
      <c r="L43" s="47"/>
      <c r="M43" s="47"/>
      <c r="N43" s="9"/>
      <c r="O43" s="9"/>
      <c r="P43" s="47"/>
      <c r="Q43" s="47"/>
      <c r="R43" s="47"/>
      <c r="S43" s="47"/>
      <c r="T43" s="47"/>
      <c r="U43" s="47"/>
      <c r="V43" s="47"/>
      <c r="W43" s="47"/>
      <c r="X43" s="47"/>
      <c r="Y43" s="47"/>
      <c r="Z43" s="47"/>
      <c r="AA43" s="47"/>
      <c r="AB43" s="47"/>
      <c r="AC43" s="47"/>
      <c r="AD43" s="47"/>
      <c r="AE43" s="47"/>
      <c r="AF43" s="47"/>
      <c r="AG43" s="47"/>
      <c r="AH43" s="47"/>
      <c r="AI43" s="585"/>
      <c r="AJ43" s="47"/>
      <c r="AL43" s="47"/>
      <c r="AM43" s="47"/>
      <c r="AN43" s="9"/>
      <c r="AO43" s="9"/>
      <c r="AP43" s="9"/>
      <c r="BB43" s="540" t="s">
        <v>2470</v>
      </c>
      <c r="BC43" s="543" t="s">
        <v>1102</v>
      </c>
      <c r="BE43" s="799" t="s">
        <v>1057</v>
      </c>
      <c r="BF43" s="539"/>
    </row>
    <row r="44" spans="2:64" ht="15.75" customHeight="1">
      <c r="B44" s="477"/>
      <c r="C44" s="481"/>
      <c r="D44" s="478"/>
      <c r="E44" s="478"/>
      <c r="G44" s="479"/>
      <c r="I44" s="9"/>
      <c r="J44" s="47"/>
      <c r="K44" s="47"/>
      <c r="L44" s="47"/>
      <c r="M44" s="47"/>
      <c r="N44" s="47"/>
      <c r="O44" s="9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47"/>
      <c r="AC44" s="47"/>
      <c r="AD44" s="47"/>
      <c r="AE44" s="47"/>
      <c r="AF44" s="47"/>
      <c r="AG44" s="47"/>
      <c r="AH44" s="47"/>
      <c r="AI44" s="585"/>
      <c r="AJ44" s="47"/>
      <c r="AL44" s="47"/>
      <c r="AM44" s="47"/>
      <c r="AN44" s="9"/>
      <c r="AO44" s="9"/>
      <c r="AP44" s="9"/>
      <c r="BB44" s="540" t="s">
        <v>2472</v>
      </c>
      <c r="BC44" s="543" t="s">
        <v>2469</v>
      </c>
      <c r="BE44" s="540" t="s">
        <v>1058</v>
      </c>
      <c r="BF44" s="543" t="s">
        <v>1043</v>
      </c>
    </row>
    <row r="45" spans="2:64" ht="15.75" customHeight="1">
      <c r="B45" s="477"/>
      <c r="C45" s="481"/>
      <c r="D45" s="478"/>
      <c r="E45" s="478"/>
      <c r="G45" s="479"/>
      <c r="I45" s="9"/>
      <c r="J45" s="47"/>
      <c r="K45" s="47"/>
      <c r="L45" s="47"/>
      <c r="M45" s="47"/>
      <c r="N45" s="9"/>
      <c r="O45" s="9"/>
      <c r="P45" s="47"/>
      <c r="Q45" s="47"/>
      <c r="R45" s="47"/>
      <c r="S45" s="47"/>
      <c r="T45" s="47"/>
      <c r="U45" s="47"/>
      <c r="V45" s="47"/>
      <c r="W45" s="47"/>
      <c r="X45" s="47"/>
      <c r="Y45" s="47"/>
      <c r="Z45" s="47"/>
      <c r="AA45" s="47"/>
      <c r="AB45" s="47"/>
      <c r="AC45" s="47"/>
      <c r="AD45" s="47"/>
      <c r="AE45" s="47"/>
      <c r="AF45" s="47"/>
      <c r="AG45" s="47"/>
      <c r="AH45" s="47"/>
      <c r="AI45" s="585"/>
      <c r="AJ45" s="47"/>
      <c r="AL45" s="47"/>
      <c r="AM45" s="47"/>
      <c r="AN45" s="9"/>
      <c r="AO45" s="9"/>
      <c r="AP45" s="9"/>
      <c r="BB45" s="540"/>
      <c r="BC45" s="555"/>
      <c r="BE45" s="540" t="s">
        <v>1059</v>
      </c>
      <c r="BF45" s="543" t="s">
        <v>2561</v>
      </c>
    </row>
    <row r="46" spans="2:64" ht="15.75" customHeight="1">
      <c r="B46" s="477"/>
      <c r="C46" s="481"/>
      <c r="D46" s="478"/>
      <c r="E46" s="478"/>
      <c r="G46" s="479"/>
      <c r="I46" s="9"/>
      <c r="J46" s="47"/>
      <c r="K46" s="47"/>
      <c r="L46" s="47"/>
      <c r="M46" s="47"/>
      <c r="N46" s="9"/>
      <c r="O46" s="9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585"/>
      <c r="AJ46" s="47"/>
      <c r="AL46" s="47"/>
      <c r="AM46" s="47"/>
      <c r="AN46" s="9"/>
      <c r="AO46" s="9"/>
      <c r="AP46" s="9"/>
      <c r="BB46" s="799" t="s">
        <v>1042</v>
      </c>
      <c r="BC46" s="539"/>
      <c r="BE46" s="540" t="s">
        <v>1060</v>
      </c>
      <c r="BF46" s="543" t="s">
        <v>2562</v>
      </c>
    </row>
    <row r="47" spans="2:64" ht="15.75" customHeight="1">
      <c r="B47" s="477"/>
      <c r="C47" s="481"/>
      <c r="D47" s="478"/>
      <c r="E47" s="478"/>
      <c r="G47" s="479"/>
      <c r="I47" s="9"/>
      <c r="J47" s="47"/>
      <c r="K47" s="47"/>
      <c r="L47" s="47"/>
      <c r="M47" s="47"/>
      <c r="N47" s="9"/>
      <c r="O47" s="9"/>
      <c r="P47" s="47"/>
      <c r="Q47" s="47"/>
      <c r="R47" s="47"/>
      <c r="S47" s="47"/>
      <c r="T47" s="47"/>
      <c r="U47" s="47"/>
      <c r="V47" s="47"/>
      <c r="W47" s="47"/>
      <c r="X47" s="47"/>
      <c r="Y47" s="47"/>
      <c r="Z47" s="47"/>
      <c r="AA47" s="47"/>
      <c r="AB47" s="47"/>
      <c r="AC47" s="47"/>
      <c r="AD47" s="47"/>
      <c r="AE47" s="47"/>
      <c r="AF47" s="47"/>
      <c r="AG47" s="47"/>
      <c r="AH47" s="47"/>
      <c r="AI47" s="585"/>
      <c r="AJ47" s="47"/>
      <c r="AL47" s="47"/>
      <c r="AM47" s="47"/>
      <c r="AN47" s="9"/>
      <c r="AO47" s="9"/>
      <c r="AP47" s="9"/>
      <c r="BB47" s="540" t="s">
        <v>1075</v>
      </c>
      <c r="BC47" s="543" t="s">
        <v>672</v>
      </c>
      <c r="BE47" s="540" t="s">
        <v>1061</v>
      </c>
      <c r="BF47" s="543" t="s">
        <v>141</v>
      </c>
    </row>
    <row r="48" spans="2:64" ht="15.75" customHeight="1">
      <c r="B48" s="477"/>
      <c r="C48" s="481"/>
      <c r="D48" s="478"/>
      <c r="E48" s="478"/>
      <c r="G48" s="479"/>
      <c r="I48" s="9"/>
      <c r="J48" s="47"/>
      <c r="K48" s="47"/>
      <c r="L48" s="47"/>
      <c r="M48" s="47"/>
      <c r="N48" s="483"/>
      <c r="O48" s="9"/>
      <c r="P48" s="47"/>
      <c r="Q48" s="47"/>
      <c r="R48" s="47"/>
      <c r="S48" s="47"/>
      <c r="T48" s="47"/>
      <c r="U48" s="47"/>
      <c r="V48" s="47"/>
      <c r="W48" s="47"/>
      <c r="X48" s="47"/>
      <c r="Y48" s="47"/>
      <c r="Z48" s="47"/>
      <c r="AA48" s="47"/>
      <c r="AB48" s="47"/>
      <c r="AC48" s="47"/>
      <c r="AD48" s="47"/>
      <c r="AE48" s="47"/>
      <c r="AF48" s="47"/>
      <c r="AG48" s="47"/>
      <c r="AH48" s="47"/>
      <c r="AI48" s="585"/>
      <c r="AJ48" s="47"/>
      <c r="AL48" s="47"/>
      <c r="AM48" s="47"/>
      <c r="AN48" s="9"/>
      <c r="AO48" s="9"/>
      <c r="AP48" s="9"/>
      <c r="BB48" s="540" t="s">
        <v>1076</v>
      </c>
      <c r="BC48" s="543" t="s">
        <v>139</v>
      </c>
      <c r="BE48" s="673"/>
      <c r="BF48" s="555"/>
    </row>
    <row r="49" spans="2:61" ht="15.75" customHeight="1">
      <c r="B49" s="477"/>
      <c r="C49" s="481"/>
      <c r="D49" s="478"/>
      <c r="E49" s="478"/>
      <c r="G49" s="479"/>
      <c r="H49" s="47"/>
      <c r="I49" s="478"/>
      <c r="J49" s="47"/>
      <c r="K49" s="47"/>
      <c r="L49" s="47"/>
      <c r="M49" s="47"/>
      <c r="N49" s="9"/>
      <c r="O49" s="9"/>
      <c r="P49" s="47"/>
      <c r="Q49" s="47"/>
      <c r="R49" s="47"/>
      <c r="S49" s="47"/>
      <c r="T49" s="47"/>
      <c r="U49" s="47"/>
      <c r="V49" s="47"/>
      <c r="W49" s="47"/>
      <c r="X49" s="47"/>
      <c r="Y49" s="47"/>
      <c r="Z49" s="47"/>
      <c r="AA49" s="47"/>
      <c r="AB49" s="47"/>
      <c r="AC49" s="47"/>
      <c r="AD49" s="47"/>
      <c r="AE49" s="47"/>
      <c r="AF49" s="47"/>
      <c r="AG49" s="47"/>
      <c r="AH49" s="47"/>
      <c r="AI49" s="585"/>
      <c r="AJ49" s="47"/>
      <c r="AL49" s="47"/>
      <c r="AM49" s="47"/>
      <c r="AN49" s="9"/>
      <c r="AO49" s="9"/>
      <c r="AP49" s="9"/>
      <c r="BB49" s="540" t="s">
        <v>1077</v>
      </c>
      <c r="BC49" s="543" t="s">
        <v>231</v>
      </c>
      <c r="BE49" s="799" t="s">
        <v>692</v>
      </c>
      <c r="BF49" s="539"/>
    </row>
    <row r="50" spans="2:61" ht="15.75" customHeight="1">
      <c r="B50" s="477"/>
      <c r="C50" s="481"/>
      <c r="D50" s="477"/>
      <c r="E50" s="478"/>
      <c r="F50" s="478"/>
      <c r="G50" s="478"/>
      <c r="I50" s="9"/>
      <c r="J50" s="9"/>
      <c r="L50" s="47"/>
      <c r="M50" s="47"/>
      <c r="N50" s="47"/>
      <c r="O50" s="9"/>
      <c r="P50" s="9"/>
      <c r="Q50" s="47"/>
      <c r="R50" s="47"/>
      <c r="S50" s="47"/>
      <c r="T50" s="47"/>
      <c r="U50" s="47"/>
      <c r="V50" s="47"/>
      <c r="W50" s="47"/>
      <c r="X50" s="47"/>
      <c r="Y50" s="47"/>
      <c r="Z50" s="47"/>
      <c r="AA50" s="47"/>
      <c r="AB50" s="47"/>
      <c r="AC50" s="47"/>
      <c r="AD50" s="47"/>
      <c r="AE50" s="47"/>
      <c r="AF50" s="47"/>
      <c r="AG50" s="47"/>
      <c r="AH50" s="47"/>
      <c r="AI50" s="47"/>
      <c r="AJ50" s="585"/>
      <c r="AK50" s="47"/>
      <c r="AL50" s="47"/>
      <c r="AM50" s="47"/>
      <c r="AN50" s="9"/>
      <c r="AO50" s="9"/>
      <c r="AP50" s="9"/>
      <c r="BB50" s="540" t="s">
        <v>1078</v>
      </c>
      <c r="BC50" s="543" t="s">
        <v>241</v>
      </c>
      <c r="BE50" s="540" t="s">
        <v>2563</v>
      </c>
      <c r="BF50" s="543" t="s">
        <v>2054</v>
      </c>
    </row>
    <row r="51" spans="2:61" ht="15.75" customHeight="1">
      <c r="B51" s="477"/>
      <c r="C51" s="481"/>
      <c r="D51" s="477"/>
      <c r="E51" s="478"/>
      <c r="F51" s="478"/>
      <c r="G51" s="478"/>
      <c r="H51" s="47"/>
      <c r="I51" s="478"/>
      <c r="J51" s="9"/>
      <c r="K51" s="47"/>
      <c r="L51" s="47"/>
      <c r="M51" s="47"/>
      <c r="N51" s="9"/>
      <c r="O51" s="9"/>
      <c r="P51" s="9"/>
      <c r="Q51" s="47"/>
      <c r="R51" s="47"/>
      <c r="S51" s="47"/>
      <c r="T51" s="47"/>
      <c r="U51" s="47"/>
      <c r="V51" s="47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585"/>
      <c r="AK51" s="47"/>
      <c r="AL51" s="47"/>
      <c r="AM51" s="47"/>
      <c r="AN51" s="9"/>
      <c r="AO51" s="9"/>
      <c r="AP51" s="9"/>
      <c r="BB51" s="540" t="s">
        <v>1079</v>
      </c>
      <c r="BC51" s="543" t="s">
        <v>465</v>
      </c>
      <c r="BE51" s="540" t="s">
        <v>2564</v>
      </c>
      <c r="BF51" s="543" t="s">
        <v>2055</v>
      </c>
    </row>
    <row r="52" spans="2:61" ht="15.75" customHeight="1">
      <c r="B52" s="477"/>
      <c r="C52" s="481"/>
      <c r="D52" s="477"/>
      <c r="E52" s="478"/>
      <c r="F52" s="478"/>
      <c r="G52" s="478"/>
      <c r="I52" s="9"/>
      <c r="J52" s="9"/>
      <c r="K52" s="47"/>
      <c r="L52" s="47"/>
      <c r="M52" s="47"/>
      <c r="N52" s="47"/>
      <c r="O52" s="9"/>
      <c r="P52" s="9"/>
      <c r="Q52" s="47"/>
      <c r="R52" s="47"/>
      <c r="S52" s="47"/>
      <c r="T52" s="47"/>
      <c r="U52" s="47"/>
      <c r="V52" s="47"/>
      <c r="W52" s="47"/>
      <c r="X52" s="47"/>
      <c r="Y52" s="47"/>
      <c r="Z52" s="47"/>
      <c r="AA52" s="47"/>
      <c r="AB52" s="47"/>
      <c r="AC52" s="47"/>
      <c r="AD52" s="47"/>
      <c r="AE52" s="47"/>
      <c r="AF52" s="47"/>
      <c r="AG52" s="47"/>
      <c r="AH52" s="47"/>
      <c r="AI52" s="47"/>
      <c r="AJ52" s="585"/>
      <c r="AK52" s="47"/>
      <c r="AL52" s="47"/>
      <c r="AM52" s="47"/>
      <c r="AN52" s="9"/>
      <c r="AO52" s="9"/>
      <c r="AP52" s="9"/>
      <c r="BB52" s="540" t="s">
        <v>1080</v>
      </c>
      <c r="BC52" s="543" t="s">
        <v>941</v>
      </c>
      <c r="BE52" s="540" t="s">
        <v>2565</v>
      </c>
      <c r="BF52" s="543" t="s">
        <v>2567</v>
      </c>
    </row>
    <row r="53" spans="2:61" ht="15.75" customHeight="1" thickBot="1">
      <c r="B53" s="477"/>
      <c r="C53" s="481"/>
      <c r="D53" s="477"/>
      <c r="E53" s="478"/>
      <c r="F53" s="478"/>
      <c r="G53" s="478"/>
      <c r="H53" s="47"/>
      <c r="I53" s="47"/>
      <c r="J53" s="47"/>
      <c r="K53" s="47"/>
      <c r="L53" s="47"/>
      <c r="M53" s="47"/>
      <c r="N53" s="9"/>
      <c r="O53" s="9"/>
      <c r="P53" s="9"/>
      <c r="Q53" s="47"/>
      <c r="R53" s="47"/>
      <c r="S53" s="47"/>
      <c r="T53" s="47"/>
      <c r="U53" s="47"/>
      <c r="V53" s="47"/>
      <c r="W53" s="47"/>
      <c r="X53" s="47"/>
      <c r="Y53" s="47"/>
      <c r="Z53" s="47"/>
      <c r="AA53" s="47"/>
      <c r="AB53" s="47"/>
      <c r="AC53" s="47"/>
      <c r="AD53" s="47"/>
      <c r="AE53" s="47"/>
      <c r="AF53" s="47"/>
      <c r="AG53" s="47"/>
      <c r="AH53" s="47"/>
      <c r="AI53" s="47"/>
      <c r="AJ53" s="585"/>
      <c r="AK53" s="47"/>
      <c r="AL53" s="47"/>
      <c r="AM53" s="47"/>
      <c r="AN53" s="9"/>
      <c r="AO53" s="9"/>
      <c r="AP53" s="9"/>
      <c r="BB53" s="558"/>
      <c r="BC53" s="559"/>
      <c r="BE53" s="540" t="s">
        <v>2566</v>
      </c>
      <c r="BF53" s="543" t="s">
        <v>2568</v>
      </c>
    </row>
    <row r="54" spans="2:61" ht="15.75" customHeight="1" thickBot="1">
      <c r="B54" s="477"/>
      <c r="C54" s="481"/>
      <c r="D54" s="477"/>
      <c r="E54" s="478"/>
      <c r="F54" s="478"/>
      <c r="G54" s="478"/>
      <c r="H54" s="47"/>
      <c r="I54" s="47"/>
      <c r="J54" s="47"/>
      <c r="K54" s="47"/>
      <c r="L54" s="47"/>
      <c r="M54" s="47"/>
      <c r="N54" s="9"/>
      <c r="O54" s="9"/>
      <c r="P54" s="9"/>
      <c r="Q54" s="47"/>
      <c r="R54" s="47"/>
      <c r="S54" s="47"/>
      <c r="T54" s="47"/>
      <c r="U54" s="47"/>
      <c r="V54" s="47"/>
      <c r="W54" s="47"/>
      <c r="X54" s="47"/>
      <c r="Y54" s="47"/>
      <c r="Z54" s="47"/>
      <c r="AA54" s="47"/>
      <c r="AB54" s="47"/>
      <c r="AC54" s="47"/>
      <c r="AD54" s="47"/>
      <c r="AE54" s="47"/>
      <c r="AF54" s="47"/>
      <c r="AG54" s="47"/>
      <c r="AH54" s="47"/>
      <c r="AI54" s="47"/>
      <c r="AJ54" s="585"/>
      <c r="AK54" s="47"/>
      <c r="AL54" s="47"/>
      <c r="AM54" s="47"/>
      <c r="AN54" s="9"/>
      <c r="AO54" s="9"/>
      <c r="AP54" s="9"/>
      <c r="BC54" s="560"/>
      <c r="BE54" s="556"/>
      <c r="BF54" s="557"/>
      <c r="BH54" s="517"/>
    </row>
    <row r="55" spans="2:61" ht="15.75" customHeight="1">
      <c r="B55" s="477"/>
      <c r="C55" s="481"/>
      <c r="D55" s="477"/>
      <c r="E55" s="478"/>
      <c r="F55" s="478"/>
      <c r="G55" s="478"/>
      <c r="H55" s="47"/>
      <c r="I55" s="47"/>
      <c r="J55" s="47"/>
      <c r="K55" s="47"/>
      <c r="L55" s="47"/>
      <c r="M55" s="47"/>
      <c r="N55" s="9"/>
      <c r="O55" s="9"/>
      <c r="P55" s="9"/>
      <c r="Q55" s="47"/>
      <c r="R55" s="47"/>
      <c r="S55" s="47"/>
      <c r="T55" s="47"/>
      <c r="U55" s="47"/>
      <c r="V55" s="47"/>
      <c r="W55" s="47"/>
      <c r="X55" s="47"/>
      <c r="Y55" s="47"/>
      <c r="Z55" s="47"/>
      <c r="AA55" s="47"/>
      <c r="AB55" s="47"/>
      <c r="AC55" s="47"/>
      <c r="AD55" s="47"/>
      <c r="AE55" s="47"/>
      <c r="AF55" s="47"/>
      <c r="AG55" s="47"/>
      <c r="AH55" s="47"/>
      <c r="AI55" s="47"/>
      <c r="AJ55" s="585"/>
      <c r="AK55" s="47"/>
      <c r="AL55" s="47"/>
      <c r="AM55" s="47"/>
      <c r="AN55" s="9"/>
      <c r="AO55" s="9"/>
      <c r="AP55" s="9"/>
      <c r="BC55" s="560"/>
      <c r="BH55" s="517"/>
    </row>
    <row r="56" spans="2:61" ht="15.75" customHeight="1">
      <c r="B56" s="477"/>
      <c r="C56" s="481"/>
      <c r="D56" s="477"/>
      <c r="E56" s="478"/>
      <c r="F56" s="478"/>
      <c r="G56" s="478"/>
      <c r="H56" s="47"/>
      <c r="I56" s="47"/>
      <c r="J56" s="47"/>
      <c r="K56" s="47"/>
      <c r="L56" s="47"/>
      <c r="M56" s="47"/>
      <c r="N56" s="9"/>
      <c r="O56" s="9"/>
      <c r="P56" s="9"/>
      <c r="Q56" s="47"/>
      <c r="R56" s="47"/>
      <c r="S56" s="47"/>
      <c r="T56" s="47"/>
      <c r="U56" s="47"/>
      <c r="V56" s="47"/>
      <c r="W56" s="47"/>
      <c r="X56" s="47"/>
      <c r="Y56" s="47"/>
      <c r="Z56" s="47"/>
      <c r="AA56" s="47"/>
      <c r="AB56" s="47"/>
      <c r="AC56" s="47"/>
      <c r="AD56" s="47"/>
      <c r="AE56" s="47"/>
      <c r="AF56" s="47"/>
      <c r="AG56" s="47"/>
      <c r="AH56" s="47"/>
      <c r="AI56" s="47"/>
      <c r="AJ56" s="585"/>
      <c r="AK56" s="47"/>
      <c r="AL56" s="47"/>
      <c r="AM56" s="47"/>
      <c r="AN56" s="9"/>
      <c r="AO56" s="9"/>
      <c r="AP56" s="9"/>
      <c r="BC56" s="560"/>
      <c r="BH56" s="517"/>
    </row>
    <row r="57" spans="2:61" ht="15.75" customHeight="1">
      <c r="B57" s="477"/>
      <c r="C57" s="481"/>
      <c r="D57" s="477"/>
      <c r="E57" s="478"/>
      <c r="F57" s="478"/>
      <c r="G57" s="478"/>
      <c r="H57" s="47"/>
      <c r="I57" s="47"/>
      <c r="J57" s="47"/>
      <c r="K57" s="47"/>
      <c r="L57" s="47"/>
      <c r="M57" s="47"/>
      <c r="N57" s="9"/>
      <c r="O57" s="9"/>
      <c r="P57" s="9"/>
      <c r="Q57" s="47"/>
      <c r="R57" s="47"/>
      <c r="S57" s="47"/>
      <c r="T57" s="47"/>
      <c r="U57" s="47"/>
      <c r="V57" s="47"/>
      <c r="W57" s="47"/>
      <c r="X57" s="47"/>
      <c r="Y57" s="47"/>
      <c r="Z57" s="47"/>
      <c r="AA57" s="47"/>
      <c r="AB57" s="47"/>
      <c r="AC57" s="47"/>
      <c r="AD57" s="47"/>
      <c r="AE57" s="47"/>
      <c r="AF57" s="47"/>
      <c r="AG57" s="47"/>
      <c r="AH57" s="47"/>
      <c r="AI57" s="47"/>
      <c r="AJ57" s="585"/>
      <c r="AK57" s="47"/>
      <c r="AL57" s="47"/>
      <c r="AM57" s="47"/>
      <c r="AN57" s="9"/>
      <c r="AO57" s="9"/>
      <c r="AP57" s="9"/>
      <c r="BC57" s="560"/>
      <c r="BD57" s="512"/>
      <c r="BH57" s="517"/>
    </row>
    <row r="58" spans="2:61" ht="15.75" customHeight="1">
      <c r="B58" s="477"/>
      <c r="C58" s="481"/>
      <c r="D58" s="477"/>
      <c r="E58" s="478"/>
      <c r="F58" s="478"/>
      <c r="G58" s="478"/>
      <c r="H58" s="47"/>
      <c r="I58" s="47"/>
      <c r="J58" s="47"/>
      <c r="K58" s="47"/>
      <c r="L58" s="47"/>
      <c r="M58" s="47"/>
      <c r="N58" s="47"/>
      <c r="O58" s="9"/>
      <c r="P58" s="9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585"/>
      <c r="AK58" s="47"/>
      <c r="AL58" s="47"/>
      <c r="AM58" s="47"/>
      <c r="AN58" s="9"/>
      <c r="AO58" s="9"/>
      <c r="AP58" s="9"/>
      <c r="BC58" s="560"/>
      <c r="BD58" s="550"/>
      <c r="BH58" s="517"/>
    </row>
    <row r="59" spans="2:61" ht="15.75" customHeight="1">
      <c r="B59" s="477"/>
      <c r="C59" s="481"/>
      <c r="D59" s="477"/>
      <c r="E59" s="478"/>
      <c r="F59" s="478"/>
      <c r="G59" s="478"/>
      <c r="H59" s="47"/>
      <c r="I59" s="47"/>
      <c r="J59" s="47"/>
      <c r="K59" s="47"/>
      <c r="L59" s="47"/>
      <c r="M59" s="47"/>
      <c r="N59" s="9"/>
      <c r="O59" s="9"/>
      <c r="P59" s="9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585"/>
      <c r="AK59" s="47"/>
      <c r="AL59" s="47"/>
      <c r="AM59" s="47"/>
      <c r="AN59" s="9"/>
      <c r="AO59" s="9"/>
      <c r="AP59" s="9"/>
      <c r="BC59" s="560"/>
      <c r="BD59" s="550"/>
      <c r="BH59" s="517"/>
    </row>
    <row r="60" spans="2:61" ht="15.75" customHeight="1">
      <c r="B60" s="477"/>
      <c r="C60" s="481"/>
      <c r="D60" s="477"/>
      <c r="E60" s="478"/>
      <c r="F60" s="478"/>
      <c r="G60" s="478"/>
      <c r="H60" s="47"/>
      <c r="I60" s="47"/>
      <c r="J60" s="47"/>
      <c r="K60" s="47"/>
      <c r="L60" s="47"/>
      <c r="M60" s="47"/>
      <c r="N60" s="47"/>
      <c r="O60" s="9"/>
      <c r="P60" s="9"/>
      <c r="Q60" s="47"/>
      <c r="R60" s="47"/>
      <c r="S60" s="47"/>
      <c r="T60" s="47"/>
      <c r="U60" s="47"/>
      <c r="V60" s="47"/>
      <c r="W60" s="47"/>
      <c r="X60" s="47"/>
      <c r="Y60" s="47"/>
      <c r="Z60" s="47"/>
      <c r="AA60" s="47"/>
      <c r="AB60" s="47"/>
      <c r="AC60" s="47"/>
      <c r="AD60" s="47"/>
      <c r="AE60" s="47"/>
      <c r="AF60" s="47"/>
      <c r="AG60" s="47"/>
      <c r="AH60" s="47"/>
      <c r="AI60" s="47"/>
      <c r="AJ60" s="585"/>
      <c r="AK60" s="47"/>
      <c r="AL60" s="47"/>
      <c r="AM60" s="47"/>
      <c r="AN60" s="9"/>
      <c r="AO60" s="9"/>
      <c r="AP60" s="9"/>
      <c r="BC60" s="560"/>
      <c r="BD60" s="550"/>
      <c r="BE60" s="550"/>
      <c r="BF60" s="550"/>
      <c r="BH60" s="517"/>
      <c r="BI60" s="519"/>
    </row>
    <row r="61" spans="2:61" ht="15.75" customHeight="1">
      <c r="B61" s="477"/>
      <c r="C61" s="481"/>
      <c r="D61" s="477"/>
      <c r="E61" s="478"/>
      <c r="F61" s="478"/>
      <c r="G61" s="478"/>
      <c r="I61" s="9"/>
      <c r="J61" s="9"/>
      <c r="K61" s="47"/>
      <c r="L61" s="47"/>
      <c r="M61" s="47"/>
      <c r="N61" s="9"/>
      <c r="O61" s="9"/>
      <c r="P61" s="9"/>
      <c r="Q61" s="47"/>
      <c r="R61" s="47"/>
      <c r="S61" s="47"/>
      <c r="T61" s="47"/>
      <c r="U61" s="47"/>
      <c r="V61" s="47"/>
      <c r="W61" s="47"/>
      <c r="X61" s="47"/>
      <c r="Y61" s="47"/>
      <c r="Z61" s="47"/>
      <c r="AA61" s="47"/>
      <c r="AB61" s="47"/>
      <c r="AC61" s="47"/>
      <c r="AD61" s="47"/>
      <c r="AE61" s="47"/>
      <c r="AF61" s="47"/>
      <c r="AG61" s="47"/>
      <c r="AH61" s="47"/>
      <c r="AI61" s="47"/>
      <c r="AJ61" s="585"/>
      <c r="AK61" s="47"/>
      <c r="AL61" s="47"/>
      <c r="AM61" s="47"/>
      <c r="AN61" s="9"/>
      <c r="AO61" s="9"/>
      <c r="AP61" s="9"/>
      <c r="BB61" s="517"/>
      <c r="BH61" s="517"/>
    </row>
    <row r="62" spans="2:61" ht="15.75" customHeight="1">
      <c r="B62" s="477"/>
      <c r="C62" s="481"/>
      <c r="D62" s="477"/>
      <c r="E62" s="478"/>
      <c r="F62" s="478"/>
      <c r="G62" s="478"/>
      <c r="I62" s="9"/>
      <c r="J62" s="9"/>
      <c r="K62" s="47"/>
      <c r="L62" s="47"/>
      <c r="M62" s="47"/>
      <c r="N62" s="9"/>
      <c r="O62" s="9"/>
      <c r="P62" s="9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585"/>
      <c r="AK62" s="47"/>
      <c r="AL62" s="47"/>
      <c r="AM62" s="47"/>
      <c r="AN62" s="9"/>
      <c r="AO62" s="9"/>
      <c r="AP62" s="9"/>
      <c r="BE62" s="512"/>
      <c r="BF62" s="512"/>
      <c r="BH62" s="517"/>
    </row>
    <row r="63" spans="2:61" ht="15.75" customHeight="1">
      <c r="B63" s="477"/>
      <c r="C63" s="481"/>
      <c r="D63" s="477"/>
      <c r="E63" s="478"/>
      <c r="F63" s="478"/>
      <c r="G63" s="478"/>
      <c r="I63" s="9"/>
      <c r="J63" s="9"/>
      <c r="K63" s="47"/>
      <c r="L63" s="47"/>
      <c r="M63" s="47"/>
      <c r="N63" s="9"/>
      <c r="O63" s="9"/>
      <c r="P63" s="9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585"/>
      <c r="AK63" s="47"/>
      <c r="AL63" s="47"/>
      <c r="AM63" s="47"/>
      <c r="AN63" s="9"/>
      <c r="AO63" s="9"/>
      <c r="AP63" s="9"/>
      <c r="BE63" s="550"/>
      <c r="BF63" s="550"/>
      <c r="BH63" s="517"/>
    </row>
    <row r="64" spans="2:61" ht="15.75" customHeight="1">
      <c r="B64" s="477"/>
      <c r="C64" s="481"/>
      <c r="D64" s="477"/>
      <c r="E64" s="478"/>
      <c r="F64" s="478"/>
      <c r="G64" s="478"/>
      <c r="I64" s="9"/>
      <c r="J64" s="9"/>
      <c r="K64" s="47"/>
      <c r="L64" s="47"/>
      <c r="M64" s="47"/>
      <c r="N64" s="9"/>
      <c r="O64" s="9"/>
      <c r="P64" s="9"/>
      <c r="Q64" s="47"/>
      <c r="R64" s="47"/>
      <c r="S64" s="47"/>
      <c r="T64" s="47"/>
      <c r="U64" s="47"/>
      <c r="V64" s="47"/>
      <c r="W64" s="47"/>
      <c r="X64" s="47"/>
      <c r="Y64" s="47"/>
      <c r="Z64" s="47"/>
      <c r="AA64" s="47"/>
      <c r="AB64" s="47"/>
      <c r="AC64" s="47"/>
      <c r="AD64" s="47"/>
      <c r="AE64" s="47"/>
      <c r="AF64" s="47"/>
      <c r="AG64" s="47"/>
      <c r="AH64" s="47"/>
      <c r="AI64" s="47"/>
      <c r="AJ64" s="47"/>
      <c r="AK64" s="47"/>
      <c r="AL64" s="47"/>
      <c r="AM64" s="47"/>
      <c r="AN64" s="9"/>
      <c r="AO64" s="9"/>
      <c r="AP64" s="9"/>
      <c r="BE64" s="550"/>
      <c r="BF64" s="550"/>
      <c r="BH64" s="517"/>
    </row>
    <row r="65" spans="2:58" ht="15.75" customHeight="1">
      <c r="B65" s="477"/>
      <c r="C65" s="481"/>
      <c r="D65" s="477"/>
      <c r="E65" s="478"/>
      <c r="F65" s="478"/>
      <c r="G65" s="478"/>
      <c r="I65" s="9"/>
      <c r="J65" s="9"/>
      <c r="K65" s="47"/>
      <c r="L65" s="47"/>
      <c r="M65" s="47"/>
      <c r="N65" s="9"/>
      <c r="O65" s="9"/>
      <c r="P65" s="9"/>
      <c r="Q65" s="47"/>
      <c r="R65" s="47"/>
      <c r="S65" s="47"/>
      <c r="T65" s="47"/>
      <c r="U65" s="47"/>
      <c r="V65" s="47"/>
      <c r="W65" s="47"/>
      <c r="X65" s="47"/>
      <c r="Y65" s="47"/>
      <c r="Z65" s="47"/>
      <c r="AA65" s="47"/>
      <c r="AB65" s="47"/>
      <c r="AC65" s="47"/>
      <c r="AD65" s="47"/>
      <c r="AE65" s="47"/>
      <c r="AF65" s="47"/>
      <c r="AG65" s="47"/>
      <c r="AH65" s="47"/>
      <c r="AI65" s="47"/>
      <c r="AJ65" s="47"/>
      <c r="AK65" s="47"/>
      <c r="AL65" s="47"/>
      <c r="AM65" s="47"/>
      <c r="AN65" s="9"/>
      <c r="AO65" s="9"/>
      <c r="AP65" s="9"/>
      <c r="BE65" s="550"/>
      <c r="BF65" s="550"/>
    </row>
    <row r="66" spans="2:58" ht="15.75" customHeight="1">
      <c r="B66" s="477"/>
      <c r="C66" s="481"/>
      <c r="D66" s="477"/>
      <c r="E66" s="478"/>
      <c r="F66" s="478"/>
      <c r="G66" s="478"/>
      <c r="I66" s="11"/>
      <c r="J66" s="9"/>
      <c r="K66" s="47"/>
      <c r="L66" s="47"/>
      <c r="M66" s="47"/>
      <c r="N66" s="47"/>
      <c r="O66" s="9"/>
      <c r="P66" s="9"/>
      <c r="Q66" s="47"/>
      <c r="R66" s="47"/>
      <c r="S66" s="47"/>
      <c r="T66" s="47"/>
      <c r="U66" s="47"/>
      <c r="V66" s="47"/>
      <c r="W66" s="47"/>
      <c r="X66" s="47"/>
      <c r="Y66" s="47"/>
      <c r="Z66" s="47"/>
      <c r="AA66" s="47"/>
      <c r="AB66" s="47"/>
      <c r="AC66" s="47"/>
      <c r="AD66" s="47"/>
      <c r="AE66" s="47"/>
      <c r="AF66" s="47"/>
      <c r="AG66" s="47"/>
      <c r="AH66" s="47"/>
      <c r="AI66" s="47"/>
      <c r="AJ66" s="47"/>
      <c r="AK66" s="47"/>
      <c r="AL66" s="47"/>
      <c r="AM66" s="47"/>
      <c r="AN66" s="9"/>
      <c r="AO66" s="9"/>
      <c r="AP66" s="9"/>
    </row>
    <row r="67" spans="2:58" ht="15.75" customHeight="1">
      <c r="B67" s="477"/>
      <c r="C67" s="481"/>
      <c r="D67" s="477"/>
      <c r="E67" s="478"/>
      <c r="F67" s="478"/>
      <c r="G67" s="478"/>
      <c r="I67" s="9"/>
      <c r="J67" s="9"/>
      <c r="K67" s="47"/>
      <c r="L67" s="47"/>
      <c r="M67" s="47"/>
      <c r="N67" s="9"/>
      <c r="O67" s="9"/>
      <c r="P67" s="9"/>
      <c r="Q67" s="47"/>
      <c r="R67" s="47"/>
      <c r="S67" s="47"/>
      <c r="T67" s="47"/>
      <c r="U67" s="47"/>
      <c r="V67" s="47"/>
      <c r="W67" s="47"/>
      <c r="X67" s="47"/>
      <c r="Y67" s="47"/>
      <c r="Z67" s="47"/>
      <c r="AA67" s="47"/>
      <c r="AB67" s="47"/>
      <c r="AC67" s="47"/>
      <c r="AD67" s="47"/>
      <c r="AE67" s="47"/>
      <c r="AF67" s="47"/>
      <c r="AG67" s="47"/>
      <c r="AH67" s="47"/>
      <c r="AI67" s="47"/>
      <c r="AJ67" s="47"/>
      <c r="AK67" s="47"/>
      <c r="AL67" s="47"/>
      <c r="AM67" s="47"/>
      <c r="AN67" s="9"/>
      <c r="AO67" s="9"/>
      <c r="AP67" s="9"/>
    </row>
    <row r="68" spans="2:58" ht="15.75" customHeight="1">
      <c r="B68" s="477"/>
      <c r="C68" s="481"/>
      <c r="D68" s="477"/>
      <c r="E68" s="478"/>
      <c r="F68" s="478"/>
      <c r="G68" s="478"/>
      <c r="I68" s="11"/>
      <c r="J68" s="9"/>
      <c r="K68" s="47"/>
      <c r="L68" s="47"/>
      <c r="M68" s="47"/>
      <c r="N68" s="47"/>
      <c r="O68" s="9"/>
      <c r="P68" s="9"/>
      <c r="Q68" s="47"/>
      <c r="R68" s="47"/>
      <c r="S68" s="47"/>
      <c r="T68" s="47"/>
      <c r="U68" s="47"/>
      <c r="V68" s="47"/>
      <c r="W68" s="47"/>
      <c r="X68" s="47"/>
      <c r="Y68" s="47"/>
      <c r="Z68" s="47"/>
      <c r="AA68" s="47"/>
      <c r="AB68" s="47"/>
      <c r="AC68" s="47"/>
      <c r="AD68" s="47"/>
      <c r="AE68" s="47"/>
      <c r="AF68" s="47"/>
      <c r="AG68" s="47"/>
      <c r="AH68" s="47"/>
      <c r="AI68" s="47"/>
      <c r="AJ68" s="47"/>
      <c r="AK68" s="47"/>
      <c r="AL68" s="47"/>
      <c r="AM68" s="47"/>
      <c r="AN68" s="9"/>
      <c r="AO68" s="9"/>
      <c r="AP68" s="9"/>
    </row>
    <row r="69" spans="2:58" ht="15.75" customHeight="1">
      <c r="B69" s="477"/>
      <c r="C69" s="481"/>
      <c r="D69" s="477"/>
      <c r="E69" s="478"/>
      <c r="F69" s="478"/>
      <c r="G69" s="478"/>
      <c r="I69" s="9"/>
      <c r="J69" s="9"/>
      <c r="K69" s="47"/>
      <c r="L69" s="47"/>
      <c r="M69" s="47"/>
      <c r="N69" s="9"/>
      <c r="O69" s="9"/>
      <c r="P69" s="9"/>
      <c r="Q69" s="47"/>
      <c r="R69" s="47"/>
      <c r="S69" s="47"/>
      <c r="T69" s="47"/>
      <c r="U69" s="47"/>
      <c r="V69" s="47"/>
      <c r="W69" s="47"/>
      <c r="X69" s="47"/>
      <c r="Y69" s="47"/>
      <c r="Z69" s="47"/>
      <c r="AA69" s="47"/>
      <c r="AB69" s="47"/>
      <c r="AC69" s="47"/>
      <c r="AD69" s="47"/>
      <c r="AE69" s="47"/>
      <c r="AF69" s="47"/>
      <c r="AG69" s="47"/>
      <c r="AH69" s="47"/>
      <c r="AI69" s="47"/>
      <c r="AJ69" s="47"/>
      <c r="AK69" s="47"/>
      <c r="AL69" s="47"/>
      <c r="AM69" s="47"/>
      <c r="AN69" s="9"/>
      <c r="AO69" s="9"/>
      <c r="AP69" s="9"/>
    </row>
    <row r="70" spans="2:58" ht="15.75" customHeight="1">
      <c r="B70" s="477"/>
      <c r="C70" s="481"/>
      <c r="D70" s="477"/>
      <c r="E70" s="478"/>
      <c r="F70" s="478"/>
      <c r="G70" s="478"/>
      <c r="H70" s="47"/>
      <c r="I70" s="47"/>
      <c r="J70" s="47"/>
      <c r="K70" s="47"/>
      <c r="L70" s="47"/>
      <c r="M70" s="47"/>
      <c r="N70" s="9"/>
      <c r="O70" s="9"/>
      <c r="P70" s="9"/>
      <c r="Q70" s="47"/>
      <c r="R70" s="47"/>
      <c r="S70" s="47"/>
      <c r="T70" s="47"/>
      <c r="U70" s="47"/>
      <c r="V70" s="47"/>
      <c r="W70" s="47"/>
      <c r="X70" s="47"/>
      <c r="Y70" s="47"/>
      <c r="Z70" s="47"/>
      <c r="AA70" s="47"/>
      <c r="AB70" s="47"/>
      <c r="AC70" s="47"/>
      <c r="AD70" s="47"/>
      <c r="AE70" s="47"/>
      <c r="AF70" s="47"/>
      <c r="AG70" s="47"/>
      <c r="AH70" s="47"/>
      <c r="AI70" s="47"/>
      <c r="AJ70" s="47"/>
      <c r="AK70" s="47"/>
      <c r="AL70" s="47"/>
      <c r="AM70" s="47"/>
      <c r="AN70" s="9"/>
      <c r="AO70" s="9"/>
      <c r="AP70" s="9"/>
    </row>
    <row r="71" spans="2:58" ht="15.75" customHeight="1">
      <c r="B71" s="477"/>
      <c r="C71" s="481"/>
      <c r="D71" s="477"/>
      <c r="E71" s="478"/>
      <c r="F71" s="478"/>
      <c r="G71" s="478"/>
      <c r="H71" s="47"/>
      <c r="I71" s="47"/>
      <c r="J71" s="47"/>
      <c r="K71" s="47"/>
      <c r="L71" s="47"/>
      <c r="M71" s="47"/>
      <c r="N71" s="9"/>
      <c r="O71" s="9"/>
      <c r="P71" s="9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9"/>
      <c r="AO71" s="9"/>
      <c r="AP71" s="9"/>
    </row>
    <row r="72" spans="2:58" ht="15.75" customHeight="1">
      <c r="B72" s="477"/>
      <c r="C72" s="481"/>
      <c r="D72" s="477"/>
      <c r="E72" s="478"/>
      <c r="F72" s="478"/>
      <c r="G72" s="478"/>
      <c r="I72" s="9"/>
      <c r="J72" s="9"/>
      <c r="K72" s="47"/>
      <c r="L72" s="47"/>
      <c r="M72" s="47"/>
      <c r="N72" s="9"/>
      <c r="O72" s="9"/>
      <c r="P72" s="9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9"/>
      <c r="AO72" s="9"/>
      <c r="AP72" s="9"/>
    </row>
    <row r="73" spans="2:58" ht="15.75" customHeight="1">
      <c r="B73" s="477"/>
      <c r="C73" s="481"/>
      <c r="D73" s="477"/>
      <c r="E73" s="478"/>
      <c r="F73" s="478"/>
      <c r="G73" s="478"/>
      <c r="I73" s="9"/>
      <c r="J73" s="9"/>
      <c r="K73" s="47"/>
      <c r="L73" s="47"/>
      <c r="M73" s="47"/>
      <c r="N73" s="9"/>
      <c r="O73" s="9"/>
      <c r="P73" s="9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9"/>
      <c r="AO73" s="9"/>
      <c r="AP73" s="9"/>
    </row>
    <row r="74" spans="2:58" ht="15.75" customHeight="1">
      <c r="B74" s="477"/>
      <c r="C74" s="481"/>
      <c r="D74" s="477"/>
      <c r="E74" s="478"/>
      <c r="F74" s="478"/>
      <c r="G74" s="478"/>
      <c r="I74" s="9"/>
      <c r="J74" s="9"/>
      <c r="K74" s="47"/>
      <c r="L74" s="47"/>
      <c r="M74" s="47"/>
      <c r="N74" s="47"/>
      <c r="O74" s="9"/>
      <c r="P74" s="9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9"/>
      <c r="AO74" s="9"/>
      <c r="AP74" s="9"/>
    </row>
    <row r="75" spans="2:58" ht="15.75" customHeight="1">
      <c r="B75" s="477"/>
      <c r="C75" s="481"/>
      <c r="D75" s="477"/>
      <c r="E75" s="478"/>
      <c r="F75" s="478"/>
      <c r="G75" s="478"/>
      <c r="I75" s="9"/>
      <c r="J75" s="9"/>
      <c r="K75" s="47"/>
      <c r="L75" s="47"/>
      <c r="M75" s="47"/>
      <c r="N75" s="9"/>
      <c r="O75" s="9"/>
      <c r="P75" s="9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9"/>
      <c r="AO75" s="9"/>
      <c r="AP75" s="9"/>
    </row>
    <row r="76" spans="2:58" ht="15.75" customHeight="1">
      <c r="B76" s="477"/>
      <c r="C76" s="481"/>
      <c r="D76" s="477"/>
      <c r="E76" s="478"/>
      <c r="F76" s="478"/>
      <c r="G76" s="478"/>
      <c r="I76" s="9"/>
      <c r="J76" s="9"/>
      <c r="K76" s="47"/>
      <c r="L76" s="47"/>
      <c r="M76" s="47"/>
      <c r="N76" s="47"/>
      <c r="O76" s="9"/>
      <c r="P76" s="9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9"/>
      <c r="AO76" s="9"/>
      <c r="AP76" s="9"/>
    </row>
    <row r="77" spans="2:58" ht="15.75" customHeight="1">
      <c r="B77" s="477"/>
      <c r="C77" s="481"/>
      <c r="D77" s="477"/>
      <c r="E77" s="478"/>
      <c r="F77" s="478"/>
      <c r="G77" s="478"/>
      <c r="I77" s="9"/>
      <c r="J77" s="9"/>
      <c r="K77" s="47"/>
      <c r="L77" s="47"/>
      <c r="M77" s="47"/>
      <c r="N77" s="9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9"/>
      <c r="AO77" s="9"/>
      <c r="AP77" s="9"/>
    </row>
    <row r="78" spans="2:58" ht="15.75" customHeight="1">
      <c r="B78" s="477"/>
      <c r="C78" s="481"/>
      <c r="D78" s="477"/>
      <c r="E78" s="478"/>
      <c r="F78" s="478"/>
      <c r="G78" s="478"/>
      <c r="I78" s="9"/>
      <c r="J78" s="9"/>
      <c r="K78" s="47"/>
      <c r="L78" s="47"/>
      <c r="M78" s="47"/>
      <c r="N78" s="9"/>
      <c r="O78" s="9"/>
      <c r="P78" s="9"/>
      <c r="Q78" s="47"/>
      <c r="R78" s="47"/>
      <c r="S78" s="47"/>
      <c r="T78" s="47"/>
      <c r="U78" s="47"/>
      <c r="V78" s="47"/>
      <c r="W78" s="47"/>
      <c r="X78" s="47"/>
      <c r="Y78" s="47"/>
      <c r="Z78" s="47"/>
      <c r="AA78" s="47"/>
      <c r="AB78" s="47"/>
      <c r="AC78" s="47"/>
      <c r="AD78" s="47"/>
      <c r="AE78" s="47"/>
      <c r="AF78" s="47"/>
      <c r="AG78" s="47"/>
      <c r="AH78" s="47"/>
      <c r="AI78" s="47"/>
      <c r="AJ78" s="47"/>
      <c r="AK78" s="47"/>
      <c r="AL78" s="47"/>
      <c r="AM78" s="47"/>
      <c r="AN78" s="9"/>
      <c r="AO78" s="9"/>
      <c r="AP78" s="9"/>
    </row>
    <row r="79" spans="2:58" ht="15.75" customHeight="1">
      <c r="B79" s="477"/>
      <c r="C79" s="481"/>
      <c r="D79" s="477"/>
      <c r="E79" s="478"/>
      <c r="F79" s="478"/>
      <c r="G79" s="478"/>
      <c r="I79" s="9"/>
      <c r="J79" s="9"/>
      <c r="K79" s="47"/>
      <c r="L79" s="47"/>
      <c r="M79" s="47"/>
      <c r="N79" s="9"/>
      <c r="O79" s="47"/>
      <c r="P79" s="47"/>
      <c r="Q79" s="47"/>
      <c r="R79" s="47"/>
      <c r="S79" s="47"/>
      <c r="T79" s="47"/>
      <c r="U79" s="47"/>
      <c r="V79" s="47"/>
      <c r="W79" s="47"/>
      <c r="X79" s="47"/>
      <c r="Y79" s="47"/>
      <c r="Z79" s="47"/>
      <c r="AA79" s="47"/>
      <c r="AB79" s="47"/>
      <c r="AC79" s="47"/>
      <c r="AD79" s="47"/>
      <c r="AE79" s="47"/>
      <c r="AF79" s="47"/>
      <c r="AG79" s="47"/>
      <c r="AH79" s="47"/>
      <c r="AI79" s="47"/>
      <c r="AJ79" s="47"/>
      <c r="AK79" s="47"/>
      <c r="AL79" s="47"/>
      <c r="AM79" s="47"/>
      <c r="AN79" s="9"/>
      <c r="AO79" s="9"/>
      <c r="AP79" s="9"/>
    </row>
    <row r="80" spans="2:58" ht="15.75" customHeight="1">
      <c r="B80" s="477"/>
      <c r="C80" s="481"/>
      <c r="D80" s="477"/>
      <c r="E80" s="478"/>
      <c r="F80" s="478"/>
      <c r="G80" s="478"/>
      <c r="I80" s="10"/>
      <c r="J80" s="9"/>
      <c r="K80" s="47"/>
      <c r="L80" s="47"/>
      <c r="M80" s="47"/>
      <c r="N80" s="9"/>
      <c r="O80" s="9"/>
      <c r="P80" s="9"/>
      <c r="Q80" s="47"/>
      <c r="R80" s="47"/>
      <c r="S80" s="47"/>
      <c r="T80" s="47"/>
      <c r="U80" s="47"/>
      <c r="V80" s="47"/>
      <c r="W80" s="47"/>
      <c r="X80" s="47"/>
      <c r="Y80" s="47"/>
      <c r="Z80" s="47"/>
      <c r="AA80" s="47"/>
      <c r="AB80" s="47"/>
      <c r="AC80" s="47"/>
      <c r="AD80" s="47"/>
      <c r="AE80" s="47"/>
      <c r="AF80" s="47"/>
      <c r="AG80" s="47"/>
      <c r="AH80" s="47"/>
      <c r="AI80" s="47"/>
      <c r="AJ80" s="47"/>
      <c r="AK80" s="47"/>
      <c r="AL80" s="47"/>
      <c r="AM80" s="47"/>
      <c r="AN80" s="9"/>
      <c r="AO80" s="9"/>
      <c r="AP80" s="9"/>
    </row>
    <row r="81" spans="2:58" ht="15.75" customHeight="1">
      <c r="B81" s="477"/>
      <c r="C81" s="481"/>
      <c r="D81" s="477"/>
      <c r="E81" s="478"/>
      <c r="F81" s="478"/>
      <c r="G81" s="478"/>
      <c r="I81" s="9"/>
      <c r="J81" s="9"/>
      <c r="K81" s="47"/>
      <c r="L81" s="47"/>
      <c r="M81" s="47"/>
      <c r="N81" s="9"/>
      <c r="O81" s="9"/>
      <c r="P81" s="9"/>
      <c r="Q81" s="47"/>
      <c r="R81" s="47"/>
      <c r="S81" s="47"/>
      <c r="T81" s="47"/>
      <c r="U81" s="47"/>
      <c r="V81" s="47"/>
      <c r="W81" s="47"/>
      <c r="X81" s="47"/>
      <c r="Y81" s="47"/>
      <c r="Z81" s="47"/>
      <c r="AA81" s="47"/>
      <c r="AB81" s="47"/>
      <c r="AC81" s="47"/>
      <c r="AD81" s="47"/>
      <c r="AE81" s="47"/>
      <c r="AF81" s="47"/>
      <c r="AG81" s="47"/>
      <c r="AH81" s="47"/>
      <c r="AI81" s="47"/>
      <c r="AJ81" s="47"/>
      <c r="AK81" s="47"/>
      <c r="AL81" s="47"/>
      <c r="AM81" s="47"/>
      <c r="AN81" s="9"/>
      <c r="AO81" s="9"/>
      <c r="AP81" s="9"/>
    </row>
    <row r="82" spans="2:58" ht="15.75" customHeight="1">
      <c r="B82" s="477"/>
      <c r="C82" s="481"/>
      <c r="D82" s="477"/>
      <c r="E82" s="478"/>
      <c r="F82" s="478"/>
      <c r="G82" s="478"/>
      <c r="I82" s="9"/>
      <c r="J82" s="9"/>
      <c r="K82" s="47"/>
      <c r="L82" s="47"/>
      <c r="M82" s="47"/>
      <c r="N82" s="9"/>
      <c r="O82" s="9"/>
      <c r="P82" s="9"/>
      <c r="Q82" s="47"/>
      <c r="R82" s="47"/>
      <c r="S82" s="47"/>
      <c r="T82" s="47"/>
      <c r="U82" s="47"/>
      <c r="V82" s="47"/>
      <c r="W82" s="47"/>
      <c r="X82" s="47"/>
      <c r="Y82" s="47"/>
      <c r="Z82" s="47"/>
      <c r="AA82" s="47"/>
      <c r="AB82" s="47"/>
      <c r="AC82" s="47"/>
      <c r="AD82" s="47"/>
      <c r="AE82" s="47"/>
      <c r="AF82" s="47"/>
      <c r="AG82" s="47"/>
      <c r="AH82" s="47"/>
      <c r="AI82" s="47"/>
      <c r="AJ82" s="47"/>
      <c r="AK82" s="47"/>
      <c r="AL82" s="47"/>
      <c r="AM82" s="47"/>
      <c r="AN82" s="9"/>
      <c r="AO82" s="9"/>
      <c r="AP82" s="9"/>
    </row>
    <row r="83" spans="2:58" ht="15.75" customHeight="1">
      <c r="B83" s="477"/>
      <c r="C83" s="481"/>
      <c r="D83" s="477"/>
      <c r="E83" s="478"/>
      <c r="F83" s="478"/>
      <c r="G83" s="478"/>
      <c r="I83" s="9"/>
      <c r="J83" s="9"/>
      <c r="K83" s="47"/>
      <c r="L83" s="47"/>
      <c r="M83" s="47"/>
      <c r="N83" s="9"/>
      <c r="O83" s="9"/>
      <c r="P83" s="9"/>
      <c r="Q83" s="47"/>
      <c r="R83" s="47"/>
      <c r="S83" s="47"/>
      <c r="T83" s="47"/>
      <c r="U83" s="47"/>
      <c r="V83" s="47"/>
      <c r="W83" s="47"/>
      <c r="X83" s="47"/>
      <c r="Y83" s="47"/>
      <c r="Z83" s="47"/>
      <c r="AA83" s="47"/>
      <c r="AB83" s="47"/>
      <c r="AC83" s="47"/>
      <c r="AD83" s="47"/>
      <c r="AE83" s="47"/>
      <c r="AF83" s="47"/>
      <c r="AG83" s="47"/>
      <c r="AH83" s="47"/>
      <c r="AI83" s="47"/>
      <c r="AJ83" s="47"/>
      <c r="AK83" s="47"/>
      <c r="AL83" s="47"/>
      <c r="AM83" s="47"/>
      <c r="AN83" s="9"/>
      <c r="AO83" s="9"/>
      <c r="AP83" s="9"/>
    </row>
    <row r="84" spans="2:58" ht="15.75" customHeight="1">
      <c r="B84" s="477"/>
      <c r="C84" s="481"/>
      <c r="D84" s="477"/>
      <c r="E84" s="478"/>
      <c r="F84" s="478"/>
      <c r="G84" s="478"/>
      <c r="I84" s="9"/>
      <c r="J84" s="9"/>
      <c r="K84" s="47"/>
      <c r="L84" s="47"/>
      <c r="M84" s="47"/>
      <c r="N84" s="47"/>
      <c r="O84" s="9"/>
      <c r="P84" s="9"/>
      <c r="Q84" s="47"/>
      <c r="R84" s="47"/>
      <c r="S84" s="47"/>
      <c r="T84" s="47"/>
      <c r="U84" s="47"/>
      <c r="V84" s="47"/>
      <c r="W84" s="47"/>
      <c r="X84" s="47"/>
      <c r="Y84" s="47"/>
      <c r="Z84" s="47"/>
      <c r="AA84" s="47"/>
      <c r="AB84" s="47"/>
      <c r="AC84" s="47"/>
      <c r="AD84" s="47"/>
      <c r="AE84" s="47"/>
      <c r="AF84" s="47"/>
      <c r="AG84" s="47"/>
      <c r="AH84" s="47"/>
      <c r="AI84" s="47"/>
      <c r="AJ84" s="47"/>
      <c r="AK84" s="47"/>
      <c r="AL84" s="47"/>
      <c r="AM84" s="47"/>
      <c r="AN84" s="9"/>
      <c r="AO84" s="9"/>
      <c r="AP84" s="9"/>
    </row>
    <row r="85" spans="2:58" ht="15.75" customHeight="1">
      <c r="B85" s="477"/>
      <c r="C85" s="481"/>
      <c r="D85" s="477"/>
      <c r="E85" s="478"/>
      <c r="F85" s="478"/>
      <c r="G85" s="478"/>
      <c r="I85" s="9"/>
      <c r="J85" s="9"/>
      <c r="K85" s="47"/>
      <c r="L85" s="47"/>
      <c r="M85" s="47"/>
      <c r="N85" s="9"/>
      <c r="O85" s="9"/>
      <c r="P85" s="9"/>
      <c r="Q85" s="47"/>
      <c r="R85" s="47"/>
      <c r="S85" s="47"/>
      <c r="T85" s="47"/>
      <c r="U85" s="47"/>
      <c r="V85" s="47"/>
      <c r="W85" s="47"/>
      <c r="X85" s="47"/>
      <c r="Y85" s="47"/>
      <c r="Z85" s="47"/>
      <c r="AA85" s="47"/>
      <c r="AB85" s="47"/>
      <c r="AC85" s="47"/>
      <c r="AD85" s="47"/>
      <c r="AE85" s="47"/>
      <c r="AF85" s="47"/>
      <c r="AG85" s="47"/>
      <c r="AH85" s="47"/>
      <c r="AI85" s="47"/>
      <c r="AJ85" s="47"/>
      <c r="AK85" s="47"/>
      <c r="AL85" s="47"/>
      <c r="AM85" s="47"/>
      <c r="AN85" s="9"/>
      <c r="AO85" s="9"/>
      <c r="AP85" s="9"/>
      <c r="BD85" s="560"/>
    </row>
    <row r="86" spans="2:58" ht="15.75" customHeight="1">
      <c r="B86" s="477"/>
      <c r="C86" s="481"/>
      <c r="D86" s="477"/>
      <c r="E86" s="478"/>
      <c r="F86" s="478"/>
      <c r="G86" s="478"/>
      <c r="I86" s="10"/>
      <c r="J86" s="9"/>
      <c r="K86" s="47"/>
      <c r="L86" s="47"/>
      <c r="M86" s="47"/>
      <c r="N86" s="9"/>
      <c r="O86" s="9"/>
      <c r="P86" s="9"/>
      <c r="Q86" s="47"/>
      <c r="R86" s="47"/>
      <c r="S86" s="47"/>
      <c r="T86" s="47"/>
      <c r="U86" s="47"/>
      <c r="V86" s="47"/>
      <c r="W86" s="47"/>
      <c r="X86" s="47"/>
      <c r="Y86" s="47"/>
      <c r="Z86" s="47"/>
      <c r="AA86" s="47"/>
      <c r="AB86" s="47"/>
      <c r="AC86" s="47"/>
      <c r="AD86" s="47"/>
      <c r="AE86" s="47"/>
      <c r="AF86" s="47"/>
      <c r="AG86" s="47"/>
      <c r="AH86" s="47"/>
      <c r="AI86" s="47"/>
      <c r="AJ86" s="47"/>
      <c r="AK86" s="47"/>
      <c r="AL86" s="47"/>
      <c r="AM86" s="47"/>
      <c r="AN86" s="9"/>
      <c r="AO86" s="9"/>
      <c r="AP86" s="9"/>
      <c r="BC86" s="560"/>
    </row>
    <row r="87" spans="2:58" ht="15.75" customHeight="1">
      <c r="B87" s="477"/>
      <c r="C87" s="481"/>
      <c r="D87" s="477"/>
      <c r="E87" s="478"/>
      <c r="F87" s="478"/>
      <c r="G87" s="478"/>
      <c r="I87" s="9"/>
      <c r="J87" s="9"/>
      <c r="K87" s="47"/>
      <c r="L87" s="47"/>
      <c r="M87" s="47"/>
      <c r="N87" s="9"/>
      <c r="O87" s="9"/>
      <c r="P87" s="9"/>
      <c r="Q87" s="47"/>
      <c r="R87" s="47"/>
      <c r="S87" s="47"/>
      <c r="T87" s="47"/>
      <c r="U87" s="47"/>
      <c r="V87" s="47"/>
      <c r="W87" s="47"/>
      <c r="X87" s="47"/>
      <c r="Y87" s="47"/>
      <c r="Z87" s="47"/>
      <c r="AA87" s="47"/>
      <c r="AB87" s="47"/>
      <c r="AC87" s="47"/>
      <c r="AD87" s="47"/>
      <c r="AE87" s="47"/>
      <c r="AF87" s="47"/>
      <c r="AG87" s="47"/>
      <c r="AH87" s="47"/>
      <c r="AI87" s="47"/>
      <c r="AJ87" s="47"/>
      <c r="AK87" s="47"/>
      <c r="AL87" s="47"/>
      <c r="AM87" s="47"/>
      <c r="AN87" s="9"/>
      <c r="AO87" s="9"/>
      <c r="AP87" s="9"/>
    </row>
    <row r="88" spans="2:58" ht="15.75" customHeight="1">
      <c r="B88" s="477"/>
      <c r="C88" s="481"/>
      <c r="D88" s="477"/>
      <c r="E88" s="478"/>
      <c r="F88" s="478"/>
      <c r="G88" s="478"/>
      <c r="I88" s="9"/>
      <c r="J88" s="9"/>
      <c r="K88" s="47"/>
      <c r="L88" s="47"/>
      <c r="M88" s="47"/>
      <c r="N88" s="9"/>
      <c r="O88" s="9"/>
      <c r="P88" s="9"/>
      <c r="Q88" s="47"/>
      <c r="R88" s="47"/>
      <c r="S88" s="47"/>
      <c r="T88" s="47"/>
      <c r="U88" s="47"/>
      <c r="V88" s="47"/>
      <c r="W88" s="47"/>
      <c r="X88" s="47"/>
      <c r="Y88" s="47"/>
      <c r="Z88" s="47"/>
      <c r="AA88" s="47"/>
      <c r="AB88" s="47"/>
      <c r="AC88" s="47"/>
      <c r="AD88" s="47"/>
      <c r="AE88" s="47"/>
      <c r="AF88" s="47"/>
      <c r="AG88" s="47"/>
      <c r="AH88" s="47"/>
      <c r="AI88" s="47"/>
      <c r="AJ88" s="47"/>
      <c r="AK88" s="47"/>
      <c r="AL88" s="47"/>
      <c r="AM88" s="47"/>
      <c r="AN88" s="9"/>
      <c r="AO88" s="9"/>
      <c r="AP88" s="9"/>
    </row>
    <row r="89" spans="2:58" ht="15.75" customHeight="1">
      <c r="B89" s="477"/>
      <c r="C89" s="481"/>
      <c r="D89" s="477"/>
      <c r="E89" s="478"/>
      <c r="F89" s="478"/>
      <c r="G89" s="478"/>
      <c r="I89" s="9"/>
      <c r="J89" s="9"/>
      <c r="K89" s="47"/>
      <c r="L89" s="47"/>
      <c r="M89" s="47"/>
      <c r="N89" s="9"/>
      <c r="O89" s="9"/>
      <c r="P89" s="9"/>
      <c r="Q89" s="47"/>
      <c r="R89" s="47"/>
      <c r="S89" s="47"/>
      <c r="T89" s="47"/>
      <c r="U89" s="47"/>
      <c r="V89" s="47"/>
      <c r="W89" s="47"/>
      <c r="X89" s="47"/>
      <c r="Y89" s="47"/>
      <c r="Z89" s="47"/>
      <c r="AA89" s="47"/>
      <c r="AB89" s="47"/>
      <c r="AC89" s="47"/>
      <c r="AD89" s="47"/>
      <c r="AE89" s="47"/>
      <c r="AF89" s="47"/>
      <c r="AG89" s="47"/>
      <c r="AH89" s="47"/>
      <c r="AI89" s="47"/>
      <c r="AJ89" s="47"/>
      <c r="AK89" s="47"/>
      <c r="AL89" s="47"/>
      <c r="AM89" s="47"/>
      <c r="AN89" s="9"/>
      <c r="AO89" s="9"/>
      <c r="AP89" s="9"/>
    </row>
    <row r="90" spans="2:58" ht="15.75" customHeight="1">
      <c r="B90" s="477"/>
      <c r="C90" s="481"/>
      <c r="D90" s="477"/>
      <c r="E90" s="478"/>
      <c r="F90" s="478"/>
      <c r="G90" s="478"/>
      <c r="I90" s="9"/>
      <c r="J90" s="9"/>
      <c r="K90" s="47"/>
      <c r="L90" s="47"/>
      <c r="M90" s="47"/>
      <c r="N90" s="47"/>
      <c r="O90" s="9"/>
      <c r="P90" s="9"/>
      <c r="Q90" s="47"/>
      <c r="R90" s="47"/>
      <c r="S90" s="47"/>
      <c r="T90" s="47"/>
      <c r="U90" s="47"/>
      <c r="V90" s="47"/>
      <c r="W90" s="47"/>
      <c r="X90" s="47"/>
      <c r="Y90" s="47"/>
      <c r="Z90" s="47"/>
      <c r="AA90" s="47"/>
      <c r="AB90" s="47"/>
      <c r="AC90" s="47"/>
      <c r="AD90" s="47"/>
      <c r="AE90" s="47"/>
      <c r="AF90" s="47"/>
      <c r="AG90" s="47"/>
      <c r="AH90" s="47"/>
      <c r="AI90" s="47"/>
      <c r="AJ90" s="47"/>
      <c r="AK90" s="47"/>
      <c r="AL90" s="47"/>
      <c r="AM90" s="47"/>
      <c r="AN90" s="9"/>
      <c r="AO90" s="9"/>
      <c r="AP90" s="9"/>
      <c r="BE90" s="560"/>
      <c r="BF90" s="560"/>
    </row>
    <row r="91" spans="2:58" ht="15.75" customHeight="1">
      <c r="B91" s="477"/>
      <c r="C91" s="481"/>
      <c r="D91" s="477"/>
      <c r="E91" s="478"/>
      <c r="F91" s="478"/>
      <c r="G91" s="478"/>
      <c r="I91" s="9"/>
      <c r="J91" s="9"/>
      <c r="K91" s="47"/>
      <c r="L91" s="47"/>
      <c r="M91" s="47"/>
      <c r="N91" s="9"/>
      <c r="O91" s="9"/>
      <c r="P91" s="9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7"/>
      <c r="AJ91" s="47"/>
      <c r="AK91" s="47"/>
      <c r="AL91" s="47"/>
      <c r="AM91" s="47"/>
      <c r="AN91" s="9"/>
      <c r="AO91" s="9"/>
      <c r="AP91" s="9"/>
    </row>
    <row r="92" spans="2:58" ht="15.75" customHeight="1">
      <c r="B92" s="477"/>
      <c r="C92" s="481"/>
      <c r="D92" s="477"/>
      <c r="E92" s="478"/>
      <c r="F92" s="478"/>
      <c r="G92" s="478"/>
      <c r="H92" s="47"/>
      <c r="I92" s="9"/>
      <c r="J92" s="9"/>
      <c r="K92" s="47"/>
      <c r="L92" s="47"/>
      <c r="M92" s="47"/>
      <c r="N92" s="47"/>
      <c r="O92" s="485"/>
      <c r="P92" s="9"/>
      <c r="Q92" s="47"/>
      <c r="R92" s="47"/>
      <c r="S92" s="47"/>
      <c r="T92" s="47"/>
      <c r="U92" s="47"/>
      <c r="V92" s="47"/>
      <c r="W92" s="47"/>
      <c r="X92" s="47"/>
      <c r="Y92" s="47"/>
      <c r="Z92" s="47"/>
      <c r="AA92" s="47"/>
      <c r="AB92" s="47"/>
      <c r="AC92" s="47"/>
      <c r="AD92" s="47"/>
      <c r="AE92" s="47"/>
      <c r="AF92" s="47"/>
      <c r="AG92" s="47"/>
      <c r="AH92" s="47"/>
      <c r="AI92" s="47"/>
      <c r="AJ92" s="47"/>
      <c r="AK92" s="47"/>
      <c r="AL92" s="47"/>
      <c r="AM92" s="47"/>
      <c r="AN92" s="9"/>
      <c r="AO92" s="9"/>
      <c r="AP92" s="9"/>
    </row>
    <row r="93" spans="2:58" ht="15.75" customHeight="1">
      <c r="B93" s="477"/>
      <c r="C93" s="481"/>
      <c r="D93" s="477"/>
      <c r="E93" s="478"/>
      <c r="F93" s="478"/>
      <c r="G93" s="478"/>
      <c r="I93" s="9"/>
      <c r="J93" s="9"/>
      <c r="K93" s="47"/>
      <c r="L93" s="47"/>
      <c r="M93" s="47"/>
      <c r="N93" s="9"/>
      <c r="O93" s="9"/>
      <c r="P93" s="9"/>
      <c r="Q93" s="47"/>
      <c r="R93" s="47"/>
      <c r="S93" s="47"/>
      <c r="T93" s="47"/>
      <c r="U93" s="47"/>
      <c r="V93" s="47"/>
      <c r="W93" s="47"/>
      <c r="X93" s="47"/>
      <c r="Y93" s="47"/>
      <c r="Z93" s="47"/>
      <c r="AA93" s="47"/>
      <c r="AB93" s="47"/>
      <c r="AC93" s="47"/>
      <c r="AD93" s="47"/>
      <c r="AE93" s="47"/>
      <c r="AF93" s="47"/>
      <c r="AG93" s="47"/>
      <c r="AH93" s="47"/>
      <c r="AI93" s="47"/>
      <c r="AJ93" s="47"/>
      <c r="AK93" s="47"/>
      <c r="AL93" s="47"/>
      <c r="AM93" s="47"/>
      <c r="AN93" s="9"/>
      <c r="AO93" s="9"/>
      <c r="AP93" s="9"/>
    </row>
    <row r="94" spans="2:58" ht="15.75" customHeight="1">
      <c r="B94" s="477"/>
      <c r="C94" s="481"/>
      <c r="D94" s="477"/>
      <c r="E94" s="478"/>
      <c r="F94" s="478"/>
      <c r="G94" s="478"/>
      <c r="I94" s="11"/>
      <c r="J94" s="9"/>
      <c r="K94" s="47"/>
      <c r="L94" s="47"/>
      <c r="M94" s="47"/>
      <c r="N94" s="9"/>
      <c r="O94" s="9"/>
      <c r="P94" s="9"/>
      <c r="Q94" s="47"/>
      <c r="R94" s="47"/>
      <c r="S94" s="47"/>
      <c r="T94" s="47"/>
      <c r="U94" s="47"/>
      <c r="V94" s="47"/>
      <c r="W94" s="47"/>
      <c r="X94" s="47"/>
      <c r="Y94" s="47"/>
      <c r="Z94" s="47"/>
      <c r="AA94" s="47"/>
      <c r="AB94" s="47"/>
      <c r="AC94" s="47"/>
      <c r="AD94" s="47"/>
      <c r="AE94" s="47"/>
      <c r="AF94" s="47"/>
      <c r="AG94" s="47"/>
      <c r="AH94" s="47"/>
      <c r="AI94" s="47"/>
      <c r="AJ94" s="47"/>
      <c r="AK94" s="47"/>
      <c r="AL94" s="47"/>
      <c r="AM94" s="47"/>
      <c r="AN94" s="9"/>
      <c r="AO94" s="9"/>
      <c r="AP94" s="9"/>
    </row>
    <row r="95" spans="2:58" ht="15.75" customHeight="1">
      <c r="B95" s="477"/>
      <c r="C95" s="481"/>
      <c r="D95" s="477"/>
      <c r="E95" s="478"/>
      <c r="F95" s="478"/>
      <c r="G95" s="478"/>
      <c r="I95" s="9"/>
      <c r="J95" s="9"/>
      <c r="K95" s="47"/>
      <c r="L95" s="47"/>
      <c r="M95" s="47"/>
      <c r="N95" s="9"/>
      <c r="O95" s="9"/>
      <c r="P95" s="9"/>
      <c r="Q95" s="47"/>
      <c r="R95" s="47"/>
      <c r="S95" s="47"/>
      <c r="T95" s="47"/>
      <c r="U95" s="47"/>
      <c r="V95" s="47"/>
      <c r="W95" s="47"/>
      <c r="X95" s="47"/>
      <c r="Y95" s="47"/>
      <c r="Z95" s="47"/>
      <c r="AA95" s="47"/>
      <c r="AB95" s="47"/>
      <c r="AC95" s="47"/>
      <c r="AD95" s="47"/>
      <c r="AE95" s="47"/>
      <c r="AF95" s="47"/>
      <c r="AG95" s="47"/>
      <c r="AH95" s="47"/>
      <c r="AI95" s="47"/>
      <c r="AJ95" s="47"/>
      <c r="AK95" s="47"/>
      <c r="AL95" s="47"/>
      <c r="AM95" s="47"/>
      <c r="AN95" s="9"/>
      <c r="AO95" s="9"/>
      <c r="AP95" s="9"/>
    </row>
    <row r="96" spans="2:58" ht="15.75" customHeight="1">
      <c r="B96" s="477"/>
      <c r="C96" s="481"/>
      <c r="D96" s="477"/>
      <c r="E96" s="478"/>
      <c r="F96" s="478"/>
      <c r="G96" s="478"/>
      <c r="I96" s="9"/>
      <c r="J96" s="9"/>
      <c r="K96" s="47"/>
      <c r="L96" s="47"/>
      <c r="M96" s="47"/>
      <c r="N96" s="9"/>
      <c r="O96" s="9"/>
      <c r="P96" s="9"/>
      <c r="Q96" s="47"/>
      <c r="R96" s="47"/>
      <c r="S96" s="47"/>
      <c r="T96" s="47"/>
      <c r="U96" s="47"/>
      <c r="V96" s="47"/>
      <c r="W96" s="47"/>
      <c r="X96" s="47"/>
      <c r="Y96" s="47"/>
      <c r="Z96" s="47"/>
      <c r="AA96" s="47"/>
      <c r="AB96" s="47"/>
      <c r="AC96" s="47"/>
      <c r="AD96" s="47"/>
      <c r="AE96" s="47"/>
      <c r="AF96" s="47"/>
      <c r="AG96" s="47"/>
      <c r="AH96" s="47"/>
      <c r="AI96" s="47"/>
      <c r="AJ96" s="47"/>
      <c r="AK96" s="47"/>
      <c r="AL96" s="47"/>
      <c r="AM96" s="47"/>
      <c r="AN96" s="9"/>
      <c r="AO96" s="9"/>
      <c r="AP96" s="9"/>
    </row>
    <row r="97" spans="2:42" ht="15.75" customHeight="1">
      <c r="B97" s="477"/>
      <c r="C97" s="481"/>
      <c r="D97" s="477"/>
      <c r="E97" s="478"/>
      <c r="F97" s="478"/>
      <c r="G97" s="478"/>
      <c r="I97" s="47"/>
      <c r="J97" s="9"/>
      <c r="K97" s="47"/>
      <c r="L97" s="47"/>
      <c r="M97" s="47"/>
      <c r="N97" s="9"/>
      <c r="O97" s="9"/>
      <c r="P97" s="9"/>
      <c r="Q97" s="47"/>
      <c r="R97" s="47"/>
      <c r="S97" s="47"/>
      <c r="T97" s="47"/>
      <c r="U97" s="47"/>
      <c r="V97" s="47"/>
      <c r="W97" s="47"/>
      <c r="X97" s="47"/>
      <c r="Y97" s="47"/>
      <c r="Z97" s="47"/>
      <c r="AA97" s="47"/>
      <c r="AB97" s="47"/>
      <c r="AC97" s="47"/>
      <c r="AD97" s="47"/>
      <c r="AE97" s="47"/>
      <c r="AF97" s="47"/>
      <c r="AG97" s="47"/>
      <c r="AH97" s="47"/>
      <c r="AI97" s="47"/>
      <c r="AJ97" s="47"/>
      <c r="AK97" s="47"/>
      <c r="AL97" s="47"/>
      <c r="AM97" s="47"/>
      <c r="AN97" s="9"/>
      <c r="AO97" s="9"/>
      <c r="AP97" s="9"/>
    </row>
    <row r="98" spans="2:42" ht="15.75" customHeight="1">
      <c r="B98" s="477"/>
      <c r="C98" s="481"/>
      <c r="D98" s="477"/>
      <c r="E98" s="478"/>
      <c r="F98" s="478"/>
      <c r="G98" s="478"/>
      <c r="I98" s="9"/>
      <c r="J98" s="9"/>
      <c r="K98" s="47"/>
      <c r="L98" s="47"/>
      <c r="M98" s="47"/>
      <c r="N98" s="47"/>
      <c r="O98" s="9"/>
      <c r="P98" s="9"/>
      <c r="Q98" s="47"/>
      <c r="R98" s="47"/>
      <c r="S98" s="47"/>
      <c r="T98" s="47"/>
      <c r="U98" s="47"/>
      <c r="V98" s="47"/>
      <c r="W98" s="47"/>
      <c r="X98" s="47"/>
      <c r="Y98" s="47"/>
      <c r="Z98" s="47"/>
      <c r="AA98" s="47"/>
      <c r="AB98" s="47"/>
      <c r="AC98" s="47"/>
      <c r="AD98" s="47"/>
      <c r="AE98" s="47"/>
      <c r="AF98" s="47"/>
      <c r="AG98" s="47"/>
      <c r="AH98" s="47"/>
      <c r="AI98" s="47"/>
      <c r="AJ98" s="47"/>
      <c r="AK98" s="47"/>
      <c r="AL98" s="47"/>
      <c r="AM98" s="47"/>
      <c r="AN98" s="9"/>
      <c r="AO98" s="9"/>
      <c r="AP98" s="9"/>
    </row>
    <row r="99" spans="2:42" ht="15.75" customHeight="1">
      <c r="B99" s="477"/>
      <c r="C99" s="481"/>
      <c r="D99" s="478"/>
      <c r="E99" s="47"/>
      <c r="F99" s="478"/>
      <c r="G99" s="478"/>
      <c r="I99" s="9"/>
      <c r="J99" s="9"/>
      <c r="K99" s="47"/>
      <c r="L99" s="47"/>
      <c r="M99" s="47"/>
      <c r="N99" s="9"/>
      <c r="O99" s="9"/>
      <c r="P99" s="9"/>
      <c r="Q99" s="47"/>
      <c r="R99" s="47"/>
      <c r="S99" s="47"/>
      <c r="T99" s="47"/>
      <c r="U99" s="47"/>
      <c r="V99" s="47"/>
      <c r="W99" s="47"/>
      <c r="X99" s="47"/>
      <c r="Y99" s="47"/>
      <c r="Z99" s="47"/>
      <c r="AA99" s="47"/>
      <c r="AB99" s="47"/>
      <c r="AC99" s="47"/>
      <c r="AD99" s="47"/>
      <c r="AE99" s="47"/>
      <c r="AF99" s="47"/>
      <c r="AG99" s="47"/>
      <c r="AH99" s="47"/>
      <c r="AI99" s="47"/>
      <c r="AJ99" s="47"/>
      <c r="AK99" s="47"/>
      <c r="AL99" s="47"/>
      <c r="AM99" s="47"/>
      <c r="AN99" s="9"/>
      <c r="AO99" s="9"/>
      <c r="AP99" s="9"/>
    </row>
    <row r="100" spans="2:42" ht="15.75" customHeight="1">
      <c r="B100" s="477"/>
      <c r="C100" s="481"/>
      <c r="D100" s="478"/>
      <c r="E100" s="47"/>
      <c r="F100" s="478"/>
      <c r="G100" s="478"/>
      <c r="I100" s="9"/>
      <c r="J100" s="9"/>
      <c r="K100" s="47"/>
      <c r="L100" s="47"/>
      <c r="M100" s="47"/>
      <c r="N100" s="9"/>
      <c r="O100" s="9"/>
      <c r="P100" s="9"/>
      <c r="Q100" s="47"/>
      <c r="R100" s="47"/>
      <c r="S100" s="47"/>
      <c r="T100" s="47"/>
      <c r="U100" s="47"/>
      <c r="V100" s="47"/>
      <c r="W100" s="47"/>
      <c r="X100" s="47"/>
      <c r="Y100" s="47"/>
      <c r="Z100" s="47"/>
      <c r="AA100" s="47"/>
      <c r="AB100" s="47"/>
      <c r="AC100" s="47"/>
      <c r="AD100" s="47"/>
      <c r="AE100" s="47"/>
      <c r="AF100" s="47"/>
      <c r="AG100" s="47"/>
      <c r="AH100" s="47"/>
      <c r="AI100" s="47"/>
      <c r="AJ100" s="47"/>
      <c r="AK100" s="47"/>
      <c r="AL100" s="47"/>
      <c r="AM100" s="47"/>
      <c r="AN100" s="9"/>
      <c r="AO100" s="9"/>
      <c r="AP100" s="9"/>
    </row>
    <row r="101" spans="2:42" ht="15.75" customHeight="1">
      <c r="B101" s="477"/>
      <c r="C101" s="481"/>
      <c r="D101" s="478"/>
      <c r="E101" s="47"/>
      <c r="F101" s="478"/>
      <c r="G101" s="478"/>
      <c r="I101" s="9"/>
      <c r="J101" s="9"/>
      <c r="K101" s="47"/>
      <c r="L101" s="47"/>
      <c r="M101" s="47"/>
      <c r="N101" s="9"/>
      <c r="O101" s="9"/>
      <c r="P101" s="9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9"/>
      <c r="AO101" s="9"/>
      <c r="AP101" s="9"/>
    </row>
    <row r="102" spans="2:42" ht="15.75" customHeight="1">
      <c r="B102" s="477"/>
      <c r="C102" s="481"/>
      <c r="D102" s="478"/>
      <c r="E102" s="47"/>
      <c r="F102" s="478"/>
      <c r="G102" s="478"/>
      <c r="I102" s="9"/>
      <c r="J102" s="9"/>
      <c r="K102" s="47"/>
      <c r="L102" s="47"/>
      <c r="M102" s="47"/>
      <c r="N102" s="9"/>
      <c r="O102" s="9"/>
      <c r="P102" s="9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9"/>
      <c r="AO102" s="9"/>
      <c r="AP102" s="9"/>
    </row>
    <row r="103" spans="2:42" ht="15.75" customHeight="1">
      <c r="B103" s="477"/>
      <c r="C103" s="481"/>
      <c r="D103" s="478"/>
      <c r="E103" s="47"/>
      <c r="F103" s="478"/>
      <c r="G103" s="478"/>
      <c r="I103" s="9"/>
      <c r="J103" s="9"/>
      <c r="K103" s="47"/>
      <c r="L103" s="47"/>
      <c r="M103" s="47"/>
      <c r="N103" s="9"/>
      <c r="O103" s="9"/>
      <c r="P103" s="9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9"/>
      <c r="AO103" s="9"/>
      <c r="AP103" s="9"/>
    </row>
    <row r="104" spans="2:42" ht="15.75" customHeight="1">
      <c r="B104" s="477"/>
      <c r="C104" s="481"/>
      <c r="D104" s="478"/>
      <c r="E104" s="47"/>
      <c r="F104" s="478"/>
      <c r="G104" s="478"/>
      <c r="I104" s="9"/>
      <c r="J104" s="9"/>
      <c r="K104" s="47"/>
      <c r="L104" s="47"/>
      <c r="M104" s="47"/>
      <c r="N104" s="9"/>
      <c r="O104" s="9"/>
      <c r="P104" s="9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9"/>
      <c r="AO104" s="9"/>
      <c r="AP104" s="9"/>
    </row>
    <row r="105" spans="2:42" ht="15.75" customHeight="1">
      <c r="B105" s="477"/>
      <c r="C105" s="481"/>
      <c r="D105" s="478"/>
      <c r="E105" s="47"/>
      <c r="F105" s="478"/>
      <c r="G105" s="478"/>
      <c r="I105" s="9"/>
      <c r="J105" s="9"/>
      <c r="K105" s="47"/>
      <c r="L105" s="47"/>
      <c r="M105" s="47"/>
      <c r="N105" s="9"/>
      <c r="O105" s="9"/>
      <c r="P105" s="9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9"/>
      <c r="AO105" s="9"/>
      <c r="AP105" s="9"/>
    </row>
    <row r="106" spans="2:42" ht="15.75" customHeight="1">
      <c r="B106" s="477"/>
      <c r="C106" s="481"/>
      <c r="D106" s="478"/>
      <c r="E106" s="47"/>
      <c r="F106" s="478"/>
      <c r="G106" s="478"/>
      <c r="I106" s="9"/>
      <c r="J106" s="9"/>
      <c r="K106" s="47"/>
      <c r="L106" s="47"/>
      <c r="M106" s="47"/>
      <c r="N106" s="9"/>
      <c r="O106" s="9"/>
      <c r="P106" s="9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9"/>
      <c r="AO106" s="9"/>
      <c r="AP106" s="9"/>
    </row>
    <row r="107" spans="2:42" ht="15.75" customHeight="1">
      <c r="B107" s="477"/>
      <c r="C107" s="481"/>
      <c r="D107" s="478"/>
      <c r="E107" s="47"/>
      <c r="F107" s="478"/>
      <c r="G107" s="478"/>
      <c r="I107" s="9"/>
      <c r="J107" s="9"/>
      <c r="K107" s="47"/>
      <c r="L107" s="47"/>
      <c r="M107" s="47"/>
      <c r="N107" s="9"/>
      <c r="O107" s="9"/>
      <c r="P107" s="9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9"/>
      <c r="AO107" s="9"/>
      <c r="AP107" s="9"/>
    </row>
    <row r="108" spans="2:42" ht="15.75" customHeight="1">
      <c r="B108" s="477"/>
      <c r="C108" s="481"/>
      <c r="D108" s="478"/>
      <c r="E108" s="47"/>
      <c r="F108" s="478"/>
      <c r="G108" s="478"/>
      <c r="I108" s="9"/>
      <c r="J108" s="9"/>
      <c r="K108" s="47"/>
      <c r="L108" s="47"/>
      <c r="M108" s="47"/>
      <c r="N108" s="9"/>
      <c r="O108" s="9"/>
      <c r="P108" s="9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9"/>
      <c r="AO108" s="9"/>
      <c r="AP108" s="9"/>
    </row>
    <row r="109" spans="2:42" ht="15.75" customHeight="1">
      <c r="B109" s="477"/>
      <c r="C109" s="481"/>
      <c r="D109" s="478"/>
      <c r="E109" s="47"/>
      <c r="F109" s="478"/>
      <c r="G109" s="478"/>
      <c r="I109" s="9"/>
      <c r="J109" s="9"/>
      <c r="K109" s="47"/>
      <c r="L109" s="47"/>
      <c r="M109" s="47"/>
      <c r="N109" s="9"/>
      <c r="O109" s="9"/>
      <c r="P109" s="9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9"/>
      <c r="AO109" s="9"/>
      <c r="AP109" s="9"/>
    </row>
    <row r="110" spans="2:42" ht="15.75" customHeight="1">
      <c r="B110" s="477"/>
      <c r="C110" s="481"/>
      <c r="D110" s="478"/>
      <c r="E110" s="47"/>
      <c r="F110" s="478"/>
      <c r="G110" s="478"/>
      <c r="I110" s="9"/>
      <c r="J110" s="9"/>
      <c r="K110" s="47"/>
      <c r="L110" s="47"/>
      <c r="M110" s="47"/>
      <c r="N110" s="9"/>
      <c r="O110" s="9"/>
      <c r="P110" s="9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9"/>
      <c r="AO110" s="9"/>
      <c r="AP110" s="9"/>
    </row>
    <row r="111" spans="2:42" ht="15.75" customHeight="1">
      <c r="B111" s="477"/>
      <c r="C111" s="481"/>
      <c r="D111" s="478"/>
      <c r="E111" s="47"/>
      <c r="F111" s="478"/>
      <c r="G111" s="478"/>
      <c r="I111" s="9"/>
      <c r="J111" s="9"/>
      <c r="K111" s="47"/>
      <c r="L111" s="47"/>
      <c r="M111" s="47"/>
      <c r="N111" s="9"/>
      <c r="O111" s="9"/>
      <c r="P111" s="9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9"/>
      <c r="AO111" s="9"/>
      <c r="AP111" s="9"/>
    </row>
    <row r="112" spans="2:42" ht="15.75" customHeight="1">
      <c r="B112" s="477"/>
      <c r="C112" s="481"/>
      <c r="D112" s="478"/>
      <c r="E112" s="47"/>
      <c r="F112" s="478"/>
      <c r="G112" s="478"/>
      <c r="I112" s="9"/>
      <c r="J112" s="9"/>
      <c r="K112" s="47"/>
      <c r="L112" s="47"/>
      <c r="M112" s="47"/>
      <c r="N112" s="9"/>
      <c r="O112" s="9"/>
      <c r="P112" s="9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9"/>
      <c r="AO112" s="9"/>
      <c r="AP112" s="9"/>
    </row>
    <row r="113" spans="2:42" ht="15.75" customHeight="1">
      <c r="B113" s="477"/>
      <c r="C113" s="481"/>
      <c r="D113" s="478"/>
      <c r="E113" s="47"/>
      <c r="F113" s="478"/>
      <c r="G113" s="478"/>
      <c r="I113" s="9"/>
      <c r="J113" s="9"/>
      <c r="K113" s="47"/>
      <c r="L113" s="47"/>
      <c r="M113" s="47"/>
      <c r="N113" s="9"/>
      <c r="O113" s="9"/>
      <c r="P113" s="9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9"/>
      <c r="AO113" s="9"/>
      <c r="AP113" s="9"/>
    </row>
    <row r="114" spans="2:42" ht="15.75" customHeight="1">
      <c r="B114" s="477"/>
      <c r="C114" s="481"/>
      <c r="D114" s="478"/>
      <c r="E114" s="47"/>
      <c r="F114" s="478"/>
      <c r="G114" s="478"/>
      <c r="I114" s="9"/>
      <c r="J114" s="9"/>
      <c r="K114" s="47"/>
      <c r="L114" s="47"/>
      <c r="M114" s="47"/>
      <c r="N114" s="9"/>
      <c r="O114" s="9"/>
      <c r="P114" s="9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9"/>
      <c r="AO114" s="9"/>
      <c r="AP114" s="9"/>
    </row>
    <row r="115" spans="2:42" ht="15.75" customHeight="1">
      <c r="B115" s="477"/>
      <c r="C115" s="481"/>
      <c r="D115" s="478"/>
      <c r="E115" s="47"/>
      <c r="F115" s="478"/>
      <c r="G115" s="478"/>
      <c r="I115" s="9"/>
      <c r="J115" s="9"/>
      <c r="K115" s="47"/>
      <c r="L115" s="47"/>
      <c r="M115" s="47"/>
      <c r="N115" s="9"/>
      <c r="O115" s="9"/>
      <c r="P115" s="9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9"/>
      <c r="AO115" s="9"/>
      <c r="AP115" s="9"/>
    </row>
    <row r="116" spans="2:42" ht="15.75" customHeight="1">
      <c r="B116" s="480"/>
      <c r="C116" s="481"/>
      <c r="D116" s="478"/>
      <c r="E116" s="47"/>
      <c r="F116" s="478"/>
      <c r="G116" s="478"/>
      <c r="H116" s="47"/>
      <c r="I116" s="47"/>
      <c r="J116" s="47"/>
      <c r="K116" s="47"/>
      <c r="L116" s="47"/>
      <c r="M116" s="47"/>
      <c r="N116" s="47"/>
      <c r="O116" s="47"/>
      <c r="P116" s="47"/>
      <c r="Q116" s="483"/>
      <c r="R116" s="483"/>
      <c r="S116" s="483"/>
      <c r="T116" s="483"/>
      <c r="U116" s="483"/>
      <c r="V116" s="483"/>
      <c r="W116" s="483"/>
      <c r="X116" s="483"/>
      <c r="Y116" s="483"/>
      <c r="Z116" s="483"/>
      <c r="AA116" s="483"/>
      <c r="AB116" s="483"/>
      <c r="AC116" s="483"/>
      <c r="AD116" s="483"/>
      <c r="AE116" s="483"/>
      <c r="AF116" s="483"/>
      <c r="AG116" s="47"/>
      <c r="AH116" s="483"/>
      <c r="AI116" s="483"/>
      <c r="AJ116" s="47"/>
      <c r="AK116" s="47"/>
      <c r="AL116" s="47"/>
      <c r="AM116" s="47"/>
      <c r="AN116" s="9"/>
      <c r="AO116" s="9"/>
      <c r="AP116" s="9"/>
    </row>
    <row r="117" spans="2:42" ht="15.75" customHeight="1">
      <c r="B117" s="480"/>
      <c r="C117" s="481"/>
      <c r="D117" s="478"/>
      <c r="E117" s="483"/>
      <c r="F117" s="478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83"/>
      <c r="R117" s="483"/>
      <c r="S117" s="483"/>
      <c r="T117" s="483"/>
      <c r="U117" s="483"/>
      <c r="V117" s="483"/>
      <c r="W117" s="483"/>
      <c r="X117" s="483"/>
      <c r="Y117" s="483"/>
      <c r="Z117" s="483"/>
      <c r="AA117" s="483"/>
      <c r="AB117" s="483"/>
      <c r="AC117" s="483"/>
      <c r="AD117" s="483"/>
      <c r="AE117" s="483"/>
      <c r="AF117" s="483"/>
      <c r="AG117" s="47"/>
      <c r="AH117" s="483"/>
      <c r="AI117" s="483"/>
      <c r="AJ117" s="47"/>
      <c r="AK117" s="47"/>
      <c r="AL117" s="47"/>
      <c r="AM117" s="47"/>
    </row>
    <row r="118" spans="2:42" ht="15.75" customHeight="1">
      <c r="B118" s="480"/>
      <c r="C118" s="481"/>
      <c r="D118" s="478"/>
      <c r="E118" s="47"/>
      <c r="F118" s="478"/>
      <c r="G118" s="478"/>
      <c r="H118" s="47"/>
      <c r="I118" s="47"/>
      <c r="J118" s="47"/>
      <c r="K118" s="47"/>
      <c r="L118" s="483"/>
      <c r="M118" s="47"/>
      <c r="N118" s="47"/>
      <c r="O118" s="47"/>
      <c r="P118" s="47"/>
      <c r="Q118" s="483"/>
      <c r="R118" s="483"/>
      <c r="S118" s="483"/>
      <c r="T118" s="483"/>
      <c r="U118" s="483"/>
      <c r="V118" s="483"/>
      <c r="W118" s="483"/>
      <c r="X118" s="483"/>
      <c r="Y118" s="483"/>
      <c r="Z118" s="483"/>
      <c r="AA118" s="483"/>
      <c r="AB118" s="483"/>
      <c r="AC118" s="483"/>
      <c r="AD118" s="483"/>
      <c r="AE118" s="483"/>
      <c r="AF118" s="483"/>
      <c r="AG118" s="47"/>
      <c r="AH118" s="483"/>
      <c r="AI118" s="483"/>
      <c r="AJ118" s="483"/>
      <c r="AK118" s="483"/>
      <c r="AL118" s="47"/>
      <c r="AM118" s="47"/>
    </row>
    <row r="119" spans="2:42" ht="15.75" customHeight="1">
      <c r="C119" s="593"/>
    </row>
    <row r="120" spans="2:42" ht="15.75" customHeight="1">
      <c r="C120" s="593"/>
    </row>
    <row r="121" spans="2:42" ht="15.75" customHeight="1">
      <c r="C121" s="593"/>
    </row>
    <row r="122" spans="2:42" ht="15.75" customHeight="1">
      <c r="C122" s="593"/>
    </row>
    <row r="123" spans="2:42" ht="15.75" customHeight="1">
      <c r="C123" s="593"/>
    </row>
    <row r="124" spans="2:42" ht="15.75" customHeight="1">
      <c r="C124" s="593"/>
    </row>
    <row r="125" spans="2:42" ht="15.75" customHeight="1">
      <c r="C125" s="593"/>
    </row>
    <row r="126" spans="2:42" ht="15.75" customHeight="1">
      <c r="C126" s="593"/>
    </row>
    <row r="127" spans="2:42" ht="15.75" customHeight="1">
      <c r="C127" s="593"/>
    </row>
    <row r="128" spans="2:42" ht="15.75" customHeight="1">
      <c r="C128" s="593"/>
    </row>
    <row r="129" spans="3:56" ht="15.75" customHeight="1">
      <c r="C129" s="593"/>
    </row>
    <row r="130" spans="3:56" ht="15.75" customHeight="1">
      <c r="C130" s="593"/>
    </row>
    <row r="131" spans="3:56" ht="15.75" customHeight="1">
      <c r="C131" s="593"/>
    </row>
    <row r="132" spans="3:56" ht="15.75" customHeight="1">
      <c r="C132" s="593"/>
    </row>
    <row r="133" spans="3:56" ht="15.75" customHeight="1">
      <c r="C133" s="593"/>
    </row>
    <row r="134" spans="3:56" ht="15.75" customHeight="1">
      <c r="C134" s="593"/>
    </row>
    <row r="135" spans="3:56" ht="15.75" customHeight="1">
      <c r="C135" s="593"/>
    </row>
    <row r="136" spans="3:56" ht="15.75" customHeight="1">
      <c r="C136" s="593"/>
    </row>
    <row r="137" spans="3:56" ht="15.75" customHeight="1">
      <c r="C137" s="593"/>
    </row>
    <row r="138" spans="3:56" ht="15.75" customHeight="1">
      <c r="C138" s="593"/>
    </row>
    <row r="139" spans="3:56" ht="15.75" customHeight="1">
      <c r="C139" s="593"/>
    </row>
    <row r="140" spans="3:56" ht="15.75" customHeight="1">
      <c r="C140" s="593"/>
    </row>
    <row r="141" spans="3:56" ht="15.75" customHeight="1">
      <c r="C141" s="593"/>
      <c r="BD141" s="560"/>
    </row>
    <row r="142" spans="3:56" ht="15.75" customHeight="1">
      <c r="C142" s="593"/>
      <c r="BC142" s="560"/>
    </row>
    <row r="143" spans="3:56" ht="15.75" customHeight="1">
      <c r="C143" s="593"/>
    </row>
    <row r="144" spans="3:56" ht="15.75" customHeight="1">
      <c r="C144" s="593"/>
    </row>
    <row r="145" spans="3:58" ht="15.75" customHeight="1">
      <c r="C145" s="593"/>
    </row>
    <row r="146" spans="3:58" ht="15.75" customHeight="1">
      <c r="C146" s="593"/>
      <c r="BE146" s="560"/>
      <c r="BF146" s="560"/>
    </row>
    <row r="147" spans="3:58" ht="15.75" customHeight="1">
      <c r="C147" s="593"/>
    </row>
    <row r="148" spans="3:58" ht="15.75" customHeight="1">
      <c r="C148" s="593"/>
    </row>
    <row r="149" spans="3:58" ht="15.75" customHeight="1">
      <c r="C149" s="593"/>
    </row>
    <row r="150" spans="3:58" ht="15.75" customHeight="1">
      <c r="C150" s="593"/>
    </row>
    <row r="151" spans="3:58" ht="15.75" customHeight="1">
      <c r="C151" s="593"/>
    </row>
    <row r="152" spans="3:58" ht="15.75" customHeight="1">
      <c r="C152" s="593"/>
    </row>
    <row r="153" spans="3:58" ht="15.75" customHeight="1">
      <c r="C153" s="593"/>
    </row>
    <row r="154" spans="3:58" ht="15.75" customHeight="1">
      <c r="C154" s="593"/>
    </row>
    <row r="155" spans="3:58" ht="15.75" customHeight="1">
      <c r="C155" s="593"/>
    </row>
    <row r="156" spans="3:58" ht="15.75" customHeight="1">
      <c r="C156" s="593"/>
    </row>
    <row r="157" spans="3:58" ht="15.75" customHeight="1">
      <c r="C157" s="593"/>
    </row>
    <row r="158" spans="3:58" ht="15.75" customHeight="1">
      <c r="C158" s="593"/>
    </row>
    <row r="159" spans="3:58" ht="15.75" customHeight="1">
      <c r="C159" s="593"/>
    </row>
    <row r="160" spans="3:58" ht="15.75" customHeight="1">
      <c r="C160" s="593"/>
    </row>
    <row r="161" spans="3:3" ht="15.75" customHeight="1">
      <c r="C161" s="593"/>
    </row>
    <row r="162" spans="3:3" ht="15.75" customHeight="1">
      <c r="C162" s="593"/>
    </row>
    <row r="163" spans="3:3" ht="15.75" customHeight="1">
      <c r="C163" s="593"/>
    </row>
    <row r="164" spans="3:3" ht="15.75" customHeight="1">
      <c r="C164" s="593"/>
    </row>
    <row r="165" spans="3:3" ht="15.75" customHeight="1">
      <c r="C165" s="593"/>
    </row>
    <row r="166" spans="3:3" ht="15.75" customHeight="1">
      <c r="C166" s="593"/>
    </row>
    <row r="167" spans="3:3" ht="15.75" customHeight="1">
      <c r="C167" s="593"/>
    </row>
    <row r="168" spans="3:3" ht="15.75" customHeight="1">
      <c r="C168" s="593"/>
    </row>
    <row r="169" spans="3:3" ht="15.75" customHeight="1">
      <c r="C169" s="593"/>
    </row>
    <row r="170" spans="3:3" ht="15.75" customHeight="1">
      <c r="C170" s="593"/>
    </row>
    <row r="171" spans="3:3" ht="15.75" customHeight="1">
      <c r="C171" s="593"/>
    </row>
    <row r="172" spans="3:3" ht="15.75" customHeight="1">
      <c r="C172" s="593"/>
    </row>
    <row r="173" spans="3:3" ht="15.75" customHeight="1">
      <c r="C173" s="593"/>
    </row>
    <row r="174" spans="3:3" ht="15.75" customHeight="1">
      <c r="C174" s="593"/>
    </row>
    <row r="175" spans="3:3" ht="15.75" customHeight="1">
      <c r="C175" s="593"/>
    </row>
    <row r="176" spans="3:3" ht="15.75" customHeight="1">
      <c r="C176" s="593"/>
    </row>
    <row r="177" spans="3:3" ht="15.75" customHeight="1">
      <c r="C177" s="593"/>
    </row>
    <row r="178" spans="3:3" ht="15.75" customHeight="1">
      <c r="C178" s="593"/>
    </row>
    <row r="179" spans="3:3" ht="15.75" customHeight="1">
      <c r="C179" s="593"/>
    </row>
    <row r="180" spans="3:3" ht="15.75" customHeight="1">
      <c r="C180" s="593"/>
    </row>
    <row r="181" spans="3:3" ht="15.75" customHeight="1">
      <c r="C181" s="593"/>
    </row>
    <row r="182" spans="3:3" ht="15.75" customHeight="1">
      <c r="C182" s="593"/>
    </row>
    <row r="183" spans="3:3" ht="15.75" customHeight="1">
      <c r="C183" s="593"/>
    </row>
    <row r="184" spans="3:3" ht="15.75" customHeight="1">
      <c r="C184" s="593"/>
    </row>
    <row r="185" spans="3:3" ht="15.75" customHeight="1">
      <c r="C185" s="593"/>
    </row>
    <row r="186" spans="3:3" ht="15.75" customHeight="1">
      <c r="C186" s="593"/>
    </row>
    <row r="187" spans="3:3" ht="15.75" customHeight="1">
      <c r="C187" s="593"/>
    </row>
    <row r="188" spans="3:3" ht="15.75" customHeight="1">
      <c r="C188" s="593"/>
    </row>
    <row r="189" spans="3:3" ht="15.75" customHeight="1">
      <c r="C189" s="593"/>
    </row>
    <row r="190" spans="3:3" ht="15.75" customHeight="1">
      <c r="C190" s="593"/>
    </row>
    <row r="191" spans="3:3" ht="15.75" customHeight="1">
      <c r="C191" s="593"/>
    </row>
    <row r="192" spans="3:3" ht="15.75" customHeight="1">
      <c r="C192" s="593"/>
    </row>
    <row r="193" spans="3:58" ht="15.75" customHeight="1">
      <c r="C193" s="593"/>
    </row>
    <row r="194" spans="3:58" ht="15.75" customHeight="1">
      <c r="C194" s="593"/>
      <c r="BD194" s="560"/>
    </row>
    <row r="195" spans="3:58" ht="15.75" customHeight="1">
      <c r="C195" s="593"/>
      <c r="BC195" s="560"/>
    </row>
    <row r="196" spans="3:58" ht="15.75" customHeight="1">
      <c r="C196" s="593"/>
    </row>
    <row r="197" spans="3:58" ht="15.75" customHeight="1">
      <c r="C197" s="593"/>
    </row>
    <row r="198" spans="3:58" ht="15.75" customHeight="1">
      <c r="C198" s="593"/>
    </row>
    <row r="199" spans="3:58" ht="15.75" customHeight="1">
      <c r="C199" s="593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BE199" s="560"/>
      <c r="BF199" s="560"/>
    </row>
    <row r="200" spans="3:58" ht="15.75" customHeight="1">
      <c r="C200" s="593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</row>
    <row r="201" spans="3:58" ht="15.75" customHeight="1">
      <c r="C201" s="593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</row>
    <row r="202" spans="3:58" ht="15.75" customHeight="1">
      <c r="C202" s="593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</row>
    <row r="203" spans="3:58" ht="15.75" customHeight="1">
      <c r="C203" s="593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</row>
    <row r="204" spans="3:58" ht="15.75" customHeight="1">
      <c r="C204" s="593"/>
    </row>
    <row r="205" spans="3:58" ht="15.75" customHeight="1">
      <c r="C205" s="593"/>
    </row>
    <row r="206" spans="3:58" ht="15.75" customHeight="1">
      <c r="C206" s="593"/>
    </row>
    <row r="207" spans="3:58" ht="15.75" customHeight="1">
      <c r="C207" s="593"/>
    </row>
    <row r="208" spans="3:58" ht="15.75" customHeight="1">
      <c r="C208" s="593"/>
    </row>
    <row r="209" spans="3:3" ht="15.75" customHeight="1">
      <c r="C209" s="593"/>
    </row>
    <row r="210" spans="3:3" ht="15.75" customHeight="1">
      <c r="C210" s="593"/>
    </row>
    <row r="211" spans="3:3" ht="15.75" customHeight="1">
      <c r="C211" s="593"/>
    </row>
    <row r="212" spans="3:3" ht="15.75" customHeight="1">
      <c r="C212" s="593"/>
    </row>
    <row r="213" spans="3:3" ht="15.75" customHeight="1">
      <c r="C213" s="593"/>
    </row>
    <row r="214" spans="3:3" ht="15.75" customHeight="1">
      <c r="C214" s="593"/>
    </row>
    <row r="215" spans="3:3" ht="15.75" customHeight="1">
      <c r="C215" s="593"/>
    </row>
    <row r="216" spans="3:3" ht="15.75" customHeight="1">
      <c r="C216" s="593"/>
    </row>
    <row r="217" spans="3:3" ht="15.75" customHeight="1">
      <c r="C217" s="593"/>
    </row>
    <row r="218" spans="3:3" ht="15.75" customHeight="1">
      <c r="C218" s="593"/>
    </row>
    <row r="219" spans="3:3" ht="15.75" customHeight="1">
      <c r="C219" s="593"/>
    </row>
    <row r="220" spans="3:3" ht="15.75" customHeight="1">
      <c r="C220" s="593"/>
    </row>
    <row r="221" spans="3:3" ht="15.75" customHeight="1">
      <c r="C221" s="593"/>
    </row>
    <row r="222" spans="3:3" ht="15.75" customHeight="1">
      <c r="C222" s="593"/>
    </row>
    <row r="223" spans="3:3" ht="15.75" customHeight="1">
      <c r="C223" s="593"/>
    </row>
    <row r="224" spans="3:3" ht="15.75" customHeight="1">
      <c r="C224" s="593"/>
    </row>
    <row r="225" spans="3:3" ht="15.75" customHeight="1">
      <c r="C225" s="593"/>
    </row>
    <row r="226" spans="3:3" ht="15.75" customHeight="1">
      <c r="C226" s="593"/>
    </row>
    <row r="227" spans="3:3" ht="15.75" customHeight="1">
      <c r="C227" s="593"/>
    </row>
    <row r="228" spans="3:3" ht="15.75" customHeight="1">
      <c r="C228" s="593"/>
    </row>
    <row r="229" spans="3:3" ht="15.75" customHeight="1">
      <c r="C229" s="593"/>
    </row>
    <row r="230" spans="3:3" ht="15.75" customHeight="1">
      <c r="C230" s="593"/>
    </row>
    <row r="231" spans="3:3" ht="15.75" customHeight="1">
      <c r="C231" s="593"/>
    </row>
    <row r="232" spans="3:3" ht="15.75" customHeight="1">
      <c r="C232" s="593"/>
    </row>
    <row r="233" spans="3:3" ht="15.75" customHeight="1">
      <c r="C233" s="593"/>
    </row>
    <row r="234" spans="3:3" ht="15.75" customHeight="1">
      <c r="C234" s="593"/>
    </row>
    <row r="235" spans="3:3" ht="15.75" customHeight="1">
      <c r="C235" s="593"/>
    </row>
    <row r="236" spans="3:3" ht="15.75" customHeight="1">
      <c r="C236" s="593"/>
    </row>
    <row r="237" spans="3:3" ht="15.75" customHeight="1">
      <c r="C237" s="593"/>
    </row>
    <row r="238" spans="3:3" ht="15.75" customHeight="1">
      <c r="C238" s="593"/>
    </row>
    <row r="239" spans="3:3" ht="15.75" customHeight="1">
      <c r="C239" s="593"/>
    </row>
    <row r="240" spans="3:3" ht="15.75" customHeight="1">
      <c r="C240" s="593"/>
    </row>
    <row r="241" spans="3:3" ht="15.75" customHeight="1">
      <c r="C241" s="593"/>
    </row>
    <row r="242" spans="3:3" ht="15.75" customHeight="1">
      <c r="C242" s="593"/>
    </row>
    <row r="243" spans="3:3" ht="15.75" customHeight="1">
      <c r="C243" s="593"/>
    </row>
    <row r="244" spans="3:3" ht="15.75" customHeight="1">
      <c r="C244" s="593"/>
    </row>
    <row r="245" spans="3:3" ht="15.75" customHeight="1">
      <c r="C245" s="593"/>
    </row>
    <row r="246" spans="3:3" ht="15.75" customHeight="1">
      <c r="C246" s="593"/>
    </row>
    <row r="247" spans="3:3" ht="15.75" customHeight="1">
      <c r="C247" s="593"/>
    </row>
    <row r="248" spans="3:3" ht="15.75" customHeight="1">
      <c r="C248" s="593"/>
    </row>
    <row r="249" spans="3:3" ht="15.75" customHeight="1">
      <c r="C249" s="593"/>
    </row>
    <row r="250" spans="3:3" ht="15.75" customHeight="1">
      <c r="C250" s="593"/>
    </row>
    <row r="276" spans="55:58" ht="15.75" customHeight="1">
      <c r="BD276" s="560"/>
    </row>
    <row r="277" spans="55:58" ht="15.75" customHeight="1">
      <c r="BC277" s="560"/>
    </row>
    <row r="281" spans="55:58" ht="15.75" customHeight="1">
      <c r="BE281" s="560"/>
      <c r="BF281" s="560"/>
    </row>
    <row r="311" spans="55:58" ht="15.75" customHeight="1">
      <c r="BD311" s="560"/>
    </row>
    <row r="312" spans="55:58" ht="15.75" customHeight="1">
      <c r="BC312" s="560"/>
    </row>
    <row r="316" spans="55:58" ht="15.75" customHeight="1">
      <c r="BE316" s="560"/>
      <c r="BF316" s="560"/>
    </row>
    <row r="502" spans="43:51" ht="15.75" customHeight="1">
      <c r="AQ502" s="478"/>
      <c r="AR502" s="478"/>
      <c r="AS502" s="478"/>
      <c r="AT502" s="478"/>
      <c r="AU502" s="478"/>
      <c r="AV502" s="478"/>
      <c r="AW502" s="478"/>
      <c r="AX502" s="478"/>
      <c r="AY502" s="478"/>
    </row>
    <row r="503" spans="43:51" ht="15.75" customHeight="1">
      <c r="AQ503" s="478"/>
      <c r="AR503" s="478"/>
      <c r="AS503" s="478"/>
      <c r="AT503" s="478"/>
      <c r="AU503" s="478"/>
      <c r="AV503" s="478"/>
      <c r="AW503" s="478"/>
      <c r="AX503" s="478"/>
      <c r="AY503" s="478"/>
    </row>
    <row r="504" spans="43:51" ht="15.75" customHeight="1">
      <c r="AQ504" s="478"/>
      <c r="AR504" s="478"/>
      <c r="AS504" s="478"/>
      <c r="AT504" s="478"/>
      <c r="AU504" s="478"/>
      <c r="AV504" s="478"/>
      <c r="AW504" s="478"/>
      <c r="AX504" s="478"/>
      <c r="AY504" s="478"/>
    </row>
    <row r="505" spans="43:51" ht="15.75" customHeight="1">
      <c r="AQ505" s="478"/>
      <c r="AR505" s="478"/>
      <c r="AS505" s="478"/>
      <c r="AT505" s="478"/>
      <c r="AU505" s="478"/>
      <c r="AV505" s="478"/>
      <c r="AW505" s="478"/>
      <c r="AX505" s="478"/>
      <c r="AY505" s="478"/>
    </row>
    <row r="506" spans="43:51" ht="15.75" customHeight="1">
      <c r="AQ506" s="478"/>
      <c r="AR506" s="478"/>
      <c r="AS506" s="478"/>
      <c r="AT506" s="478"/>
      <c r="AU506" s="478"/>
      <c r="AV506" s="478"/>
      <c r="AW506" s="478"/>
      <c r="AX506" s="478"/>
      <c r="AY506" s="478"/>
    </row>
    <row r="507" spans="43:51" ht="15.75" customHeight="1">
      <c r="AQ507" s="478"/>
      <c r="AR507" s="478"/>
      <c r="AS507" s="478"/>
      <c r="AT507" s="478"/>
      <c r="AU507" s="478"/>
      <c r="AV507" s="478"/>
      <c r="AW507" s="478"/>
      <c r="AX507" s="478"/>
      <c r="AY507" s="478"/>
    </row>
    <row r="508" spans="43:51" ht="15.75" customHeight="1">
      <c r="AQ508" s="478"/>
      <c r="AR508" s="478"/>
      <c r="AS508" s="478"/>
      <c r="AT508" s="478"/>
      <c r="AU508" s="478"/>
      <c r="AV508" s="478"/>
      <c r="AW508" s="478"/>
      <c r="AX508" s="478"/>
      <c r="AY508" s="478"/>
    </row>
    <row r="509" spans="43:51" ht="15.75" customHeight="1">
      <c r="AQ509" s="478"/>
      <c r="AR509" s="478"/>
      <c r="AS509" s="478"/>
      <c r="AT509" s="478"/>
      <c r="AU509" s="478"/>
      <c r="AV509" s="478"/>
      <c r="AW509" s="478"/>
      <c r="AX509" s="478"/>
      <c r="AY509" s="478"/>
    </row>
    <row r="510" spans="43:51" ht="15.75" customHeight="1">
      <c r="AQ510" s="478"/>
      <c r="AR510" s="478"/>
      <c r="AS510" s="478"/>
      <c r="AT510" s="478"/>
      <c r="AU510" s="478"/>
      <c r="AV510" s="478"/>
      <c r="AW510" s="478"/>
      <c r="AX510" s="478"/>
      <c r="AY510" s="478"/>
    </row>
    <row r="511" spans="43:51" ht="15.75" customHeight="1">
      <c r="AQ511" s="478"/>
      <c r="AR511" s="478"/>
      <c r="AS511" s="478"/>
      <c r="AT511" s="478"/>
      <c r="AU511" s="478"/>
      <c r="AV511" s="478"/>
      <c r="AW511" s="478"/>
      <c r="AX511" s="478"/>
      <c r="AY511" s="478"/>
    </row>
    <row r="512" spans="43:51" ht="15.75" customHeight="1">
      <c r="AQ512" s="478"/>
      <c r="AR512" s="478"/>
      <c r="AS512" s="478"/>
      <c r="AT512" s="478"/>
      <c r="AU512" s="478"/>
      <c r="AV512" s="478"/>
      <c r="AW512" s="478"/>
      <c r="AX512" s="478"/>
      <c r="AY512" s="478"/>
    </row>
    <row r="513" spans="43:51" ht="15.75" customHeight="1">
      <c r="AQ513" s="478"/>
      <c r="AR513" s="478"/>
      <c r="AS513" s="478"/>
      <c r="AT513" s="478"/>
      <c r="AU513" s="478"/>
      <c r="AV513" s="478"/>
      <c r="AW513" s="478"/>
      <c r="AX513" s="478"/>
      <c r="AY513" s="478"/>
    </row>
    <row r="514" spans="43:51" ht="15.75" customHeight="1">
      <c r="AQ514" s="478"/>
      <c r="AR514" s="478"/>
      <c r="AS514" s="478"/>
      <c r="AT514" s="478"/>
      <c r="AU514" s="478"/>
      <c r="AV514" s="478"/>
      <c r="AW514" s="478"/>
      <c r="AX514" s="478"/>
      <c r="AY514" s="478"/>
    </row>
    <row r="520" spans="43:51" ht="15.75" customHeight="1">
      <c r="AQ520" s="478"/>
      <c r="AR520" s="478"/>
      <c r="AS520" s="478"/>
      <c r="AT520" s="478"/>
      <c r="AU520" s="478"/>
      <c r="AV520" s="478"/>
      <c r="AW520" s="478"/>
      <c r="AX520" s="478"/>
      <c r="AY520" s="478"/>
    </row>
    <row r="521" spans="43:51" ht="15.75" customHeight="1">
      <c r="AQ521" s="478"/>
      <c r="AR521" s="478"/>
      <c r="AS521" s="478"/>
      <c r="AT521" s="478"/>
      <c r="AU521" s="478"/>
      <c r="AV521" s="478"/>
      <c r="AW521" s="478"/>
      <c r="AX521" s="478"/>
      <c r="AY521" s="478"/>
    </row>
    <row r="522" spans="43:51" ht="15.75" customHeight="1">
      <c r="AQ522" s="478"/>
      <c r="AR522" s="478"/>
      <c r="AS522" s="478"/>
      <c r="AT522" s="478"/>
      <c r="AU522" s="478"/>
      <c r="AV522" s="478"/>
      <c r="AW522" s="478"/>
      <c r="AX522" s="478"/>
      <c r="AY522" s="478"/>
    </row>
    <row r="523" spans="43:51" ht="15.75" customHeight="1">
      <c r="AQ523" s="478"/>
      <c r="AR523" s="478"/>
      <c r="AS523" s="478"/>
      <c r="AT523" s="478"/>
      <c r="AU523" s="478"/>
      <c r="AV523" s="478"/>
      <c r="AW523" s="478"/>
      <c r="AX523" s="478"/>
      <c r="AY523" s="478"/>
    </row>
    <row r="524" spans="43:51" ht="15.75" customHeight="1">
      <c r="AQ524" s="478"/>
      <c r="AR524" s="478"/>
      <c r="AS524" s="478"/>
      <c r="AT524" s="478"/>
      <c r="AU524" s="478"/>
      <c r="AV524" s="478"/>
      <c r="AW524" s="478"/>
      <c r="AX524" s="478"/>
      <c r="AY524" s="478"/>
    </row>
    <row r="528" spans="43:51" ht="15.75" customHeight="1">
      <c r="AQ528" s="478"/>
      <c r="AR528" s="478"/>
      <c r="AS528" s="478"/>
      <c r="AT528" s="478"/>
      <c r="AU528" s="478"/>
      <c r="AV528" s="478"/>
      <c r="AW528" s="478"/>
      <c r="AX528" s="478"/>
      <c r="AY528" s="478"/>
    </row>
    <row r="529" spans="43:54" ht="15.75" customHeight="1">
      <c r="AQ529" s="478"/>
      <c r="AR529" s="478"/>
      <c r="AS529" s="478"/>
      <c r="AT529" s="478"/>
      <c r="AU529" s="478"/>
      <c r="AV529" s="478"/>
      <c r="AW529" s="478"/>
      <c r="AX529" s="478"/>
      <c r="AY529" s="478"/>
    </row>
    <row r="530" spans="43:54" ht="15.75" customHeight="1">
      <c r="AQ530" s="478"/>
      <c r="AR530" s="478"/>
      <c r="AS530" s="478"/>
      <c r="AT530" s="478"/>
      <c r="AU530" s="478"/>
      <c r="AV530" s="478"/>
      <c r="AW530" s="478"/>
      <c r="AX530" s="478"/>
      <c r="AY530" s="478"/>
    </row>
    <row r="531" spans="43:54" ht="15.75" customHeight="1">
      <c r="AQ531" s="478"/>
      <c r="AR531" s="478"/>
      <c r="AS531" s="478"/>
      <c r="AT531" s="478"/>
      <c r="AU531" s="478"/>
      <c r="AV531" s="478"/>
      <c r="AW531" s="478"/>
      <c r="AX531" s="478"/>
      <c r="AY531" s="478"/>
      <c r="BB531" s="561"/>
    </row>
    <row r="532" spans="43:54" ht="15.75" customHeight="1">
      <c r="AQ532" s="478"/>
      <c r="AR532" s="478"/>
      <c r="AS532" s="478"/>
      <c r="AT532" s="478"/>
      <c r="AU532" s="478"/>
      <c r="AV532" s="478"/>
      <c r="AW532" s="478"/>
      <c r="AX532" s="478"/>
      <c r="AY532" s="478"/>
    </row>
    <row r="533" spans="43:54" ht="15.75" customHeight="1">
      <c r="AQ533" s="478"/>
      <c r="AR533" s="478"/>
      <c r="AS533" s="478"/>
      <c r="AT533" s="478"/>
      <c r="AU533" s="478"/>
      <c r="AV533" s="478"/>
      <c r="AW533" s="478"/>
      <c r="AX533" s="478"/>
      <c r="AY533" s="478"/>
    </row>
    <row r="534" spans="43:54" ht="15.75" customHeight="1">
      <c r="AQ534" s="478"/>
      <c r="AR534" s="478"/>
      <c r="AS534" s="478"/>
      <c r="AT534" s="478"/>
      <c r="AU534" s="478"/>
      <c r="AV534" s="478"/>
      <c r="AW534" s="478"/>
      <c r="AX534" s="478"/>
      <c r="AY534" s="478"/>
    </row>
    <row r="535" spans="43:54" ht="15.75" customHeight="1">
      <c r="BB535" s="561"/>
    </row>
  </sheetData>
  <mergeCells count="9">
    <mergeCell ref="N2:P2"/>
    <mergeCell ref="AN2:AP2"/>
    <mergeCell ref="A1:AY1"/>
    <mergeCell ref="AQ2:AS2"/>
    <mergeCell ref="AT2:AV2"/>
    <mergeCell ref="T2:V2"/>
    <mergeCell ref="W2:Y2"/>
    <mergeCell ref="Z2:AB2"/>
    <mergeCell ref="AC2:AE2"/>
  </mergeCells>
  <printOptions horizontalCentered="1" gridLines="1"/>
  <pageMargins left="0.39370078740157483" right="0.39370078740157483" top="0.59055118110236227" bottom="0.59055118110236227" header="0.31496062992125984" footer="0.31496062992125984"/>
  <pageSetup paperSize="9" scale="45" orientation="portrait" r:id="rId1"/>
  <headerFooter alignWithMargins="0">
    <oddHeader>&amp;L&amp;G&amp;C
LAYOUT AND EQUIPMENT
EP TRACK 6
KP &amp;R&amp;G</oddHeader>
    <oddFooter>&amp;L&amp;F&amp;C&amp;D&amp;RPag &amp;P of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2"/>
  <dimension ref="A1:R35"/>
  <sheetViews>
    <sheetView workbookViewId="0">
      <selection activeCell="A2" sqref="A2"/>
    </sheetView>
  </sheetViews>
  <sheetFormatPr baseColWidth="10" defaultColWidth="11.44140625" defaultRowHeight="13.2"/>
  <cols>
    <col min="10" max="10" width="13.44140625" bestFit="1" customWidth="1"/>
  </cols>
  <sheetData>
    <row r="1" spans="1:18">
      <c r="A1" s="1383" t="s">
        <v>2500</v>
      </c>
      <c r="B1" s="1384"/>
      <c r="C1" s="1385"/>
      <c r="D1" s="615"/>
      <c r="E1" s="1386" t="s">
        <v>2461</v>
      </c>
      <c r="F1" s="1387"/>
      <c r="G1" s="1388"/>
      <c r="H1" s="615"/>
      <c r="I1" s="615"/>
      <c r="J1" s="615"/>
      <c r="K1" s="615"/>
      <c r="L1" s="1389" t="s">
        <v>2501</v>
      </c>
      <c r="M1" s="1390"/>
      <c r="N1" s="1390"/>
      <c r="O1" s="1390"/>
      <c r="P1" s="1390"/>
      <c r="Q1" s="1390"/>
      <c r="R1" s="1390"/>
    </row>
    <row r="2" spans="1:18" ht="26.4">
      <c r="A2" s="658" t="s">
        <v>2474</v>
      </c>
      <c r="B2" s="658" t="s">
        <v>2475</v>
      </c>
      <c r="C2" s="658" t="s">
        <v>2476</v>
      </c>
      <c r="D2" s="615"/>
      <c r="E2" s="658" t="s">
        <v>2474</v>
      </c>
      <c r="F2" s="658" t="s">
        <v>2475</v>
      </c>
      <c r="G2" s="658" t="s">
        <v>2476</v>
      </c>
      <c r="H2" s="615"/>
      <c r="I2" s="658" t="s">
        <v>2513</v>
      </c>
      <c r="J2" s="658"/>
      <c r="K2" s="615"/>
      <c r="L2" s="656" t="s">
        <v>2473</v>
      </c>
      <c r="M2" s="658" t="s">
        <v>2502</v>
      </c>
      <c r="N2" s="658" t="s">
        <v>2503</v>
      </c>
      <c r="O2" s="658" t="s">
        <v>2504</v>
      </c>
      <c r="P2" s="658" t="s">
        <v>2505</v>
      </c>
      <c r="Q2" s="658" t="s">
        <v>2506</v>
      </c>
      <c r="R2" s="658" t="s">
        <v>2507</v>
      </c>
    </row>
    <row r="3" spans="1:18">
      <c r="A3" s="658">
        <v>18000</v>
      </c>
      <c r="B3" s="658">
        <v>18500</v>
      </c>
      <c r="C3" s="657" t="s">
        <v>2502</v>
      </c>
      <c r="D3" s="615"/>
      <c r="E3" s="658">
        <v>18000</v>
      </c>
      <c r="F3" s="658">
        <v>18500</v>
      </c>
      <c r="G3" s="657" t="s">
        <v>2508</v>
      </c>
      <c r="H3" s="615"/>
      <c r="I3" s="657" t="s">
        <v>2502</v>
      </c>
      <c r="J3" s="658">
        <v>2</v>
      </c>
      <c r="K3" s="615"/>
      <c r="L3" s="657" t="s">
        <v>2509</v>
      </c>
      <c r="M3" s="658"/>
      <c r="N3" s="658"/>
      <c r="O3" s="658"/>
      <c r="P3" s="658"/>
      <c r="Q3" s="658"/>
      <c r="R3" s="658"/>
    </row>
    <row r="4" spans="1:18">
      <c r="A4" s="658">
        <v>18500</v>
      </c>
      <c r="B4" s="658">
        <v>19000</v>
      </c>
      <c r="C4" s="657" t="s">
        <v>2503</v>
      </c>
      <c r="D4" s="615"/>
      <c r="E4" s="658">
        <v>18500</v>
      </c>
      <c r="F4" s="658">
        <v>19000</v>
      </c>
      <c r="G4" s="657" t="s">
        <v>2510</v>
      </c>
      <c r="H4" s="615"/>
      <c r="I4" s="657" t="s">
        <v>2503</v>
      </c>
      <c r="J4" s="658">
        <v>3</v>
      </c>
      <c r="K4" s="615"/>
      <c r="L4" s="657" t="s">
        <v>235</v>
      </c>
      <c r="M4" s="658"/>
      <c r="N4" s="658"/>
      <c r="O4" s="658"/>
      <c r="P4" s="658"/>
      <c r="Q4" s="658"/>
      <c r="R4" s="658"/>
    </row>
    <row r="5" spans="1:18">
      <c r="A5" s="658"/>
      <c r="B5" s="658"/>
      <c r="C5" s="658"/>
      <c r="D5" s="615"/>
      <c r="E5" s="658"/>
      <c r="F5" s="658"/>
      <c r="G5" s="658"/>
      <c r="H5" s="615"/>
      <c r="I5" s="657" t="s">
        <v>2504</v>
      </c>
      <c r="J5" s="658">
        <v>4</v>
      </c>
      <c r="K5" s="615"/>
      <c r="L5" s="657" t="s">
        <v>234</v>
      </c>
      <c r="M5" s="658">
        <v>5</v>
      </c>
      <c r="N5" s="658"/>
      <c r="O5" s="658"/>
      <c r="P5" s="658"/>
      <c r="Q5" s="658"/>
      <c r="R5" s="658"/>
    </row>
    <row r="6" spans="1:18">
      <c r="A6" s="658"/>
      <c r="B6" s="658"/>
      <c r="C6" s="658"/>
      <c r="D6" s="615"/>
      <c r="E6" s="658"/>
      <c r="F6" s="658"/>
      <c r="G6" s="658"/>
      <c r="H6" s="615"/>
      <c r="I6" s="657" t="s">
        <v>2505</v>
      </c>
      <c r="J6" s="658">
        <v>5</v>
      </c>
      <c r="K6" s="615"/>
      <c r="L6" s="657" t="s">
        <v>237</v>
      </c>
      <c r="M6" s="658"/>
      <c r="N6" s="658"/>
      <c r="O6" s="658"/>
      <c r="P6" s="658"/>
      <c r="Q6" s="658"/>
      <c r="R6" s="658"/>
    </row>
    <row r="7" spans="1:18">
      <c r="A7" s="658"/>
      <c r="B7" s="658"/>
      <c r="C7" s="658"/>
      <c r="D7" s="615"/>
      <c r="E7" s="658"/>
      <c r="F7" s="658"/>
      <c r="G7" s="658"/>
      <c r="H7" s="615"/>
      <c r="I7" s="657" t="s">
        <v>2506</v>
      </c>
      <c r="J7" s="658">
        <v>6</v>
      </c>
      <c r="K7" s="615"/>
      <c r="L7" s="657" t="s">
        <v>1099</v>
      </c>
      <c r="M7" s="658"/>
      <c r="N7" s="658"/>
      <c r="O7" s="658"/>
      <c r="P7" s="658"/>
      <c r="Q7" s="658"/>
      <c r="R7" s="658"/>
    </row>
    <row r="8" spans="1:18">
      <c r="A8" s="658"/>
      <c r="B8" s="658"/>
      <c r="C8" s="658"/>
      <c r="D8" s="615"/>
      <c r="E8" s="658"/>
      <c r="F8" s="658"/>
      <c r="G8" s="658"/>
      <c r="H8" s="615"/>
      <c r="I8" s="657" t="s">
        <v>2507</v>
      </c>
      <c r="J8" s="658">
        <v>7</v>
      </c>
      <c r="K8" s="615"/>
      <c r="L8" s="657" t="s">
        <v>236</v>
      </c>
      <c r="M8" s="658"/>
      <c r="N8" s="658"/>
      <c r="O8" s="658"/>
      <c r="P8" s="658"/>
      <c r="Q8" s="658"/>
      <c r="R8" s="658"/>
    </row>
    <row r="9" spans="1:18">
      <c r="A9" s="658"/>
      <c r="B9" s="658"/>
      <c r="C9" s="658"/>
      <c r="D9" s="615"/>
      <c r="E9" s="658"/>
      <c r="F9" s="658"/>
      <c r="G9" s="658"/>
      <c r="H9" s="615"/>
      <c r="I9" s="615"/>
      <c r="J9" s="615"/>
      <c r="K9" s="615"/>
      <c r="L9" s="657" t="s">
        <v>2511</v>
      </c>
      <c r="M9" s="658"/>
      <c r="N9" s="658"/>
      <c r="O9" s="658"/>
      <c r="P9" s="658"/>
      <c r="Q9" s="658"/>
      <c r="R9" s="658"/>
    </row>
    <row r="10" spans="1:18">
      <c r="A10" s="658"/>
      <c r="B10" s="658"/>
      <c r="C10" s="658"/>
      <c r="D10" s="615"/>
      <c r="E10" s="658"/>
      <c r="F10" s="658"/>
      <c r="G10" s="658"/>
      <c r="H10" s="615"/>
      <c r="I10" s="615"/>
      <c r="J10" s="615"/>
      <c r="K10" s="615"/>
      <c r="L10" s="658"/>
      <c r="M10" s="658"/>
      <c r="N10" s="658"/>
      <c r="O10" s="658"/>
      <c r="P10" s="658"/>
      <c r="Q10" s="658"/>
      <c r="R10" s="658"/>
    </row>
    <row r="11" spans="1:18">
      <c r="A11" s="658"/>
      <c r="B11" s="658"/>
      <c r="C11" s="658"/>
      <c r="D11" s="615"/>
      <c r="E11" s="658"/>
      <c r="F11" s="658"/>
      <c r="G11" s="658"/>
      <c r="H11" s="615"/>
      <c r="I11" s="615"/>
      <c r="J11" s="615"/>
      <c r="K11" s="615"/>
      <c r="L11" s="658"/>
      <c r="M11" s="658"/>
      <c r="N11" s="658"/>
      <c r="O11" s="658"/>
      <c r="P11" s="658"/>
      <c r="Q11" s="658"/>
      <c r="R11" s="658"/>
    </row>
    <row r="12" spans="1:18">
      <c r="A12" s="658"/>
      <c r="B12" s="658"/>
      <c r="C12" s="658"/>
      <c r="D12" s="615"/>
      <c r="E12" s="658"/>
      <c r="F12" s="658"/>
      <c r="G12" s="658"/>
      <c r="H12" s="615"/>
      <c r="I12" s="615"/>
      <c r="J12" s="615"/>
      <c r="K12" s="615"/>
      <c r="L12" s="658"/>
      <c r="M12" s="658"/>
      <c r="N12" s="658"/>
      <c r="O12" s="658"/>
      <c r="P12" s="658"/>
      <c r="Q12" s="658"/>
      <c r="R12" s="658"/>
    </row>
    <row r="13" spans="1:18">
      <c r="A13" s="615"/>
      <c r="B13" s="615"/>
      <c r="C13" s="615"/>
      <c r="D13" s="615"/>
      <c r="E13" s="615"/>
      <c r="F13" s="615"/>
      <c r="G13" s="615"/>
      <c r="H13" s="615"/>
      <c r="I13" s="615"/>
      <c r="J13" s="615"/>
      <c r="K13" s="615"/>
      <c r="L13" s="658"/>
      <c r="M13" s="658"/>
      <c r="N13" s="658"/>
      <c r="O13" s="658"/>
      <c r="P13" s="658"/>
      <c r="Q13" s="658"/>
      <c r="R13" s="658"/>
    </row>
    <row r="14" spans="1:18">
      <c r="A14" s="1392" t="s">
        <v>2523</v>
      </c>
      <c r="B14" s="1392"/>
      <c r="C14" s="1392"/>
      <c r="D14" s="615"/>
      <c r="E14" s="1392" t="s">
        <v>2523</v>
      </c>
      <c r="F14" s="1392"/>
      <c r="G14" s="1392"/>
      <c r="H14" s="615"/>
      <c r="I14" s="615"/>
      <c r="J14" s="615"/>
      <c r="K14" s="615"/>
      <c r="L14" s="658"/>
      <c r="M14" s="658"/>
      <c r="N14" s="658"/>
      <c r="O14" s="658"/>
      <c r="P14" s="658"/>
      <c r="Q14" s="658"/>
      <c r="R14" s="658"/>
    </row>
    <row r="15" spans="1:18">
      <c r="A15" s="615"/>
      <c r="B15" s="615"/>
      <c r="C15" s="615"/>
      <c r="D15" s="615"/>
      <c r="E15" s="615"/>
      <c r="F15" s="615"/>
      <c r="G15" s="615"/>
      <c r="H15" s="615"/>
      <c r="I15" s="615"/>
      <c r="J15" s="615"/>
      <c r="K15" s="615"/>
      <c r="L15" s="615"/>
      <c r="M15" s="615"/>
      <c r="N15" s="615"/>
      <c r="O15" s="615"/>
      <c r="P15" s="615"/>
      <c r="Q15" s="615"/>
      <c r="R15" s="615"/>
    </row>
    <row r="16" spans="1:18">
      <c r="A16" s="615"/>
      <c r="B16" s="615"/>
      <c r="C16" s="615"/>
      <c r="D16" s="615"/>
      <c r="E16" s="615"/>
      <c r="F16" s="615"/>
      <c r="G16" s="615"/>
      <c r="H16" s="615"/>
      <c r="I16" s="615"/>
      <c r="J16" s="615"/>
      <c r="K16" s="615"/>
      <c r="L16" s="1386" t="s">
        <v>2512</v>
      </c>
      <c r="M16" s="1387"/>
      <c r="N16" s="1387"/>
      <c r="O16" s="1387"/>
      <c r="P16" s="1387"/>
      <c r="Q16" s="1387"/>
      <c r="R16" s="1388"/>
    </row>
    <row r="17" spans="1:18" ht="26.4">
      <c r="A17" s="615"/>
      <c r="B17" s="615"/>
      <c r="C17" s="615"/>
      <c r="D17" s="615"/>
      <c r="E17" s="615"/>
      <c r="F17" s="615"/>
      <c r="G17" s="615"/>
      <c r="H17" s="615"/>
      <c r="I17" s="615"/>
      <c r="J17" s="615"/>
      <c r="K17" s="615"/>
      <c r="L17" s="656" t="s">
        <v>2473</v>
      </c>
      <c r="M17" s="658" t="s">
        <v>2502</v>
      </c>
      <c r="N17" s="658" t="s">
        <v>2503</v>
      </c>
      <c r="O17" s="658" t="s">
        <v>2504</v>
      </c>
      <c r="P17" s="658" t="s">
        <v>2505</v>
      </c>
      <c r="Q17" s="658" t="s">
        <v>2506</v>
      </c>
      <c r="R17" s="658" t="s">
        <v>2507</v>
      </c>
    </row>
    <row r="18" spans="1:18">
      <c r="A18" s="615"/>
      <c r="B18" s="615"/>
      <c r="C18" s="615"/>
      <c r="D18" s="615"/>
      <c r="E18" s="615"/>
      <c r="F18" s="615"/>
      <c r="G18" s="615"/>
      <c r="H18" s="615"/>
      <c r="I18" s="615"/>
      <c r="J18" s="615"/>
      <c r="K18" s="615"/>
      <c r="L18" s="657" t="s">
        <v>2509</v>
      </c>
      <c r="M18" s="658"/>
      <c r="N18" s="658"/>
      <c r="O18" s="658"/>
      <c r="P18" s="658"/>
      <c r="Q18" s="658"/>
      <c r="R18" s="658"/>
    </row>
    <row r="19" spans="1:18">
      <c r="A19" s="615"/>
      <c r="B19" s="615"/>
      <c r="C19" s="615"/>
      <c r="D19" s="615"/>
      <c r="E19" s="615"/>
      <c r="F19" s="615"/>
      <c r="G19" s="615"/>
      <c r="H19" s="615"/>
      <c r="I19" s="615"/>
      <c r="J19" s="615"/>
      <c r="K19" s="615"/>
      <c r="L19" s="657" t="s">
        <v>235</v>
      </c>
      <c r="M19" s="658"/>
      <c r="N19" s="658"/>
      <c r="O19" s="658"/>
      <c r="P19" s="658"/>
      <c r="Q19" s="658"/>
      <c r="R19" s="658"/>
    </row>
    <row r="20" spans="1:18">
      <c r="A20" s="615"/>
      <c r="B20" s="615"/>
      <c r="C20" s="615"/>
      <c r="D20" s="615"/>
      <c r="E20" s="615"/>
      <c r="F20" s="615"/>
      <c r="G20" s="615"/>
      <c r="H20" s="615"/>
      <c r="I20" s="615"/>
      <c r="J20" s="615"/>
      <c r="K20" s="615"/>
      <c r="L20" s="657" t="s">
        <v>234</v>
      </c>
      <c r="M20" s="658">
        <v>6</v>
      </c>
      <c r="N20" s="658"/>
      <c r="O20" s="658"/>
      <c r="P20" s="658"/>
      <c r="Q20" s="658"/>
      <c r="R20" s="658"/>
    </row>
    <row r="21" spans="1:18">
      <c r="A21" s="615"/>
      <c r="B21" s="615"/>
      <c r="C21" s="615"/>
      <c r="D21" s="615"/>
      <c r="E21" s="615"/>
      <c r="F21" s="615"/>
      <c r="G21" s="615"/>
      <c r="H21" s="615"/>
      <c r="I21" s="615"/>
      <c r="J21" s="615"/>
      <c r="K21" s="615"/>
      <c r="L21" s="657" t="s">
        <v>237</v>
      </c>
      <c r="M21" s="658"/>
      <c r="N21" s="658"/>
      <c r="O21" s="658"/>
      <c r="P21" s="658"/>
      <c r="Q21" s="658"/>
      <c r="R21" s="658"/>
    </row>
    <row r="22" spans="1:18">
      <c r="A22" s="615"/>
      <c r="B22" s="615"/>
      <c r="C22" s="615"/>
      <c r="D22" s="615"/>
      <c r="E22" s="615"/>
      <c r="F22" s="615"/>
      <c r="G22" s="615"/>
      <c r="H22" s="615"/>
      <c r="I22" s="615"/>
      <c r="J22" s="615"/>
      <c r="K22" s="615"/>
      <c r="L22" s="657" t="s">
        <v>1099</v>
      </c>
      <c r="M22" s="658"/>
      <c r="N22" s="658"/>
      <c r="O22" s="658"/>
      <c r="P22" s="658"/>
      <c r="Q22" s="658"/>
      <c r="R22" s="658"/>
    </row>
    <row r="23" spans="1:18">
      <c r="A23" s="615"/>
      <c r="B23" s="615"/>
      <c r="C23" s="615"/>
      <c r="D23" s="615"/>
      <c r="E23" s="615"/>
      <c r="F23" s="615"/>
      <c r="G23" s="615"/>
      <c r="H23" s="615"/>
      <c r="I23" s="615"/>
      <c r="J23" s="615"/>
      <c r="K23" s="615"/>
      <c r="L23" s="657" t="s">
        <v>236</v>
      </c>
      <c r="M23" s="658"/>
      <c r="N23" s="658"/>
      <c r="O23" s="658"/>
      <c r="P23" s="658"/>
      <c r="Q23" s="658"/>
      <c r="R23" s="658"/>
    </row>
    <row r="24" spans="1:18">
      <c r="A24" s="615"/>
      <c r="B24" s="615"/>
      <c r="C24" s="615"/>
      <c r="D24" s="615"/>
      <c r="E24" s="615"/>
      <c r="F24" s="615"/>
      <c r="G24" s="615"/>
      <c r="H24" s="615"/>
      <c r="I24" s="615"/>
      <c r="J24" s="615"/>
      <c r="K24" s="615"/>
      <c r="L24" s="657" t="s">
        <v>2511</v>
      </c>
      <c r="M24" s="658"/>
      <c r="N24" s="658"/>
      <c r="O24" s="658"/>
      <c r="P24" s="658"/>
      <c r="Q24" s="658"/>
      <c r="R24" s="658"/>
    </row>
    <row r="25" spans="1:18">
      <c r="A25" s="615"/>
      <c r="B25" s="615"/>
      <c r="C25" s="615"/>
      <c r="D25" s="615"/>
      <c r="E25" s="615"/>
      <c r="F25" s="615"/>
      <c r="G25" s="615"/>
      <c r="H25" s="615"/>
      <c r="I25" s="615"/>
      <c r="J25" s="615"/>
      <c r="K25" s="615"/>
      <c r="L25" s="658"/>
      <c r="M25" s="658"/>
      <c r="N25" s="658"/>
      <c r="O25" s="658"/>
      <c r="P25" s="658"/>
      <c r="Q25" s="658"/>
      <c r="R25" s="658"/>
    </row>
    <row r="26" spans="1:18">
      <c r="A26" s="615"/>
      <c r="B26" s="615"/>
      <c r="C26" s="615"/>
      <c r="D26" s="615"/>
      <c r="E26" s="615"/>
      <c r="F26" s="615"/>
      <c r="G26" s="615"/>
      <c r="H26" s="615"/>
      <c r="I26" s="615"/>
      <c r="J26" s="615"/>
      <c r="K26" s="615"/>
      <c r="L26" s="658"/>
      <c r="M26" s="658"/>
      <c r="N26" s="658"/>
      <c r="O26" s="658"/>
      <c r="P26" s="658"/>
      <c r="Q26" s="658"/>
      <c r="R26" s="658"/>
    </row>
    <row r="27" spans="1:18">
      <c r="A27" s="615"/>
      <c r="B27" s="615"/>
      <c r="C27" s="615"/>
      <c r="D27" s="615"/>
      <c r="E27" s="615"/>
      <c r="F27" s="615"/>
      <c r="G27" s="615"/>
      <c r="H27" s="615"/>
      <c r="I27" s="615"/>
      <c r="J27" s="615"/>
      <c r="K27" s="615"/>
      <c r="L27" s="658"/>
      <c r="M27" s="658"/>
      <c r="N27" s="658"/>
      <c r="O27" s="658"/>
      <c r="P27" s="658"/>
      <c r="Q27" s="658"/>
      <c r="R27" s="658"/>
    </row>
    <row r="28" spans="1:18">
      <c r="A28" s="615"/>
      <c r="B28" s="615"/>
      <c r="C28" s="615"/>
      <c r="D28" s="615"/>
      <c r="E28" s="615"/>
      <c r="F28" s="615"/>
      <c r="G28" s="615"/>
      <c r="H28" s="615"/>
      <c r="I28" s="615"/>
      <c r="J28" s="615"/>
      <c r="K28" s="615"/>
      <c r="L28" s="658"/>
      <c r="M28" s="658"/>
      <c r="N28" s="658"/>
      <c r="O28" s="658"/>
      <c r="P28" s="658"/>
      <c r="Q28" s="658"/>
      <c r="R28" s="658"/>
    </row>
    <row r="29" spans="1:18">
      <c r="H29" s="615"/>
      <c r="I29" s="615"/>
      <c r="J29" s="615"/>
      <c r="K29" s="615"/>
      <c r="L29" s="658"/>
      <c r="M29" s="658"/>
      <c r="N29" s="658"/>
      <c r="O29" s="658"/>
      <c r="P29" s="658"/>
      <c r="Q29" s="658"/>
      <c r="R29" s="658"/>
    </row>
    <row r="30" spans="1:18">
      <c r="A30" s="1391" t="s">
        <v>2521</v>
      </c>
      <c r="B30" s="1391"/>
      <c r="C30" s="1391"/>
      <c r="D30" s="1391"/>
      <c r="E30" s="1391"/>
      <c r="F30" s="1391"/>
      <c r="G30" s="1391"/>
    </row>
    <row r="31" spans="1:18" ht="13.8" thickBot="1"/>
    <row r="32" spans="1:18" ht="28.2" thickBot="1">
      <c r="A32" s="527" t="s">
        <v>2460</v>
      </c>
      <c r="B32" s="527" t="s">
        <v>2461</v>
      </c>
      <c r="C32" s="527" t="s">
        <v>2462</v>
      </c>
    </row>
    <row r="33" spans="1:3">
      <c r="A33" s="659" t="s">
        <v>2514</v>
      </c>
    </row>
    <row r="34" spans="1:3">
      <c r="B34" s="660" t="s">
        <v>2515</v>
      </c>
    </row>
    <row r="35" spans="1:3">
      <c r="C35" s="660" t="s">
        <v>2516</v>
      </c>
    </row>
  </sheetData>
  <mergeCells count="7">
    <mergeCell ref="A1:C1"/>
    <mergeCell ref="E1:G1"/>
    <mergeCell ref="L1:R1"/>
    <mergeCell ref="L16:R16"/>
    <mergeCell ref="A30:G30"/>
    <mergeCell ref="A14:C14"/>
    <mergeCell ref="E14:G1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pageSetUpPr fitToPage="1"/>
  </sheetPr>
  <dimension ref="A2:Y54"/>
  <sheetViews>
    <sheetView zoomScale="60" zoomScaleNormal="60" workbookViewId="0">
      <selection activeCell="D6" sqref="D6"/>
    </sheetView>
  </sheetViews>
  <sheetFormatPr baseColWidth="10" defaultColWidth="11.44140625" defaultRowHeight="13.2"/>
  <cols>
    <col min="1" max="1" width="12.88671875" bestFit="1" customWidth="1"/>
    <col min="2" max="2" width="11.6640625" customWidth="1"/>
    <col min="3" max="3" width="11.88671875" customWidth="1"/>
    <col min="6" max="6" width="14.33203125" bestFit="1" customWidth="1"/>
    <col min="9" max="9" width="14.44140625" customWidth="1"/>
    <col min="10" max="10" width="19.33203125" customWidth="1"/>
    <col min="11" max="11" width="19.109375" bestFit="1" customWidth="1"/>
    <col min="14" max="14" width="25" customWidth="1"/>
    <col min="15" max="15" width="18" customWidth="1"/>
    <col min="16" max="16" width="13.88671875" customWidth="1"/>
    <col min="17" max="17" width="14.109375" customWidth="1"/>
    <col min="25" max="25" width="13.44140625" bestFit="1" customWidth="1"/>
  </cols>
  <sheetData>
    <row r="2" spans="1:25">
      <c r="A2" s="1410" t="s">
        <v>2498</v>
      </c>
      <c r="B2" s="1411"/>
      <c r="C2" s="1411"/>
      <c r="D2" s="1411"/>
      <c r="E2" s="1411"/>
      <c r="F2" s="1411"/>
      <c r="G2" s="1411"/>
      <c r="H2" s="1411"/>
      <c r="I2" s="1411"/>
      <c r="J2" s="1411"/>
      <c r="K2" s="1411"/>
      <c r="L2" s="1411"/>
      <c r="M2" s="1411"/>
      <c r="N2" s="1411"/>
      <c r="O2" s="1411"/>
      <c r="P2" s="1411"/>
      <c r="Q2" s="1411"/>
    </row>
    <row r="3" spans="1:25">
      <c r="A3" s="1"/>
      <c r="B3" s="1"/>
      <c r="C3" s="1"/>
      <c r="D3" s="1"/>
      <c r="E3" s="1"/>
      <c r="F3" s="1"/>
      <c r="G3" s="1"/>
      <c r="H3" s="1"/>
      <c r="I3" s="1"/>
    </row>
    <row r="4" spans="1:25" ht="13.8">
      <c r="A4" s="58" t="s">
        <v>487</v>
      </c>
      <c r="B4" s="59"/>
      <c r="C4" s="1"/>
      <c r="D4" s="1415" t="s">
        <v>2525</v>
      </c>
      <c r="E4" s="1415"/>
      <c r="F4" s="1415"/>
      <c r="G4" s="1415"/>
      <c r="H4" s="1415"/>
      <c r="I4" s="1415"/>
      <c r="J4" s="1415"/>
    </row>
    <row r="5" spans="1:25" ht="13.8">
      <c r="A5" s="58" t="s">
        <v>488</v>
      </c>
      <c r="B5" s="60">
        <v>0</v>
      </c>
      <c r="C5" s="1"/>
      <c r="D5" s="1416" t="s">
        <v>2625</v>
      </c>
      <c r="E5" s="1416"/>
      <c r="F5" s="1416"/>
      <c r="G5" s="1416"/>
      <c r="H5" s="1416"/>
      <c r="I5" s="1416"/>
      <c r="J5" s="1416"/>
      <c r="K5" s="1416"/>
    </row>
    <row r="6" spans="1:25" ht="13.8">
      <c r="A6" s="1"/>
      <c r="B6" s="1"/>
      <c r="C6" s="1"/>
      <c r="D6" s="542"/>
      <c r="E6" s="542"/>
      <c r="F6" s="542"/>
      <c r="G6" s="563"/>
      <c r="H6" s="563"/>
      <c r="I6" s="563"/>
      <c r="J6" s="542"/>
    </row>
    <row r="7" spans="1:25" ht="13.8">
      <c r="A7" s="1"/>
      <c r="B7" s="1"/>
      <c r="C7" s="1"/>
      <c r="D7" s="668" t="s">
        <v>2524</v>
      </c>
      <c r="E7" s="668"/>
      <c r="F7" s="668"/>
      <c r="G7" s="669"/>
      <c r="H7" s="669"/>
      <c r="I7" s="669"/>
      <c r="J7" s="668"/>
      <c r="K7" s="667"/>
    </row>
    <row r="8" spans="1:25">
      <c r="A8" s="1"/>
      <c r="B8" s="1"/>
      <c r="C8" s="1"/>
      <c r="D8" s="1"/>
      <c r="E8" s="1"/>
      <c r="F8" s="1"/>
      <c r="G8" s="1"/>
      <c r="H8" s="1"/>
      <c r="I8" s="1"/>
    </row>
    <row r="9" spans="1:25">
      <c r="A9" s="615"/>
      <c r="B9" s="615"/>
      <c r="C9" s="615"/>
      <c r="G9" s="615"/>
      <c r="H9" s="615"/>
      <c r="I9" s="615"/>
      <c r="J9" s="615"/>
      <c r="K9" s="615"/>
      <c r="L9" s="615"/>
    </row>
    <row r="10" spans="1:25">
      <c r="G10" s="615"/>
      <c r="H10" s="615"/>
      <c r="I10" s="615"/>
      <c r="J10" s="615"/>
      <c r="K10" s="615"/>
      <c r="L10" s="615"/>
      <c r="M10" s="615"/>
      <c r="N10" s="615"/>
      <c r="O10" s="615"/>
      <c r="P10" s="615"/>
      <c r="Q10" s="615"/>
    </row>
    <row r="11" spans="1:25">
      <c r="F11" s="615"/>
      <c r="G11" s="615"/>
      <c r="H11" s="615"/>
      <c r="I11" s="615"/>
      <c r="J11" s="615"/>
      <c r="K11" s="615"/>
      <c r="L11" s="615"/>
      <c r="M11" s="615"/>
      <c r="N11" s="615"/>
      <c r="O11" s="615"/>
      <c r="P11" s="615"/>
      <c r="Q11" s="615"/>
    </row>
    <row r="12" spans="1:25" ht="13.8">
      <c r="A12" s="670" t="s">
        <v>2497</v>
      </c>
      <c r="B12" s="499"/>
      <c r="C12" s="499"/>
      <c r="F12" s="615"/>
      <c r="G12" s="615"/>
      <c r="H12" s="615"/>
      <c r="I12" s="615"/>
      <c r="J12" s="615"/>
      <c r="K12" s="615"/>
      <c r="L12" s="615"/>
      <c r="M12" s="615"/>
      <c r="N12" s="615"/>
      <c r="O12" s="615"/>
      <c r="P12" s="615"/>
      <c r="Q12" s="615"/>
    </row>
    <row r="13" spans="1:25" ht="14.4" thickBot="1">
      <c r="A13" s="670" t="s">
        <v>2499</v>
      </c>
      <c r="B13" s="499"/>
      <c r="C13" s="499"/>
      <c r="F13" s="615"/>
      <c r="G13" s="615"/>
      <c r="H13" s="615"/>
      <c r="I13" s="615"/>
      <c r="J13" s="615"/>
      <c r="K13" s="615"/>
      <c r="L13" s="615"/>
      <c r="M13" s="615"/>
      <c r="N13" s="615"/>
      <c r="O13" s="615"/>
      <c r="P13" s="615"/>
      <c r="Q13" s="615"/>
    </row>
    <row r="14" spans="1:25" ht="15.6">
      <c r="F14" s="1407" t="s">
        <v>2496</v>
      </c>
      <c r="G14" s="1408"/>
      <c r="H14" s="1408"/>
      <c r="I14" s="1408"/>
      <c r="J14" s="1409"/>
      <c r="K14" s="617" t="s">
        <v>2483</v>
      </c>
      <c r="L14" s="1412" t="s">
        <v>2484</v>
      </c>
      <c r="M14" s="1413"/>
      <c r="N14" s="1413"/>
      <c r="O14" s="1414"/>
      <c r="P14" s="1407" t="s">
        <v>2485</v>
      </c>
      <c r="Q14" s="1409"/>
    </row>
    <row r="15" spans="1:25" s="654" customFormat="1" ht="35.25" customHeight="1" thickBot="1">
      <c r="F15" s="651" t="s">
        <v>2486</v>
      </c>
      <c r="G15" s="652" t="s">
        <v>2487</v>
      </c>
      <c r="H15" s="652" t="s">
        <v>2488</v>
      </c>
      <c r="I15" s="652" t="s">
        <v>2489</v>
      </c>
      <c r="J15" s="618" t="s">
        <v>2490</v>
      </c>
      <c r="K15" s="653" t="s">
        <v>2490</v>
      </c>
      <c r="L15" s="651" t="s">
        <v>2491</v>
      </c>
      <c r="M15" s="652" t="s">
        <v>2492</v>
      </c>
      <c r="N15" s="618" t="s">
        <v>2493</v>
      </c>
      <c r="O15" s="655" t="s">
        <v>2494</v>
      </c>
      <c r="P15" s="651" t="s">
        <v>2493</v>
      </c>
      <c r="Q15" s="618" t="s">
        <v>2495</v>
      </c>
      <c r="Y15" s="654">
        <f>1800/0.596</f>
        <v>3020.1342281879197</v>
      </c>
    </row>
    <row r="16" spans="1:25" ht="14.4">
      <c r="F16" s="619"/>
      <c r="G16" s="620"/>
      <c r="H16" s="620"/>
      <c r="I16" s="620"/>
      <c r="J16" s="621">
        <f>I16-G16</f>
        <v>0</v>
      </c>
      <c r="K16" s="631">
        <v>80</v>
      </c>
      <c r="L16" s="632">
        <f>J16+K16</f>
        <v>80</v>
      </c>
      <c r="M16" s="633">
        <f>L16*1.067</f>
        <v>85.36</v>
      </c>
      <c r="N16" s="634"/>
      <c r="O16" s="635" t="str">
        <f t="shared" ref="O16:O29" si="0">CONCATENATE(F16," to ",H16)</f>
        <v xml:space="preserve"> to </v>
      </c>
      <c r="P16" s="636"/>
      <c r="Q16" s="624"/>
    </row>
    <row r="17" spans="6:17" ht="14.4">
      <c r="F17" s="625"/>
      <c r="G17" s="626"/>
      <c r="H17" s="626"/>
      <c r="I17" s="626"/>
      <c r="J17" s="627">
        <f>I17-G17</f>
        <v>0</v>
      </c>
      <c r="K17" s="637">
        <v>80</v>
      </c>
      <c r="L17" s="638">
        <f>J17+K17</f>
        <v>80</v>
      </c>
      <c r="M17" s="639">
        <f t="shared" ref="M17:M28" si="1">L17*1.067</f>
        <v>85.36</v>
      </c>
      <c r="N17" s="640"/>
      <c r="O17" s="641" t="str">
        <f t="shared" si="0"/>
        <v xml:space="preserve"> to </v>
      </c>
      <c r="P17" s="66"/>
      <c r="Q17" s="630"/>
    </row>
    <row r="18" spans="6:17" ht="14.4">
      <c r="F18" s="625"/>
      <c r="G18" s="626"/>
      <c r="H18" s="626"/>
      <c r="I18" s="626"/>
      <c r="J18" s="627">
        <f t="shared" ref="J18:J29" si="2">I18-G18</f>
        <v>0</v>
      </c>
      <c r="K18" s="637">
        <v>80</v>
      </c>
      <c r="L18" s="638">
        <f t="shared" ref="L18:L29" si="3">J18+K18</f>
        <v>80</v>
      </c>
      <c r="M18" s="639">
        <f t="shared" si="1"/>
        <v>85.36</v>
      </c>
      <c r="N18" s="640"/>
      <c r="O18" s="641" t="str">
        <f t="shared" si="0"/>
        <v xml:space="preserve"> to </v>
      </c>
      <c r="P18" s="66"/>
      <c r="Q18" s="630"/>
    </row>
    <row r="19" spans="6:17" ht="14.4">
      <c r="F19" s="625"/>
      <c r="G19" s="626"/>
      <c r="H19" s="626"/>
      <c r="I19" s="626"/>
      <c r="J19" s="627">
        <f t="shared" si="2"/>
        <v>0</v>
      </c>
      <c r="K19" s="637">
        <v>80</v>
      </c>
      <c r="L19" s="638">
        <f t="shared" si="3"/>
        <v>80</v>
      </c>
      <c r="M19" s="639">
        <f t="shared" si="1"/>
        <v>85.36</v>
      </c>
      <c r="N19" s="640"/>
      <c r="O19" s="641" t="str">
        <f t="shared" si="0"/>
        <v xml:space="preserve"> to </v>
      </c>
      <c r="P19" s="66"/>
      <c r="Q19" s="630"/>
    </row>
    <row r="20" spans="6:17" ht="14.4">
      <c r="F20" s="625"/>
      <c r="G20" s="626"/>
      <c r="H20" s="626"/>
      <c r="I20" s="626"/>
      <c r="J20" s="627">
        <f t="shared" si="2"/>
        <v>0</v>
      </c>
      <c r="K20" s="637">
        <v>80</v>
      </c>
      <c r="L20" s="638">
        <f t="shared" si="3"/>
        <v>80</v>
      </c>
      <c r="M20" s="639">
        <f t="shared" si="1"/>
        <v>85.36</v>
      </c>
      <c r="N20" s="640"/>
      <c r="O20" s="641" t="str">
        <f t="shared" si="0"/>
        <v xml:space="preserve"> to </v>
      </c>
      <c r="P20" s="66"/>
      <c r="Q20" s="630"/>
    </row>
    <row r="21" spans="6:17" ht="14.4">
      <c r="F21" s="625"/>
      <c r="G21" s="626"/>
      <c r="H21" s="626"/>
      <c r="I21" s="626"/>
      <c r="J21" s="627">
        <f t="shared" si="2"/>
        <v>0</v>
      </c>
      <c r="K21" s="637">
        <v>80</v>
      </c>
      <c r="L21" s="638">
        <f t="shared" si="3"/>
        <v>80</v>
      </c>
      <c r="M21" s="639">
        <f t="shared" si="1"/>
        <v>85.36</v>
      </c>
      <c r="N21" s="640"/>
      <c r="O21" s="641" t="str">
        <f t="shared" si="0"/>
        <v xml:space="preserve"> to </v>
      </c>
      <c r="P21" s="66"/>
      <c r="Q21" s="630"/>
    </row>
    <row r="22" spans="6:17" ht="14.4">
      <c r="F22" s="625"/>
      <c r="G22" s="626"/>
      <c r="H22" s="626"/>
      <c r="I22" s="626"/>
      <c r="J22" s="627">
        <f t="shared" si="2"/>
        <v>0</v>
      </c>
      <c r="K22" s="637">
        <v>80</v>
      </c>
      <c r="L22" s="638">
        <f t="shared" si="3"/>
        <v>80</v>
      </c>
      <c r="M22" s="639">
        <f t="shared" si="1"/>
        <v>85.36</v>
      </c>
      <c r="N22" s="640"/>
      <c r="O22" s="641" t="str">
        <f t="shared" si="0"/>
        <v xml:space="preserve"> to </v>
      </c>
      <c r="P22" s="66"/>
      <c r="Q22" s="630"/>
    </row>
    <row r="23" spans="6:17" ht="14.4">
      <c r="F23" s="625"/>
      <c r="G23" s="626"/>
      <c r="H23" s="626"/>
      <c r="I23" s="626"/>
      <c r="J23" s="627">
        <f t="shared" si="2"/>
        <v>0</v>
      </c>
      <c r="K23" s="637">
        <v>80</v>
      </c>
      <c r="L23" s="638">
        <f t="shared" si="3"/>
        <v>80</v>
      </c>
      <c r="M23" s="639">
        <f t="shared" si="1"/>
        <v>85.36</v>
      </c>
      <c r="N23" s="640"/>
      <c r="O23" s="641" t="str">
        <f t="shared" si="0"/>
        <v xml:space="preserve"> to </v>
      </c>
      <c r="P23" s="66"/>
      <c r="Q23" s="630"/>
    </row>
    <row r="24" spans="6:17" ht="14.4">
      <c r="F24" s="625"/>
      <c r="G24" s="626"/>
      <c r="H24" s="626"/>
      <c r="I24" s="626"/>
      <c r="J24" s="627">
        <f t="shared" si="2"/>
        <v>0</v>
      </c>
      <c r="K24" s="637">
        <v>80</v>
      </c>
      <c r="L24" s="638">
        <f t="shared" si="3"/>
        <v>80</v>
      </c>
      <c r="M24" s="639">
        <f t="shared" si="1"/>
        <v>85.36</v>
      </c>
      <c r="N24" s="640"/>
      <c r="O24" s="641" t="str">
        <f t="shared" si="0"/>
        <v xml:space="preserve"> to </v>
      </c>
      <c r="P24" s="66"/>
      <c r="Q24" s="630"/>
    </row>
    <row r="25" spans="6:17" ht="14.4">
      <c r="F25" s="625"/>
      <c r="G25" s="626"/>
      <c r="H25" s="626"/>
      <c r="I25" s="626"/>
      <c r="J25" s="627">
        <f t="shared" si="2"/>
        <v>0</v>
      </c>
      <c r="K25" s="637">
        <v>80</v>
      </c>
      <c r="L25" s="638">
        <f t="shared" si="3"/>
        <v>80</v>
      </c>
      <c r="M25" s="639">
        <f t="shared" si="1"/>
        <v>85.36</v>
      </c>
      <c r="N25" s="640"/>
      <c r="O25" s="641" t="str">
        <f t="shared" si="0"/>
        <v xml:space="preserve"> to </v>
      </c>
      <c r="P25" s="66"/>
      <c r="Q25" s="630"/>
    </row>
    <row r="26" spans="6:17" ht="14.4">
      <c r="F26" s="625"/>
      <c r="G26" s="626"/>
      <c r="H26" s="626"/>
      <c r="I26" s="626"/>
      <c r="J26" s="627">
        <f t="shared" si="2"/>
        <v>0</v>
      </c>
      <c r="K26" s="637">
        <v>80</v>
      </c>
      <c r="L26" s="638">
        <f t="shared" si="3"/>
        <v>80</v>
      </c>
      <c r="M26" s="639">
        <f t="shared" si="1"/>
        <v>85.36</v>
      </c>
      <c r="N26" s="640"/>
      <c r="O26" s="641" t="str">
        <f t="shared" si="0"/>
        <v xml:space="preserve"> to </v>
      </c>
      <c r="P26" s="66"/>
      <c r="Q26" s="630"/>
    </row>
    <row r="27" spans="6:17" ht="14.4">
      <c r="F27" s="625"/>
      <c r="G27" s="626"/>
      <c r="H27" s="626"/>
      <c r="I27" s="626"/>
      <c r="J27" s="627">
        <f t="shared" si="2"/>
        <v>0</v>
      </c>
      <c r="K27" s="637">
        <v>80</v>
      </c>
      <c r="L27" s="638">
        <f t="shared" si="3"/>
        <v>80</v>
      </c>
      <c r="M27" s="639">
        <f t="shared" si="1"/>
        <v>85.36</v>
      </c>
      <c r="N27" s="640"/>
      <c r="O27" s="641" t="str">
        <f t="shared" si="0"/>
        <v xml:space="preserve"> to </v>
      </c>
      <c r="P27" s="66"/>
      <c r="Q27" s="630"/>
    </row>
    <row r="28" spans="6:17" ht="14.4">
      <c r="F28" s="625"/>
      <c r="G28" s="626"/>
      <c r="H28" s="626"/>
      <c r="I28" s="626"/>
      <c r="J28" s="627">
        <f t="shared" si="2"/>
        <v>0</v>
      </c>
      <c r="K28" s="637">
        <v>80</v>
      </c>
      <c r="L28" s="638">
        <f t="shared" si="3"/>
        <v>80</v>
      </c>
      <c r="M28" s="639">
        <f t="shared" si="1"/>
        <v>85.36</v>
      </c>
      <c r="N28" s="640"/>
      <c r="O28" s="641" t="str">
        <f t="shared" si="0"/>
        <v xml:space="preserve"> to </v>
      </c>
      <c r="P28" s="66"/>
      <c r="Q28" s="630"/>
    </row>
    <row r="29" spans="6:17" ht="15" thickBot="1">
      <c r="F29" s="642"/>
      <c r="G29" s="643"/>
      <c r="H29" s="643"/>
      <c r="I29" s="643"/>
      <c r="J29" s="644">
        <f t="shared" si="2"/>
        <v>0</v>
      </c>
      <c r="K29" s="645">
        <v>80</v>
      </c>
      <c r="L29" s="646">
        <f t="shared" si="3"/>
        <v>80</v>
      </c>
      <c r="M29" s="647">
        <f>L29*1.067</f>
        <v>85.36</v>
      </c>
      <c r="N29" s="648"/>
      <c r="O29" s="649" t="str">
        <f t="shared" si="0"/>
        <v xml:space="preserve"> to </v>
      </c>
      <c r="P29" s="67"/>
      <c r="Q29" s="650"/>
    </row>
    <row r="37" spans="1:17">
      <c r="A37" s="615"/>
      <c r="B37" s="615"/>
      <c r="C37" s="615"/>
      <c r="D37" s="615"/>
      <c r="E37" s="615"/>
      <c r="F37" s="615"/>
      <c r="G37" s="615"/>
      <c r="H37" s="615"/>
      <c r="I37" s="615"/>
      <c r="J37" s="615"/>
      <c r="K37" s="615"/>
      <c r="L37" s="615"/>
      <c r="M37" s="615"/>
      <c r="N37" s="615"/>
      <c r="O37" s="616"/>
      <c r="P37" s="615"/>
      <c r="Q37" s="615"/>
    </row>
    <row r="38" spans="1:17">
      <c r="A38" s="615"/>
      <c r="B38" s="615"/>
      <c r="C38" s="615"/>
      <c r="D38" s="615"/>
      <c r="E38" s="615"/>
      <c r="F38" s="615"/>
      <c r="G38" s="615"/>
      <c r="H38" s="615"/>
      <c r="I38" s="615"/>
      <c r="J38" s="615"/>
      <c r="K38" s="615"/>
      <c r="L38" s="615"/>
      <c r="M38" s="615"/>
      <c r="N38" s="615"/>
      <c r="O38" s="616"/>
      <c r="P38" s="615"/>
      <c r="Q38" s="615"/>
    </row>
    <row r="39" spans="1:17">
      <c r="A39" s="615"/>
      <c r="B39" s="615"/>
      <c r="C39" s="615"/>
      <c r="D39" s="615"/>
      <c r="E39" s="615"/>
      <c r="F39" s="615"/>
      <c r="G39" s="615"/>
      <c r="H39" s="615"/>
      <c r="I39" s="615"/>
      <c r="J39" s="615"/>
      <c r="K39" s="615"/>
      <c r="L39" s="615"/>
      <c r="M39" s="615"/>
      <c r="N39" s="615"/>
      <c r="O39" s="616"/>
      <c r="P39" s="615"/>
      <c r="Q39" s="615"/>
    </row>
    <row r="40" spans="1:17" ht="13.8" thickBot="1">
      <c r="A40" s="615"/>
      <c r="B40" s="615"/>
      <c r="C40" s="615"/>
      <c r="D40" s="615"/>
      <c r="E40" s="615"/>
      <c r="F40" s="615"/>
      <c r="G40" s="615"/>
      <c r="H40" s="615"/>
      <c r="I40" s="615"/>
      <c r="J40" s="615"/>
      <c r="K40" s="615"/>
      <c r="L40" s="615"/>
      <c r="M40" s="615"/>
      <c r="N40" s="615"/>
      <c r="O40" s="616"/>
      <c r="P40" s="615"/>
      <c r="Q40" s="615"/>
    </row>
    <row r="41" spans="1:17" ht="15.6">
      <c r="A41" s="1407" t="s">
        <v>2481</v>
      </c>
      <c r="B41" s="1408"/>
      <c r="C41" s="1408"/>
      <c r="D41" s="1408"/>
      <c r="E41" s="1409"/>
      <c r="F41" s="1407" t="s">
        <v>2482</v>
      </c>
      <c r="G41" s="1408"/>
      <c r="H41" s="1408"/>
      <c r="I41" s="1408"/>
      <c r="J41" s="1409"/>
      <c r="K41" s="617" t="s">
        <v>2483</v>
      </c>
      <c r="L41" s="1412" t="s">
        <v>2484</v>
      </c>
      <c r="M41" s="1413"/>
      <c r="N41" s="1413"/>
      <c r="O41" s="1414"/>
      <c r="P41" s="1407" t="s">
        <v>2485</v>
      </c>
      <c r="Q41" s="1409"/>
    </row>
    <row r="42" spans="1:17" s="654" customFormat="1" ht="31.8" thickBot="1">
      <c r="A42" s="651" t="s">
        <v>2486</v>
      </c>
      <c r="B42" s="652" t="s">
        <v>2487</v>
      </c>
      <c r="C42" s="652" t="s">
        <v>2488</v>
      </c>
      <c r="D42" s="652" t="s">
        <v>2489</v>
      </c>
      <c r="E42" s="618" t="s">
        <v>2490</v>
      </c>
      <c r="F42" s="651" t="s">
        <v>2486</v>
      </c>
      <c r="G42" s="652" t="s">
        <v>2487</v>
      </c>
      <c r="H42" s="652" t="s">
        <v>2488</v>
      </c>
      <c r="I42" s="652" t="s">
        <v>2489</v>
      </c>
      <c r="J42" s="618" t="s">
        <v>2490</v>
      </c>
      <c r="K42" s="653" t="s">
        <v>2490</v>
      </c>
      <c r="L42" s="651" t="s">
        <v>2491</v>
      </c>
      <c r="M42" s="652" t="s">
        <v>2492</v>
      </c>
      <c r="N42" s="618" t="s">
        <v>2493</v>
      </c>
      <c r="O42" s="618" t="s">
        <v>2494</v>
      </c>
      <c r="P42" s="651" t="s">
        <v>2493</v>
      </c>
      <c r="Q42" s="618" t="s">
        <v>2495</v>
      </c>
    </row>
    <row r="43" spans="1:17">
      <c r="A43" s="619"/>
      <c r="B43" s="620"/>
      <c r="C43" s="620"/>
      <c r="D43" s="620"/>
      <c r="E43" s="621">
        <f>D43-B43</f>
        <v>0</v>
      </c>
      <c r="F43" s="622"/>
      <c r="G43" s="620"/>
      <c r="H43" s="620"/>
      <c r="I43" s="620"/>
      <c r="J43" s="623">
        <f>I43-G43</f>
        <v>0</v>
      </c>
      <c r="K43" s="1402">
        <v>20</v>
      </c>
      <c r="L43" s="1403">
        <f>E43+J43+E44+J44+K43</f>
        <v>20</v>
      </c>
      <c r="M43" s="1404">
        <f>L43*0.596</f>
        <v>11.92</v>
      </c>
      <c r="N43" s="1405"/>
      <c r="O43" s="1406" t="str">
        <f t="shared" ref="O43:O53" si="4">CONCATENATE(A43, " to ", C43," &amp; ",A44," to ",C44)</f>
        <v xml:space="preserve"> to  &amp;  to </v>
      </c>
      <c r="P43" s="63"/>
      <c r="Q43" s="624"/>
    </row>
    <row r="44" spans="1:17">
      <c r="A44" s="625"/>
      <c r="B44" s="626"/>
      <c r="C44" s="626"/>
      <c r="D44" s="626"/>
      <c r="E44" s="627">
        <f>D44-B44</f>
        <v>0</v>
      </c>
      <c r="F44" s="628"/>
      <c r="G44" s="626"/>
      <c r="H44" s="626"/>
      <c r="I44" s="626"/>
      <c r="J44" s="629">
        <f>I44-G44</f>
        <v>0</v>
      </c>
      <c r="K44" s="1393"/>
      <c r="L44" s="1394"/>
      <c r="M44" s="1395"/>
      <c r="N44" s="1396"/>
      <c r="O44" s="1397"/>
      <c r="P44" s="64"/>
      <c r="Q44" s="630"/>
    </row>
    <row r="45" spans="1:17">
      <c r="A45" s="625"/>
      <c r="B45" s="626"/>
      <c r="C45" s="626"/>
      <c r="D45" s="626"/>
      <c r="E45" s="627">
        <f t="shared" ref="E45:E54" si="5">D45-B45</f>
        <v>0</v>
      </c>
      <c r="F45" s="628"/>
      <c r="G45" s="626"/>
      <c r="H45" s="626"/>
      <c r="I45" s="626"/>
      <c r="J45" s="629">
        <f t="shared" ref="J45:J54" si="6">I45-G45</f>
        <v>0</v>
      </c>
      <c r="K45" s="1393">
        <v>20</v>
      </c>
      <c r="L45" s="1394">
        <f>E45+J45+E46+J46+K45</f>
        <v>20</v>
      </c>
      <c r="M45" s="1395">
        <f t="shared" ref="M45" si="7">L45*0.596</f>
        <v>11.92</v>
      </c>
      <c r="N45" s="1396"/>
      <c r="O45" s="1397" t="str">
        <f t="shared" si="4"/>
        <v xml:space="preserve"> to  &amp;  to </v>
      </c>
      <c r="P45" s="64"/>
      <c r="Q45" s="630"/>
    </row>
    <row r="46" spans="1:17">
      <c r="A46" s="625"/>
      <c r="B46" s="626"/>
      <c r="C46" s="626"/>
      <c r="D46" s="626"/>
      <c r="E46" s="627">
        <f t="shared" si="5"/>
        <v>0</v>
      </c>
      <c r="F46" s="628"/>
      <c r="G46" s="626"/>
      <c r="H46" s="626"/>
      <c r="I46" s="626"/>
      <c r="J46" s="629">
        <f t="shared" si="6"/>
        <v>0</v>
      </c>
      <c r="K46" s="1393"/>
      <c r="L46" s="1394"/>
      <c r="M46" s="1395"/>
      <c r="N46" s="1396"/>
      <c r="O46" s="1397"/>
      <c r="P46" s="64"/>
      <c r="Q46" s="630"/>
    </row>
    <row r="47" spans="1:17">
      <c r="A47" s="625"/>
      <c r="B47" s="626"/>
      <c r="C47" s="626"/>
      <c r="D47" s="626"/>
      <c r="E47" s="627">
        <f t="shared" si="5"/>
        <v>0</v>
      </c>
      <c r="F47" s="628"/>
      <c r="G47" s="626"/>
      <c r="H47" s="626"/>
      <c r="I47" s="626"/>
      <c r="J47" s="629">
        <f t="shared" si="6"/>
        <v>0</v>
      </c>
      <c r="K47" s="1393">
        <v>20</v>
      </c>
      <c r="L47" s="1394">
        <f t="shared" ref="L47" si="8">E47+J47+E48+J48+K47</f>
        <v>20</v>
      </c>
      <c r="M47" s="1395">
        <f t="shared" ref="M47" si="9">L47*0.596</f>
        <v>11.92</v>
      </c>
      <c r="N47" s="1396"/>
      <c r="O47" s="1397" t="str">
        <f t="shared" si="4"/>
        <v xml:space="preserve"> to  &amp;  to </v>
      </c>
      <c r="P47" s="64"/>
      <c r="Q47" s="630"/>
    </row>
    <row r="48" spans="1:17">
      <c r="A48" s="625"/>
      <c r="B48" s="626"/>
      <c r="C48" s="626"/>
      <c r="D48" s="626"/>
      <c r="E48" s="627">
        <f t="shared" si="5"/>
        <v>0</v>
      </c>
      <c r="F48" s="628"/>
      <c r="G48" s="626"/>
      <c r="H48" s="626"/>
      <c r="I48" s="626"/>
      <c r="J48" s="629">
        <f t="shared" si="6"/>
        <v>0</v>
      </c>
      <c r="K48" s="1393"/>
      <c r="L48" s="1394"/>
      <c r="M48" s="1395"/>
      <c r="N48" s="1396"/>
      <c r="O48" s="1397"/>
      <c r="P48" s="64"/>
      <c r="Q48" s="630"/>
    </row>
    <row r="49" spans="1:17">
      <c r="A49" s="625"/>
      <c r="B49" s="626"/>
      <c r="C49" s="626"/>
      <c r="D49" s="626"/>
      <c r="E49" s="627">
        <f t="shared" si="5"/>
        <v>0</v>
      </c>
      <c r="F49" s="628"/>
      <c r="G49" s="626"/>
      <c r="H49" s="626"/>
      <c r="I49" s="626"/>
      <c r="J49" s="629">
        <f t="shared" si="6"/>
        <v>0</v>
      </c>
      <c r="K49" s="1393">
        <v>20</v>
      </c>
      <c r="L49" s="1394">
        <f t="shared" ref="L49" si="10">E49+J49+E50+J50+K49</f>
        <v>20</v>
      </c>
      <c r="M49" s="1395">
        <f t="shared" ref="M49" si="11">L49*0.596</f>
        <v>11.92</v>
      </c>
      <c r="N49" s="1398"/>
      <c r="O49" s="1400" t="str">
        <f t="shared" si="4"/>
        <v xml:space="preserve"> to  &amp;  to </v>
      </c>
      <c r="P49" s="64"/>
      <c r="Q49" s="630"/>
    </row>
    <row r="50" spans="1:17">
      <c r="A50" s="625"/>
      <c r="B50" s="626"/>
      <c r="C50" s="626"/>
      <c r="D50" s="626"/>
      <c r="E50" s="627">
        <f t="shared" si="5"/>
        <v>0</v>
      </c>
      <c r="F50" s="628"/>
      <c r="G50" s="626"/>
      <c r="H50" s="626"/>
      <c r="I50" s="626"/>
      <c r="J50" s="629">
        <f t="shared" si="6"/>
        <v>0</v>
      </c>
      <c r="K50" s="1393"/>
      <c r="L50" s="1394"/>
      <c r="M50" s="1395"/>
      <c r="N50" s="1399"/>
      <c r="O50" s="1401"/>
      <c r="P50" s="64"/>
      <c r="Q50" s="630"/>
    </row>
    <row r="51" spans="1:17">
      <c r="A51" s="625"/>
      <c r="B51" s="626"/>
      <c r="C51" s="626"/>
      <c r="D51" s="626"/>
      <c r="E51" s="627">
        <f t="shared" si="5"/>
        <v>0</v>
      </c>
      <c r="F51" s="628"/>
      <c r="G51" s="626"/>
      <c r="H51" s="626"/>
      <c r="I51" s="626"/>
      <c r="J51" s="629">
        <f t="shared" si="6"/>
        <v>0</v>
      </c>
      <c r="K51" s="1393">
        <v>20</v>
      </c>
      <c r="L51" s="1394">
        <f t="shared" ref="L51" si="12">E51+J51+E52+J52+K51</f>
        <v>20</v>
      </c>
      <c r="M51" s="1395">
        <f t="shared" ref="M51" si="13">L51*0.596</f>
        <v>11.92</v>
      </c>
      <c r="N51" s="1396"/>
      <c r="O51" s="1397" t="str">
        <f t="shared" si="4"/>
        <v xml:space="preserve"> to  &amp;  to </v>
      </c>
      <c r="P51" s="64"/>
      <c r="Q51" s="630"/>
    </row>
    <row r="52" spans="1:17">
      <c r="A52" s="625"/>
      <c r="B52" s="626"/>
      <c r="C52" s="626"/>
      <c r="D52" s="626"/>
      <c r="E52" s="627">
        <f t="shared" si="5"/>
        <v>0</v>
      </c>
      <c r="F52" s="628"/>
      <c r="G52" s="626"/>
      <c r="H52" s="626"/>
      <c r="I52" s="626"/>
      <c r="J52" s="629">
        <f t="shared" si="6"/>
        <v>0</v>
      </c>
      <c r="K52" s="1393"/>
      <c r="L52" s="1394"/>
      <c r="M52" s="1395"/>
      <c r="N52" s="1396"/>
      <c r="O52" s="1397"/>
      <c r="P52" s="64"/>
      <c r="Q52" s="630"/>
    </row>
    <row r="53" spans="1:17">
      <c r="A53" s="625"/>
      <c r="B53" s="626"/>
      <c r="C53" s="626"/>
      <c r="D53" s="626"/>
      <c r="E53" s="627">
        <f t="shared" si="5"/>
        <v>0</v>
      </c>
      <c r="F53" s="628"/>
      <c r="G53" s="626"/>
      <c r="H53" s="626"/>
      <c r="I53" s="626"/>
      <c r="J53" s="629">
        <f t="shared" si="6"/>
        <v>0</v>
      </c>
      <c r="K53" s="1393">
        <v>20</v>
      </c>
      <c r="L53" s="1394">
        <f t="shared" ref="L53" si="14">E53+J53+E54+J54+K53</f>
        <v>20</v>
      </c>
      <c r="M53" s="1395">
        <f>L53*0.596</f>
        <v>11.92</v>
      </c>
      <c r="N53" s="1396"/>
      <c r="O53" s="1397" t="str">
        <f t="shared" si="4"/>
        <v xml:space="preserve"> to  &amp;  to </v>
      </c>
      <c r="P53" s="64"/>
      <c r="Q53" s="630"/>
    </row>
    <row r="54" spans="1:17">
      <c r="A54" s="625"/>
      <c r="B54" s="626"/>
      <c r="C54" s="626"/>
      <c r="D54" s="626"/>
      <c r="E54" s="627">
        <f t="shared" si="5"/>
        <v>0</v>
      </c>
      <c r="F54" s="628"/>
      <c r="G54" s="626"/>
      <c r="H54" s="626"/>
      <c r="I54" s="626"/>
      <c r="J54" s="629">
        <f t="shared" si="6"/>
        <v>0</v>
      </c>
      <c r="K54" s="1393"/>
      <c r="L54" s="1394"/>
      <c r="M54" s="1395"/>
      <c r="N54" s="1396"/>
      <c r="O54" s="1397"/>
      <c r="P54" s="64"/>
      <c r="Q54" s="630"/>
    </row>
  </sheetData>
  <mergeCells count="40">
    <mergeCell ref="A41:E41"/>
    <mergeCell ref="F41:J41"/>
    <mergeCell ref="A2:Q2"/>
    <mergeCell ref="L41:O41"/>
    <mergeCell ref="P41:Q41"/>
    <mergeCell ref="F14:J14"/>
    <mergeCell ref="L14:O14"/>
    <mergeCell ref="P14:Q14"/>
    <mergeCell ref="D4:J4"/>
    <mergeCell ref="D5:K5"/>
    <mergeCell ref="K43:K44"/>
    <mergeCell ref="L43:L44"/>
    <mergeCell ref="M43:M44"/>
    <mergeCell ref="N43:N44"/>
    <mergeCell ref="O43:O44"/>
    <mergeCell ref="K45:K46"/>
    <mergeCell ref="L45:L46"/>
    <mergeCell ref="M45:M46"/>
    <mergeCell ref="N45:N46"/>
    <mergeCell ref="O45:O46"/>
    <mergeCell ref="N49:N50"/>
    <mergeCell ref="O49:O50"/>
    <mergeCell ref="K47:K48"/>
    <mergeCell ref="L47:L48"/>
    <mergeCell ref="M47:M48"/>
    <mergeCell ref="N47:N48"/>
    <mergeCell ref="O47:O48"/>
    <mergeCell ref="K49:K50"/>
    <mergeCell ref="L49:L50"/>
    <mergeCell ref="M49:M50"/>
    <mergeCell ref="K53:K54"/>
    <mergeCell ref="L53:L54"/>
    <mergeCell ref="M53:M54"/>
    <mergeCell ref="N53:N54"/>
    <mergeCell ref="O53:O54"/>
    <mergeCell ref="K51:K52"/>
    <mergeCell ref="L51:L52"/>
    <mergeCell ref="M51:M52"/>
    <mergeCell ref="N51:N52"/>
    <mergeCell ref="O51:O52"/>
  </mergeCells>
  <dataValidations disablePrompts="1" count="2">
    <dataValidation type="list" allowBlank="1" showInputMessage="1" showErrorMessage="1" sqref="P16:P29" xr:uid="{00000000-0002-0000-0800-000000000000}">
      <formula1>$S$3:$S$6</formula1>
    </dataValidation>
    <dataValidation type="list" allowBlank="1" showInputMessage="1" showErrorMessage="1" sqref="P43:P54" xr:uid="{00000000-0002-0000-0800-000001000000}">
      <formula1>$X$3:$X$6</formula1>
    </dataValidation>
  </dataValidations>
  <pageMargins left="0.70866141732283472" right="0.70866141732283472" top="0.74803149606299213" bottom="0.74803149606299213" header="0.31496062992125984" footer="0.31496062992125984"/>
  <pageSetup paperSize="9" scale="54" orientation="landscape" r:id="rId1"/>
  <rowBreaks count="1" manualBreakCount="1">
    <brk id="58" max="1638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">
    <pageSetUpPr fitToPage="1"/>
  </sheetPr>
  <dimension ref="B2:D47"/>
  <sheetViews>
    <sheetView showZeros="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5" sqref="C15"/>
    </sheetView>
  </sheetViews>
  <sheetFormatPr baseColWidth="10" defaultColWidth="11.44140625" defaultRowHeight="13.2"/>
  <cols>
    <col min="1" max="1" width="2" style="14" customWidth="1"/>
    <col min="2" max="2" width="44" style="14" customWidth="1"/>
    <col min="3" max="4" width="20.6640625" style="22" customWidth="1"/>
    <col min="5" max="16384" width="11.44140625" style="14"/>
  </cols>
  <sheetData>
    <row r="2" spans="2:4" ht="13.8">
      <c r="B2" s="48" t="s">
        <v>2057</v>
      </c>
      <c r="C2" s="15"/>
      <c r="D2" s="15"/>
    </row>
    <row r="3" spans="2:4">
      <c r="B3" s="16"/>
      <c r="C3" s="15"/>
      <c r="D3" s="15"/>
    </row>
    <row r="4" spans="2:4">
      <c r="B4" s="31"/>
      <c r="C4" s="17" t="s">
        <v>56</v>
      </c>
      <c r="D4" s="40" t="s">
        <v>55</v>
      </c>
    </row>
    <row r="5" spans="2:4">
      <c r="B5" s="32" t="s">
        <v>210</v>
      </c>
      <c r="C5" s="25">
        <f>607*2</f>
        <v>1214</v>
      </c>
      <c r="D5" s="46"/>
    </row>
    <row r="6" spans="2:4">
      <c r="B6" s="29"/>
      <c r="C6" s="18"/>
      <c r="D6" s="41"/>
    </row>
    <row r="7" spans="2:4">
      <c r="B7" s="33" t="s">
        <v>211</v>
      </c>
      <c r="C7" s="18">
        <f>SUM('Mediciones TOTAL-OLD'!G19:G25)</f>
        <v>0</v>
      </c>
      <c r="D7" s="41"/>
    </row>
    <row r="8" spans="2:4">
      <c r="B8" s="33" t="s">
        <v>212</v>
      </c>
      <c r="C8" s="18">
        <f>+'Mediciones TOTAL-OLD'!G26</f>
        <v>0</v>
      </c>
      <c r="D8" s="41"/>
    </row>
    <row r="9" spans="2:4">
      <c r="B9" s="33"/>
      <c r="C9" s="18"/>
      <c r="D9" s="41"/>
    </row>
    <row r="10" spans="2:4" ht="12.75" customHeight="1">
      <c r="B10" s="32" t="s">
        <v>61</v>
      </c>
      <c r="C10" s="23">
        <f>SUM(C7:C8)</f>
        <v>0</v>
      </c>
      <c r="D10" s="23"/>
    </row>
    <row r="11" spans="2:4" ht="15" customHeight="1">
      <c r="B11" s="33"/>
      <c r="C11" s="18"/>
      <c r="D11" s="41"/>
    </row>
    <row r="12" spans="2:4" ht="15" customHeight="1">
      <c r="B12" s="33" t="s">
        <v>213</v>
      </c>
      <c r="C12" s="18">
        <f>SUM('Mediciones TOTAL-OLD'!G37:G70)</f>
        <v>74</v>
      </c>
      <c r="D12" s="41"/>
    </row>
    <row r="13" spans="2:4">
      <c r="B13" s="34" t="s">
        <v>63</v>
      </c>
      <c r="C13" s="26"/>
      <c r="D13" s="41"/>
    </row>
    <row r="14" spans="2:4">
      <c r="B14" s="33" t="s">
        <v>214</v>
      </c>
      <c r="C14" s="18">
        <f>'Mediciones TOTAL-OLD'!G84</f>
        <v>561</v>
      </c>
      <c r="D14" s="41"/>
    </row>
    <row r="15" spans="2:4">
      <c r="B15" s="33" t="s">
        <v>215</v>
      </c>
      <c r="C15" s="18">
        <f>'Mediciones TOTAL-OLD'!G85</f>
        <v>104</v>
      </c>
      <c r="D15" s="41"/>
    </row>
    <row r="16" spans="2:4">
      <c r="B16" s="33" t="s">
        <v>216</v>
      </c>
      <c r="C16" s="18">
        <f>'Mediciones TOTAL-OLD'!G78</f>
        <v>0</v>
      </c>
      <c r="D16" s="41"/>
    </row>
    <row r="17" spans="2:4">
      <c r="B17" s="33" t="s">
        <v>60</v>
      </c>
      <c r="C17" s="18">
        <f>'Mediciones TOTAL-OLD'!G81</f>
        <v>0</v>
      </c>
      <c r="D17" s="41"/>
    </row>
    <row r="18" spans="2:4">
      <c r="B18" s="33"/>
      <c r="C18" s="18"/>
      <c r="D18" s="41"/>
    </row>
    <row r="19" spans="2:4">
      <c r="B19" s="32" t="s">
        <v>62</v>
      </c>
      <c r="C19" s="23">
        <f>SUM(C12:C18)</f>
        <v>739</v>
      </c>
      <c r="D19" s="23"/>
    </row>
    <row r="20" spans="2:4">
      <c r="B20" s="35"/>
      <c r="C20" s="18"/>
      <c r="D20" s="41"/>
    </row>
    <row r="21" spans="2:4">
      <c r="B21" s="594" t="s">
        <v>2464</v>
      </c>
      <c r="C21" s="18">
        <f>+SUM('Mediciones TOTAL-OLD'!G72:G76)</f>
        <v>0</v>
      </c>
      <c r="D21" s="41"/>
    </row>
    <row r="22" spans="2:4">
      <c r="B22" s="33"/>
      <c r="C22" s="18"/>
      <c r="D22" s="41"/>
    </row>
    <row r="23" spans="2:4">
      <c r="B23" s="29"/>
      <c r="C23" s="18"/>
      <c r="D23" s="41"/>
    </row>
    <row r="24" spans="2:4">
      <c r="B24" s="32" t="s">
        <v>217</v>
      </c>
      <c r="C24" s="23">
        <f>+SUM('Mediciones TOTAL-OLD'!G116:G127)</f>
        <v>880</v>
      </c>
      <c r="D24" s="42"/>
    </row>
    <row r="25" spans="2:4">
      <c r="B25" s="35"/>
      <c r="C25" s="18"/>
      <c r="D25" s="41"/>
    </row>
    <row r="26" spans="2:4">
      <c r="B26" s="36" t="s">
        <v>218</v>
      </c>
      <c r="C26" s="20">
        <f>+C24/C5</f>
        <v>0.72487644151565078</v>
      </c>
      <c r="D26" s="43"/>
    </row>
    <row r="27" spans="2:4">
      <c r="B27" s="29"/>
      <c r="C27" s="18"/>
      <c r="D27" s="41"/>
    </row>
    <row r="28" spans="2:4">
      <c r="B28" s="32" t="s">
        <v>382</v>
      </c>
      <c r="C28" s="23"/>
      <c r="D28" s="42"/>
    </row>
    <row r="29" spans="2:4">
      <c r="B29" s="29"/>
      <c r="C29" s="18"/>
      <c r="D29" s="41"/>
    </row>
    <row r="30" spans="2:4">
      <c r="B30" s="35" t="s">
        <v>219</v>
      </c>
      <c r="C30" s="487">
        <f>'Mediciones TOTAL-OLD'!G146</f>
        <v>44.787500000000001</v>
      </c>
      <c r="D30" s="27"/>
    </row>
    <row r="31" spans="2:4">
      <c r="B31" s="35" t="s">
        <v>220</v>
      </c>
      <c r="C31" s="487">
        <f>'Mediciones TOTAL-OLD'!G174-C32</f>
        <v>-26.200000000000003</v>
      </c>
      <c r="D31" s="27"/>
    </row>
    <row r="32" spans="2:4">
      <c r="B32" s="35" t="s">
        <v>66</v>
      </c>
      <c r="C32" s="487">
        <f>(37-18)*2*2</f>
        <v>76</v>
      </c>
      <c r="D32" s="27"/>
    </row>
    <row r="33" spans="2:4">
      <c r="B33" s="35" t="s">
        <v>221</v>
      </c>
      <c r="C33" s="28">
        <f>'Mediciones TOTAL-OLD'!G175</f>
        <v>0</v>
      </c>
      <c r="D33" s="27"/>
    </row>
    <row r="34" spans="2:4" ht="9" customHeight="1">
      <c r="B34" s="29"/>
      <c r="C34" s="21"/>
      <c r="D34" s="30"/>
    </row>
    <row r="35" spans="2:4">
      <c r="B35" s="37" t="s">
        <v>222</v>
      </c>
      <c r="C35" s="24" t="e">
        <f>+C30/C28*1000</f>
        <v>#DIV/0!</v>
      </c>
      <c r="D35" s="44"/>
    </row>
    <row r="36" spans="2:4">
      <c r="B36" s="29"/>
      <c r="C36" s="21"/>
      <c r="D36" s="30"/>
    </row>
    <row r="37" spans="2:4">
      <c r="B37" s="32" t="s">
        <v>223</v>
      </c>
      <c r="C37" s="19"/>
      <c r="D37" s="45"/>
    </row>
    <row r="38" spans="2:4">
      <c r="B38" s="33" t="s">
        <v>224</v>
      </c>
      <c r="C38" s="23">
        <f>SUM('Mediciones TOTAL-OLD'!G87:G88)</f>
        <v>-16</v>
      </c>
      <c r="D38" s="42"/>
    </row>
    <row r="39" spans="2:4">
      <c r="B39" s="38" t="s">
        <v>225</v>
      </c>
      <c r="C39" s="18"/>
      <c r="D39" s="41"/>
    </row>
    <row r="40" spans="2:4">
      <c r="B40" s="33" t="s">
        <v>226</v>
      </c>
      <c r="C40" s="18">
        <f>'Mediciones TOTAL-OLD'!G150</f>
        <v>0</v>
      </c>
      <c r="D40" s="41"/>
    </row>
    <row r="41" spans="2:4">
      <c r="B41" s="33" t="s">
        <v>227</v>
      </c>
      <c r="C41" s="18">
        <f>'Mediciones TOTAL-OLD'!G151</f>
        <v>0</v>
      </c>
      <c r="D41" s="41"/>
    </row>
    <row r="42" spans="2:4">
      <c r="B42" s="34" t="s">
        <v>383</v>
      </c>
      <c r="C42" s="18"/>
      <c r="D42" s="41"/>
    </row>
    <row r="43" spans="2:4">
      <c r="B43" s="33" t="s">
        <v>228</v>
      </c>
      <c r="C43" s="18">
        <f>'Mediciones TOTAL-OLD'!G152</f>
        <v>2</v>
      </c>
      <c r="D43" s="41"/>
    </row>
    <row r="44" spans="2:4">
      <c r="B44" s="33" t="s">
        <v>67</v>
      </c>
      <c r="C44" s="18">
        <f>'Mediciones TOTAL-OLD'!G178</f>
        <v>0</v>
      </c>
      <c r="D44" s="41"/>
    </row>
    <row r="45" spans="2:4">
      <c r="B45" s="33" t="s">
        <v>68</v>
      </c>
      <c r="C45" s="18"/>
      <c r="D45" s="41"/>
    </row>
    <row r="46" spans="2:4">
      <c r="B46" s="39" t="s">
        <v>229</v>
      </c>
      <c r="C46" s="18"/>
      <c r="D46" s="41"/>
    </row>
    <row r="47" spans="2:4">
      <c r="B47" s="39" t="s">
        <v>230</v>
      </c>
      <c r="C47" s="25">
        <f>+SUM(C40:C41)+C43*2+SUM(C44:C46)*2-C42</f>
        <v>4</v>
      </c>
      <c r="D47" s="25"/>
    </row>
  </sheetData>
  <phoneticPr fontId="0" type="noConversion"/>
  <printOptions horizontalCentered="1"/>
  <pageMargins left="0.78740157480314965" right="0.78740157480314965" top="0.35433070866141736" bottom="0.78740157480314965" header="0" footer="0"/>
  <pageSetup paperSize="9" scale="86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>
    <pageSetUpPr fitToPage="1"/>
  </sheetPr>
  <dimension ref="A1:AB1018"/>
  <sheetViews>
    <sheetView showZeros="0" tabSelected="1" zoomScale="70" zoomScaleNormal="70" workbookViewId="0">
      <pane ySplit="2" topLeftCell="A136" activePane="bottomLeft" state="frozen"/>
      <selection activeCell="H12" sqref="H12"/>
      <selection pane="bottomLeft" activeCell="A148" sqref="A148:XFD148"/>
    </sheetView>
  </sheetViews>
  <sheetFormatPr baseColWidth="10" defaultColWidth="11.44140625" defaultRowHeight="13.8"/>
  <cols>
    <col min="1" max="1" width="17.5546875" style="817" customWidth="1"/>
    <col min="2" max="2" width="19.88671875" style="818" customWidth="1"/>
    <col min="3" max="3" width="27.44140625" style="1184" customWidth="1"/>
    <col min="4" max="4" width="13.109375" style="816" customWidth="1"/>
    <col min="5" max="5" width="63.44140625" style="1185" customWidth="1"/>
    <col min="6" max="6" width="12.88671875" style="818" customWidth="1"/>
    <col min="7" max="7" width="11.44140625" style="817" customWidth="1"/>
    <col min="8" max="9" width="11.44140625" style="818"/>
    <col min="10" max="10" width="11.44140625" style="819"/>
    <col min="11" max="11" width="11.44140625" style="818"/>
    <col min="12" max="14" width="11.44140625" style="819"/>
    <col min="15" max="15" width="7.109375" style="819" bestFit="1" customWidth="1"/>
    <col min="16" max="19" width="7.109375" style="819" customWidth="1"/>
    <col min="20" max="20" width="11.44140625" style="819"/>
    <col min="21" max="21" width="12.109375" style="819" customWidth="1"/>
    <col min="22" max="22" width="7.109375" style="819" bestFit="1" customWidth="1"/>
    <col min="23" max="25" width="7.109375" style="819" customWidth="1"/>
    <col min="26" max="26" width="7.109375" style="819" bestFit="1" customWidth="1"/>
    <col min="27" max="27" width="11.44140625" style="818"/>
    <col min="28" max="28" width="63.44140625" style="1184" customWidth="1"/>
    <col min="29" max="16384" width="11.44140625" style="819"/>
  </cols>
  <sheetData>
    <row r="1" spans="1:28" ht="24" customHeight="1">
      <c r="A1" s="815"/>
      <c r="B1" s="815" t="s">
        <v>495</v>
      </c>
      <c r="C1" s="816"/>
      <c r="E1" s="816"/>
      <c r="F1" s="815"/>
      <c r="AB1" s="821"/>
    </row>
    <row r="2" spans="1:28" s="824" customFormat="1" ht="19.95" customHeight="1">
      <c r="A2" s="822" t="s">
        <v>893</v>
      </c>
      <c r="B2" s="822" t="s">
        <v>920</v>
      </c>
      <c r="C2" s="823" t="s">
        <v>902</v>
      </c>
      <c r="D2" s="823" t="s">
        <v>497</v>
      </c>
      <c r="E2" s="823" t="s">
        <v>498</v>
      </c>
      <c r="F2" s="822" t="s">
        <v>496</v>
      </c>
      <c r="G2" s="822" t="s">
        <v>200</v>
      </c>
      <c r="H2" s="822" t="s">
        <v>499</v>
      </c>
      <c r="I2" s="822" t="s">
        <v>500</v>
      </c>
      <c r="J2" s="822" t="s">
        <v>501</v>
      </c>
      <c r="K2" s="822" t="s">
        <v>502</v>
      </c>
      <c r="L2" s="822" t="s">
        <v>2049</v>
      </c>
      <c r="M2" s="822" t="s">
        <v>2048</v>
      </c>
      <c r="N2" s="817"/>
      <c r="AB2" s="825" t="s">
        <v>2266</v>
      </c>
    </row>
    <row r="3" spans="1:28" ht="24.6" customHeight="1">
      <c r="A3" s="254" t="s">
        <v>894</v>
      </c>
      <c r="B3" s="826"/>
      <c r="C3" s="827"/>
      <c r="D3" s="828" t="s">
        <v>699</v>
      </c>
      <c r="E3" s="829" t="s">
        <v>201</v>
      </c>
      <c r="F3" s="830" t="s">
        <v>698</v>
      </c>
      <c r="G3" s="831">
        <f>SUM(H3:M3)</f>
        <v>0</v>
      </c>
      <c r="H3" s="832"/>
      <c r="I3" s="832"/>
      <c r="J3" s="832"/>
      <c r="K3" s="832"/>
      <c r="L3" s="832"/>
      <c r="M3" s="833"/>
      <c r="N3" s="818"/>
      <c r="AA3" s="819"/>
      <c r="AB3" s="834" t="s">
        <v>2080</v>
      </c>
    </row>
    <row r="4" spans="1:28" ht="34.950000000000003" customHeight="1">
      <c r="A4" s="835"/>
      <c r="B4" s="836"/>
      <c r="C4" s="837" t="s">
        <v>235</v>
      </c>
      <c r="D4" s="837" t="s">
        <v>235</v>
      </c>
      <c r="E4" s="837" t="s">
        <v>2711</v>
      </c>
      <c r="F4" s="838"/>
      <c r="G4" s="839">
        <f t="shared" ref="G4:G22" si="0">SUM(H4:M4)</f>
        <v>2</v>
      </c>
      <c r="H4" s="840">
        <f>COUNTIF(Area_v1,"C3")+COUNTIF(Area_v1,"C3 *")</f>
        <v>1</v>
      </c>
      <c r="I4" s="841">
        <f>COUNTIF(Area_v2,"C3")+COUNTIF(Area_v2,"C3 *")</f>
        <v>1</v>
      </c>
      <c r="J4" s="841">
        <f>COUNTIF(Area_v3,"C3")+COUNTIF(Area_v3,"C3 *")</f>
        <v>0</v>
      </c>
      <c r="K4" s="841">
        <f>COUNTIF(Area_v4,"C3")+COUNTIF(Area_v4,"C3 *")</f>
        <v>0</v>
      </c>
      <c r="L4" s="841"/>
      <c r="M4" s="842"/>
      <c r="N4" s="818"/>
      <c r="AA4" s="819"/>
      <c r="AB4" s="843" t="s">
        <v>2711</v>
      </c>
    </row>
    <row r="5" spans="1:28" s="852" customFormat="1" ht="49.2" customHeight="1">
      <c r="A5" s="844"/>
      <c r="B5" s="845"/>
      <c r="C5" s="846" t="s">
        <v>2712</v>
      </c>
      <c r="D5" s="846" t="s">
        <v>2712</v>
      </c>
      <c r="E5" s="846" t="s">
        <v>2713</v>
      </c>
      <c r="F5" s="847"/>
      <c r="G5" s="848">
        <f t="shared" si="0"/>
        <v>0</v>
      </c>
      <c r="H5" s="849">
        <f>COUNTIF(Area_v1,$C5)</f>
        <v>0</v>
      </c>
      <c r="I5" s="850">
        <f>COUNTIF(Area_v2,$C5)</f>
        <v>0</v>
      </c>
      <c r="J5" s="850">
        <f>COUNTIF(Area_v3,$C5)</f>
        <v>0</v>
      </c>
      <c r="K5" s="850">
        <f>COUNTIF(Area_v4,$C5)</f>
        <v>0</v>
      </c>
      <c r="L5" s="850"/>
      <c r="M5" s="851"/>
      <c r="N5" s="818"/>
      <c r="O5" s="819"/>
      <c r="P5" s="819"/>
      <c r="Q5" s="819"/>
      <c r="R5" s="819"/>
      <c r="S5" s="819"/>
      <c r="T5" s="819"/>
      <c r="V5" s="819"/>
      <c r="W5" s="819"/>
      <c r="X5" s="819"/>
      <c r="Y5" s="819"/>
      <c r="Z5" s="819"/>
      <c r="AA5" s="819"/>
      <c r="AB5" s="853" t="s">
        <v>2713</v>
      </c>
    </row>
    <row r="6" spans="1:28" ht="49.2" customHeight="1">
      <c r="A6" s="854" t="s">
        <v>894</v>
      </c>
      <c r="B6" s="855" t="s">
        <v>901</v>
      </c>
      <c r="C6" s="846" t="s">
        <v>2714</v>
      </c>
      <c r="D6" s="846" t="s">
        <v>2714</v>
      </c>
      <c r="E6" s="856" t="s">
        <v>2715</v>
      </c>
      <c r="F6" s="857"/>
      <c r="G6" s="848">
        <f t="shared" si="0"/>
        <v>0</v>
      </c>
      <c r="H6" s="858">
        <f t="shared" ref="H6:H22" si="1">COUNTIF(Area_v1,$C6)</f>
        <v>0</v>
      </c>
      <c r="I6" s="859">
        <f t="shared" ref="I6:I22" si="2">COUNTIF(Area_v2,$C6)</f>
        <v>0</v>
      </c>
      <c r="J6" s="859">
        <f t="shared" ref="J6:J22" si="3">COUNTIF(Area_v3,$C6)</f>
        <v>0</v>
      </c>
      <c r="K6" s="859">
        <f t="shared" ref="K6:K22" si="4">COUNTIF(Area_v4,$C6)</f>
        <v>0</v>
      </c>
      <c r="L6" s="859"/>
      <c r="M6" s="860"/>
      <c r="N6" s="818"/>
      <c r="AA6" s="819"/>
      <c r="AB6" s="861" t="s">
        <v>2715</v>
      </c>
    </row>
    <row r="7" spans="1:28" ht="34.950000000000003" customHeight="1">
      <c r="A7" s="862"/>
      <c r="B7" s="863"/>
      <c r="C7" s="846" t="s">
        <v>234</v>
      </c>
      <c r="D7" s="846" t="s">
        <v>234</v>
      </c>
      <c r="E7" s="846" t="s">
        <v>2716</v>
      </c>
      <c r="F7" s="857"/>
      <c r="G7" s="848">
        <f t="shared" si="0"/>
        <v>2</v>
      </c>
      <c r="H7" s="849">
        <f>COUNTIF(Area_v1,"C4")+COUNTIF(Area_v1,"C4 *")</f>
        <v>1</v>
      </c>
      <c r="I7" s="859">
        <f>COUNTIF(Area_v2,"C4")+COUNTIF(Area_v2,"C4 *")</f>
        <v>1</v>
      </c>
      <c r="J7" s="859">
        <f>COUNTIF(Area_v3,"C4")+COUNTIF(Area_v3,"C4 *")</f>
        <v>0</v>
      </c>
      <c r="K7" s="859">
        <f>COUNTIF(Area_v4,"C4")+COUNTIF(Area_v4,"C4 *")</f>
        <v>0</v>
      </c>
      <c r="L7" s="859"/>
      <c r="M7" s="860"/>
      <c r="N7" s="818"/>
      <c r="AA7" s="819"/>
      <c r="AB7" s="861"/>
    </row>
    <row r="8" spans="1:28" ht="49.2" customHeight="1">
      <c r="A8" s="862"/>
      <c r="B8" s="863"/>
      <c r="C8" s="846" t="s">
        <v>2717</v>
      </c>
      <c r="D8" s="846" t="s">
        <v>2717</v>
      </c>
      <c r="E8" s="846" t="s">
        <v>2718</v>
      </c>
      <c r="F8" s="857"/>
      <c r="G8" s="848">
        <f t="shared" si="0"/>
        <v>0</v>
      </c>
      <c r="H8" s="858">
        <f t="shared" si="1"/>
        <v>0</v>
      </c>
      <c r="I8" s="859">
        <f t="shared" si="2"/>
        <v>0</v>
      </c>
      <c r="J8" s="859">
        <f t="shared" si="3"/>
        <v>0</v>
      </c>
      <c r="K8" s="859">
        <f t="shared" si="4"/>
        <v>0</v>
      </c>
      <c r="L8" s="859"/>
      <c r="M8" s="860"/>
      <c r="N8" s="818"/>
      <c r="AA8" s="819"/>
      <c r="AB8" s="861"/>
    </row>
    <row r="9" spans="1:28" ht="49.2" customHeight="1">
      <c r="A9" s="862"/>
      <c r="B9" s="863"/>
      <c r="C9" s="846" t="s">
        <v>2719</v>
      </c>
      <c r="D9" s="846" t="s">
        <v>2719</v>
      </c>
      <c r="E9" s="846" t="s">
        <v>2720</v>
      </c>
      <c r="F9" s="857"/>
      <c r="G9" s="848">
        <f t="shared" si="0"/>
        <v>0</v>
      </c>
      <c r="H9" s="858">
        <f t="shared" si="1"/>
        <v>0</v>
      </c>
      <c r="I9" s="859">
        <f t="shared" si="2"/>
        <v>0</v>
      </c>
      <c r="J9" s="859">
        <f t="shared" si="3"/>
        <v>0</v>
      </c>
      <c r="K9" s="859">
        <f t="shared" si="4"/>
        <v>0</v>
      </c>
      <c r="L9" s="859"/>
      <c r="M9" s="860"/>
      <c r="N9" s="818"/>
      <c r="AA9" s="819"/>
      <c r="AB9" s="861"/>
    </row>
    <row r="10" spans="1:28" ht="34.950000000000003" customHeight="1">
      <c r="A10" s="864"/>
      <c r="B10" s="855"/>
      <c r="C10" s="846" t="s">
        <v>237</v>
      </c>
      <c r="D10" s="846" t="s">
        <v>237</v>
      </c>
      <c r="E10" s="846" t="s">
        <v>2721</v>
      </c>
      <c r="F10" s="857"/>
      <c r="G10" s="848">
        <f t="shared" si="0"/>
        <v>0</v>
      </c>
      <c r="H10" s="849">
        <f>COUNTIF(Area_v1,"C5")+COUNTIF(Area_v1,"C5 *")</f>
        <v>0</v>
      </c>
      <c r="I10" s="859">
        <f>COUNTIF(Area_v2,"C5")+COUNTIF(Area_v2,"C5 *")</f>
        <v>0</v>
      </c>
      <c r="J10" s="859">
        <f>COUNTIF(Area_v3,"C5")+COUNTIF(Area_v3,"C5 *")</f>
        <v>0</v>
      </c>
      <c r="K10" s="859">
        <f>COUNTIF(Area_v4,"C5")+COUNTIF(Area_v4,"C5 *")</f>
        <v>0</v>
      </c>
      <c r="L10" s="859"/>
      <c r="M10" s="860"/>
      <c r="N10" s="818"/>
      <c r="AA10" s="819"/>
      <c r="AB10" s="861"/>
    </row>
    <row r="11" spans="1:28" ht="49.2" customHeight="1">
      <c r="A11" s="864"/>
      <c r="B11" s="855"/>
      <c r="C11" s="846" t="s">
        <v>2722</v>
      </c>
      <c r="D11" s="846" t="s">
        <v>2722</v>
      </c>
      <c r="E11" s="846" t="s">
        <v>2723</v>
      </c>
      <c r="F11" s="857"/>
      <c r="G11" s="848">
        <f t="shared" si="0"/>
        <v>0</v>
      </c>
      <c r="H11" s="858">
        <f t="shared" si="1"/>
        <v>0</v>
      </c>
      <c r="I11" s="859">
        <f t="shared" si="2"/>
        <v>0</v>
      </c>
      <c r="J11" s="859">
        <f t="shared" si="3"/>
        <v>0</v>
      </c>
      <c r="K11" s="859">
        <f t="shared" si="4"/>
        <v>0</v>
      </c>
      <c r="L11" s="859"/>
      <c r="M11" s="860"/>
      <c r="N11" s="818"/>
      <c r="AA11" s="819"/>
      <c r="AB11" s="861"/>
    </row>
    <row r="12" spans="1:28" ht="49.2" customHeight="1">
      <c r="A12" s="864"/>
      <c r="B12" s="855"/>
      <c r="C12" s="846" t="s">
        <v>2724</v>
      </c>
      <c r="D12" s="846" t="s">
        <v>2724</v>
      </c>
      <c r="E12" s="846" t="s">
        <v>2725</v>
      </c>
      <c r="F12" s="857"/>
      <c r="G12" s="848">
        <f t="shared" si="0"/>
        <v>0</v>
      </c>
      <c r="H12" s="858">
        <f t="shared" si="1"/>
        <v>0</v>
      </c>
      <c r="I12" s="859">
        <f t="shared" si="2"/>
        <v>0</v>
      </c>
      <c r="J12" s="859">
        <f t="shared" si="3"/>
        <v>0</v>
      </c>
      <c r="K12" s="859">
        <f t="shared" si="4"/>
        <v>0</v>
      </c>
      <c r="L12" s="859"/>
      <c r="M12" s="860"/>
      <c r="N12" s="818"/>
      <c r="AA12" s="819"/>
      <c r="AB12" s="861"/>
    </row>
    <row r="13" spans="1:28" ht="34.950000000000003" customHeight="1">
      <c r="A13" s="862"/>
      <c r="B13" s="863"/>
      <c r="C13" s="846" t="s">
        <v>1099</v>
      </c>
      <c r="D13" s="846" t="s">
        <v>1099</v>
      </c>
      <c r="E13" s="846" t="s">
        <v>2726</v>
      </c>
      <c r="F13" s="857"/>
      <c r="G13" s="848">
        <f t="shared" si="0"/>
        <v>0</v>
      </c>
      <c r="H13" s="849">
        <f>COUNTIF(Area_v1,"C6")+COUNTIF(Area_v1,"C6 *")</f>
        <v>0</v>
      </c>
      <c r="I13" s="859">
        <f>COUNTIF(Area_v2,"C6")+COUNTIF(Area_v2,"C6 *")</f>
        <v>0</v>
      </c>
      <c r="J13" s="859">
        <f>COUNTIF(Area_v3,"C6")+COUNTIF(Area_v3,"C6 *")</f>
        <v>0</v>
      </c>
      <c r="K13" s="859">
        <f>COUNTIF(Area_v4,"C6")+COUNTIF(Area_v4,"C6 *")</f>
        <v>0</v>
      </c>
      <c r="L13" s="859"/>
      <c r="M13" s="860"/>
      <c r="N13" s="818"/>
      <c r="AA13" s="819"/>
      <c r="AB13" s="861"/>
    </row>
    <row r="14" spans="1:28" ht="49.2" customHeight="1">
      <c r="A14" s="862"/>
      <c r="B14" s="863"/>
      <c r="C14" s="846" t="s">
        <v>2727</v>
      </c>
      <c r="D14" s="846" t="s">
        <v>2727</v>
      </c>
      <c r="E14" s="846" t="s">
        <v>2728</v>
      </c>
      <c r="F14" s="857"/>
      <c r="G14" s="848">
        <f t="shared" si="0"/>
        <v>0</v>
      </c>
      <c r="H14" s="858">
        <f t="shared" si="1"/>
        <v>0</v>
      </c>
      <c r="I14" s="859">
        <f t="shared" si="2"/>
        <v>0</v>
      </c>
      <c r="J14" s="859">
        <f t="shared" si="3"/>
        <v>0</v>
      </c>
      <c r="K14" s="859">
        <f t="shared" si="4"/>
        <v>0</v>
      </c>
      <c r="L14" s="859"/>
      <c r="M14" s="860"/>
      <c r="N14" s="818"/>
      <c r="AA14" s="819"/>
      <c r="AB14" s="861"/>
    </row>
    <row r="15" spans="1:28" ht="49.2" customHeight="1">
      <c r="A15" s="862"/>
      <c r="B15" s="863"/>
      <c r="C15" s="846" t="s">
        <v>2729</v>
      </c>
      <c r="D15" s="846" t="s">
        <v>2729</v>
      </c>
      <c r="E15" s="846" t="s">
        <v>2730</v>
      </c>
      <c r="F15" s="857"/>
      <c r="G15" s="848">
        <f t="shared" si="0"/>
        <v>0</v>
      </c>
      <c r="H15" s="858">
        <f t="shared" si="1"/>
        <v>0</v>
      </c>
      <c r="I15" s="859">
        <f t="shared" si="2"/>
        <v>0</v>
      </c>
      <c r="J15" s="859">
        <f t="shared" si="3"/>
        <v>0</v>
      </c>
      <c r="K15" s="859">
        <f t="shared" si="4"/>
        <v>0</v>
      </c>
      <c r="L15" s="859"/>
      <c r="M15" s="860"/>
      <c r="N15" s="818"/>
      <c r="AA15" s="819"/>
      <c r="AB15" s="861"/>
    </row>
    <row r="16" spans="1:28" ht="34.950000000000003" customHeight="1">
      <c r="A16" s="864"/>
      <c r="B16" s="855"/>
      <c r="C16" s="846" t="s">
        <v>2477</v>
      </c>
      <c r="D16" s="846" t="s">
        <v>2477</v>
      </c>
      <c r="E16" s="846" t="s">
        <v>2731</v>
      </c>
      <c r="F16" s="857"/>
      <c r="G16" s="848">
        <f t="shared" si="0"/>
        <v>0</v>
      </c>
      <c r="H16" s="858">
        <f t="shared" si="1"/>
        <v>0</v>
      </c>
      <c r="I16" s="859">
        <f t="shared" si="2"/>
        <v>0</v>
      </c>
      <c r="J16" s="859">
        <f t="shared" si="3"/>
        <v>0</v>
      </c>
      <c r="K16" s="859">
        <f t="shared" si="4"/>
        <v>0</v>
      </c>
      <c r="L16" s="859"/>
      <c r="M16" s="860"/>
      <c r="N16" s="818"/>
      <c r="AA16" s="819"/>
      <c r="AB16" s="861"/>
    </row>
    <row r="17" spans="1:28" ht="49.2" customHeight="1">
      <c r="A17" s="864"/>
      <c r="B17" s="855"/>
      <c r="C17" s="846" t="s">
        <v>2732</v>
      </c>
      <c r="D17" s="846" t="s">
        <v>2732</v>
      </c>
      <c r="E17" s="846" t="s">
        <v>2733</v>
      </c>
      <c r="F17" s="857"/>
      <c r="G17" s="848">
        <f t="shared" si="0"/>
        <v>0</v>
      </c>
      <c r="H17" s="858">
        <f t="shared" si="1"/>
        <v>0</v>
      </c>
      <c r="I17" s="859">
        <f t="shared" si="2"/>
        <v>0</v>
      </c>
      <c r="J17" s="859">
        <f t="shared" si="3"/>
        <v>0</v>
      </c>
      <c r="K17" s="859">
        <f t="shared" si="4"/>
        <v>0</v>
      </c>
      <c r="L17" s="859"/>
      <c r="M17" s="860"/>
      <c r="N17" s="818"/>
      <c r="AA17" s="819"/>
      <c r="AB17" s="861"/>
    </row>
    <row r="18" spans="1:28" ht="34.950000000000003" customHeight="1">
      <c r="A18" s="862"/>
      <c r="B18" s="863"/>
      <c r="C18" s="846" t="s">
        <v>236</v>
      </c>
      <c r="D18" s="846" t="s">
        <v>236</v>
      </c>
      <c r="E18" s="846" t="s">
        <v>2734</v>
      </c>
      <c r="F18" s="857"/>
      <c r="G18" s="848">
        <f t="shared" si="0"/>
        <v>0</v>
      </c>
      <c r="H18" s="849">
        <f>COUNTIF(Area_v1,"C7")+COUNTIF(Area_v1,"C7 *")</f>
        <v>0</v>
      </c>
      <c r="I18" s="859">
        <f>COUNTIF(Area_v2,"C7")+COUNTIF(Area_v2,"C7 *")</f>
        <v>0</v>
      </c>
      <c r="J18" s="859">
        <f>COUNTIF(Area_v3,"C7")+COUNTIF(Area_v3,"C7 *")</f>
        <v>0</v>
      </c>
      <c r="K18" s="859">
        <f>COUNTIF(Area_v4,"C7")+COUNTIF(Area_v4,"C7 *")</f>
        <v>0</v>
      </c>
      <c r="L18" s="859"/>
      <c r="M18" s="860"/>
      <c r="N18" s="818"/>
      <c r="AA18" s="819"/>
      <c r="AB18" s="861"/>
    </row>
    <row r="19" spans="1:28" ht="49.2" customHeight="1">
      <c r="A19" s="862"/>
      <c r="B19" s="863"/>
      <c r="C19" s="846" t="s">
        <v>2735</v>
      </c>
      <c r="D19" s="846" t="s">
        <v>2735</v>
      </c>
      <c r="E19" s="846" t="s">
        <v>2736</v>
      </c>
      <c r="F19" s="857"/>
      <c r="G19" s="848">
        <f t="shared" si="0"/>
        <v>0</v>
      </c>
      <c r="H19" s="858">
        <f t="shared" si="1"/>
        <v>0</v>
      </c>
      <c r="I19" s="859">
        <f t="shared" si="2"/>
        <v>0</v>
      </c>
      <c r="J19" s="859">
        <f t="shared" si="3"/>
        <v>0</v>
      </c>
      <c r="K19" s="859">
        <f t="shared" si="4"/>
        <v>0</v>
      </c>
      <c r="L19" s="859"/>
      <c r="M19" s="860"/>
      <c r="N19" s="818"/>
      <c r="AA19" s="819"/>
      <c r="AB19" s="861"/>
    </row>
    <row r="20" spans="1:28" ht="49.2" customHeight="1">
      <c r="A20" s="862"/>
      <c r="B20" s="863"/>
      <c r="C20" s="846" t="s">
        <v>2737</v>
      </c>
      <c r="D20" s="846" t="s">
        <v>2737</v>
      </c>
      <c r="E20" s="846" t="s">
        <v>2738</v>
      </c>
      <c r="F20" s="857"/>
      <c r="G20" s="848">
        <f t="shared" si="0"/>
        <v>0</v>
      </c>
      <c r="H20" s="858">
        <f t="shared" si="1"/>
        <v>0</v>
      </c>
      <c r="I20" s="859">
        <f t="shared" si="2"/>
        <v>0</v>
      </c>
      <c r="J20" s="859">
        <f t="shared" si="3"/>
        <v>0</v>
      </c>
      <c r="K20" s="859">
        <f t="shared" si="4"/>
        <v>0</v>
      </c>
      <c r="L20" s="859"/>
      <c r="M20" s="860"/>
      <c r="N20" s="818"/>
      <c r="AA20" s="819"/>
      <c r="AB20" s="861"/>
    </row>
    <row r="21" spans="1:28" ht="34.950000000000003" customHeight="1">
      <c r="A21" s="864"/>
      <c r="B21" s="855"/>
      <c r="C21" s="846" t="s">
        <v>2739</v>
      </c>
      <c r="D21" s="846" t="s">
        <v>2739</v>
      </c>
      <c r="E21" s="846" t="s">
        <v>2740</v>
      </c>
      <c r="F21" s="857"/>
      <c r="G21" s="848">
        <f t="shared" si="0"/>
        <v>0</v>
      </c>
      <c r="H21" s="858">
        <f>COUNTIF(Area_v1,"P8*")</f>
        <v>0</v>
      </c>
      <c r="I21" s="859">
        <f>COUNTIF(Area_v2,"P8*")</f>
        <v>0</v>
      </c>
      <c r="J21" s="859">
        <f>COUNTIF(Area_v3,"P8*")</f>
        <v>0</v>
      </c>
      <c r="K21" s="859">
        <f>COUNTIF(Area_v4,"P8*")</f>
        <v>0</v>
      </c>
      <c r="L21" s="859"/>
      <c r="M21" s="860"/>
      <c r="N21" s="818"/>
      <c r="AA21" s="819"/>
      <c r="AB21" s="861"/>
    </row>
    <row r="22" spans="1:28" ht="34.950000000000003" customHeight="1">
      <c r="A22" s="865"/>
      <c r="B22" s="866"/>
      <c r="C22" s="846" t="s">
        <v>2741</v>
      </c>
      <c r="D22" s="846" t="s">
        <v>2741</v>
      </c>
      <c r="E22" s="846" t="s">
        <v>2742</v>
      </c>
      <c r="F22" s="867"/>
      <c r="G22" s="848">
        <f t="shared" si="0"/>
        <v>0</v>
      </c>
      <c r="H22" s="858">
        <f t="shared" si="1"/>
        <v>0</v>
      </c>
      <c r="I22" s="859">
        <f t="shared" si="2"/>
        <v>0</v>
      </c>
      <c r="J22" s="859">
        <f t="shared" si="3"/>
        <v>0</v>
      </c>
      <c r="K22" s="859">
        <f t="shared" si="4"/>
        <v>0</v>
      </c>
      <c r="L22" s="859"/>
      <c r="M22" s="860"/>
      <c r="N22" s="818"/>
      <c r="AA22" s="819"/>
      <c r="AB22" s="861" t="s">
        <v>2267</v>
      </c>
    </row>
    <row r="23" spans="1:28" ht="34.950000000000003" customHeight="1">
      <c r="A23" s="1417" t="s">
        <v>904</v>
      </c>
      <c r="B23" s="836"/>
      <c r="C23" s="846" t="s">
        <v>670</v>
      </c>
      <c r="D23" s="846" t="s">
        <v>503</v>
      </c>
      <c r="E23" s="846" t="s">
        <v>2743</v>
      </c>
      <c r="F23" s="867" t="s">
        <v>700</v>
      </c>
      <c r="G23" s="868">
        <f t="shared" ref="G23:G74" si="5">SUM(H23:M23)</f>
        <v>0</v>
      </c>
      <c r="H23" s="859">
        <f>COUNTIF(Area_v1,$C23)+O23</f>
        <v>0</v>
      </c>
      <c r="I23" s="859">
        <f>COUNTIF(Area_v2,$C23)+P23</f>
        <v>0</v>
      </c>
      <c r="J23" s="859">
        <f>COUNTIF(Area_v3,$C23)+Q23</f>
        <v>0</v>
      </c>
      <c r="K23" s="859">
        <f>COUNTIF(Area_v4,$C23)+R23</f>
        <v>0</v>
      </c>
      <c r="L23" s="859"/>
      <c r="M23" s="860"/>
      <c r="N23" s="818"/>
      <c r="O23" s="869">
        <f>COUNTIF(Area_v1,#REF!)</f>
        <v>0</v>
      </c>
      <c r="P23" s="819">
        <f>COUNTIF(Area_v2,#REF!)</f>
        <v>0</v>
      </c>
      <c r="Q23" s="819">
        <f>COUNTIF(Area_v3,#REF!)</f>
        <v>0</v>
      </c>
      <c r="R23" s="819">
        <f>COUNTIF(Area_v4,#REF!)</f>
        <v>0</v>
      </c>
      <c r="S23" s="819">
        <f>COUNTIF(Area_v5,#REF!)</f>
        <v>0</v>
      </c>
      <c r="T23" s="819">
        <f>COUNTIF(Area_v6,#REF!)</f>
        <v>0</v>
      </c>
      <c r="AB23" s="870" t="s">
        <v>2078</v>
      </c>
    </row>
    <row r="24" spans="1:28" ht="49.2" customHeight="1">
      <c r="A24" s="1418"/>
      <c r="B24" s="871"/>
      <c r="C24" s="846" t="s">
        <v>2744</v>
      </c>
      <c r="D24" s="846" t="s">
        <v>503</v>
      </c>
      <c r="E24" s="846" t="s">
        <v>2745</v>
      </c>
      <c r="F24" s="867"/>
      <c r="G24" s="868">
        <f t="shared" si="5"/>
        <v>0</v>
      </c>
      <c r="H24" s="859">
        <f>COUNTIF(Area_v1,$C24)+O24</f>
        <v>0</v>
      </c>
      <c r="I24" s="859">
        <f>COUNTIF(Area_v2,$C24)+P24</f>
        <v>0</v>
      </c>
      <c r="J24" s="859">
        <f>COUNTIF(Area_v3,$C24)+Q24</f>
        <v>0</v>
      </c>
      <c r="K24" s="859">
        <f>COUNTIF(Area_v4,$C24)+R24</f>
        <v>0</v>
      </c>
      <c r="L24" s="859"/>
      <c r="M24" s="860"/>
      <c r="N24" s="818"/>
      <c r="AB24" s="872"/>
    </row>
    <row r="25" spans="1:28" ht="34.950000000000003" customHeight="1">
      <c r="A25" s="1418"/>
      <c r="B25" s="871"/>
      <c r="C25" s="846" t="s">
        <v>675</v>
      </c>
      <c r="D25" s="846" t="s">
        <v>504</v>
      </c>
      <c r="E25" s="846" t="s">
        <v>2746</v>
      </c>
      <c r="F25" s="867"/>
      <c r="G25" s="868">
        <f>SUM(H25:M25)</f>
        <v>0</v>
      </c>
      <c r="H25" s="859">
        <f>COUNTIF(Area_v1,$C25)+O25</f>
        <v>0</v>
      </c>
      <c r="I25" s="859">
        <f>COUNTIF(Area_v2,$C25)+P25</f>
        <v>0</v>
      </c>
      <c r="J25" s="859">
        <f>COUNTIF(Area_v3,$C25)+Q25</f>
        <v>0</v>
      </c>
      <c r="K25" s="859">
        <f>COUNTIF(Area_v4,$C25)+R25</f>
        <v>0</v>
      </c>
      <c r="L25" s="859"/>
      <c r="M25" s="860"/>
      <c r="N25" s="818"/>
      <c r="O25" s="869">
        <f>COUNTIF(Area_v1,#REF!)</f>
        <v>0</v>
      </c>
      <c r="AB25" s="872"/>
    </row>
    <row r="26" spans="1:28" ht="49.2" customHeight="1">
      <c r="A26" s="1419"/>
      <c r="B26" s="873"/>
      <c r="C26" s="874" t="s">
        <v>2747</v>
      </c>
      <c r="D26" s="874" t="s">
        <v>504</v>
      </c>
      <c r="E26" s="874" t="s">
        <v>2748</v>
      </c>
      <c r="F26" s="875"/>
      <c r="G26" s="876">
        <f t="shared" si="5"/>
        <v>0</v>
      </c>
      <c r="H26" s="877">
        <f>COUNTIF(Area_v1,$C26)+O26</f>
        <v>0</v>
      </c>
      <c r="I26" s="877">
        <f>COUNTIF(Area_v2,$C26)+P26</f>
        <v>0</v>
      </c>
      <c r="J26" s="877">
        <f>COUNTIF(Area_v3,$C26)+Q26</f>
        <v>0</v>
      </c>
      <c r="K26" s="877">
        <f>COUNTIF(Area_v4,$C26)+R26</f>
        <v>0</v>
      </c>
      <c r="L26" s="877"/>
      <c r="M26" s="878"/>
      <c r="N26" s="818"/>
      <c r="P26" s="819">
        <f>COUNTIF(Area_v2,#REF!)</f>
        <v>0</v>
      </c>
      <c r="Q26" s="819">
        <f>COUNTIF(Area_v3,#REF!)</f>
        <v>0</v>
      </c>
      <c r="R26" s="819">
        <f>COUNTIF(Area_v4,#REF!)</f>
        <v>0</v>
      </c>
      <c r="S26" s="819">
        <f>COUNTIF(Area_v5,#REF!)</f>
        <v>0</v>
      </c>
      <c r="T26" s="819">
        <f>COUNTIF(Area_v6,#REF!)</f>
        <v>0</v>
      </c>
      <c r="AB26" s="879" t="s">
        <v>2079</v>
      </c>
    </row>
    <row r="27" spans="1:28" ht="36.6" customHeight="1">
      <c r="A27" s="880"/>
      <c r="B27" s="880"/>
      <c r="C27" s="880" t="s">
        <v>2478</v>
      </c>
      <c r="D27" s="881" t="s">
        <v>506</v>
      </c>
      <c r="E27" s="881" t="s">
        <v>2749</v>
      </c>
      <c r="F27" s="882"/>
      <c r="G27" s="883">
        <f t="shared" si="5"/>
        <v>0</v>
      </c>
      <c r="H27" s="884"/>
      <c r="I27" s="884"/>
      <c r="J27" s="884"/>
      <c r="K27" s="884"/>
      <c r="L27" s="884"/>
      <c r="M27" s="885"/>
      <c r="N27" s="820">
        <f>G23*2+G26</f>
        <v>0</v>
      </c>
      <c r="O27" s="886" t="s">
        <v>2673</v>
      </c>
      <c r="P27" s="886" t="s">
        <v>2674</v>
      </c>
      <c r="Q27" s="886" t="s">
        <v>2675</v>
      </c>
      <c r="R27" s="886" t="s">
        <v>2676</v>
      </c>
      <c r="S27" s="887"/>
      <c r="T27" s="887"/>
      <c r="U27" s="887"/>
      <c r="V27" s="887"/>
      <c r="W27" s="887"/>
      <c r="X27" s="887"/>
      <c r="Y27" s="887"/>
      <c r="AB27" s="888" t="s">
        <v>2081</v>
      </c>
    </row>
    <row r="28" spans="1:28" ht="28.2" customHeight="1">
      <c r="A28" s="889" t="s">
        <v>905</v>
      </c>
      <c r="B28" s="889" t="s">
        <v>906</v>
      </c>
      <c r="C28" s="889"/>
      <c r="D28" s="890" t="s">
        <v>507</v>
      </c>
      <c r="E28" s="890" t="s">
        <v>2750</v>
      </c>
      <c r="F28" s="891"/>
      <c r="G28" s="892">
        <f t="shared" si="5"/>
        <v>0</v>
      </c>
      <c r="H28" s="893"/>
      <c r="I28" s="893"/>
      <c r="J28" s="893"/>
      <c r="K28" s="893"/>
      <c r="L28" s="893"/>
      <c r="M28" s="894"/>
      <c r="N28" s="818"/>
      <c r="O28" s="886" t="s">
        <v>2670</v>
      </c>
      <c r="P28" s="886" t="s">
        <v>2671</v>
      </c>
      <c r="Q28" s="887"/>
      <c r="R28" s="887"/>
      <c r="S28" s="887"/>
      <c r="T28" s="887"/>
      <c r="U28" s="886" t="s">
        <v>2677</v>
      </c>
      <c r="V28" s="886" t="s">
        <v>2670</v>
      </c>
      <c r="W28" s="886" t="s">
        <v>2671</v>
      </c>
      <c r="X28" s="887"/>
      <c r="Y28" s="887"/>
      <c r="AB28" s="895" t="s">
        <v>2082</v>
      </c>
    </row>
    <row r="29" spans="1:28" ht="25.2" customHeight="1">
      <c r="A29" s="896"/>
      <c r="B29" s="896"/>
      <c r="C29" s="896"/>
      <c r="D29" s="897" t="s">
        <v>508</v>
      </c>
      <c r="E29" s="897" t="s">
        <v>2751</v>
      </c>
      <c r="F29" s="898"/>
      <c r="G29" s="899">
        <f t="shared" si="5"/>
        <v>0</v>
      </c>
      <c r="H29" s="900"/>
      <c r="I29" s="900"/>
      <c r="J29" s="900"/>
      <c r="K29" s="900"/>
      <c r="L29" s="900"/>
      <c r="M29" s="901"/>
      <c r="N29" s="818"/>
      <c r="O29" s="886" t="s">
        <v>2678</v>
      </c>
      <c r="P29" s="886" t="s">
        <v>2679</v>
      </c>
      <c r="Q29" s="886" t="s">
        <v>2668</v>
      </c>
      <c r="R29" s="886" t="s">
        <v>2669</v>
      </c>
      <c r="S29" s="887"/>
      <c r="T29" s="887"/>
      <c r="U29" s="886" t="s">
        <v>2667</v>
      </c>
      <c r="V29" s="886" t="s">
        <v>2678</v>
      </c>
      <c r="W29" s="886" t="s">
        <v>2679</v>
      </c>
      <c r="X29" s="886" t="s">
        <v>2668</v>
      </c>
      <c r="Y29" s="886" t="s">
        <v>2669</v>
      </c>
      <c r="AB29" s="895" t="s">
        <v>2083</v>
      </c>
    </row>
    <row r="30" spans="1:28" ht="34.950000000000003" customHeight="1">
      <c r="A30" s="902"/>
      <c r="B30" s="903"/>
      <c r="C30" s="904" t="s">
        <v>2752</v>
      </c>
      <c r="D30" s="905" t="s">
        <v>2752</v>
      </c>
      <c r="E30" s="905" t="s">
        <v>2753</v>
      </c>
      <c r="F30" s="906" t="s">
        <v>2754</v>
      </c>
      <c r="G30" s="907">
        <f>SUM(H30:M30)</f>
        <v>0</v>
      </c>
      <c r="H30" s="908">
        <f>COUNTIF(Area_v1,$C30)</f>
        <v>0</v>
      </c>
      <c r="I30" s="908">
        <f>COUNTIF(Area_v2,$C30)</f>
        <v>0</v>
      </c>
      <c r="J30" s="908">
        <f t="shared" ref="J30:J44" si="6">COUNTIF(Area_v3,$C30)</f>
        <v>0</v>
      </c>
      <c r="K30" s="908">
        <f t="shared" ref="K30:K44" si="7">COUNTIF(Area_v4,$C30)</f>
        <v>0</v>
      </c>
      <c r="L30" s="908"/>
      <c r="M30" s="909"/>
      <c r="N30" s="818"/>
      <c r="O30" s="886"/>
      <c r="P30" s="886"/>
      <c r="Q30" s="886"/>
      <c r="R30" s="886"/>
      <c r="S30" s="887"/>
      <c r="T30" s="887"/>
      <c r="U30" s="886"/>
      <c r="V30" s="886"/>
      <c r="W30" s="886"/>
      <c r="X30" s="886"/>
      <c r="Y30" s="886"/>
      <c r="AB30" s="895"/>
    </row>
    <row r="31" spans="1:28" ht="34.950000000000003" customHeight="1">
      <c r="A31" s="910"/>
      <c r="B31" s="911"/>
      <c r="C31" s="912" t="s">
        <v>2755</v>
      </c>
      <c r="D31" s="890" t="s">
        <v>2755</v>
      </c>
      <c r="E31" s="890" t="s">
        <v>2756</v>
      </c>
      <c r="F31" s="913"/>
      <c r="G31" s="892">
        <f t="shared" ref="G31:G36" si="8">SUM(H31:M31)</f>
        <v>0</v>
      </c>
      <c r="H31" s="893">
        <f>COUNTIF(Area_v1,$C31)</f>
        <v>0</v>
      </c>
      <c r="I31" s="893">
        <f t="shared" ref="I31:I44" si="9">COUNTIF(Area_v2,$C31)</f>
        <v>0</v>
      </c>
      <c r="J31" s="893">
        <f t="shared" si="6"/>
        <v>0</v>
      </c>
      <c r="K31" s="893">
        <f t="shared" si="7"/>
        <v>0</v>
      </c>
      <c r="L31" s="893"/>
      <c r="M31" s="894"/>
      <c r="N31" s="818"/>
      <c r="O31" s="886"/>
      <c r="P31" s="886"/>
      <c r="Q31" s="886"/>
      <c r="R31" s="886"/>
      <c r="S31" s="887"/>
      <c r="T31" s="887"/>
      <c r="U31" s="886"/>
      <c r="V31" s="886"/>
      <c r="W31" s="886"/>
      <c r="X31" s="886"/>
      <c r="Y31" s="886"/>
      <c r="AB31" s="895"/>
    </row>
    <row r="32" spans="1:28" ht="34.950000000000003" customHeight="1">
      <c r="A32" s="910" t="s">
        <v>2757</v>
      </c>
      <c r="B32" s="911"/>
      <c r="C32" s="912" t="s">
        <v>2758</v>
      </c>
      <c r="D32" s="890" t="s">
        <v>2758</v>
      </c>
      <c r="E32" s="890" t="s">
        <v>2759</v>
      </c>
      <c r="F32" s="913"/>
      <c r="G32" s="892">
        <f t="shared" si="8"/>
        <v>0</v>
      </c>
      <c r="H32" s="893">
        <f t="shared" ref="H32:H44" si="10">COUNTIF(Area_v1,$C32)</f>
        <v>0</v>
      </c>
      <c r="I32" s="893">
        <f t="shared" si="9"/>
        <v>0</v>
      </c>
      <c r="J32" s="893">
        <f t="shared" si="6"/>
        <v>0</v>
      </c>
      <c r="K32" s="893">
        <f t="shared" si="7"/>
        <v>0</v>
      </c>
      <c r="L32" s="893"/>
      <c r="M32" s="894"/>
      <c r="N32" s="818"/>
      <c r="O32" s="886"/>
      <c r="P32" s="886"/>
      <c r="Q32" s="886"/>
      <c r="R32" s="886"/>
      <c r="S32" s="887"/>
      <c r="T32" s="887"/>
      <c r="U32" s="886"/>
      <c r="V32" s="886"/>
      <c r="W32" s="886"/>
      <c r="X32" s="886"/>
      <c r="Y32" s="886"/>
      <c r="AB32" s="895"/>
    </row>
    <row r="33" spans="1:28" ht="34.950000000000003" customHeight="1">
      <c r="A33" s="910"/>
      <c r="B33" s="911"/>
      <c r="C33" s="912" t="s">
        <v>2760</v>
      </c>
      <c r="D33" s="890" t="s">
        <v>2760</v>
      </c>
      <c r="E33" s="890" t="s">
        <v>2761</v>
      </c>
      <c r="F33" s="913"/>
      <c r="G33" s="892">
        <f t="shared" si="8"/>
        <v>0</v>
      </c>
      <c r="H33" s="893">
        <f t="shared" si="10"/>
        <v>0</v>
      </c>
      <c r="I33" s="893">
        <f t="shared" si="9"/>
        <v>0</v>
      </c>
      <c r="J33" s="893">
        <f t="shared" si="6"/>
        <v>0</v>
      </c>
      <c r="K33" s="893">
        <f t="shared" si="7"/>
        <v>0</v>
      </c>
      <c r="L33" s="893"/>
      <c r="M33" s="894"/>
      <c r="N33" s="818"/>
      <c r="O33" s="886"/>
      <c r="P33" s="886"/>
      <c r="Q33" s="886"/>
      <c r="R33" s="886"/>
      <c r="S33" s="887"/>
      <c r="T33" s="887"/>
      <c r="U33" s="886"/>
      <c r="V33" s="886"/>
      <c r="W33" s="886"/>
      <c r="X33" s="886"/>
      <c r="Y33" s="886"/>
      <c r="AB33" s="895"/>
    </row>
    <row r="34" spans="1:28" ht="34.950000000000003" customHeight="1">
      <c r="A34" s="914"/>
      <c r="B34" s="915"/>
      <c r="C34" s="912" t="s">
        <v>2762</v>
      </c>
      <c r="D34" s="890" t="s">
        <v>2762</v>
      </c>
      <c r="E34" s="890" t="s">
        <v>2763</v>
      </c>
      <c r="F34" s="913"/>
      <c r="G34" s="892"/>
      <c r="H34" s="893">
        <f t="shared" si="10"/>
        <v>0</v>
      </c>
      <c r="I34" s="893">
        <f t="shared" si="9"/>
        <v>0</v>
      </c>
      <c r="J34" s="893">
        <f t="shared" si="6"/>
        <v>0</v>
      </c>
      <c r="K34" s="893">
        <f t="shared" si="7"/>
        <v>0</v>
      </c>
      <c r="L34" s="893"/>
      <c r="M34" s="894"/>
      <c r="N34" s="818"/>
      <c r="O34" s="886"/>
      <c r="P34" s="886"/>
      <c r="Q34" s="886"/>
      <c r="R34" s="886"/>
      <c r="S34" s="887"/>
      <c r="T34" s="887"/>
      <c r="U34" s="886"/>
      <c r="V34" s="886"/>
      <c r="W34" s="886"/>
      <c r="X34" s="886"/>
      <c r="Y34" s="886"/>
      <c r="AB34" s="895"/>
    </row>
    <row r="35" spans="1:28" ht="34.950000000000003" customHeight="1">
      <c r="A35" s="914"/>
      <c r="B35" s="915"/>
      <c r="C35" s="912" t="s">
        <v>2764</v>
      </c>
      <c r="D35" s="890" t="s">
        <v>2764</v>
      </c>
      <c r="E35" s="890" t="s">
        <v>2765</v>
      </c>
      <c r="F35" s="913"/>
      <c r="G35" s="892">
        <f t="shared" ref="G35" si="11">SUM(H35:M35)</f>
        <v>0</v>
      </c>
      <c r="H35" s="893">
        <f t="shared" si="10"/>
        <v>0</v>
      </c>
      <c r="I35" s="893">
        <f t="shared" si="9"/>
        <v>0</v>
      </c>
      <c r="J35" s="893">
        <f t="shared" si="6"/>
        <v>0</v>
      </c>
      <c r="K35" s="893">
        <f t="shared" si="7"/>
        <v>0</v>
      </c>
      <c r="L35" s="893"/>
      <c r="M35" s="894"/>
      <c r="N35" s="818"/>
      <c r="O35" s="886"/>
      <c r="P35" s="886"/>
      <c r="Q35" s="886"/>
      <c r="R35" s="886"/>
      <c r="S35" s="887"/>
      <c r="T35" s="887"/>
      <c r="U35" s="886"/>
      <c r="V35" s="886"/>
      <c r="W35" s="886"/>
      <c r="X35" s="886"/>
      <c r="Y35" s="886"/>
      <c r="AB35" s="895"/>
    </row>
    <row r="36" spans="1:28" ht="34.950000000000003" customHeight="1">
      <c r="A36" s="914"/>
      <c r="B36" s="915"/>
      <c r="C36" s="912" t="s">
        <v>2766</v>
      </c>
      <c r="D36" s="890" t="s">
        <v>2766</v>
      </c>
      <c r="E36" s="890" t="s">
        <v>2767</v>
      </c>
      <c r="F36" s="913"/>
      <c r="G36" s="892">
        <f t="shared" si="8"/>
        <v>0</v>
      </c>
      <c r="H36" s="893">
        <f t="shared" ref="H36:H80" si="12">COUNTIF(Area_v1,$C36)</f>
        <v>0</v>
      </c>
      <c r="I36" s="893">
        <f t="shared" ref="I36:I80" si="13">COUNTIF(Area_v2,$C36)</f>
        <v>0</v>
      </c>
      <c r="J36" s="893">
        <f t="shared" ref="J36:J80" si="14">COUNTIF(Area_v3,$C36)</f>
        <v>0</v>
      </c>
      <c r="K36" s="893">
        <f t="shared" ref="K36:K80" si="15">COUNTIF(Area_v4,$C36)</f>
        <v>0</v>
      </c>
      <c r="L36" s="893"/>
      <c r="M36" s="894"/>
      <c r="N36" s="818"/>
      <c r="O36" s="886"/>
      <c r="P36" s="886"/>
      <c r="Q36" s="886"/>
      <c r="R36" s="886"/>
      <c r="S36" s="887"/>
      <c r="T36" s="887"/>
      <c r="U36" s="886"/>
      <c r="V36" s="886"/>
      <c r="W36" s="886"/>
      <c r="X36" s="886"/>
      <c r="Y36" s="886"/>
      <c r="AB36" s="895"/>
    </row>
    <row r="37" spans="1:28" ht="20.399999999999999" customHeight="1">
      <c r="A37" s="916"/>
      <c r="B37" s="917"/>
      <c r="C37" s="896" t="s">
        <v>1275</v>
      </c>
      <c r="D37" s="897" t="s">
        <v>509</v>
      </c>
      <c r="E37" s="897" t="s">
        <v>706</v>
      </c>
      <c r="F37" s="898"/>
      <c r="G37" s="899">
        <f>SUM(H37:M37)</f>
        <v>0</v>
      </c>
      <c r="H37" s="900">
        <f>COUNTIF(Area_v1,"AnM/PL")+COUNTIF(Area_v1,"AnMC/PL")</f>
        <v>0</v>
      </c>
      <c r="I37" s="900">
        <f>COUNTIF(Area_v2,"AnM/PL")+COUNTIF(Area_v2,"AnMC/PL")</f>
        <v>0</v>
      </c>
      <c r="J37" s="900">
        <f>COUNTIF(Area_v3,"AnM/PL")+COUNTIF(Area_v3,"AnMC/PL")</f>
        <v>0</v>
      </c>
      <c r="K37" s="900">
        <f>COUNTIF(Area_v4,"AnM/PL")+COUNTIF(Area_v4,"AnMC/PL")</f>
        <v>0</v>
      </c>
      <c r="L37" s="900"/>
      <c r="M37" s="901"/>
      <c r="N37" s="818"/>
      <c r="AB37" s="918" t="s">
        <v>2084</v>
      </c>
    </row>
    <row r="38" spans="1:28" ht="20.399999999999999" customHeight="1">
      <c r="A38" s="919"/>
      <c r="B38" s="920"/>
      <c r="C38" s="921" t="s">
        <v>664</v>
      </c>
      <c r="D38" s="922" t="s">
        <v>664</v>
      </c>
      <c r="E38" s="922" t="s">
        <v>2768</v>
      </c>
      <c r="F38" s="923"/>
      <c r="G38" s="924">
        <f>SUM(H38:M38)</f>
        <v>0</v>
      </c>
      <c r="H38" s="925">
        <f t="shared" si="10"/>
        <v>0</v>
      </c>
      <c r="I38" s="925">
        <f t="shared" si="9"/>
        <v>0</v>
      </c>
      <c r="J38" s="925">
        <f t="shared" si="6"/>
        <v>0</v>
      </c>
      <c r="K38" s="925">
        <f t="shared" si="7"/>
        <v>0</v>
      </c>
      <c r="L38" s="925"/>
      <c r="M38" s="926"/>
      <c r="N38" s="818"/>
      <c r="O38" s="818"/>
      <c r="P38" s="818"/>
      <c r="Q38" s="818"/>
      <c r="R38" s="818"/>
      <c r="S38" s="887"/>
      <c r="T38" s="887"/>
      <c r="U38" s="818"/>
      <c r="V38" s="818"/>
      <c r="W38" s="818"/>
      <c r="X38" s="818"/>
      <c r="Y38" s="818"/>
      <c r="AB38" s="895"/>
    </row>
    <row r="39" spans="1:28" ht="20.399999999999999" customHeight="1">
      <c r="A39" s="919"/>
      <c r="B39" s="920"/>
      <c r="C39" s="927" t="s">
        <v>2769</v>
      </c>
      <c r="D39" s="928" t="s">
        <v>2769</v>
      </c>
      <c r="E39" s="928" t="s">
        <v>2770</v>
      </c>
      <c r="F39" s="929"/>
      <c r="G39" s="930">
        <f t="shared" ref="G39:G45" si="16">SUM(H39:M39)</f>
        <v>0</v>
      </c>
      <c r="H39" s="931">
        <f t="shared" si="10"/>
        <v>0</v>
      </c>
      <c r="I39" s="931">
        <f t="shared" si="9"/>
        <v>0</v>
      </c>
      <c r="J39" s="931">
        <f t="shared" si="6"/>
        <v>0</v>
      </c>
      <c r="K39" s="931">
        <f t="shared" si="7"/>
        <v>0</v>
      </c>
      <c r="L39" s="931"/>
      <c r="M39" s="932"/>
      <c r="N39" s="818"/>
      <c r="O39" s="818"/>
      <c r="P39" s="818"/>
      <c r="Q39" s="818"/>
      <c r="R39" s="818"/>
      <c r="S39" s="887"/>
      <c r="T39" s="887"/>
      <c r="U39" s="818"/>
      <c r="V39" s="818"/>
      <c r="W39" s="818"/>
      <c r="X39" s="818"/>
      <c r="Y39" s="818"/>
      <c r="AB39" s="895"/>
    </row>
    <row r="40" spans="1:28" ht="20.399999999999999" customHeight="1">
      <c r="A40" s="919"/>
      <c r="B40" s="920"/>
      <c r="C40" s="927" t="s">
        <v>2771</v>
      </c>
      <c r="D40" s="928" t="s">
        <v>2771</v>
      </c>
      <c r="E40" s="928" t="s">
        <v>2772</v>
      </c>
      <c r="F40" s="929"/>
      <c r="G40" s="930">
        <f t="shared" si="16"/>
        <v>0</v>
      </c>
      <c r="H40" s="931">
        <f t="shared" si="10"/>
        <v>0</v>
      </c>
      <c r="I40" s="931">
        <f t="shared" si="9"/>
        <v>0</v>
      </c>
      <c r="J40" s="931">
        <f t="shared" si="6"/>
        <v>0</v>
      </c>
      <c r="K40" s="931">
        <f t="shared" si="7"/>
        <v>0</v>
      </c>
      <c r="L40" s="931"/>
      <c r="M40" s="932"/>
      <c r="N40" s="818"/>
      <c r="O40" s="818"/>
      <c r="P40" s="818"/>
      <c r="Q40" s="818"/>
      <c r="R40" s="818"/>
      <c r="S40" s="887"/>
      <c r="T40" s="887"/>
      <c r="U40" s="818"/>
      <c r="V40" s="818"/>
      <c r="W40" s="818"/>
      <c r="X40" s="818"/>
      <c r="Y40" s="818"/>
      <c r="AB40" s="895"/>
    </row>
    <row r="41" spans="1:28" ht="20.399999999999999" customHeight="1">
      <c r="A41" s="920"/>
      <c r="B41" s="920"/>
      <c r="C41" s="933" t="s">
        <v>2773</v>
      </c>
      <c r="D41" s="928" t="s">
        <v>2773</v>
      </c>
      <c r="E41" s="928" t="s">
        <v>2774</v>
      </c>
      <c r="F41" s="929"/>
      <c r="G41" s="930">
        <f t="shared" si="16"/>
        <v>0</v>
      </c>
      <c r="H41" s="931">
        <f t="shared" si="10"/>
        <v>0</v>
      </c>
      <c r="I41" s="931">
        <f t="shared" si="9"/>
        <v>0</v>
      </c>
      <c r="J41" s="931">
        <f t="shared" si="6"/>
        <v>0</v>
      </c>
      <c r="K41" s="931">
        <f t="shared" si="7"/>
        <v>0</v>
      </c>
      <c r="L41" s="931"/>
      <c r="M41" s="932"/>
      <c r="N41" s="818"/>
      <c r="O41" s="818"/>
      <c r="P41" s="818"/>
      <c r="Q41" s="818"/>
      <c r="R41" s="818"/>
      <c r="S41" s="887"/>
      <c r="T41" s="887"/>
      <c r="U41" s="818"/>
      <c r="V41" s="818"/>
      <c r="W41" s="818"/>
      <c r="X41" s="818"/>
      <c r="Y41" s="818"/>
      <c r="AB41" s="895"/>
    </row>
    <row r="42" spans="1:28" ht="34.950000000000003" customHeight="1">
      <c r="A42" s="919" t="s">
        <v>2775</v>
      </c>
      <c r="B42" s="920"/>
      <c r="C42" s="927" t="s">
        <v>2776</v>
      </c>
      <c r="D42" s="927" t="s">
        <v>2776</v>
      </c>
      <c r="E42" s="927" t="s">
        <v>2777</v>
      </c>
      <c r="F42" s="929"/>
      <c r="G42" s="930">
        <f t="shared" si="16"/>
        <v>0</v>
      </c>
      <c r="H42" s="931">
        <f t="shared" si="10"/>
        <v>0</v>
      </c>
      <c r="I42" s="931">
        <f t="shared" si="9"/>
        <v>0</v>
      </c>
      <c r="J42" s="931">
        <f t="shared" si="6"/>
        <v>0</v>
      </c>
      <c r="K42" s="931">
        <f t="shared" si="7"/>
        <v>0</v>
      </c>
      <c r="L42" s="931"/>
      <c r="M42" s="932"/>
      <c r="N42" s="818"/>
      <c r="O42" s="818"/>
      <c r="P42" s="818"/>
      <c r="Q42" s="818"/>
      <c r="R42" s="818"/>
      <c r="S42" s="887"/>
      <c r="T42" s="887"/>
      <c r="U42" s="818"/>
      <c r="V42" s="818"/>
      <c r="W42" s="818"/>
      <c r="X42" s="818"/>
      <c r="Y42" s="818"/>
      <c r="AB42" s="895"/>
    </row>
    <row r="43" spans="1:28" ht="20.399999999999999" customHeight="1">
      <c r="A43" s="934"/>
      <c r="B43" s="935"/>
      <c r="C43" s="927" t="s">
        <v>2778</v>
      </c>
      <c r="D43" s="927" t="s">
        <v>2778</v>
      </c>
      <c r="E43" s="927" t="s">
        <v>2779</v>
      </c>
      <c r="F43" s="929"/>
      <c r="G43" s="930">
        <f t="shared" si="16"/>
        <v>0</v>
      </c>
      <c r="H43" s="931">
        <f t="shared" si="10"/>
        <v>0</v>
      </c>
      <c r="I43" s="931">
        <f t="shared" si="9"/>
        <v>0</v>
      </c>
      <c r="J43" s="931">
        <f t="shared" si="6"/>
        <v>0</v>
      </c>
      <c r="K43" s="931">
        <f t="shared" si="7"/>
        <v>0</v>
      </c>
      <c r="L43" s="931"/>
      <c r="M43" s="932"/>
      <c r="N43" s="818"/>
      <c r="O43" s="818"/>
      <c r="P43" s="818"/>
      <c r="Q43" s="818"/>
      <c r="R43" s="818"/>
      <c r="S43" s="887"/>
      <c r="T43" s="887"/>
      <c r="U43" s="818"/>
      <c r="V43" s="818"/>
      <c r="W43" s="818"/>
      <c r="X43" s="818"/>
      <c r="Y43" s="818"/>
      <c r="AB43" s="895"/>
    </row>
    <row r="44" spans="1:28" ht="23.4" customHeight="1">
      <c r="A44" s="934"/>
      <c r="B44" s="935"/>
      <c r="C44" s="927" t="s">
        <v>2780</v>
      </c>
      <c r="D44" s="927" t="s">
        <v>2780</v>
      </c>
      <c r="E44" s="927" t="s">
        <v>2781</v>
      </c>
      <c r="F44" s="929"/>
      <c r="G44" s="930">
        <f t="shared" si="16"/>
        <v>0</v>
      </c>
      <c r="H44" s="931">
        <f t="shared" si="10"/>
        <v>0</v>
      </c>
      <c r="I44" s="931">
        <f t="shared" si="9"/>
        <v>0</v>
      </c>
      <c r="J44" s="931">
        <f t="shared" si="6"/>
        <v>0</v>
      </c>
      <c r="K44" s="931">
        <f t="shared" si="7"/>
        <v>0</v>
      </c>
      <c r="L44" s="931"/>
      <c r="M44" s="932"/>
      <c r="N44" s="818"/>
      <c r="O44" s="818"/>
      <c r="P44" s="818"/>
      <c r="Q44" s="818"/>
      <c r="R44" s="818"/>
      <c r="S44" s="887"/>
      <c r="T44" s="887"/>
      <c r="U44" s="818"/>
      <c r="V44" s="818"/>
      <c r="W44" s="818"/>
      <c r="X44" s="818"/>
      <c r="Y44" s="818"/>
      <c r="AB44" s="895"/>
    </row>
    <row r="45" spans="1:28" ht="31.95" customHeight="1">
      <c r="A45" s="936"/>
      <c r="B45" s="937"/>
      <c r="C45" s="938" t="s">
        <v>2782</v>
      </c>
      <c r="D45" s="938" t="s">
        <v>2782</v>
      </c>
      <c r="E45" s="939" t="s">
        <v>2783</v>
      </c>
      <c r="F45" s="940"/>
      <c r="G45" s="930">
        <f t="shared" si="16"/>
        <v>0</v>
      </c>
      <c r="H45" s="941">
        <f>COUNTIF(Area_v1,"AnM/W")+COUNTIF(Area_v1,"AnMC/W")</f>
        <v>0</v>
      </c>
      <c r="I45" s="941">
        <f>COUNTIF(Area_v2,"AnM/W")+COUNTIF(Area_v2,"AnMC/W")</f>
        <v>0</v>
      </c>
      <c r="J45" s="941">
        <f>COUNTIF(Area_v3,"AnM/W")+COUNTIF(Area_v3,"AnMC/W")</f>
        <v>0</v>
      </c>
      <c r="K45" s="941">
        <f>COUNTIF(Area_v4,"AnM/W")+COUNTIF(Area_v4,"AnMC/W")</f>
        <v>0</v>
      </c>
      <c r="L45" s="941"/>
      <c r="M45" s="942"/>
      <c r="AB45" s="821"/>
    </row>
    <row r="46" spans="1:28" ht="20.399999999999999" customHeight="1">
      <c r="A46" s="943" t="s">
        <v>895</v>
      </c>
      <c r="B46" s="944"/>
      <c r="C46" s="945" t="s">
        <v>441</v>
      </c>
      <c r="D46" s="946" t="s">
        <v>510</v>
      </c>
      <c r="E46" s="946" t="s">
        <v>708</v>
      </c>
      <c r="F46" s="944" t="s">
        <v>707</v>
      </c>
      <c r="G46" s="947">
        <f t="shared" si="5"/>
        <v>0</v>
      </c>
      <c r="H46" s="948">
        <f t="shared" si="12"/>
        <v>0</v>
      </c>
      <c r="I46" s="948">
        <f t="shared" si="13"/>
        <v>0</v>
      </c>
      <c r="J46" s="948">
        <f t="shared" si="14"/>
        <v>0</v>
      </c>
      <c r="K46" s="948">
        <f t="shared" si="15"/>
        <v>0</v>
      </c>
      <c r="L46" s="948"/>
      <c r="M46" s="949"/>
      <c r="N46" s="818"/>
      <c r="O46" s="1420"/>
      <c r="P46" s="1420"/>
      <c r="Q46" s="1420"/>
      <c r="R46" s="1420"/>
      <c r="S46" s="1421"/>
      <c r="U46" s="1422" t="s">
        <v>1138</v>
      </c>
      <c r="V46" s="1420"/>
      <c r="W46" s="1420"/>
      <c r="X46" s="1420"/>
      <c r="Y46" s="1420"/>
      <c r="Z46" s="1421"/>
      <c r="AB46" s="888" t="s">
        <v>2085</v>
      </c>
    </row>
    <row r="47" spans="1:28" ht="20.399999999999999" customHeight="1">
      <c r="A47" s="177"/>
      <c r="B47" s="950"/>
      <c r="C47" s="951" t="s">
        <v>232</v>
      </c>
      <c r="D47" s="952" t="s">
        <v>511</v>
      </c>
      <c r="E47" s="952" t="s">
        <v>709</v>
      </c>
      <c r="F47" s="953" t="s">
        <v>707</v>
      </c>
      <c r="G47" s="954">
        <f t="shared" si="5"/>
        <v>4</v>
      </c>
      <c r="H47" s="955">
        <f t="shared" si="12"/>
        <v>2</v>
      </c>
      <c r="I47" s="955">
        <f t="shared" si="13"/>
        <v>2</v>
      </c>
      <c r="J47" s="955">
        <f t="shared" si="14"/>
        <v>0</v>
      </c>
      <c r="K47" s="955">
        <f t="shared" si="15"/>
        <v>0</v>
      </c>
      <c r="L47" s="955"/>
      <c r="M47" s="956"/>
      <c r="N47" s="818"/>
      <c r="O47" s="958" t="s">
        <v>2673</v>
      </c>
      <c r="P47" s="958" t="s">
        <v>2674</v>
      </c>
      <c r="Q47" s="958" t="s">
        <v>2675</v>
      </c>
      <c r="R47" s="958" t="s">
        <v>2676</v>
      </c>
      <c r="S47" s="959" t="s">
        <v>486</v>
      </c>
      <c r="T47" s="818"/>
      <c r="U47" s="957" t="s">
        <v>2672</v>
      </c>
      <c r="V47" s="958" t="s">
        <v>2673</v>
      </c>
      <c r="W47" s="958" t="s">
        <v>2674</v>
      </c>
      <c r="X47" s="958" t="s">
        <v>2675</v>
      </c>
      <c r="Y47" s="958" t="s">
        <v>2676</v>
      </c>
      <c r="Z47" s="959" t="s">
        <v>486</v>
      </c>
      <c r="AB47" s="960" t="s">
        <v>2086</v>
      </c>
    </row>
    <row r="48" spans="1:28" ht="20.399999999999999" customHeight="1">
      <c r="A48" s="177"/>
      <c r="B48" s="950"/>
      <c r="C48" s="961" t="s">
        <v>1122</v>
      </c>
      <c r="D48" s="962" t="s">
        <v>1152</v>
      </c>
      <c r="E48" s="962" t="s">
        <v>1132</v>
      </c>
      <c r="F48" s="963" t="s">
        <v>707</v>
      </c>
      <c r="G48" s="964">
        <f t="shared" si="5"/>
        <v>0</v>
      </c>
      <c r="H48" s="965">
        <f t="shared" si="12"/>
        <v>0</v>
      </c>
      <c r="I48" s="965">
        <f t="shared" si="13"/>
        <v>0</v>
      </c>
      <c r="J48" s="965">
        <f t="shared" si="14"/>
        <v>0</v>
      </c>
      <c r="K48" s="965">
        <f t="shared" si="15"/>
        <v>0</v>
      </c>
      <c r="L48" s="965"/>
      <c r="M48" s="966"/>
      <c r="N48" s="818"/>
      <c r="O48" s="948">
        <f>COUNTIFS('HR Track 1'!$L$5:$L$1519,$C48,'HR Track 1'!$M$5:$M$1519,$O$47)</f>
        <v>0</v>
      </c>
      <c r="P48" s="948">
        <f>COUNTIFS('HR Track 1'!$L$5:$L$1519,$C48,'HR Track 1'!$M$5:$M$1519,$P$47)</f>
        <v>0</v>
      </c>
      <c r="Q48" s="948">
        <f>COUNTIFS('HR Track 1'!$L$5:$L$1519,$C48,'HR Track 1'!$M$5:$M$1519,$Q$47)</f>
        <v>0</v>
      </c>
      <c r="R48" s="948">
        <f>COUNTIFS('HR Track 1'!$L$5:$L$1519,$C48,'HR Track 1'!$M$5:$M$1519,$R$47)</f>
        <v>0</v>
      </c>
      <c r="S48" s="949">
        <f>COUNTIFS('HR Track 1'!$L$5:$L$1519,$C48,'HR Track 1'!$M$5:$M$1519,$S$47)</f>
        <v>0</v>
      </c>
      <c r="T48" s="818"/>
      <c r="U48" s="967" t="e">
        <v>#VALUE!</v>
      </c>
      <c r="V48" s="948" t="e">
        <v>#VALUE!</v>
      </c>
      <c r="W48" s="948" t="e">
        <v>#VALUE!</v>
      </c>
      <c r="X48" s="948" t="e">
        <v>#VALUE!</v>
      </c>
      <c r="Y48" s="948" t="e">
        <v>#VALUE!</v>
      </c>
      <c r="Z48" s="949" t="e">
        <v>#VALUE!</v>
      </c>
      <c r="AB48" s="968" t="s">
        <v>2087</v>
      </c>
    </row>
    <row r="49" spans="1:28" ht="20.399999999999999" customHeight="1">
      <c r="A49" s="177"/>
      <c r="B49" s="950"/>
      <c r="C49" s="969" t="s">
        <v>2784</v>
      </c>
      <c r="D49" s="970" t="s">
        <v>2785</v>
      </c>
      <c r="E49" s="970" t="s">
        <v>2786</v>
      </c>
      <c r="F49" s="971" t="s">
        <v>707</v>
      </c>
      <c r="G49" s="972">
        <f t="shared" si="5"/>
        <v>0</v>
      </c>
      <c r="H49" s="973">
        <f t="shared" si="12"/>
        <v>0</v>
      </c>
      <c r="I49" s="973">
        <f t="shared" si="13"/>
        <v>0</v>
      </c>
      <c r="J49" s="973">
        <f t="shared" si="14"/>
        <v>0</v>
      </c>
      <c r="K49" s="973">
        <f t="shared" si="15"/>
        <v>0</v>
      </c>
      <c r="L49" s="973"/>
      <c r="M49" s="974"/>
      <c r="N49" s="818"/>
      <c r="O49" s="818"/>
      <c r="P49" s="818"/>
      <c r="Q49" s="818"/>
      <c r="R49" s="818"/>
      <c r="S49" s="976"/>
      <c r="T49" s="818"/>
      <c r="U49" s="975"/>
      <c r="V49" s="818"/>
      <c r="W49" s="818"/>
      <c r="X49" s="818"/>
      <c r="Y49" s="818"/>
      <c r="Z49" s="976"/>
      <c r="AB49" s="977" t="s">
        <v>2787</v>
      </c>
    </row>
    <row r="50" spans="1:28" ht="20.399999999999999" customHeight="1">
      <c r="A50" s="177"/>
      <c r="B50" s="950"/>
      <c r="C50" s="951" t="s">
        <v>233</v>
      </c>
      <c r="D50" s="952" t="s">
        <v>512</v>
      </c>
      <c r="E50" s="952" t="s">
        <v>710</v>
      </c>
      <c r="F50" s="953" t="s">
        <v>707</v>
      </c>
      <c r="G50" s="954">
        <f t="shared" si="5"/>
        <v>4</v>
      </c>
      <c r="H50" s="955">
        <f t="shared" si="12"/>
        <v>2</v>
      </c>
      <c r="I50" s="955">
        <f t="shared" si="13"/>
        <v>2</v>
      </c>
      <c r="J50" s="955">
        <f t="shared" si="14"/>
        <v>0</v>
      </c>
      <c r="K50" s="955">
        <f t="shared" si="15"/>
        <v>0</v>
      </c>
      <c r="L50" s="955"/>
      <c r="M50" s="956"/>
      <c r="N50" s="818"/>
      <c r="O50" s="818">
        <f>COUNTIFS('HR Track 1'!$L$5:$L$1519,$C50,'HR Track 1'!$M$5:$M$1519,$O$47)</f>
        <v>0</v>
      </c>
      <c r="P50" s="818">
        <f>COUNTIFS('HR Track 1'!$L$5:$L$1519,$C50,'HR Track 1'!$M$5:$M$1519,$P$47)</f>
        <v>0</v>
      </c>
      <c r="Q50" s="818">
        <f>COUNTIFS('HR Track 1'!$L$5:$L$1519,$C50,'HR Track 1'!$M$5:$M$1519,$Q$47)</f>
        <v>0</v>
      </c>
      <c r="R50" s="818">
        <f>COUNTIFS('HR Track 1'!$L$5:$L$1519,$C50,'HR Track 1'!$M$5:$M$1519,$R$47)</f>
        <v>0</v>
      </c>
      <c r="S50" s="976">
        <f>COUNTIFS('HR Track 1'!$L$5:$L$1519,$C50,'HR Track 1'!$M$5:$M$1519,$S$47)</f>
        <v>0</v>
      </c>
      <c r="T50" s="818"/>
      <c r="U50" s="975" t="e">
        <v>#VALUE!</v>
      </c>
      <c r="V50" s="818" t="e">
        <v>#VALUE!</v>
      </c>
      <c r="W50" s="818" t="e">
        <v>#VALUE!</v>
      </c>
      <c r="X50" s="818" t="e">
        <v>#VALUE!</v>
      </c>
      <c r="Y50" s="818" t="e">
        <v>#VALUE!</v>
      </c>
      <c r="Z50" s="976" t="e">
        <v>#VALUE!</v>
      </c>
      <c r="AB50" s="960" t="s">
        <v>2088</v>
      </c>
    </row>
    <row r="51" spans="1:28" ht="20.399999999999999" customHeight="1">
      <c r="A51" s="177"/>
      <c r="B51" s="950"/>
      <c r="C51" s="951" t="s">
        <v>1113</v>
      </c>
      <c r="D51" s="952" t="s">
        <v>1146</v>
      </c>
      <c r="E51" s="952" t="s">
        <v>1116</v>
      </c>
      <c r="F51" s="953" t="s">
        <v>707</v>
      </c>
      <c r="G51" s="954">
        <f t="shared" si="5"/>
        <v>0</v>
      </c>
      <c r="H51" s="955">
        <f t="shared" si="12"/>
        <v>0</v>
      </c>
      <c r="I51" s="955">
        <f t="shared" si="13"/>
        <v>0</v>
      </c>
      <c r="J51" s="955">
        <f t="shared" si="14"/>
        <v>0</v>
      </c>
      <c r="K51" s="955">
        <f t="shared" si="15"/>
        <v>0</v>
      </c>
      <c r="L51" s="955"/>
      <c r="M51" s="956"/>
      <c r="N51" s="818"/>
      <c r="O51" s="818">
        <f>COUNTIFS('HR Track 1'!$L$5:$L$1519,$C51,'HR Track 1'!$M$5:$M$1519,$O$47)</f>
        <v>0</v>
      </c>
      <c r="P51" s="818">
        <f>COUNTIFS('HR Track 1'!$L$5:$L$1519,$C51,'HR Track 1'!$M$5:$M$1519,$P$47)</f>
        <v>0</v>
      </c>
      <c r="Q51" s="818">
        <f>COUNTIFS('HR Track 1'!$L$5:$L$1519,$C51,'HR Track 1'!$M$5:$M$1519,$Q$47)</f>
        <v>0</v>
      </c>
      <c r="R51" s="818">
        <f>COUNTIFS('HR Track 1'!$L$5:$L$1519,$C51,'HR Track 1'!$M$5:$M$1519,$R$47)</f>
        <v>0</v>
      </c>
      <c r="S51" s="976">
        <f>COUNTIFS('HR Track 1'!$L$5:$L$1519,$C51,'HR Track 1'!$M$5:$M$1519,$S$47)</f>
        <v>0</v>
      </c>
      <c r="T51" s="818"/>
      <c r="U51" s="975" t="e">
        <v>#VALUE!</v>
      </c>
      <c r="V51" s="818" t="e">
        <v>#VALUE!</v>
      </c>
      <c r="W51" s="818" t="e">
        <v>#VALUE!</v>
      </c>
      <c r="X51" s="818" t="e">
        <v>#VALUE!</v>
      </c>
      <c r="Y51" s="818" t="e">
        <v>#VALUE!</v>
      </c>
      <c r="Z51" s="976" t="e">
        <v>#VALUE!</v>
      </c>
      <c r="AB51" s="960" t="s">
        <v>2089</v>
      </c>
    </row>
    <row r="52" spans="1:28" ht="20.399999999999999" customHeight="1">
      <c r="A52" s="177"/>
      <c r="B52" s="950"/>
      <c r="C52" s="961" t="s">
        <v>1118</v>
      </c>
      <c r="D52" s="962" t="s">
        <v>1173</v>
      </c>
      <c r="E52" s="962" t="s">
        <v>1127</v>
      </c>
      <c r="F52" s="963" t="s">
        <v>707</v>
      </c>
      <c r="G52" s="964">
        <f t="shared" si="5"/>
        <v>26</v>
      </c>
      <c r="H52" s="965">
        <f t="shared" si="12"/>
        <v>13</v>
      </c>
      <c r="I52" s="965">
        <f t="shared" si="13"/>
        <v>13</v>
      </c>
      <c r="J52" s="965">
        <f t="shared" si="14"/>
        <v>0</v>
      </c>
      <c r="K52" s="965">
        <f t="shared" si="15"/>
        <v>0</v>
      </c>
      <c r="L52" s="965"/>
      <c r="M52" s="966"/>
      <c r="N52" s="818"/>
      <c r="O52" s="818">
        <f>COUNTIFS('HR Track 1'!$L$5:$L$1519,$C52,'HR Track 1'!$M$5:$M$1519,$O$47)</f>
        <v>3</v>
      </c>
      <c r="P52" s="818">
        <f>COUNTIFS('HR Track 1'!$L$5:$L$1519,$C52,'HR Track 1'!$M$5:$M$1519,$P$47)</f>
        <v>1</v>
      </c>
      <c r="Q52" s="818">
        <f>COUNTIFS('HR Track 1'!$L$5:$L$1519,$C52,'HR Track 1'!$M$5:$M$1519,$Q$47)</f>
        <v>4</v>
      </c>
      <c r="R52" s="818">
        <f>COUNTIFS('HR Track 1'!$L$5:$L$1519,$C52,'HR Track 1'!$M$5:$M$1519,$R$47)</f>
        <v>0</v>
      </c>
      <c r="S52" s="976">
        <f>COUNTIFS('HR Track 1'!$L$5:$L$1519,$C52,'HR Track 1'!$M$5:$M$1519,$S$47)</f>
        <v>0</v>
      </c>
      <c r="T52" s="818"/>
      <c r="U52" s="975" t="e">
        <v>#VALUE!</v>
      </c>
      <c r="V52" s="818" t="e">
        <v>#VALUE!</v>
      </c>
      <c r="W52" s="818" t="e">
        <v>#VALUE!</v>
      </c>
      <c r="X52" s="818" t="e">
        <v>#VALUE!</v>
      </c>
      <c r="Y52" s="818" t="e">
        <v>#VALUE!</v>
      </c>
      <c r="Z52" s="976" t="e">
        <v>#VALUE!</v>
      </c>
      <c r="AB52" s="968" t="s">
        <v>2090</v>
      </c>
    </row>
    <row r="53" spans="1:28" ht="20.399999999999999" customHeight="1">
      <c r="A53" s="177"/>
      <c r="B53" s="950"/>
      <c r="C53" s="978" t="s">
        <v>2788</v>
      </c>
      <c r="D53" s="979" t="s">
        <v>2789</v>
      </c>
      <c r="E53" s="979" t="s">
        <v>2790</v>
      </c>
      <c r="F53" s="980" t="s">
        <v>707</v>
      </c>
      <c r="G53" s="981">
        <f t="shared" si="5"/>
        <v>0</v>
      </c>
      <c r="H53" s="982">
        <f t="shared" si="12"/>
        <v>0</v>
      </c>
      <c r="I53" s="982">
        <f t="shared" si="13"/>
        <v>0</v>
      </c>
      <c r="J53" s="982">
        <f t="shared" si="14"/>
        <v>0</v>
      </c>
      <c r="K53" s="982">
        <f t="shared" si="15"/>
        <v>0</v>
      </c>
      <c r="L53" s="982"/>
      <c r="M53" s="983"/>
      <c r="N53" s="818"/>
      <c r="O53" s="818">
        <f>COUNTIFS('HR Track 1'!$L$5:$L$1519,$C53,'HR Track 1'!$M$5:$M$1519,$O$47)</f>
        <v>0</v>
      </c>
      <c r="P53" s="818">
        <f>COUNTIFS('HR Track 1'!$L$5:$L$1519,$C53,'HR Track 1'!$M$5:$M$1519,$P$47)</f>
        <v>0</v>
      </c>
      <c r="Q53" s="818">
        <f>COUNTIFS('HR Track 1'!$L$5:$L$1519,$C53,'HR Track 1'!$M$5:$M$1519,$Q$47)</f>
        <v>0</v>
      </c>
      <c r="R53" s="818">
        <f>COUNTIFS('HR Track 1'!$L$5:$L$1519,$C53,'HR Track 1'!$M$5:$M$1519,$R$47)</f>
        <v>0</v>
      </c>
      <c r="S53" s="976">
        <f>COUNTIFS('HR Track 1'!$L$5:$L$1519,$C53,'HR Track 1'!$M$5:$M$1519,$S$47)</f>
        <v>0</v>
      </c>
      <c r="T53" s="818"/>
      <c r="U53" s="975" t="e">
        <v>#VALUE!</v>
      </c>
      <c r="V53" s="818" t="e">
        <v>#VALUE!</v>
      </c>
      <c r="W53" s="818" t="e">
        <v>#VALUE!</v>
      </c>
      <c r="X53" s="818" t="e">
        <v>#VALUE!</v>
      </c>
      <c r="Y53" s="818" t="e">
        <v>#VALUE!</v>
      </c>
      <c r="Z53" s="976" t="e">
        <v>#VALUE!</v>
      </c>
      <c r="AB53" s="977" t="s">
        <v>2791</v>
      </c>
    </row>
    <row r="54" spans="1:28" ht="20.399999999999999" customHeight="1">
      <c r="A54" s="177"/>
      <c r="B54" s="950"/>
      <c r="C54" s="984" t="s">
        <v>239</v>
      </c>
      <c r="D54" s="985" t="s">
        <v>513</v>
      </c>
      <c r="E54" s="985" t="s">
        <v>711</v>
      </c>
      <c r="F54" s="950" t="s">
        <v>707</v>
      </c>
      <c r="G54" s="986">
        <f t="shared" si="5"/>
        <v>0</v>
      </c>
      <c r="H54" s="818">
        <f>COUNTIF(Area_v1,$C54)</f>
        <v>0</v>
      </c>
      <c r="I54" s="818">
        <f t="shared" si="13"/>
        <v>0</v>
      </c>
      <c r="J54" s="818">
        <f t="shared" si="14"/>
        <v>0</v>
      </c>
      <c r="K54" s="818">
        <f t="shared" si="15"/>
        <v>0</v>
      </c>
      <c r="L54" s="818"/>
      <c r="M54" s="976"/>
      <c r="N54" s="818"/>
      <c r="O54" s="818">
        <f>COUNTIFS('HR Track 1'!$L$5:$L$1519,$C54,'HR Track 1'!$M$5:$M$1519,$O$47)</f>
        <v>0</v>
      </c>
      <c r="P54" s="818">
        <f>COUNTIFS('HR Track 1'!$L$5:$L$1519,$C54,'HR Track 1'!$M$5:$M$1519,$P$47)</f>
        <v>0</v>
      </c>
      <c r="Q54" s="818">
        <f>COUNTIFS('HR Track 1'!$L$5:$L$1519,$C54,'HR Track 1'!$M$5:$M$1519,$Q$47)</f>
        <v>0</v>
      </c>
      <c r="R54" s="818">
        <f>COUNTIFS('HR Track 1'!$L$5:$L$1519,$C54,'HR Track 1'!$M$5:$M$1519,$R$47)</f>
        <v>0</v>
      </c>
      <c r="S54" s="976">
        <f>COUNTIFS('HR Track 1'!$L$5:$L$1519,$C54,'HR Track 1'!$M$5:$M$1519,$S$47)</f>
        <v>0</v>
      </c>
      <c r="T54" s="818"/>
      <c r="U54" s="975" t="e">
        <v>#VALUE!</v>
      </c>
      <c r="V54" s="818" t="e">
        <v>#VALUE!</v>
      </c>
      <c r="W54" s="818" t="e">
        <v>#VALUE!</v>
      </c>
      <c r="X54" s="818" t="e">
        <v>#VALUE!</v>
      </c>
      <c r="Y54" s="818" t="e">
        <v>#VALUE!</v>
      </c>
      <c r="Z54" s="976" t="e">
        <v>#VALUE!</v>
      </c>
      <c r="AB54" s="918" t="s">
        <v>2091</v>
      </c>
    </row>
    <row r="55" spans="1:28" ht="20.399999999999999" customHeight="1">
      <c r="A55" s="177"/>
      <c r="B55" s="950"/>
      <c r="C55" s="951" t="s">
        <v>1114</v>
      </c>
      <c r="D55" s="952" t="s">
        <v>1154</v>
      </c>
      <c r="E55" s="952" t="s">
        <v>1130</v>
      </c>
      <c r="F55" s="953" t="s">
        <v>707</v>
      </c>
      <c r="G55" s="954">
        <f t="shared" si="5"/>
        <v>0</v>
      </c>
      <c r="H55" s="955">
        <f t="shared" si="12"/>
        <v>0</v>
      </c>
      <c r="I55" s="955">
        <f t="shared" si="13"/>
        <v>0</v>
      </c>
      <c r="J55" s="955">
        <f t="shared" si="14"/>
        <v>0</v>
      </c>
      <c r="K55" s="955">
        <f t="shared" si="15"/>
        <v>0</v>
      </c>
      <c r="L55" s="955"/>
      <c r="M55" s="956"/>
      <c r="N55" s="818"/>
      <c r="O55" s="818">
        <f>COUNTIFS('HR Track 1'!$L$5:$L$1519,$C55,'HR Track 1'!$M$5:$M$1519,$O$47)</f>
        <v>0</v>
      </c>
      <c r="P55" s="818">
        <f>COUNTIFS('HR Track 1'!$L$5:$L$1519,$C55,'HR Track 1'!$M$5:$M$1519,$P$47)</f>
        <v>0</v>
      </c>
      <c r="Q55" s="818">
        <f>COUNTIFS('HR Track 1'!$L$5:$L$1519,$C55,'HR Track 1'!$M$5:$M$1519,$Q$47)</f>
        <v>0</v>
      </c>
      <c r="R55" s="818">
        <f>COUNTIFS('HR Track 1'!$L$5:$L$1519,$C55,'HR Track 1'!$M$5:$M$1519,$R$47)</f>
        <v>0</v>
      </c>
      <c r="S55" s="976">
        <f>COUNTIFS('HR Track 1'!$L$5:$L$1519,$C55,'HR Track 1'!$M$5:$M$1519,$S$47)</f>
        <v>0</v>
      </c>
      <c r="T55" s="818"/>
      <c r="U55" s="975" t="e">
        <v>#VALUE!</v>
      </c>
      <c r="V55" s="818" t="e">
        <v>#VALUE!</v>
      </c>
      <c r="W55" s="818" t="e">
        <v>#VALUE!</v>
      </c>
      <c r="X55" s="818" t="e">
        <v>#VALUE!</v>
      </c>
      <c r="Y55" s="818" t="e">
        <v>#VALUE!</v>
      </c>
      <c r="Z55" s="976" t="e">
        <v>#VALUE!</v>
      </c>
      <c r="AB55" s="960" t="s">
        <v>2092</v>
      </c>
    </row>
    <row r="56" spans="1:28" ht="20.399999999999999" customHeight="1">
      <c r="A56" s="177"/>
      <c r="B56" s="950"/>
      <c r="C56" s="961" t="s">
        <v>1120</v>
      </c>
      <c r="D56" s="962" t="s">
        <v>1155</v>
      </c>
      <c r="E56" s="962" t="s">
        <v>1128</v>
      </c>
      <c r="F56" s="963" t="s">
        <v>707</v>
      </c>
      <c r="G56" s="964">
        <f t="shared" si="5"/>
        <v>20</v>
      </c>
      <c r="H56" s="965">
        <f t="shared" si="12"/>
        <v>10</v>
      </c>
      <c r="I56" s="965">
        <f t="shared" si="13"/>
        <v>10</v>
      </c>
      <c r="J56" s="965">
        <f t="shared" si="14"/>
        <v>0</v>
      </c>
      <c r="K56" s="965">
        <f t="shared" si="15"/>
        <v>0</v>
      </c>
      <c r="L56" s="965"/>
      <c r="M56" s="966"/>
      <c r="N56" s="818"/>
      <c r="O56" s="818">
        <f>COUNTIFS('HR Track 1'!$L$5:$L$1519,$C56,'HR Track 1'!$M$5:$M$1519,$O$47)</f>
        <v>5</v>
      </c>
      <c r="P56" s="818">
        <f>COUNTIFS('HR Track 1'!$L$5:$L$1519,$C56,'HR Track 1'!$M$5:$M$1519,$P$47)</f>
        <v>4</v>
      </c>
      <c r="Q56" s="818">
        <f>COUNTIFS('HR Track 1'!$L$5:$L$1519,$C56,'HR Track 1'!$M$5:$M$1519,$Q$47)</f>
        <v>0</v>
      </c>
      <c r="R56" s="818">
        <f>COUNTIFS('HR Track 1'!$L$5:$L$1519,$C56,'HR Track 1'!$M$5:$M$1519,$R$47)</f>
        <v>0</v>
      </c>
      <c r="S56" s="976">
        <f>COUNTIFS('HR Track 1'!$L$5:$L$1519,$C56,'HR Track 1'!$M$5:$M$1519,$S$47)</f>
        <v>0</v>
      </c>
      <c r="T56" s="818"/>
      <c r="U56" s="975" t="e">
        <v>#VALUE!</v>
      </c>
      <c r="V56" s="818" t="e">
        <v>#VALUE!</v>
      </c>
      <c r="W56" s="818" t="e">
        <v>#VALUE!</v>
      </c>
      <c r="X56" s="818" t="e">
        <v>#VALUE!</v>
      </c>
      <c r="Y56" s="818" t="e">
        <v>#VALUE!</v>
      </c>
      <c r="Z56" s="976" t="e">
        <v>#VALUE!</v>
      </c>
      <c r="AB56" s="968" t="s">
        <v>2093</v>
      </c>
    </row>
    <row r="57" spans="1:28" ht="20.399999999999999" customHeight="1">
      <c r="A57" s="177"/>
      <c r="B57" s="950"/>
      <c r="C57" s="978" t="s">
        <v>2792</v>
      </c>
      <c r="D57" s="979" t="s">
        <v>2793</v>
      </c>
      <c r="E57" s="979" t="s">
        <v>2794</v>
      </c>
      <c r="F57" s="980" t="s">
        <v>707</v>
      </c>
      <c r="G57" s="981">
        <f t="shared" si="5"/>
        <v>0</v>
      </c>
      <c r="H57" s="982">
        <f t="shared" si="12"/>
        <v>0</v>
      </c>
      <c r="I57" s="982">
        <f t="shared" si="13"/>
        <v>0</v>
      </c>
      <c r="J57" s="982">
        <f t="shared" si="14"/>
        <v>0</v>
      </c>
      <c r="K57" s="982">
        <f t="shared" si="15"/>
        <v>0</v>
      </c>
      <c r="L57" s="982"/>
      <c r="M57" s="983"/>
      <c r="N57" s="818"/>
      <c r="O57" s="818">
        <f>COUNTIFS('HR Track 1'!$L$5:$L$1519,$C57,'HR Track 1'!$M$5:$M$1519,$O$47)</f>
        <v>0</v>
      </c>
      <c r="P57" s="818">
        <f>COUNTIFS('HR Track 1'!$L$5:$L$1519,$C57,'HR Track 1'!$M$5:$M$1519,$P$47)</f>
        <v>0</v>
      </c>
      <c r="Q57" s="818">
        <f>COUNTIFS('HR Track 1'!$L$5:$L$1519,$C57,'HR Track 1'!$M$5:$M$1519,$Q$47)</f>
        <v>0</v>
      </c>
      <c r="R57" s="818">
        <f>COUNTIFS('HR Track 1'!$L$5:$L$1519,$C57,'HR Track 1'!$M$5:$M$1519,$R$47)</f>
        <v>0</v>
      </c>
      <c r="S57" s="976">
        <f>COUNTIFS('HR Track 1'!$L$5:$L$1519,$C57,'HR Track 1'!$M$5:$M$1519,$S$47)</f>
        <v>0</v>
      </c>
      <c r="T57" s="818"/>
      <c r="U57" s="975" t="e">
        <v>#VALUE!</v>
      </c>
      <c r="V57" s="818" t="e">
        <v>#VALUE!</v>
      </c>
      <c r="W57" s="818" t="e">
        <v>#VALUE!</v>
      </c>
      <c r="X57" s="818" t="e">
        <v>#VALUE!</v>
      </c>
      <c r="Y57" s="818" t="e">
        <v>#VALUE!</v>
      </c>
      <c r="Z57" s="976" t="e">
        <v>#VALUE!</v>
      </c>
      <c r="AB57" s="977" t="s">
        <v>2795</v>
      </c>
    </row>
    <row r="58" spans="1:28" ht="20.399999999999999" customHeight="1">
      <c r="A58" s="177"/>
      <c r="B58" s="950"/>
      <c r="C58" s="984" t="s">
        <v>238</v>
      </c>
      <c r="D58" s="985" t="s">
        <v>514</v>
      </c>
      <c r="E58" s="985" t="s">
        <v>712</v>
      </c>
      <c r="F58" s="950" t="s">
        <v>707</v>
      </c>
      <c r="G58" s="986">
        <f t="shared" si="5"/>
        <v>0</v>
      </c>
      <c r="H58" s="818">
        <f t="shared" si="12"/>
        <v>0</v>
      </c>
      <c r="I58" s="818">
        <f t="shared" si="13"/>
        <v>0</v>
      </c>
      <c r="J58" s="818">
        <f t="shared" si="14"/>
        <v>0</v>
      </c>
      <c r="K58" s="818">
        <f t="shared" si="15"/>
        <v>0</v>
      </c>
      <c r="L58" s="818"/>
      <c r="M58" s="976"/>
      <c r="N58" s="818"/>
      <c r="O58" s="818">
        <f>COUNTIFS('HR Track 1'!$L$5:$L$1519,$C58,'HR Track 1'!$M$5:$M$1519,$O$47)</f>
        <v>0</v>
      </c>
      <c r="P58" s="818">
        <f>COUNTIFS('HR Track 1'!$L$5:$L$1519,$C58,'HR Track 1'!$M$5:$M$1519,$P$47)</f>
        <v>0</v>
      </c>
      <c r="Q58" s="818">
        <f>COUNTIFS('HR Track 1'!$L$5:$L$1519,$C58,'HR Track 1'!$M$5:$M$1519,$Q$47)</f>
        <v>0</v>
      </c>
      <c r="R58" s="818">
        <f>COUNTIFS('HR Track 1'!$L$5:$L$1519,$C58,'HR Track 1'!$M$5:$M$1519,$R$47)</f>
        <v>0</v>
      </c>
      <c r="S58" s="976">
        <f>COUNTIFS('HR Track 1'!$L$5:$L$1519,$C58,'HR Track 1'!$M$5:$M$1519,$S$47)</f>
        <v>0</v>
      </c>
      <c r="T58" s="818"/>
      <c r="U58" s="975" t="e">
        <v>#VALUE!</v>
      </c>
      <c r="V58" s="818" t="e">
        <v>#VALUE!</v>
      </c>
      <c r="W58" s="818" t="e">
        <v>#VALUE!</v>
      </c>
      <c r="X58" s="818" t="e">
        <v>#VALUE!</v>
      </c>
      <c r="Y58" s="818" t="e">
        <v>#VALUE!</v>
      </c>
      <c r="Z58" s="976" t="e">
        <v>#VALUE!</v>
      </c>
      <c r="AB58" s="918" t="s">
        <v>2094</v>
      </c>
    </row>
    <row r="59" spans="1:28" ht="20.399999999999999" customHeight="1">
      <c r="A59" s="987"/>
      <c r="B59" s="988"/>
      <c r="C59" s="989" t="s">
        <v>1115</v>
      </c>
      <c r="D59" s="990" t="s">
        <v>1157</v>
      </c>
      <c r="E59" s="990" t="s">
        <v>1131</v>
      </c>
      <c r="F59" s="988" t="s">
        <v>707</v>
      </c>
      <c r="G59" s="986">
        <f t="shared" si="5"/>
        <v>0</v>
      </c>
      <c r="H59" s="818">
        <f t="shared" si="12"/>
        <v>0</v>
      </c>
      <c r="I59" s="818">
        <f t="shared" si="13"/>
        <v>0</v>
      </c>
      <c r="J59" s="818">
        <f t="shared" si="14"/>
        <v>0</v>
      </c>
      <c r="K59" s="818">
        <f t="shared" si="15"/>
        <v>0</v>
      </c>
      <c r="L59" s="818"/>
      <c r="M59" s="976"/>
      <c r="N59" s="818"/>
      <c r="O59" s="818">
        <f>COUNTIFS('HR Track 1'!$L$5:$L$1519,$C59,'HR Track 1'!$M$5:$M$1519,$O$47)</f>
        <v>0</v>
      </c>
      <c r="P59" s="818">
        <f>COUNTIFS('HR Track 1'!$L$5:$L$1519,$C59,'HR Track 1'!$M$5:$M$1519,$P$47)</f>
        <v>0</v>
      </c>
      <c r="Q59" s="818">
        <f>COUNTIFS('HR Track 1'!$L$5:$L$1519,$C59,'HR Track 1'!$M$5:$M$1519,$Q$47)</f>
        <v>0</v>
      </c>
      <c r="R59" s="818">
        <f>COUNTIFS('HR Track 1'!$L$5:$L$1519,$C59,'HR Track 1'!$M$5:$M$1519,$R$47)</f>
        <v>0</v>
      </c>
      <c r="S59" s="976">
        <f>COUNTIFS('HR Track 1'!$L$5:$L$1519,$C59,'HR Track 1'!$M$5:$M$1519,$S$47)</f>
        <v>0</v>
      </c>
      <c r="T59" s="818"/>
      <c r="U59" s="975" t="e">
        <v>#VALUE!</v>
      </c>
      <c r="V59" s="818" t="e">
        <v>#VALUE!</v>
      </c>
      <c r="W59" s="818" t="e">
        <v>#VALUE!</v>
      </c>
      <c r="X59" s="818" t="e">
        <v>#VALUE!</v>
      </c>
      <c r="Y59" s="818" t="e">
        <v>#VALUE!</v>
      </c>
      <c r="Z59" s="976" t="e">
        <v>#VALUE!</v>
      </c>
      <c r="AB59" s="991" t="s">
        <v>2095</v>
      </c>
    </row>
    <row r="60" spans="1:28" ht="20.399999999999999" customHeight="1">
      <c r="A60" s="177"/>
      <c r="B60" s="950"/>
      <c r="C60" s="984" t="s">
        <v>1123</v>
      </c>
      <c r="D60" s="985" t="s">
        <v>1158</v>
      </c>
      <c r="E60" s="985" t="s">
        <v>1129</v>
      </c>
      <c r="F60" s="950" t="s">
        <v>707</v>
      </c>
      <c r="G60" s="986">
        <f t="shared" si="5"/>
        <v>4</v>
      </c>
      <c r="H60" s="818">
        <f t="shared" si="12"/>
        <v>2</v>
      </c>
      <c r="I60" s="818">
        <f t="shared" si="13"/>
        <v>2</v>
      </c>
      <c r="J60" s="818">
        <f t="shared" si="14"/>
        <v>0</v>
      </c>
      <c r="K60" s="818">
        <f t="shared" si="15"/>
        <v>0</v>
      </c>
      <c r="L60" s="818"/>
      <c r="M60" s="976"/>
      <c r="N60" s="818"/>
      <c r="O60" s="818">
        <f>COUNTIFS('HR Track 1'!$L$5:$L$1519,$C60,'HR Track 1'!$M$5:$M$1519,$O$47)</f>
        <v>0</v>
      </c>
      <c r="P60" s="818">
        <f>COUNTIFS('HR Track 1'!$L$5:$L$1519,$C60,'HR Track 1'!$M$5:$M$1519,$P$47)</f>
        <v>2</v>
      </c>
      <c r="Q60" s="818">
        <f>COUNTIFS('HR Track 1'!$L$5:$L$1519,$C60,'HR Track 1'!$M$5:$M$1519,$Q$47)</f>
        <v>0</v>
      </c>
      <c r="R60" s="818">
        <f>COUNTIFS('HR Track 1'!$L$5:$L$1519,$C60,'HR Track 1'!$M$5:$M$1519,$R$47)</f>
        <v>0</v>
      </c>
      <c r="S60" s="976">
        <f>COUNTIFS('HR Track 1'!$L$5:$L$1519,$C60,'HR Track 1'!$M$5:$M$1519,$S$47)</f>
        <v>0</v>
      </c>
      <c r="T60" s="818"/>
      <c r="U60" s="975" t="e">
        <v>#VALUE!</v>
      </c>
      <c r="V60" s="818" t="e">
        <v>#VALUE!</v>
      </c>
      <c r="W60" s="818" t="e">
        <v>#VALUE!</v>
      </c>
      <c r="X60" s="818" t="e">
        <v>#VALUE!</v>
      </c>
      <c r="Y60" s="818" t="e">
        <v>#VALUE!</v>
      </c>
      <c r="Z60" s="976" t="e">
        <v>#VALUE!</v>
      </c>
      <c r="AB60" s="918" t="s">
        <v>2096</v>
      </c>
    </row>
    <row r="61" spans="1:28" ht="20.399999999999999" customHeight="1">
      <c r="A61" s="992"/>
      <c r="B61" s="993"/>
      <c r="C61" s="994" t="s">
        <v>2796</v>
      </c>
      <c r="D61" s="995" t="s">
        <v>2797</v>
      </c>
      <c r="E61" s="995" t="s">
        <v>2798</v>
      </c>
      <c r="F61" s="993" t="s">
        <v>707</v>
      </c>
      <c r="G61" s="996">
        <f t="shared" si="5"/>
        <v>0</v>
      </c>
      <c r="H61" s="958">
        <f t="shared" si="12"/>
        <v>0</v>
      </c>
      <c r="I61" s="958">
        <f t="shared" si="13"/>
        <v>0</v>
      </c>
      <c r="J61" s="958">
        <f t="shared" si="14"/>
        <v>0</v>
      </c>
      <c r="K61" s="958">
        <f t="shared" si="15"/>
        <v>0</v>
      </c>
      <c r="L61" s="958"/>
      <c r="M61" s="959"/>
      <c r="N61" s="818"/>
      <c r="O61" s="958">
        <f>COUNTIFS('HR Track 1'!$L$5:$L$1519,$C61,'HR Track 1'!$M$5:$M$1519,$O$47)</f>
        <v>0</v>
      </c>
      <c r="P61" s="958">
        <f>COUNTIFS('HR Track 1'!$L$5:$L$1519,$C61,'HR Track 1'!$M$5:$M$1519,$P$47)</f>
        <v>0</v>
      </c>
      <c r="Q61" s="958">
        <f>COUNTIFS('HR Track 1'!$L$5:$L$1519,$C61,'HR Track 1'!$M$5:$M$1519,$Q$47)</f>
        <v>0</v>
      </c>
      <c r="R61" s="958">
        <f>COUNTIFS('HR Track 1'!$L$5:$L$1519,$C61,'HR Track 1'!$M$5:$M$1519,$R$47)</f>
        <v>0</v>
      </c>
      <c r="S61" s="959">
        <f>COUNTIFS('HR Track 1'!$L$5:$L$1519,$C61,'HR Track 1'!$M$5:$M$1519,$S$47)</f>
        <v>0</v>
      </c>
      <c r="T61" s="818"/>
      <c r="U61" s="957" t="e">
        <v>#VALUE!</v>
      </c>
      <c r="V61" s="958" t="e">
        <v>#VALUE!</v>
      </c>
      <c r="W61" s="958" t="e">
        <v>#VALUE!</v>
      </c>
      <c r="X61" s="958" t="e">
        <v>#VALUE!</v>
      </c>
      <c r="Y61" s="958" t="e">
        <v>#VALUE!</v>
      </c>
      <c r="Z61" s="959" t="e">
        <v>#VALUE!</v>
      </c>
      <c r="AB61" s="997" t="s">
        <v>2208</v>
      </c>
    </row>
    <row r="62" spans="1:28" ht="20.399999999999999" customHeight="1">
      <c r="A62" s="174"/>
      <c r="B62" s="998"/>
      <c r="C62" s="999" t="s">
        <v>907</v>
      </c>
      <c r="D62" s="1000" t="s">
        <v>515</v>
      </c>
      <c r="E62" s="1000" t="s">
        <v>713</v>
      </c>
      <c r="F62" s="998" t="s">
        <v>707</v>
      </c>
      <c r="G62" s="986">
        <f t="shared" si="5"/>
        <v>0</v>
      </c>
      <c r="H62" s="818">
        <f t="shared" si="12"/>
        <v>0</v>
      </c>
      <c r="I62" s="818">
        <f t="shared" si="13"/>
        <v>0</v>
      </c>
      <c r="J62" s="818">
        <f t="shared" si="14"/>
        <v>0</v>
      </c>
      <c r="K62" s="818">
        <f t="shared" si="15"/>
        <v>0</v>
      </c>
      <c r="L62" s="818"/>
      <c r="M62" s="976"/>
      <c r="N62" s="818"/>
      <c r="AB62" s="1001" t="s">
        <v>2097</v>
      </c>
    </row>
    <row r="63" spans="1:28" ht="20.399999999999999" customHeight="1">
      <c r="A63" s="177"/>
      <c r="B63" s="950"/>
      <c r="C63" s="984" t="s">
        <v>908</v>
      </c>
      <c r="D63" s="985" t="s">
        <v>516</v>
      </c>
      <c r="E63" s="985" t="s">
        <v>714</v>
      </c>
      <c r="F63" s="950" t="s">
        <v>707</v>
      </c>
      <c r="G63" s="986">
        <f t="shared" si="5"/>
        <v>0</v>
      </c>
      <c r="H63" s="818">
        <f t="shared" si="12"/>
        <v>0</v>
      </c>
      <c r="I63" s="818">
        <f t="shared" si="13"/>
        <v>0</v>
      </c>
      <c r="J63" s="818">
        <f t="shared" si="14"/>
        <v>0</v>
      </c>
      <c r="K63" s="818">
        <f t="shared" si="15"/>
        <v>0</v>
      </c>
      <c r="L63" s="818"/>
      <c r="M63" s="976"/>
      <c r="N63" s="818"/>
      <c r="AB63" s="918" t="s">
        <v>2098</v>
      </c>
    </row>
    <row r="64" spans="1:28" ht="20.399999999999999" customHeight="1">
      <c r="A64" s="177"/>
      <c r="B64" s="950"/>
      <c r="C64" s="951" t="s">
        <v>909</v>
      </c>
      <c r="D64" s="952" t="s">
        <v>517</v>
      </c>
      <c r="E64" s="952" t="s">
        <v>715</v>
      </c>
      <c r="F64" s="953" t="s">
        <v>707</v>
      </c>
      <c r="G64" s="954">
        <f t="shared" si="5"/>
        <v>0</v>
      </c>
      <c r="H64" s="955">
        <f t="shared" si="12"/>
        <v>0</v>
      </c>
      <c r="I64" s="955">
        <f t="shared" si="13"/>
        <v>0</v>
      </c>
      <c r="J64" s="955">
        <f t="shared" si="14"/>
        <v>0</v>
      </c>
      <c r="K64" s="955">
        <f t="shared" si="15"/>
        <v>0</v>
      </c>
      <c r="L64" s="955"/>
      <c r="M64" s="956"/>
      <c r="N64" s="818"/>
      <c r="AB64" s="960" t="s">
        <v>2099</v>
      </c>
    </row>
    <row r="65" spans="1:28" ht="20.399999999999999" customHeight="1">
      <c r="A65" s="177"/>
      <c r="B65" s="950"/>
      <c r="C65" s="984" t="s">
        <v>910</v>
      </c>
      <c r="D65" s="985" t="s">
        <v>518</v>
      </c>
      <c r="E65" s="985" t="s">
        <v>716</v>
      </c>
      <c r="F65" s="950" t="s">
        <v>707</v>
      </c>
      <c r="G65" s="986">
        <f t="shared" si="5"/>
        <v>0</v>
      </c>
      <c r="H65" s="818">
        <f t="shared" si="12"/>
        <v>0</v>
      </c>
      <c r="I65" s="818">
        <f t="shared" si="13"/>
        <v>0</v>
      </c>
      <c r="J65" s="818">
        <f t="shared" si="14"/>
        <v>0</v>
      </c>
      <c r="K65" s="818">
        <f t="shared" si="15"/>
        <v>0</v>
      </c>
      <c r="L65" s="818"/>
      <c r="M65" s="976"/>
      <c r="N65" s="818"/>
      <c r="AB65" s="918" t="s">
        <v>2100</v>
      </c>
    </row>
    <row r="66" spans="1:28" ht="20.399999999999999" customHeight="1">
      <c r="A66" s="177"/>
      <c r="B66" s="950"/>
      <c r="C66" s="951" t="s">
        <v>911</v>
      </c>
      <c r="D66" s="952" t="s">
        <v>519</v>
      </c>
      <c r="E66" s="952" t="s">
        <v>717</v>
      </c>
      <c r="F66" s="953" t="s">
        <v>707</v>
      </c>
      <c r="G66" s="954">
        <f t="shared" si="5"/>
        <v>0</v>
      </c>
      <c r="H66" s="955">
        <f t="shared" si="12"/>
        <v>0</v>
      </c>
      <c r="I66" s="955">
        <f t="shared" si="13"/>
        <v>0</v>
      </c>
      <c r="J66" s="955">
        <f t="shared" si="14"/>
        <v>0</v>
      </c>
      <c r="K66" s="955">
        <f t="shared" si="15"/>
        <v>0</v>
      </c>
      <c r="L66" s="955"/>
      <c r="M66" s="956"/>
      <c r="N66" s="818"/>
      <c r="AB66" s="960" t="s">
        <v>2101</v>
      </c>
    </row>
    <row r="67" spans="1:28" ht="20.399999999999999" customHeight="1">
      <c r="A67" s="177"/>
      <c r="B67" s="950"/>
      <c r="C67" s="984" t="s">
        <v>694</v>
      </c>
      <c r="D67" s="985" t="s">
        <v>520</v>
      </c>
      <c r="E67" s="985" t="s">
        <v>718</v>
      </c>
      <c r="F67" s="950" t="s">
        <v>707</v>
      </c>
      <c r="G67" s="986">
        <f t="shared" si="5"/>
        <v>0</v>
      </c>
      <c r="H67" s="818">
        <f t="shared" si="12"/>
        <v>0</v>
      </c>
      <c r="I67" s="818">
        <f t="shared" si="13"/>
        <v>0</v>
      </c>
      <c r="J67" s="818">
        <f t="shared" si="14"/>
        <v>0</v>
      </c>
      <c r="K67" s="818">
        <f t="shared" si="15"/>
        <v>0</v>
      </c>
      <c r="L67" s="818"/>
      <c r="M67" s="976"/>
      <c r="N67" s="818"/>
      <c r="AB67" s="918" t="s">
        <v>2109</v>
      </c>
    </row>
    <row r="68" spans="1:28" ht="20.399999999999999" customHeight="1">
      <c r="A68" s="177"/>
      <c r="B68" s="950"/>
      <c r="C68" s="984" t="s">
        <v>915</v>
      </c>
      <c r="D68" s="985" t="s">
        <v>1160</v>
      </c>
      <c r="E68" s="985" t="s">
        <v>722</v>
      </c>
      <c r="F68" s="950" t="s">
        <v>707</v>
      </c>
      <c r="G68" s="986">
        <f t="shared" si="5"/>
        <v>0</v>
      </c>
      <c r="H68" s="818">
        <f t="shared" si="12"/>
        <v>0</v>
      </c>
      <c r="I68" s="818">
        <f t="shared" si="13"/>
        <v>0</v>
      </c>
      <c r="J68" s="818">
        <f t="shared" si="14"/>
        <v>0</v>
      </c>
      <c r="K68" s="818">
        <f t="shared" si="15"/>
        <v>0</v>
      </c>
      <c r="L68" s="818"/>
      <c r="M68" s="976"/>
      <c r="N68" s="818"/>
      <c r="AB68" s="918" t="s">
        <v>2102</v>
      </c>
    </row>
    <row r="69" spans="1:28" ht="20.399999999999999" customHeight="1">
      <c r="A69" s="992"/>
      <c r="B69" s="988"/>
      <c r="C69" s="989" t="s">
        <v>2682</v>
      </c>
      <c r="D69" s="990" t="s">
        <v>2683</v>
      </c>
      <c r="E69" s="990" t="s">
        <v>2684</v>
      </c>
      <c r="F69" s="993" t="s">
        <v>707</v>
      </c>
      <c r="G69" s="986">
        <f t="shared" si="5"/>
        <v>0</v>
      </c>
      <c r="H69" s="818">
        <f t="shared" si="12"/>
        <v>0</v>
      </c>
      <c r="I69" s="818">
        <f t="shared" si="13"/>
        <v>0</v>
      </c>
      <c r="J69" s="818">
        <f t="shared" si="14"/>
        <v>0</v>
      </c>
      <c r="K69" s="818">
        <f t="shared" si="15"/>
        <v>0</v>
      </c>
      <c r="L69" s="818"/>
      <c r="M69" s="976"/>
      <c r="N69" s="818"/>
      <c r="AB69" s="991" t="s">
        <v>2700</v>
      </c>
    </row>
    <row r="70" spans="1:28" ht="20.399999999999999" customHeight="1">
      <c r="A70" s="177"/>
      <c r="B70" s="944"/>
      <c r="C70" s="1002" t="s">
        <v>1098</v>
      </c>
      <c r="D70" s="1003" t="s">
        <v>1161</v>
      </c>
      <c r="E70" s="1003" t="s">
        <v>1117</v>
      </c>
      <c r="F70" s="1004" t="s">
        <v>707</v>
      </c>
      <c r="G70" s="1005">
        <f t="shared" si="5"/>
        <v>0</v>
      </c>
      <c r="H70" s="1006">
        <f t="shared" si="12"/>
        <v>0</v>
      </c>
      <c r="I70" s="1006">
        <f t="shared" si="13"/>
        <v>0</v>
      </c>
      <c r="J70" s="1006">
        <f t="shared" si="14"/>
        <v>0</v>
      </c>
      <c r="K70" s="1006">
        <f t="shared" si="15"/>
        <v>0</v>
      </c>
      <c r="L70" s="1006"/>
      <c r="M70" s="1007"/>
      <c r="N70" s="818"/>
      <c r="AB70" s="960" t="s">
        <v>2103</v>
      </c>
    </row>
    <row r="71" spans="1:28" ht="20.399999999999999" customHeight="1">
      <c r="A71" s="174"/>
      <c r="B71" s="998"/>
      <c r="C71" s="961" t="s">
        <v>1124</v>
      </c>
      <c r="D71" s="962" t="s">
        <v>1162</v>
      </c>
      <c r="E71" s="962" t="s">
        <v>1125</v>
      </c>
      <c r="F71" s="963" t="s">
        <v>707</v>
      </c>
      <c r="G71" s="964">
        <f t="shared" si="5"/>
        <v>4</v>
      </c>
      <c r="H71" s="965">
        <f t="shared" si="12"/>
        <v>2</v>
      </c>
      <c r="I71" s="965">
        <f t="shared" si="13"/>
        <v>2</v>
      </c>
      <c r="J71" s="965">
        <f t="shared" si="14"/>
        <v>0</v>
      </c>
      <c r="K71" s="965">
        <f t="shared" si="15"/>
        <v>0</v>
      </c>
      <c r="L71" s="965"/>
      <c r="M71" s="966"/>
      <c r="N71" s="818"/>
      <c r="O71" s="1009">
        <f>COUNTIFS('HR Track 1'!$L$5:$L$1519,$C71,'HR Track 1'!$M$5:$M$1519,$O$47)</f>
        <v>2</v>
      </c>
      <c r="P71" s="1009">
        <f>COUNTIFS('HR Track 1'!$L$5:$L$1519,$C71,'HR Track 1'!$M$5:$M$1519,$P$47)</f>
        <v>0</v>
      </c>
      <c r="Q71" s="1009">
        <f>COUNTIFS('HR Track 1'!$L$5:$L$1519,$C71,'HR Track 1'!$M$5:$M$1519,$Q$47)</f>
        <v>0</v>
      </c>
      <c r="R71" s="1009">
        <f>COUNTIFS('HR Track 1'!$L$5:$L$1519,$C71,'HR Track 1'!$M$5:$M$1519,$R$47)</f>
        <v>0</v>
      </c>
      <c r="S71" s="1010">
        <f>COUNTIFS('HR Track 1'!$L$5:$L$1519,$C71,'HR Track 1'!$M$5:$M$1519,$S$47)</f>
        <v>0</v>
      </c>
      <c r="U71" s="1008" t="e">
        <v>#VALUE!</v>
      </c>
      <c r="V71" s="1009" t="e">
        <v>#VALUE!</v>
      </c>
      <c r="W71" s="1009" t="e">
        <v>#VALUE!</v>
      </c>
      <c r="X71" s="1009" t="e">
        <v>#VALUE!</v>
      </c>
      <c r="Y71" s="1009" t="e">
        <v>#VALUE!</v>
      </c>
      <c r="Z71" s="1010" t="e">
        <v>#VALUE!</v>
      </c>
      <c r="AB71" s="968" t="s">
        <v>2104</v>
      </c>
    </row>
    <row r="72" spans="1:28" ht="20.399999999999999" customHeight="1">
      <c r="A72" s="177"/>
      <c r="B72" s="950"/>
      <c r="C72" s="984" t="s">
        <v>1100</v>
      </c>
      <c r="D72" s="985" t="s">
        <v>1163</v>
      </c>
      <c r="E72" s="985" t="s">
        <v>1119</v>
      </c>
      <c r="F72" s="950" t="s">
        <v>707</v>
      </c>
      <c r="G72" s="986">
        <f t="shared" si="5"/>
        <v>0</v>
      </c>
      <c r="H72" s="818">
        <f t="shared" si="12"/>
        <v>0</v>
      </c>
      <c r="I72" s="818">
        <f t="shared" si="13"/>
        <v>0</v>
      </c>
      <c r="J72" s="818">
        <f t="shared" si="14"/>
        <v>0</v>
      </c>
      <c r="K72" s="818">
        <f t="shared" si="15"/>
        <v>0</v>
      </c>
      <c r="L72" s="818"/>
      <c r="M72" s="976"/>
      <c r="N72" s="818"/>
      <c r="O72" s="820"/>
      <c r="P72" s="820"/>
      <c r="Q72" s="820"/>
      <c r="R72" s="820"/>
      <c r="S72" s="820"/>
      <c r="T72" s="820"/>
      <c r="U72" s="820"/>
      <c r="V72" s="820"/>
      <c r="W72" s="820"/>
      <c r="X72" s="820"/>
      <c r="Y72" s="820"/>
      <c r="Z72" s="820"/>
      <c r="AB72" s="918" t="s">
        <v>2105</v>
      </c>
    </row>
    <row r="73" spans="1:28" ht="20.399999999999999" customHeight="1">
      <c r="A73" s="177"/>
      <c r="B73" s="950"/>
      <c r="C73" s="984" t="s">
        <v>1121</v>
      </c>
      <c r="D73" s="985" t="s">
        <v>1164</v>
      </c>
      <c r="E73" s="985" t="s">
        <v>1126</v>
      </c>
      <c r="F73" s="950" t="s">
        <v>707</v>
      </c>
      <c r="G73" s="986">
        <f t="shared" si="5"/>
        <v>0</v>
      </c>
      <c r="H73" s="818">
        <f t="shared" si="12"/>
        <v>0</v>
      </c>
      <c r="I73" s="818">
        <f t="shared" si="13"/>
        <v>0</v>
      </c>
      <c r="J73" s="818">
        <f t="shared" si="14"/>
        <v>0</v>
      </c>
      <c r="K73" s="818">
        <f t="shared" si="15"/>
        <v>0</v>
      </c>
      <c r="L73" s="818"/>
      <c r="M73" s="976"/>
      <c r="N73" s="818"/>
      <c r="O73" s="832">
        <f>COUNTIFS('HR Track 1'!$L$5:$L$1519,$C73,'HR Track 1'!$M$5:$M$1519,$O$47)</f>
        <v>0</v>
      </c>
      <c r="P73" s="832">
        <f>COUNTIFS('HR Track 1'!$L$5:$L$1519,$C73,'HR Track 1'!$M$5:$M$1519,$P$47)</f>
        <v>0</v>
      </c>
      <c r="Q73" s="832">
        <f>COUNTIFS('HR Track 1'!$L$5:$L$1519,$C73,'HR Track 1'!$M$5:$M$1519,$Q$47)</f>
        <v>0</v>
      </c>
      <c r="R73" s="832">
        <f>COUNTIFS('HR Track 1'!$L$5:$L$1519,$C73,'HR Track 1'!$M$5:$M$1519,$R$47)</f>
        <v>0</v>
      </c>
      <c r="S73" s="833">
        <f>COUNTIFS('HR Track 1'!$L$5:$L$1519,$C73,'HR Track 1'!$M$5:$M$1519,$S$47)</f>
        <v>0</v>
      </c>
      <c r="U73" s="1011" t="e">
        <v>#VALUE!</v>
      </c>
      <c r="V73" s="832" t="e">
        <v>#VALUE!</v>
      </c>
      <c r="W73" s="832" t="e">
        <v>#VALUE!</v>
      </c>
      <c r="X73" s="832" t="e">
        <v>#VALUE!</v>
      </c>
      <c r="Y73" s="832" t="e">
        <v>#VALUE!</v>
      </c>
      <c r="Z73" s="833" t="e">
        <v>#VALUE!</v>
      </c>
      <c r="AB73" s="918" t="s">
        <v>2106</v>
      </c>
    </row>
    <row r="74" spans="1:28" ht="20.399999999999999" customHeight="1">
      <c r="A74" s="177"/>
      <c r="B74" s="950"/>
      <c r="C74" s="984" t="s">
        <v>912</v>
      </c>
      <c r="D74" s="985" t="s">
        <v>1165</v>
      </c>
      <c r="E74" s="985" t="s">
        <v>719</v>
      </c>
      <c r="F74" s="950" t="s">
        <v>707</v>
      </c>
      <c r="G74" s="986">
        <f t="shared" si="5"/>
        <v>0</v>
      </c>
      <c r="H74" s="818">
        <f t="shared" si="12"/>
        <v>0</v>
      </c>
      <c r="I74" s="818">
        <f t="shared" si="13"/>
        <v>0</v>
      </c>
      <c r="J74" s="818">
        <f t="shared" si="14"/>
        <v>0</v>
      </c>
      <c r="K74" s="818">
        <f t="shared" si="15"/>
        <v>0</v>
      </c>
      <c r="L74" s="818"/>
      <c r="M74" s="976"/>
      <c r="N74" s="818"/>
      <c r="S74" s="819">
        <f>COUNTIFS('HR Track 1'!$L$5:$L$1519,$C74,'HR Track 1'!$M$5:$M$1519,$S$47)</f>
        <v>0</v>
      </c>
      <c r="AB74" s="918" t="s">
        <v>2110</v>
      </c>
    </row>
    <row r="75" spans="1:28" ht="20.399999999999999" customHeight="1">
      <c r="A75" s="177"/>
      <c r="B75" s="950"/>
      <c r="C75" s="951" t="s">
        <v>2799</v>
      </c>
      <c r="D75" s="952" t="s">
        <v>1166</v>
      </c>
      <c r="E75" s="952" t="s">
        <v>720</v>
      </c>
      <c r="F75" s="953" t="s">
        <v>707</v>
      </c>
      <c r="G75" s="954">
        <f t="shared" ref="G75:G119" si="17">SUM(H75:M75)</f>
        <v>0</v>
      </c>
      <c r="H75" s="955">
        <f t="shared" si="12"/>
        <v>0</v>
      </c>
      <c r="I75" s="955">
        <f t="shared" si="13"/>
        <v>0</v>
      </c>
      <c r="J75" s="955">
        <f t="shared" si="14"/>
        <v>0</v>
      </c>
      <c r="K75" s="955">
        <f t="shared" si="15"/>
        <v>0</v>
      </c>
      <c r="L75" s="955"/>
      <c r="M75" s="956"/>
      <c r="N75" s="818"/>
      <c r="AB75" s="960" t="s">
        <v>2107</v>
      </c>
    </row>
    <row r="76" spans="1:28" ht="20.399999999999999" customHeight="1">
      <c r="A76" s="177"/>
      <c r="B76" s="950"/>
      <c r="C76" s="984" t="s">
        <v>2800</v>
      </c>
      <c r="D76" s="985" t="s">
        <v>1167</v>
      </c>
      <c r="E76" s="985" t="s">
        <v>721</v>
      </c>
      <c r="F76" s="950" t="s">
        <v>707</v>
      </c>
      <c r="G76" s="986">
        <f t="shared" si="17"/>
        <v>0</v>
      </c>
      <c r="H76" s="818">
        <f t="shared" si="12"/>
        <v>0</v>
      </c>
      <c r="I76" s="818">
        <f t="shared" si="13"/>
        <v>0</v>
      </c>
      <c r="J76" s="818">
        <f t="shared" si="14"/>
        <v>0</v>
      </c>
      <c r="K76" s="818">
        <f t="shared" si="15"/>
        <v>0</v>
      </c>
      <c r="L76" s="818"/>
      <c r="M76" s="976"/>
      <c r="N76" s="818"/>
      <c r="AB76" s="918" t="s">
        <v>2108</v>
      </c>
    </row>
    <row r="77" spans="1:28" ht="20.399999999999999" customHeight="1">
      <c r="A77" s="174"/>
      <c r="B77" s="998"/>
      <c r="C77" s="1012" t="s">
        <v>2681</v>
      </c>
      <c r="D77" s="1013" t="s">
        <v>2685</v>
      </c>
      <c r="E77" s="962" t="s">
        <v>2686</v>
      </c>
      <c r="F77" s="963" t="s">
        <v>707</v>
      </c>
      <c r="G77" s="964">
        <f t="shared" si="17"/>
        <v>4</v>
      </c>
      <c r="H77" s="965">
        <f>COUNTIF(Area_v1,$C77)</f>
        <v>2</v>
      </c>
      <c r="I77" s="965">
        <f t="shared" si="13"/>
        <v>2</v>
      </c>
      <c r="J77" s="965">
        <f t="shared" si="14"/>
        <v>0</v>
      </c>
      <c r="K77" s="965">
        <f t="shared" si="15"/>
        <v>0</v>
      </c>
      <c r="L77" s="965"/>
      <c r="M77" s="966"/>
      <c r="N77" s="818"/>
      <c r="O77" s="1015">
        <f>COUNTIFS('HR Track 1'!$L$5:$L$1519,$C77,'HR Track 1'!$M$5:$M$1519,$O$47)</f>
        <v>2</v>
      </c>
      <c r="P77" s="1015">
        <f>COUNTIFS('HR Track 1'!$L$5:$L$1519,$C77,'HR Track 1'!$M$5:$M$1519,$P$47)</f>
        <v>0</v>
      </c>
      <c r="Q77" s="1015">
        <f>COUNTIFS('HR Track 1'!$L$5:$L$1519,$C77,'HR Track 1'!$M$5:$M$1519,$Q$47)</f>
        <v>0</v>
      </c>
      <c r="R77" s="1015">
        <f>COUNTIFS('HR Track 1'!$L$5:$L$1519,$C77,'HR Track 1'!$M$5:$M$1519,$R$47)</f>
        <v>0</v>
      </c>
      <c r="S77" s="1016">
        <f>COUNTIFS('HR Track 1'!$L$5:$L$1519,$C77,'HR Track 1'!$M$5:$M$1519,$S$47)</f>
        <v>0</v>
      </c>
      <c r="U77" s="1014" t="e">
        <v>#VALUE!</v>
      </c>
      <c r="V77" s="1015" t="e">
        <v>#VALUE!</v>
      </c>
      <c r="W77" s="1015" t="e">
        <v>#VALUE!</v>
      </c>
      <c r="X77" s="1015" t="e">
        <v>#VALUE!</v>
      </c>
      <c r="Y77" s="1015" t="e">
        <v>#VALUE!</v>
      </c>
      <c r="Z77" s="1016" t="e">
        <v>#VALUE!</v>
      </c>
      <c r="AB77" s="968" t="s">
        <v>2701</v>
      </c>
    </row>
    <row r="78" spans="1:28" ht="20.399999999999999" customHeight="1">
      <c r="A78" s="174"/>
      <c r="B78" s="998"/>
      <c r="C78" s="1017" t="s">
        <v>2801</v>
      </c>
      <c r="D78" s="1018" t="s">
        <v>2802</v>
      </c>
      <c r="E78" s="979" t="s">
        <v>2803</v>
      </c>
      <c r="F78" s="980" t="s">
        <v>707</v>
      </c>
      <c r="G78" s="981">
        <f t="shared" si="17"/>
        <v>0</v>
      </c>
      <c r="H78" s="982">
        <f t="shared" si="12"/>
        <v>0</v>
      </c>
      <c r="I78" s="982">
        <f t="shared" si="13"/>
        <v>0</v>
      </c>
      <c r="J78" s="982">
        <f t="shared" si="14"/>
        <v>0</v>
      </c>
      <c r="K78" s="982">
        <f t="shared" si="15"/>
        <v>0</v>
      </c>
      <c r="L78" s="982"/>
      <c r="M78" s="983"/>
      <c r="N78" s="818"/>
      <c r="O78" s="1020">
        <f>COUNTIFS('HR Track 1'!$L$5:$L$1519,$C78,'HR Track 1'!$M$5:$M$1519,$O$47)</f>
        <v>0</v>
      </c>
      <c r="P78" s="1020">
        <f>COUNTIFS('HR Track 1'!$L$5:$L$1519,$C78,'HR Track 1'!$M$5:$M$1519,$P$47)</f>
        <v>0</v>
      </c>
      <c r="Q78" s="1020">
        <f>COUNTIFS('HR Track 1'!$L$5:$L$1519,$C78,'HR Track 1'!$M$5:$M$1519,$Q$47)</f>
        <v>0</v>
      </c>
      <c r="R78" s="1020">
        <f>COUNTIFS('HR Track 1'!$L$5:$L$1519,$C78,'HR Track 1'!$M$5:$M$1519,$R$47)</f>
        <v>0</v>
      </c>
      <c r="S78" s="1021">
        <f>COUNTIFS('HR Track 1'!$L$5:$L$1519,$C78,'HR Track 1'!$M$5:$M$1519,$S$47)</f>
        <v>0</v>
      </c>
      <c r="U78" s="1019" t="e">
        <v>#VALUE!</v>
      </c>
      <c r="V78" s="1020" t="e">
        <v>#VALUE!</v>
      </c>
      <c r="W78" s="1020" t="e">
        <v>#VALUE!</v>
      </c>
      <c r="X78" s="1020" t="e">
        <v>#VALUE!</v>
      </c>
      <c r="Y78" s="1020" t="e">
        <v>#VALUE!</v>
      </c>
      <c r="Z78" s="1021" t="e">
        <v>#VALUE!</v>
      </c>
      <c r="AB78" s="977" t="s">
        <v>2804</v>
      </c>
    </row>
    <row r="79" spans="1:28" ht="20.399999999999999" customHeight="1">
      <c r="A79" s="174"/>
      <c r="B79" s="1022"/>
      <c r="C79" s="1023" t="s">
        <v>2680</v>
      </c>
      <c r="D79" s="1024" t="s">
        <v>2687</v>
      </c>
      <c r="E79" s="1025" t="s">
        <v>2688</v>
      </c>
      <c r="F79" s="1026" t="s">
        <v>707</v>
      </c>
      <c r="G79" s="1027">
        <f t="shared" si="17"/>
        <v>8</v>
      </c>
      <c r="H79" s="1028">
        <f>COUNTIF(Area_v1,$C79)+COUNTIF(Area_v1,"2HEB-300(CP) V")</f>
        <v>4</v>
      </c>
      <c r="I79" s="1028">
        <f>COUNTIF(Area_v2,$C79)+COUNTIF(Area_v2,"2HEB-300(CP) V")</f>
        <v>4</v>
      </c>
      <c r="J79" s="1028">
        <f>COUNTIF(Area_v3,$C79)+COUNTIF(Area_v3,"2HEB-300(CP) V")</f>
        <v>0</v>
      </c>
      <c r="K79" s="1028">
        <f>COUNTIF(Area_v4,$C79)+COUNTIF(Area_v4,"2HEB-300(CP) V")</f>
        <v>0</v>
      </c>
      <c r="L79" s="1028"/>
      <c r="M79" s="1029"/>
      <c r="N79" s="818"/>
      <c r="O79" s="1028">
        <f>COUNTIFS('HR Track 1'!$L$5:$L$1519,$C79,'HR Track 1'!$M$5:$M$1519,$O$47)</f>
        <v>0</v>
      </c>
      <c r="P79" s="1028">
        <f>COUNTIFS('HR Track 1'!$L$5:$L$1519,$C79,'HR Track 1'!$M$5:$M$1519,$P$47)</f>
        <v>0</v>
      </c>
      <c r="Q79" s="1028">
        <f>COUNTIFS('HR Track 1'!$L$5:$L$1519,$C79,'HR Track 1'!$M$5:$M$1519,$Q$47)</f>
        <v>0</v>
      </c>
      <c r="R79" s="1028">
        <f>COUNTIFS('HR Track 1'!$L$5:$L$1519,$C79,'HR Track 1'!$M$5:$M$1519,$R$47)</f>
        <v>0</v>
      </c>
      <c r="S79" s="1029">
        <f>COUNTIFS('HR Track 1'!$L$5:$L$1519,$C79,'HR Track 1'!$M$5:$M$1519,$S$47)</f>
        <v>0</v>
      </c>
      <c r="U79" s="1030" t="e">
        <v>#VALUE!</v>
      </c>
      <c r="V79" s="1028" t="e">
        <v>#VALUE!</v>
      </c>
      <c r="W79" s="1028" t="e">
        <v>#VALUE!</v>
      </c>
      <c r="X79" s="1028" t="e">
        <v>#VALUE!</v>
      </c>
      <c r="Y79" s="1028" t="e">
        <v>#VALUE!</v>
      </c>
      <c r="Z79" s="1029" t="e">
        <v>#VALUE!</v>
      </c>
      <c r="AB79" s="1031" t="s">
        <v>2702</v>
      </c>
    </row>
    <row r="80" spans="1:28" ht="20.399999999999999" customHeight="1">
      <c r="A80" s="174"/>
      <c r="B80" s="1022"/>
      <c r="C80" s="1032" t="s">
        <v>2805</v>
      </c>
      <c r="D80" s="1033" t="s">
        <v>2806</v>
      </c>
      <c r="E80" s="1034" t="s">
        <v>2807</v>
      </c>
      <c r="F80" s="1035" t="s">
        <v>707</v>
      </c>
      <c r="G80" s="1036">
        <f t="shared" si="17"/>
        <v>0</v>
      </c>
      <c r="H80" s="1037">
        <f t="shared" si="12"/>
        <v>0</v>
      </c>
      <c r="I80" s="1037">
        <f t="shared" si="13"/>
        <v>0</v>
      </c>
      <c r="J80" s="1037">
        <f t="shared" si="14"/>
        <v>0</v>
      </c>
      <c r="K80" s="1037">
        <f t="shared" si="15"/>
        <v>0</v>
      </c>
      <c r="L80" s="1037"/>
      <c r="M80" s="1038"/>
      <c r="N80" s="818"/>
      <c r="O80" s="1037">
        <f>COUNTIFS('HR Track 1'!$L$5:$L$1519,$C80,'HR Track 1'!$M$5:$M$1519,$O$47)</f>
        <v>0</v>
      </c>
      <c r="P80" s="1037">
        <f>COUNTIFS('HR Track 1'!$L$5:$L$1519,$C80,'HR Track 1'!$M$5:$M$1519,$P$47)</f>
        <v>0</v>
      </c>
      <c r="Q80" s="1037">
        <f>COUNTIFS('HR Track 1'!$L$5:$L$1519,$C80,'HR Track 1'!$M$5:$M$1519,$Q$47)</f>
        <v>0</v>
      </c>
      <c r="R80" s="1037">
        <f>COUNTIFS('HR Track 1'!$L$5:$L$1519,$C80,'HR Track 1'!$M$5:$M$1519,$R$47)</f>
        <v>0</v>
      </c>
      <c r="S80" s="1038">
        <f>COUNTIFS('HR Track 1'!$L$5:$L$1519,$C80,'HR Track 1'!$M$5:$M$1519,$S$47)</f>
        <v>0</v>
      </c>
      <c r="U80" s="1039" t="e">
        <v>#VALUE!</v>
      </c>
      <c r="V80" s="1037" t="e">
        <v>#VALUE!</v>
      </c>
      <c r="W80" s="1037" t="e">
        <v>#VALUE!</v>
      </c>
      <c r="X80" s="1037" t="e">
        <v>#VALUE!</v>
      </c>
      <c r="Y80" s="1037" t="e">
        <v>#VALUE!</v>
      </c>
      <c r="Z80" s="1038" t="e">
        <v>#VALUE!</v>
      </c>
      <c r="AB80" s="1040" t="s">
        <v>2808</v>
      </c>
    </row>
    <row r="81" spans="1:28" ht="20.399999999999999" customHeight="1">
      <c r="A81" s="1041" t="s">
        <v>916</v>
      </c>
      <c r="B81" s="1042" t="s">
        <v>918</v>
      </c>
      <c r="C81" s="945"/>
      <c r="D81" s="946" t="s">
        <v>521</v>
      </c>
      <c r="E81" s="946" t="s">
        <v>523</v>
      </c>
      <c r="F81" s="944"/>
      <c r="G81" s="947">
        <f t="shared" si="17"/>
        <v>74</v>
      </c>
      <c r="H81" s="948">
        <f>SUM(H46:H80)</f>
        <v>37</v>
      </c>
      <c r="I81" s="948">
        <f t="shared" ref="I81:K81" si="18">SUM(I46:I80)</f>
        <v>37</v>
      </c>
      <c r="J81" s="948">
        <f t="shared" si="18"/>
        <v>0</v>
      </c>
      <c r="K81" s="948">
        <f t="shared" si="18"/>
        <v>0</v>
      </c>
      <c r="L81" s="948"/>
      <c r="M81" s="948"/>
      <c r="N81" s="818"/>
      <c r="AB81" s="1043" t="s">
        <v>2111</v>
      </c>
    </row>
    <row r="82" spans="1:28" ht="20.399999999999999" customHeight="1">
      <c r="A82" s="1044" t="s">
        <v>917</v>
      </c>
      <c r="B82" s="1035" t="s">
        <v>723</v>
      </c>
      <c r="C82" s="994"/>
      <c r="D82" s="995" t="s">
        <v>522</v>
      </c>
      <c r="E82" s="995" t="s">
        <v>524</v>
      </c>
      <c r="F82" s="993" t="s">
        <v>723</v>
      </c>
      <c r="G82" s="996">
        <f t="shared" si="17"/>
        <v>74</v>
      </c>
      <c r="H82" s="958">
        <f t="shared" ref="H82:K82" si="19">+H81</f>
        <v>37</v>
      </c>
      <c r="I82" s="958">
        <f t="shared" si="19"/>
        <v>37</v>
      </c>
      <c r="J82" s="958">
        <f t="shared" si="19"/>
        <v>0</v>
      </c>
      <c r="K82" s="958">
        <f t="shared" si="19"/>
        <v>0</v>
      </c>
      <c r="L82" s="958"/>
      <c r="M82" s="959"/>
      <c r="N82" s="818"/>
      <c r="AB82" s="1045" t="s">
        <v>2112</v>
      </c>
    </row>
    <row r="83" spans="1:28" ht="20.399999999999999" customHeight="1">
      <c r="A83" s="1046" t="s">
        <v>919</v>
      </c>
      <c r="B83" s="1047" t="s">
        <v>937</v>
      </c>
      <c r="C83" s="945" t="s">
        <v>921</v>
      </c>
      <c r="D83" s="946" t="s">
        <v>525</v>
      </c>
      <c r="E83" s="946" t="s">
        <v>935</v>
      </c>
      <c r="F83" s="944" t="s">
        <v>724</v>
      </c>
      <c r="G83" s="947">
        <f t="shared" si="17"/>
        <v>0</v>
      </c>
      <c r="H83" s="948">
        <f t="shared" ref="H83:H95" si="20">COUNTIF(Area_v1,$C83)/2</f>
        <v>0</v>
      </c>
      <c r="I83" s="948">
        <f t="shared" ref="I83:I94" si="21">COUNTIF(Area_v2,$C83)/2</f>
        <v>0</v>
      </c>
      <c r="J83" s="948">
        <f t="shared" ref="J83:J94" si="22">COUNTIF(Area_v3,$C83)/2</f>
        <v>0</v>
      </c>
      <c r="K83" s="948">
        <f t="shared" ref="K83:K94" si="23">COUNTIF(Area_v4,$C83)/2</f>
        <v>0</v>
      </c>
      <c r="L83" s="948"/>
      <c r="M83" s="949"/>
      <c r="N83" s="818"/>
      <c r="AB83" s="888" t="s">
        <v>2113</v>
      </c>
    </row>
    <row r="84" spans="1:28" ht="20.399999999999999" customHeight="1">
      <c r="A84" s="174"/>
      <c r="B84" s="1048" t="s">
        <v>937</v>
      </c>
      <c r="C84" s="984" t="s">
        <v>922</v>
      </c>
      <c r="D84" s="985" t="s">
        <v>526</v>
      </c>
      <c r="E84" s="985" t="s">
        <v>527</v>
      </c>
      <c r="F84" s="950" t="s">
        <v>724</v>
      </c>
      <c r="G84" s="986">
        <f t="shared" si="17"/>
        <v>0</v>
      </c>
      <c r="H84" s="818">
        <f t="shared" si="20"/>
        <v>0</v>
      </c>
      <c r="I84" s="818">
        <f t="shared" si="21"/>
        <v>0</v>
      </c>
      <c r="J84" s="818">
        <f t="shared" si="22"/>
        <v>0</v>
      </c>
      <c r="K84" s="818">
        <f t="shared" si="23"/>
        <v>0</v>
      </c>
      <c r="L84" s="818"/>
      <c r="M84" s="976"/>
      <c r="N84" s="818"/>
      <c r="AB84" s="918" t="s">
        <v>2114</v>
      </c>
    </row>
    <row r="85" spans="1:28" ht="20.399999999999999" customHeight="1">
      <c r="A85" s="177"/>
      <c r="B85" s="1048" t="s">
        <v>937</v>
      </c>
      <c r="C85" s="984" t="s">
        <v>929</v>
      </c>
      <c r="D85" s="985" t="s">
        <v>528</v>
      </c>
      <c r="E85" s="985" t="s">
        <v>529</v>
      </c>
      <c r="F85" s="950" t="s">
        <v>724</v>
      </c>
      <c r="G85" s="986">
        <f t="shared" si="17"/>
        <v>0</v>
      </c>
      <c r="H85" s="818">
        <f t="shared" si="20"/>
        <v>0</v>
      </c>
      <c r="I85" s="818">
        <f t="shared" si="21"/>
        <v>0</v>
      </c>
      <c r="J85" s="818">
        <f t="shared" si="22"/>
        <v>0</v>
      </c>
      <c r="K85" s="818">
        <f t="shared" si="23"/>
        <v>0</v>
      </c>
      <c r="L85" s="818"/>
      <c r="M85" s="976"/>
      <c r="N85" s="818"/>
      <c r="AB85" s="918" t="s">
        <v>2115</v>
      </c>
    </row>
    <row r="86" spans="1:28" ht="20.399999999999999" customHeight="1">
      <c r="A86" s="177"/>
      <c r="B86" s="1048" t="s">
        <v>937</v>
      </c>
      <c r="C86" s="984" t="s">
        <v>930</v>
      </c>
      <c r="D86" s="985" t="s">
        <v>530</v>
      </c>
      <c r="E86" s="985" t="s">
        <v>531</v>
      </c>
      <c r="F86" s="950" t="s">
        <v>724</v>
      </c>
      <c r="G86" s="986">
        <f t="shared" si="17"/>
        <v>0</v>
      </c>
      <c r="H86" s="818">
        <f t="shared" si="20"/>
        <v>0</v>
      </c>
      <c r="I86" s="818">
        <f>COUNTIF(Area_v2,$C86)/2</f>
        <v>0</v>
      </c>
      <c r="J86" s="818">
        <f t="shared" si="22"/>
        <v>0</v>
      </c>
      <c r="K86" s="818">
        <f t="shared" si="23"/>
        <v>0</v>
      </c>
      <c r="L86" s="818"/>
      <c r="M86" s="976"/>
      <c r="N86" s="818"/>
      <c r="AB86" s="918" t="s">
        <v>2116</v>
      </c>
    </row>
    <row r="87" spans="1:28" ht="20.399999999999999" customHeight="1">
      <c r="A87" s="177"/>
      <c r="B87" s="1048" t="s">
        <v>937</v>
      </c>
      <c r="C87" s="984" t="s">
        <v>931</v>
      </c>
      <c r="D87" s="985" t="s">
        <v>532</v>
      </c>
      <c r="E87" s="985" t="s">
        <v>533</v>
      </c>
      <c r="F87" s="950" t="s">
        <v>724</v>
      </c>
      <c r="G87" s="986">
        <f t="shared" si="17"/>
        <v>0</v>
      </c>
      <c r="H87" s="818">
        <f t="shared" si="20"/>
        <v>0</v>
      </c>
      <c r="I87" s="818">
        <f t="shared" si="21"/>
        <v>0</v>
      </c>
      <c r="J87" s="818">
        <f t="shared" si="22"/>
        <v>0</v>
      </c>
      <c r="K87" s="818">
        <f t="shared" si="23"/>
        <v>0</v>
      </c>
      <c r="L87" s="818"/>
      <c r="M87" s="976"/>
      <c r="N87" s="818"/>
      <c r="AB87" s="918" t="s">
        <v>2117</v>
      </c>
    </row>
    <row r="88" spans="1:28" ht="20.399999999999999" customHeight="1">
      <c r="A88" s="177"/>
      <c r="B88" s="1048" t="s">
        <v>937</v>
      </c>
      <c r="C88" s="984" t="s">
        <v>932</v>
      </c>
      <c r="D88" s="985" t="s">
        <v>534</v>
      </c>
      <c r="E88" s="985" t="s">
        <v>535</v>
      </c>
      <c r="F88" s="950" t="s">
        <v>724</v>
      </c>
      <c r="G88" s="986">
        <f t="shared" si="17"/>
        <v>0</v>
      </c>
      <c r="H88" s="818">
        <f t="shared" si="20"/>
        <v>0</v>
      </c>
      <c r="I88" s="818">
        <f t="shared" si="21"/>
        <v>0</v>
      </c>
      <c r="J88" s="818">
        <f t="shared" si="22"/>
        <v>0</v>
      </c>
      <c r="K88" s="818">
        <f t="shared" si="23"/>
        <v>0</v>
      </c>
      <c r="L88" s="818"/>
      <c r="M88" s="976"/>
      <c r="N88" s="818"/>
      <c r="AB88" s="918" t="s">
        <v>2118</v>
      </c>
    </row>
    <row r="89" spans="1:28" ht="20.399999999999999" customHeight="1">
      <c r="A89" s="177"/>
      <c r="B89" s="1048" t="s">
        <v>937</v>
      </c>
      <c r="C89" s="984" t="s">
        <v>2809</v>
      </c>
      <c r="D89" s="985" t="s">
        <v>536</v>
      </c>
      <c r="E89" s="985" t="s">
        <v>537</v>
      </c>
      <c r="F89" s="950" t="s">
        <v>724</v>
      </c>
      <c r="G89" s="986">
        <f t="shared" si="17"/>
        <v>0</v>
      </c>
      <c r="H89" s="818">
        <f t="shared" si="20"/>
        <v>0</v>
      </c>
      <c r="I89" s="818">
        <f t="shared" si="21"/>
        <v>0</v>
      </c>
      <c r="J89" s="818">
        <f t="shared" si="22"/>
        <v>0</v>
      </c>
      <c r="K89" s="818">
        <f t="shared" si="23"/>
        <v>0</v>
      </c>
      <c r="L89" s="818"/>
      <c r="M89" s="976"/>
      <c r="N89" s="818"/>
      <c r="AB89" s="918" t="s">
        <v>2119</v>
      </c>
    </row>
    <row r="90" spans="1:28" ht="20.399999999999999" customHeight="1">
      <c r="A90" s="177"/>
      <c r="B90" s="1048" t="s">
        <v>937</v>
      </c>
      <c r="C90" s="984" t="s">
        <v>2810</v>
      </c>
      <c r="D90" s="985" t="s">
        <v>538</v>
      </c>
      <c r="E90" s="985" t="s">
        <v>539</v>
      </c>
      <c r="F90" s="950" t="s">
        <v>724</v>
      </c>
      <c r="G90" s="986">
        <f t="shared" si="17"/>
        <v>0</v>
      </c>
      <c r="H90" s="818">
        <f t="shared" si="20"/>
        <v>0</v>
      </c>
      <c r="I90" s="818">
        <f t="shared" si="21"/>
        <v>0</v>
      </c>
      <c r="J90" s="818">
        <f t="shared" si="22"/>
        <v>0</v>
      </c>
      <c r="K90" s="818">
        <f t="shared" si="23"/>
        <v>0</v>
      </c>
      <c r="L90" s="818"/>
      <c r="M90" s="976"/>
      <c r="N90" s="818"/>
      <c r="AB90" s="918" t="s">
        <v>2120</v>
      </c>
    </row>
    <row r="91" spans="1:28" ht="20.399999999999999" customHeight="1">
      <c r="A91" s="177"/>
      <c r="B91" s="1048" t="s">
        <v>937</v>
      </c>
      <c r="C91" s="984" t="s">
        <v>925</v>
      </c>
      <c r="D91" s="985" t="s">
        <v>540</v>
      </c>
      <c r="E91" s="985" t="s">
        <v>541</v>
      </c>
      <c r="F91" s="950" t="s">
        <v>723</v>
      </c>
      <c r="G91" s="986">
        <f t="shared" si="17"/>
        <v>0</v>
      </c>
      <c r="H91" s="818">
        <f t="shared" si="20"/>
        <v>0</v>
      </c>
      <c r="I91" s="818">
        <f t="shared" si="21"/>
        <v>0</v>
      </c>
      <c r="J91" s="818">
        <f t="shared" si="22"/>
        <v>0</v>
      </c>
      <c r="K91" s="818">
        <f t="shared" si="23"/>
        <v>0</v>
      </c>
      <c r="L91" s="818"/>
      <c r="M91" s="976"/>
      <c r="N91" s="818"/>
      <c r="AB91" s="918" t="s">
        <v>2121</v>
      </c>
    </row>
    <row r="92" spans="1:28" ht="20.399999999999999" customHeight="1">
      <c r="A92" s="177"/>
      <c r="B92" s="1048" t="s">
        <v>937</v>
      </c>
      <c r="C92" s="984" t="s">
        <v>2811</v>
      </c>
      <c r="D92" s="985" t="s">
        <v>542</v>
      </c>
      <c r="E92" s="985" t="s">
        <v>543</v>
      </c>
      <c r="F92" s="950" t="s">
        <v>723</v>
      </c>
      <c r="G92" s="986">
        <f t="shared" si="17"/>
        <v>0</v>
      </c>
      <c r="H92" s="818">
        <f t="shared" si="20"/>
        <v>0</v>
      </c>
      <c r="I92" s="818">
        <f t="shared" si="21"/>
        <v>0</v>
      </c>
      <c r="J92" s="818">
        <f t="shared" si="22"/>
        <v>0</v>
      </c>
      <c r="K92" s="818">
        <f t="shared" si="23"/>
        <v>0</v>
      </c>
      <c r="L92" s="818"/>
      <c r="M92" s="976"/>
      <c r="N92" s="818"/>
      <c r="AB92" s="918" t="s">
        <v>2122</v>
      </c>
    </row>
    <row r="93" spans="1:28" ht="20.399999999999999" customHeight="1">
      <c r="A93" s="177"/>
      <c r="B93" s="1048" t="s">
        <v>937</v>
      </c>
      <c r="C93" s="984" t="s">
        <v>2812</v>
      </c>
      <c r="D93" s="985" t="s">
        <v>544</v>
      </c>
      <c r="E93" s="985" t="s">
        <v>545</v>
      </c>
      <c r="F93" s="950" t="s">
        <v>723</v>
      </c>
      <c r="G93" s="986">
        <f t="shared" si="17"/>
        <v>0</v>
      </c>
      <c r="H93" s="818">
        <f t="shared" si="20"/>
        <v>0</v>
      </c>
      <c r="I93" s="818">
        <f t="shared" si="21"/>
        <v>0</v>
      </c>
      <c r="J93" s="818">
        <f t="shared" si="22"/>
        <v>0</v>
      </c>
      <c r="K93" s="818">
        <f t="shared" si="23"/>
        <v>0</v>
      </c>
      <c r="L93" s="818"/>
      <c r="M93" s="976"/>
      <c r="N93" s="818"/>
      <c r="AB93" s="918" t="s">
        <v>2123</v>
      </c>
    </row>
    <row r="94" spans="1:28" ht="20.399999999999999" customHeight="1">
      <c r="A94" s="177"/>
      <c r="B94" s="1048" t="s">
        <v>937</v>
      </c>
      <c r="C94" s="984" t="s">
        <v>2813</v>
      </c>
      <c r="D94" s="985" t="s">
        <v>546</v>
      </c>
      <c r="E94" s="985" t="s">
        <v>547</v>
      </c>
      <c r="F94" s="950" t="s">
        <v>723</v>
      </c>
      <c r="G94" s="986">
        <f t="shared" si="17"/>
        <v>0</v>
      </c>
      <c r="H94" s="818">
        <f t="shared" si="20"/>
        <v>0</v>
      </c>
      <c r="I94" s="818">
        <f t="shared" si="21"/>
        <v>0</v>
      </c>
      <c r="J94" s="818">
        <f t="shared" si="22"/>
        <v>0</v>
      </c>
      <c r="K94" s="818">
        <f t="shared" si="23"/>
        <v>0</v>
      </c>
      <c r="L94" s="818"/>
      <c r="M94" s="976"/>
      <c r="N94" s="818"/>
      <c r="AB94" s="918" t="s">
        <v>2124</v>
      </c>
    </row>
    <row r="95" spans="1:28" ht="20.399999999999999" customHeight="1">
      <c r="A95" s="177"/>
      <c r="B95" s="950"/>
      <c r="C95" s="984" t="s">
        <v>923</v>
      </c>
      <c r="D95" s="985" t="s">
        <v>726</v>
      </c>
      <c r="E95" s="985" t="s">
        <v>548</v>
      </c>
      <c r="F95" s="950" t="s">
        <v>725</v>
      </c>
      <c r="G95" s="986">
        <f t="shared" si="17"/>
        <v>0</v>
      </c>
      <c r="H95" s="818">
        <f t="shared" si="20"/>
        <v>0</v>
      </c>
      <c r="I95" s="818">
        <f>COUNTIF(Area_v2,$C95)</f>
        <v>0</v>
      </c>
      <c r="J95" s="818">
        <f>COUNTIF(Area_v3,$C95)</f>
        <v>0</v>
      </c>
      <c r="K95" s="818">
        <f>COUNTIF(Area_v4,$C95)</f>
        <v>0</v>
      </c>
      <c r="L95" s="818"/>
      <c r="M95" s="976"/>
      <c r="N95" s="818"/>
      <c r="AB95" s="918" t="s">
        <v>2125</v>
      </c>
    </row>
    <row r="96" spans="1:28" ht="20.399999999999999" customHeight="1">
      <c r="A96" s="992"/>
      <c r="B96" s="993"/>
      <c r="C96" s="994" t="s">
        <v>924</v>
      </c>
      <c r="D96" s="995" t="s">
        <v>728</v>
      </c>
      <c r="E96" s="995" t="s">
        <v>729</v>
      </c>
      <c r="F96" s="993" t="s">
        <v>727</v>
      </c>
      <c r="G96" s="996">
        <f t="shared" si="17"/>
        <v>0</v>
      </c>
      <c r="H96" s="958">
        <f>COUNTIF(Area_v1,$C96)</f>
        <v>0</v>
      </c>
      <c r="I96" s="958">
        <f>COUNTIF(Area_v2,$C96)</f>
        <v>0</v>
      </c>
      <c r="J96" s="958">
        <f>COUNTIF(Area_v3,$C96)</f>
        <v>0</v>
      </c>
      <c r="K96" s="958">
        <f>COUNTIF(Area_v4,$C96)</f>
        <v>0</v>
      </c>
      <c r="L96" s="958"/>
      <c r="M96" s="959"/>
      <c r="N96" s="818"/>
      <c r="AB96" s="997" t="s">
        <v>2126</v>
      </c>
    </row>
    <row r="97" spans="1:28" ht="20.399999999999999" customHeight="1">
      <c r="A97" s="1041" t="s">
        <v>942</v>
      </c>
      <c r="B97" s="944"/>
      <c r="C97" s="945" t="s">
        <v>938</v>
      </c>
      <c r="D97" s="946" t="s">
        <v>549</v>
      </c>
      <c r="E97" s="946" t="s">
        <v>731</v>
      </c>
      <c r="F97" s="944" t="s">
        <v>730</v>
      </c>
      <c r="G97" s="947">
        <f t="shared" si="17"/>
        <v>0</v>
      </c>
      <c r="H97" s="967">
        <f>COUNTIF(Area_v1,$C97)</f>
        <v>0</v>
      </c>
      <c r="I97" s="948">
        <f>COUNTIF(Area_v2,$C97)</f>
        <v>0</v>
      </c>
      <c r="J97" s="948">
        <f>COUNTIF(Area_v3,$C97)</f>
        <v>0</v>
      </c>
      <c r="K97" s="948">
        <f>COUNTIF(Area_v4,$C97)</f>
        <v>0</v>
      </c>
      <c r="L97" s="948"/>
      <c r="M97" s="949"/>
      <c r="N97" s="818"/>
      <c r="AB97" s="1049" t="s">
        <v>2629</v>
      </c>
    </row>
    <row r="98" spans="1:28" ht="20.399999999999999" customHeight="1">
      <c r="A98" s="177"/>
      <c r="B98" s="980" t="s">
        <v>918</v>
      </c>
      <c r="C98" s="984"/>
      <c r="D98" s="985" t="s">
        <v>550</v>
      </c>
      <c r="E98" s="985" t="s">
        <v>732</v>
      </c>
      <c r="F98" s="950" t="s">
        <v>730</v>
      </c>
      <c r="G98" s="986">
        <f t="shared" si="17"/>
        <v>0</v>
      </c>
      <c r="H98" s="975">
        <f t="shared" ref="H98:K98" si="24">+H97</f>
        <v>0</v>
      </c>
      <c r="I98" s="818">
        <f t="shared" si="24"/>
        <v>0</v>
      </c>
      <c r="J98" s="818">
        <f t="shared" si="24"/>
        <v>0</v>
      </c>
      <c r="K98" s="818">
        <f t="shared" si="24"/>
        <v>0</v>
      </c>
      <c r="L98" s="818"/>
      <c r="M98" s="976"/>
      <c r="N98" s="818"/>
      <c r="AB98" s="1050" t="s">
        <v>2626</v>
      </c>
    </row>
    <row r="99" spans="1:28" ht="20.399999999999999" customHeight="1">
      <c r="A99" s="177"/>
      <c r="B99" s="950"/>
      <c r="C99" s="984" t="s">
        <v>939</v>
      </c>
      <c r="D99" s="985" t="s">
        <v>551</v>
      </c>
      <c r="E99" s="985" t="s">
        <v>734</v>
      </c>
      <c r="F99" s="950" t="s">
        <v>733</v>
      </c>
      <c r="G99" s="986">
        <f t="shared" si="17"/>
        <v>0</v>
      </c>
      <c r="H99" s="975">
        <f>COUNTIF(Area_v1,$C99)</f>
        <v>0</v>
      </c>
      <c r="I99" s="818">
        <f>COUNTIF(Area_v2,$C99)</f>
        <v>0</v>
      </c>
      <c r="J99" s="818">
        <f>COUNTIF(Area_v3,$C99)</f>
        <v>0</v>
      </c>
      <c r="K99" s="818">
        <f>COUNTIF(Area_v4,$C99)</f>
        <v>0</v>
      </c>
      <c r="L99" s="818"/>
      <c r="M99" s="976"/>
      <c r="N99" s="818"/>
      <c r="AB99" s="1050" t="s">
        <v>2627</v>
      </c>
    </row>
    <row r="100" spans="1:28" ht="20.399999999999999" customHeight="1">
      <c r="A100" s="992"/>
      <c r="B100" s="1035" t="s">
        <v>918</v>
      </c>
      <c r="C100" s="994"/>
      <c r="D100" s="995" t="s">
        <v>552</v>
      </c>
      <c r="E100" s="995" t="s">
        <v>735</v>
      </c>
      <c r="F100" s="993" t="s">
        <v>733</v>
      </c>
      <c r="G100" s="996">
        <f t="shared" si="17"/>
        <v>0</v>
      </c>
      <c r="H100" s="957">
        <f t="shared" ref="H100:K100" si="25">+H99</f>
        <v>0</v>
      </c>
      <c r="I100" s="958">
        <f t="shared" si="25"/>
        <v>0</v>
      </c>
      <c r="J100" s="958">
        <f t="shared" si="25"/>
        <v>0</v>
      </c>
      <c r="K100" s="958">
        <f t="shared" si="25"/>
        <v>0</v>
      </c>
      <c r="L100" s="958"/>
      <c r="M100" s="959"/>
      <c r="N100" s="818"/>
      <c r="AB100" s="1050" t="s">
        <v>2628</v>
      </c>
    </row>
    <row r="101" spans="1:28" ht="20.399999999999999" customHeight="1">
      <c r="A101" s="1041" t="s">
        <v>940</v>
      </c>
      <c r="B101" s="944"/>
      <c r="C101" s="945" t="s">
        <v>139</v>
      </c>
      <c r="D101" s="946" t="s">
        <v>553</v>
      </c>
      <c r="E101" s="946" t="s">
        <v>2814</v>
      </c>
      <c r="F101" s="944" t="s">
        <v>736</v>
      </c>
      <c r="G101" s="947">
        <f>SUM(H101:M101)-G103-G105-G107</f>
        <v>0</v>
      </c>
      <c r="H101" s="967">
        <f>COUNTIF(Area_v1,$C101)</f>
        <v>0</v>
      </c>
      <c r="I101" s="948">
        <f>COUNTIF(Area_v2,$C101)</f>
        <v>0</v>
      </c>
      <c r="J101" s="948">
        <f>COUNTIF(Area_v3,$C101)</f>
        <v>0</v>
      </c>
      <c r="K101" s="948">
        <f>COUNTIF(Area_v4,$C101)</f>
        <v>0</v>
      </c>
      <c r="L101" s="948"/>
      <c r="M101" s="949"/>
      <c r="N101" s="818"/>
      <c r="AB101" s="1043" t="s">
        <v>2183</v>
      </c>
    </row>
    <row r="102" spans="1:28" ht="20.399999999999999" customHeight="1">
      <c r="A102" s="177"/>
      <c r="B102" s="993"/>
      <c r="C102" s="989" t="s">
        <v>231</v>
      </c>
      <c r="D102" s="990" t="s">
        <v>555</v>
      </c>
      <c r="E102" s="990" t="s">
        <v>2815</v>
      </c>
      <c r="F102" s="988" t="s">
        <v>737</v>
      </c>
      <c r="G102" s="986">
        <f>SUM(H102:M102)-G104-G106-G108</f>
        <v>0</v>
      </c>
      <c r="H102" s="957">
        <f>COUNTIF(Area_v1,$C102)</f>
        <v>0</v>
      </c>
      <c r="I102" s="958">
        <f>COUNTIF(Area_v2,$C102)</f>
        <v>0</v>
      </c>
      <c r="J102" s="958">
        <f>COUNTIF(Area_v3,$C102)</f>
        <v>0</v>
      </c>
      <c r="K102" s="958">
        <f>COUNTIF(Area_v4,$C102)</f>
        <v>0</v>
      </c>
      <c r="L102" s="958"/>
      <c r="M102" s="959"/>
      <c r="N102" s="818"/>
      <c r="AB102" s="1043" t="s">
        <v>2180</v>
      </c>
    </row>
    <row r="103" spans="1:28" ht="20.399999999999999" customHeight="1">
      <c r="A103" s="1051"/>
      <c r="B103" s="1052" t="s">
        <v>906</v>
      </c>
      <c r="C103" s="1053"/>
      <c r="D103" s="1054" t="s">
        <v>557</v>
      </c>
      <c r="E103" s="1054" t="s">
        <v>2816</v>
      </c>
      <c r="F103" s="1055" t="s">
        <v>736</v>
      </c>
      <c r="G103" s="1056"/>
      <c r="H103" s="1057"/>
      <c r="I103" s="1057"/>
      <c r="J103" s="1057"/>
      <c r="K103" s="1057"/>
      <c r="L103" s="1057"/>
      <c r="M103" s="1058"/>
      <c r="N103" s="818"/>
      <c r="AB103" s="1059" t="s">
        <v>2181</v>
      </c>
    </row>
    <row r="104" spans="1:28" ht="20.399999999999999" customHeight="1">
      <c r="A104" s="1051"/>
      <c r="B104" s="1060"/>
      <c r="C104" s="1061"/>
      <c r="D104" s="1062" t="s">
        <v>559</v>
      </c>
      <c r="E104" s="1062" t="s">
        <v>2817</v>
      </c>
      <c r="F104" s="1063" t="s">
        <v>737</v>
      </c>
      <c r="G104" s="1064"/>
      <c r="H104" s="1065"/>
      <c r="I104" s="1065"/>
      <c r="J104" s="1065"/>
      <c r="K104" s="1065"/>
      <c r="L104" s="1065"/>
      <c r="M104" s="1066"/>
      <c r="N104" s="818"/>
      <c r="AB104" s="1067" t="s">
        <v>2182</v>
      </c>
    </row>
    <row r="105" spans="1:28" ht="20.399999999999999" customHeight="1">
      <c r="A105" s="1051"/>
      <c r="B105" s="1060"/>
      <c r="C105" s="1068"/>
      <c r="D105" s="1054" t="s">
        <v>2818</v>
      </c>
      <c r="E105" s="1054" t="s">
        <v>2819</v>
      </c>
      <c r="F105" s="1055" t="s">
        <v>736</v>
      </c>
      <c r="G105" s="1056"/>
      <c r="H105" s="1057"/>
      <c r="I105" s="1057"/>
      <c r="J105" s="1057"/>
      <c r="K105" s="1057"/>
      <c r="L105" s="1057"/>
      <c r="M105" s="1058"/>
      <c r="N105" s="818"/>
      <c r="AB105" s="1067"/>
    </row>
    <row r="106" spans="1:28" ht="20.399999999999999" customHeight="1">
      <c r="A106" s="1051"/>
      <c r="B106" s="1060"/>
      <c r="C106" s="1069"/>
      <c r="D106" s="1062" t="s">
        <v>2820</v>
      </c>
      <c r="E106" s="1062" t="s">
        <v>2821</v>
      </c>
      <c r="F106" s="1063" t="s">
        <v>737</v>
      </c>
      <c r="G106" s="1064"/>
      <c r="H106" s="1065"/>
      <c r="I106" s="1065"/>
      <c r="J106" s="1065"/>
      <c r="K106" s="1065"/>
      <c r="L106" s="1065"/>
      <c r="M106" s="1066"/>
      <c r="N106" s="818"/>
      <c r="AB106" s="1067"/>
    </row>
    <row r="107" spans="1:28" ht="20.399999999999999" customHeight="1">
      <c r="A107" s="1051"/>
      <c r="B107" s="1070" t="s">
        <v>906</v>
      </c>
      <c r="C107" s="1071"/>
      <c r="D107" s="1072" t="s">
        <v>561</v>
      </c>
      <c r="E107" s="1072" t="s">
        <v>562</v>
      </c>
      <c r="F107" s="1073" t="s">
        <v>736</v>
      </c>
      <c r="G107" s="1056"/>
      <c r="H107" s="1074"/>
      <c r="I107" s="1074"/>
      <c r="J107" s="1074"/>
      <c r="K107" s="1074"/>
      <c r="L107" s="1074"/>
      <c r="M107" s="1075"/>
      <c r="N107" s="818"/>
      <c r="AB107" s="1067" t="s">
        <v>2127</v>
      </c>
    </row>
    <row r="108" spans="1:28" ht="20.399999999999999" customHeight="1">
      <c r="A108" s="1051"/>
      <c r="B108" s="1063"/>
      <c r="C108" s="1061"/>
      <c r="D108" s="1062" t="s">
        <v>563</v>
      </c>
      <c r="E108" s="1062" t="s">
        <v>564</v>
      </c>
      <c r="F108" s="1063" t="s">
        <v>737</v>
      </c>
      <c r="G108" s="1064"/>
      <c r="H108" s="1065"/>
      <c r="I108" s="1065"/>
      <c r="J108" s="1065"/>
      <c r="K108" s="1065"/>
      <c r="L108" s="1065"/>
      <c r="M108" s="1066"/>
      <c r="N108" s="818"/>
      <c r="AB108" s="1076" t="s">
        <v>2128</v>
      </c>
    </row>
    <row r="109" spans="1:28" ht="20.399999999999999" customHeight="1">
      <c r="A109" s="177"/>
      <c r="B109" s="944"/>
      <c r="C109" s="999" t="s">
        <v>241</v>
      </c>
      <c r="D109" s="1000" t="s">
        <v>565</v>
      </c>
      <c r="E109" s="1000" t="s">
        <v>566</v>
      </c>
      <c r="F109" s="998" t="s">
        <v>738</v>
      </c>
      <c r="G109" s="986">
        <f t="shared" si="17"/>
        <v>561</v>
      </c>
      <c r="H109" s="818">
        <f>COUNTIF(Area_v1,$C109)</f>
        <v>273</v>
      </c>
      <c r="I109" s="818">
        <f>COUNTIF(Area_v2,$C109)</f>
        <v>273</v>
      </c>
      <c r="J109" s="818">
        <f>COUNTIF(Area_v3,$C109)</f>
        <v>7</v>
      </c>
      <c r="K109" s="818">
        <f>COUNTIF(Area_v4,$C109)</f>
        <v>8</v>
      </c>
      <c r="L109" s="818"/>
      <c r="M109" s="976"/>
      <c r="N109" s="818"/>
      <c r="AB109" s="1077" t="s">
        <v>2129</v>
      </c>
    </row>
    <row r="110" spans="1:28" ht="20.399999999999999" customHeight="1">
      <c r="A110" s="177"/>
      <c r="B110" s="1078" t="s">
        <v>936</v>
      </c>
      <c r="C110" s="984" t="s">
        <v>465</v>
      </c>
      <c r="D110" s="990" t="s">
        <v>565</v>
      </c>
      <c r="E110" s="985" t="s">
        <v>2822</v>
      </c>
      <c r="F110" s="950" t="s">
        <v>738</v>
      </c>
      <c r="G110" s="986">
        <f t="shared" si="17"/>
        <v>208</v>
      </c>
      <c r="H110" s="818">
        <f>COUNTIF(Area_v1,$C110)*2</f>
        <v>96</v>
      </c>
      <c r="I110" s="818">
        <f>COUNTIF(Area_v2,$C110)*2</f>
        <v>96</v>
      </c>
      <c r="J110" s="818">
        <f>COUNTIF(Area_v3,$C110)*2</f>
        <v>8</v>
      </c>
      <c r="K110" s="818">
        <f>COUNTIF(Area_v4,$C110)*2</f>
        <v>8</v>
      </c>
      <c r="L110" s="818"/>
      <c r="M110" s="976"/>
      <c r="N110" s="818"/>
      <c r="AB110" s="1079" t="s">
        <v>2130</v>
      </c>
    </row>
    <row r="111" spans="1:28" ht="20.399999999999999" customHeight="1">
      <c r="A111" s="987"/>
      <c r="B111" s="1456"/>
      <c r="C111" s="999"/>
      <c r="D111" s="1133"/>
      <c r="E111" s="1000"/>
      <c r="F111" s="998"/>
      <c r="G111" s="986"/>
      <c r="H111" s="818">
        <f>SUM(H109:H110)</f>
        <v>369</v>
      </c>
      <c r="I111" s="818">
        <f t="shared" ref="I111:M111" si="26">SUM(I109:I110)</f>
        <v>369</v>
      </c>
      <c r="J111" s="818">
        <f t="shared" si="26"/>
        <v>15</v>
      </c>
      <c r="K111" s="818">
        <f t="shared" si="26"/>
        <v>16</v>
      </c>
      <c r="L111" s="818">
        <f t="shared" si="26"/>
        <v>0</v>
      </c>
      <c r="M111" s="818">
        <f t="shared" si="26"/>
        <v>0</v>
      </c>
      <c r="N111" s="818"/>
      <c r="AB111" s="1087"/>
    </row>
    <row r="112" spans="1:28" ht="20.399999999999999" customHeight="1">
      <c r="A112" s="987"/>
      <c r="B112" s="1320"/>
      <c r="C112" s="1081" t="s">
        <v>3071</v>
      </c>
      <c r="D112" s="1000" t="s">
        <v>3122</v>
      </c>
      <c r="E112" s="1082" t="s">
        <v>3136</v>
      </c>
      <c r="F112" s="1083"/>
      <c r="G112" s="1084">
        <f t="shared" si="17"/>
        <v>0</v>
      </c>
      <c r="H112" s="1085">
        <f>COUNTIF(Area_v1,$C112)</f>
        <v>0</v>
      </c>
      <c r="I112" s="1085">
        <f>COUNTIF(Area_v2,$C112)</f>
        <v>0</v>
      </c>
      <c r="J112" s="1085">
        <f>COUNTIF(Area_v3,$C112)</f>
        <v>0</v>
      </c>
      <c r="K112" s="1085">
        <f>COUNTIF(Area_v4,$C112)</f>
        <v>0</v>
      </c>
      <c r="L112" s="1085"/>
      <c r="M112" s="1086"/>
      <c r="N112" s="818"/>
      <c r="AB112" s="1087"/>
    </row>
    <row r="113" spans="1:28" ht="20.399999999999999" customHeight="1">
      <c r="A113" s="987"/>
      <c r="B113" s="1078" t="s">
        <v>936</v>
      </c>
      <c r="C113" s="1088" t="s">
        <v>3073</v>
      </c>
      <c r="D113" s="1308" t="s">
        <v>3122</v>
      </c>
      <c r="E113" s="1089" t="s">
        <v>3137</v>
      </c>
      <c r="F113" s="1090"/>
      <c r="G113" s="1084">
        <f t="shared" si="17"/>
        <v>0</v>
      </c>
      <c r="H113" s="1085">
        <f>COUNTIF(Area_v1,$C113)*2</f>
        <v>0</v>
      </c>
      <c r="I113" s="1085">
        <f>COUNTIF(Area_v2,$C113)*2</f>
        <v>0</v>
      </c>
      <c r="J113" s="1085">
        <f>COUNTIF(Area_v3,$C113)*2</f>
        <v>0</v>
      </c>
      <c r="K113" s="1085">
        <f>COUNTIF(Area_v4,$C113)*2</f>
        <v>0</v>
      </c>
      <c r="L113" s="1085"/>
      <c r="M113" s="1086"/>
      <c r="N113" s="818"/>
      <c r="AB113" s="1087"/>
    </row>
    <row r="114" spans="1:28" ht="20.399999999999999" customHeight="1">
      <c r="A114" s="987"/>
      <c r="B114" s="1080"/>
      <c r="C114" s="1081" t="s">
        <v>3075</v>
      </c>
      <c r="D114" s="1000" t="s">
        <v>3123</v>
      </c>
      <c r="E114" s="1082" t="s">
        <v>3138</v>
      </c>
      <c r="F114" s="1083"/>
      <c r="G114" s="1084">
        <f t="shared" si="17"/>
        <v>0</v>
      </c>
      <c r="H114" s="1085">
        <f>COUNTIF(Area_v1,$C114)</f>
        <v>0</v>
      </c>
      <c r="I114" s="1085">
        <f>COUNTIF(Area_v2,$C114)</f>
        <v>0</v>
      </c>
      <c r="J114" s="1085">
        <f>COUNTIF(Area_v3,$C114)</f>
        <v>0</v>
      </c>
      <c r="K114" s="1085">
        <f>COUNTIF(Area_v4,$C114)</f>
        <v>0</v>
      </c>
      <c r="L114" s="1085"/>
      <c r="M114" s="1086"/>
      <c r="N114" s="818"/>
      <c r="AB114" s="1087"/>
    </row>
    <row r="115" spans="1:28" ht="20.399999999999999" customHeight="1">
      <c r="A115" s="987"/>
      <c r="B115" s="1078" t="s">
        <v>936</v>
      </c>
      <c r="C115" s="1088" t="s">
        <v>3077</v>
      </c>
      <c r="D115" s="1308" t="s">
        <v>3123</v>
      </c>
      <c r="E115" s="1089" t="s">
        <v>3139</v>
      </c>
      <c r="F115" s="1090"/>
      <c r="G115" s="1084">
        <f t="shared" si="17"/>
        <v>0</v>
      </c>
      <c r="H115" s="1085">
        <f>COUNTIF(Area_v1,$C115)*2</f>
        <v>0</v>
      </c>
      <c r="I115" s="1085">
        <f>COUNTIF(Area_v2,$C115)*2</f>
        <v>0</v>
      </c>
      <c r="J115" s="1085">
        <f>COUNTIF(Area_v3,$C115)*2</f>
        <v>0</v>
      </c>
      <c r="K115" s="1085">
        <f>COUNTIF(Area_v4,$C115)*2</f>
        <v>0</v>
      </c>
      <c r="L115" s="1085"/>
      <c r="M115" s="1086"/>
      <c r="N115" s="818"/>
      <c r="AB115" s="1087"/>
    </row>
    <row r="116" spans="1:28" ht="20.399999999999999" customHeight="1">
      <c r="A116" s="987"/>
      <c r="B116" s="1080"/>
      <c r="C116" s="1081" t="s">
        <v>2999</v>
      </c>
      <c r="D116" s="1000" t="s">
        <v>3121</v>
      </c>
      <c r="E116" s="1082" t="s">
        <v>3140</v>
      </c>
      <c r="F116" s="1083" t="s">
        <v>738</v>
      </c>
      <c r="G116" s="1084">
        <f t="shared" si="17"/>
        <v>29</v>
      </c>
      <c r="H116" s="1085">
        <f>COUNTIF(Area_v1,$C116)</f>
        <v>8</v>
      </c>
      <c r="I116" s="1085">
        <f>COUNTIF(Area_v2,$C116)</f>
        <v>7</v>
      </c>
      <c r="J116" s="1085">
        <f>COUNTIF(Area_v3,$C116)</f>
        <v>7</v>
      </c>
      <c r="K116" s="1085">
        <f>COUNTIF(Area_v4,$C116)</f>
        <v>7</v>
      </c>
      <c r="L116" s="1085"/>
      <c r="M116" s="1086"/>
      <c r="N116" s="818"/>
      <c r="AB116" s="1087"/>
    </row>
    <row r="117" spans="1:28" ht="20.399999999999999" customHeight="1">
      <c r="A117" s="987"/>
      <c r="B117" s="1078" t="s">
        <v>936</v>
      </c>
      <c r="C117" s="1088" t="s">
        <v>3000</v>
      </c>
      <c r="D117" s="1308" t="s">
        <v>3121</v>
      </c>
      <c r="E117" s="1089" t="s">
        <v>3141</v>
      </c>
      <c r="F117" s="1090" t="s">
        <v>738</v>
      </c>
      <c r="G117" s="1084">
        <f t="shared" si="17"/>
        <v>0</v>
      </c>
      <c r="H117" s="1085">
        <f>COUNTIF(Area_v1,$C117)*2</f>
        <v>0</v>
      </c>
      <c r="I117" s="1085">
        <f>COUNTIF(Area_v2,$C117)*2</f>
        <v>0</v>
      </c>
      <c r="J117" s="1085">
        <f>COUNTIF(Area_v3,$C117)*2</f>
        <v>0</v>
      </c>
      <c r="K117" s="1085">
        <f>COUNTIF(Area_v4,$C117)*2</f>
        <v>0</v>
      </c>
      <c r="L117" s="1085"/>
      <c r="M117" s="1086"/>
      <c r="N117" s="818"/>
      <c r="AB117" s="1087"/>
    </row>
    <row r="118" spans="1:28" ht="20.399999999999999" customHeight="1">
      <c r="A118" s="992"/>
      <c r="B118" s="993"/>
      <c r="C118" s="994" t="s">
        <v>941</v>
      </c>
      <c r="D118" s="995" t="s">
        <v>950</v>
      </c>
      <c r="E118" s="995" t="s">
        <v>740</v>
      </c>
      <c r="F118" s="993" t="s">
        <v>739</v>
      </c>
      <c r="G118" s="996">
        <f t="shared" si="17"/>
        <v>0</v>
      </c>
      <c r="H118" s="958">
        <f>COUNTIF(Area_v1,$C118)</f>
        <v>0</v>
      </c>
      <c r="I118" s="958">
        <f>COUNTIF(Area_v2,$C118)</f>
        <v>0</v>
      </c>
      <c r="J118" s="958">
        <f>COUNTIF(Area_v3,$C118)</f>
        <v>0</v>
      </c>
      <c r="K118" s="958">
        <f>COUNTIF(Area_v4,$C118)</f>
        <v>0</v>
      </c>
      <c r="L118" s="958"/>
      <c r="M118" s="959"/>
      <c r="N118" s="818"/>
      <c r="AB118" s="1045" t="s">
        <v>2131</v>
      </c>
    </row>
    <row r="119" spans="1:28" ht="20.399999999999999" customHeight="1">
      <c r="A119" s="174"/>
      <c r="B119" s="175"/>
      <c r="C119" s="945"/>
      <c r="D119" s="946" t="s">
        <v>567</v>
      </c>
      <c r="E119" s="946" t="s">
        <v>568</v>
      </c>
      <c r="F119" s="944" t="s">
        <v>741</v>
      </c>
      <c r="G119" s="947">
        <f t="shared" si="17"/>
        <v>-16</v>
      </c>
      <c r="H119" s="948">
        <f t="shared" ref="H119:K119" si="27">SUM(H120:H124)</f>
        <v>-8</v>
      </c>
      <c r="I119" s="948">
        <f t="shared" si="27"/>
        <v>-8</v>
      </c>
      <c r="J119" s="948">
        <f t="shared" si="27"/>
        <v>0</v>
      </c>
      <c r="K119" s="948">
        <f t="shared" si="27"/>
        <v>0</v>
      </c>
      <c r="L119" s="948"/>
      <c r="M119" s="949"/>
      <c r="N119" s="818"/>
      <c r="AB119" s="1077" t="s">
        <v>2132</v>
      </c>
    </row>
    <row r="120" spans="1:28" ht="20.399999999999999" customHeight="1">
      <c r="A120" s="177"/>
      <c r="B120" s="178" t="s">
        <v>918</v>
      </c>
      <c r="C120" s="984" t="s">
        <v>949</v>
      </c>
      <c r="D120" s="985" t="s">
        <v>569</v>
      </c>
      <c r="E120" s="985" t="s">
        <v>943</v>
      </c>
      <c r="F120" s="950" t="s">
        <v>741</v>
      </c>
      <c r="G120" s="986">
        <f t="shared" ref="G120:G152" si="28">SUM(H120:M120)</f>
        <v>-8</v>
      </c>
      <c r="H120" s="1246">
        <f>COUNTIF(Area_v1,"CP+AnMC")+COUNTIF(Area_v1,"FP+AnMC")-4</f>
        <v>-4</v>
      </c>
      <c r="I120" s="1246">
        <f>COUNTIF(Area_v2,"CP+AnMC")+COUNTIF(Area_v2,"FP+AnMC")-4</f>
        <v>-4</v>
      </c>
      <c r="J120" s="818">
        <f>COUNTIF(Area_v3,"CP+AnMC")+COUNTIF(Area_v3,"FP+AnMC")</f>
        <v>0</v>
      </c>
      <c r="K120" s="818">
        <f>COUNTIF(Area_v4,"CP+AnMC")+COUNTIF(Area_v4,"FP+AnMC")</f>
        <v>0</v>
      </c>
      <c r="L120" s="818"/>
      <c r="M120" s="976"/>
      <c r="AB120" s="1079" t="s">
        <v>2133</v>
      </c>
    </row>
    <row r="121" spans="1:28" ht="20.399999999999999" customHeight="1">
      <c r="A121" s="177"/>
      <c r="B121" s="614" t="s">
        <v>2480</v>
      </c>
      <c r="C121" s="984" t="s">
        <v>2825</v>
      </c>
      <c r="D121" s="985" t="s">
        <v>570</v>
      </c>
      <c r="E121" s="985" t="s">
        <v>944</v>
      </c>
      <c r="F121" s="950" t="s">
        <v>741</v>
      </c>
      <c r="G121" s="986">
        <f t="shared" si="28"/>
        <v>0</v>
      </c>
      <c r="H121" s="818">
        <f>COUNTIF(Area_v1,"AnRW")+COUNTIF(Area_v1,"AnRW2")</f>
        <v>0</v>
      </c>
      <c r="I121" s="818">
        <f>COUNTIF(Area_v2,"AnRW")+COUNTIF(Area_v2,"AnRW2")</f>
        <v>0</v>
      </c>
      <c r="J121" s="818">
        <f>COUNTIF(Area_v3,"AnRW")+COUNTIF(Area_v3,"AnRW2")</f>
        <v>0</v>
      </c>
      <c r="K121" s="818">
        <f>COUNTIF(Area_v4,"AnRW")+COUNTIF(Area_v4,"AnRW2")</f>
        <v>0</v>
      </c>
      <c r="L121" s="818"/>
      <c r="M121" s="976"/>
      <c r="N121" s="818"/>
      <c r="AB121" s="1079" t="s">
        <v>2134</v>
      </c>
    </row>
    <row r="122" spans="1:28" ht="34.950000000000003" customHeight="1">
      <c r="A122" s="177"/>
      <c r="B122" s="178"/>
      <c r="C122" s="984" t="s">
        <v>998</v>
      </c>
      <c r="D122" s="985" t="s">
        <v>571</v>
      </c>
      <c r="E122" s="985" t="s">
        <v>945</v>
      </c>
      <c r="F122" s="950" t="s">
        <v>741</v>
      </c>
      <c r="G122" s="986">
        <f t="shared" si="28"/>
        <v>-8</v>
      </c>
      <c r="H122" s="1246">
        <f>COUNTIF(Area_v1,"CP+AnMC")+COUNTIF(Area_v1,"FP+AnMC")+COUNTIF(Area_v1,"AnMP")-4-2</f>
        <v>-4</v>
      </c>
      <c r="I122" s="1246">
        <f>COUNTIF(Area_v2,"CP+AnMC")+COUNTIF(Area_v2,"FP+AnMC")+COUNTIF(Area_v2,"AnMP")-4-2</f>
        <v>-4</v>
      </c>
      <c r="J122" s="818">
        <f>COUNTIF(Area_v3,"CP+AnMC")+COUNTIF(Area_v3,"FP+AnMC")+COUNTIF(Area_v3,"AnMP")</f>
        <v>0</v>
      </c>
      <c r="K122" s="818">
        <f>COUNTIF(Area_v4,"CP+AnMC")+COUNTIF(Area_v4,"FP+AnMC")+COUNTIF(Area_v4,"AnMP")</f>
        <v>0</v>
      </c>
      <c r="L122" s="818"/>
      <c r="M122" s="976"/>
      <c r="N122" s="818"/>
      <c r="AB122" s="1079" t="s">
        <v>2135</v>
      </c>
    </row>
    <row r="123" spans="1:28" ht="20.399999999999999" customHeight="1">
      <c r="A123" s="177"/>
      <c r="B123" s="614" t="s">
        <v>2480</v>
      </c>
      <c r="C123" s="989" t="s">
        <v>2051</v>
      </c>
      <c r="D123" s="985" t="s">
        <v>572</v>
      </c>
      <c r="E123" s="985" t="s">
        <v>946</v>
      </c>
      <c r="F123" s="950" t="s">
        <v>741</v>
      </c>
      <c r="G123" s="986">
        <f t="shared" si="28"/>
        <v>0</v>
      </c>
      <c r="H123" s="818">
        <f>COUNTIF(Area_v1,$C123)</f>
        <v>0</v>
      </c>
      <c r="I123" s="818">
        <f>COUNTIF(Area_v2,$C123)</f>
        <v>0</v>
      </c>
      <c r="J123" s="818">
        <f>COUNTIF(Area_v3,$C123)</f>
        <v>0</v>
      </c>
      <c r="K123" s="818">
        <f>COUNTIF(Area_v4,$C123)</f>
        <v>0</v>
      </c>
      <c r="L123" s="818"/>
      <c r="M123" s="976"/>
      <c r="N123" s="818"/>
      <c r="AB123" s="1079" t="s">
        <v>2136</v>
      </c>
    </row>
    <row r="124" spans="1:28" ht="20.399999999999999" customHeight="1">
      <c r="A124" s="1051"/>
      <c r="B124" s="1070" t="s">
        <v>906</v>
      </c>
      <c r="C124" s="1091"/>
      <c r="D124" s="1062" t="s">
        <v>573</v>
      </c>
      <c r="E124" s="1062" t="s">
        <v>574</v>
      </c>
      <c r="F124" s="1063" t="s">
        <v>741</v>
      </c>
      <c r="G124" s="1064">
        <f t="shared" si="28"/>
        <v>0</v>
      </c>
      <c r="H124" s="1065"/>
      <c r="I124" s="1065"/>
      <c r="J124" s="1065"/>
      <c r="K124" s="1065"/>
      <c r="L124" s="1065"/>
      <c r="M124" s="1066"/>
      <c r="N124" s="818"/>
      <c r="AB124" s="1067" t="s">
        <v>2137</v>
      </c>
    </row>
    <row r="125" spans="1:28" ht="20.399999999999999" customHeight="1">
      <c r="A125" s="943" t="s">
        <v>897</v>
      </c>
      <c r="B125" s="944"/>
      <c r="C125" s="945" t="s">
        <v>144</v>
      </c>
      <c r="D125" s="946" t="s">
        <v>575</v>
      </c>
      <c r="E125" s="946" t="s">
        <v>576</v>
      </c>
      <c r="F125" s="944" t="s">
        <v>742</v>
      </c>
      <c r="G125" s="947">
        <f t="shared" si="28"/>
        <v>35</v>
      </c>
      <c r="H125" s="948">
        <f t="shared" ref="H125:H133" si="29">COUNTIF(Area_v1,$C125)</f>
        <v>25</v>
      </c>
      <c r="I125" s="948">
        <f t="shared" ref="I125:I133" si="30">COUNTIF(Area_v2,$C125)</f>
        <v>10</v>
      </c>
      <c r="J125" s="948">
        <f t="shared" ref="J125:J133" si="31">COUNTIF(Area_v3,$C125)</f>
        <v>0</v>
      </c>
      <c r="K125" s="948">
        <f t="shared" ref="K125:K133" si="32">COUNTIF(Area_v4,$C125)</f>
        <v>0</v>
      </c>
      <c r="L125" s="948"/>
      <c r="M125" s="949"/>
      <c r="N125" s="818"/>
      <c r="AB125" s="1043" t="s">
        <v>2138</v>
      </c>
    </row>
    <row r="126" spans="1:28" ht="20.399999999999999" customHeight="1">
      <c r="A126" s="177"/>
      <c r="B126" s="950"/>
      <c r="C126" s="984" t="s">
        <v>145</v>
      </c>
      <c r="D126" s="985" t="s">
        <v>577</v>
      </c>
      <c r="E126" s="985" t="s">
        <v>579</v>
      </c>
      <c r="F126" s="950" t="s">
        <v>743</v>
      </c>
      <c r="G126" s="986">
        <f t="shared" si="28"/>
        <v>39</v>
      </c>
      <c r="H126" s="818">
        <f t="shared" si="29"/>
        <v>12</v>
      </c>
      <c r="I126" s="818">
        <f t="shared" si="30"/>
        <v>27</v>
      </c>
      <c r="J126" s="818">
        <f t="shared" si="31"/>
        <v>0</v>
      </c>
      <c r="K126" s="818">
        <f t="shared" si="32"/>
        <v>0</v>
      </c>
      <c r="L126" s="818"/>
      <c r="M126" s="976"/>
      <c r="N126" s="818"/>
      <c r="AB126" s="1079" t="s">
        <v>2139</v>
      </c>
    </row>
    <row r="127" spans="1:28" ht="20.399999999999999" customHeight="1">
      <c r="A127" s="177"/>
      <c r="B127" s="950"/>
      <c r="C127" s="984" t="s">
        <v>140</v>
      </c>
      <c r="D127" s="985" t="s">
        <v>578</v>
      </c>
      <c r="E127" s="985" t="s">
        <v>584</v>
      </c>
      <c r="F127" s="950" t="s">
        <v>744</v>
      </c>
      <c r="G127" s="986">
        <f t="shared" si="28"/>
        <v>10</v>
      </c>
      <c r="H127" s="818">
        <f t="shared" si="29"/>
        <v>5</v>
      </c>
      <c r="I127" s="818">
        <f t="shared" si="30"/>
        <v>5</v>
      </c>
      <c r="J127" s="818">
        <f t="shared" si="31"/>
        <v>0</v>
      </c>
      <c r="K127" s="818">
        <f t="shared" si="32"/>
        <v>0</v>
      </c>
      <c r="L127" s="818"/>
      <c r="M127" s="976"/>
      <c r="N127" s="818"/>
      <c r="AB127" s="1079" t="s">
        <v>2140</v>
      </c>
    </row>
    <row r="128" spans="1:28" ht="20.399999999999999" customHeight="1">
      <c r="A128" s="177"/>
      <c r="B128" s="950"/>
      <c r="C128" s="984" t="s">
        <v>695</v>
      </c>
      <c r="D128" s="985" t="s">
        <v>580</v>
      </c>
      <c r="E128" s="985" t="s">
        <v>746</v>
      </c>
      <c r="F128" s="950" t="s">
        <v>745</v>
      </c>
      <c r="G128" s="986">
        <f t="shared" si="28"/>
        <v>355</v>
      </c>
      <c r="H128" s="818">
        <f t="shared" si="29"/>
        <v>174</v>
      </c>
      <c r="I128" s="818">
        <f t="shared" si="30"/>
        <v>170</v>
      </c>
      <c r="J128" s="818">
        <f t="shared" si="31"/>
        <v>5</v>
      </c>
      <c r="K128" s="818">
        <f t="shared" si="32"/>
        <v>6</v>
      </c>
      <c r="L128" s="818"/>
      <c r="M128" s="976"/>
      <c r="N128" s="818"/>
      <c r="AB128" s="1079" t="s">
        <v>2141</v>
      </c>
    </row>
    <row r="129" spans="1:28" ht="20.399999999999999" customHeight="1">
      <c r="A129" s="177"/>
      <c r="B129" s="950"/>
      <c r="C129" s="984" t="s">
        <v>696</v>
      </c>
      <c r="D129" s="985" t="s">
        <v>581</v>
      </c>
      <c r="E129" s="985" t="s">
        <v>748</v>
      </c>
      <c r="F129" s="950" t="s">
        <v>747</v>
      </c>
      <c r="G129" s="986">
        <f t="shared" si="28"/>
        <v>351</v>
      </c>
      <c r="H129" s="818">
        <f t="shared" si="29"/>
        <v>159</v>
      </c>
      <c r="I129" s="818">
        <f t="shared" si="30"/>
        <v>164</v>
      </c>
      <c r="J129" s="818">
        <f t="shared" si="31"/>
        <v>14</v>
      </c>
      <c r="K129" s="818">
        <f t="shared" si="32"/>
        <v>14</v>
      </c>
      <c r="L129" s="818"/>
      <c r="M129" s="976"/>
      <c r="N129" s="818"/>
      <c r="AB129" s="1079" t="s">
        <v>2142</v>
      </c>
    </row>
    <row r="130" spans="1:28" ht="20.399999999999999" customHeight="1">
      <c r="A130" s="177"/>
      <c r="B130" s="950"/>
      <c r="C130" s="984" t="s">
        <v>697</v>
      </c>
      <c r="D130" s="985" t="s">
        <v>582</v>
      </c>
      <c r="E130" s="985" t="s">
        <v>750</v>
      </c>
      <c r="F130" s="950" t="s">
        <v>749</v>
      </c>
      <c r="G130" s="986">
        <f t="shared" si="28"/>
        <v>90</v>
      </c>
      <c r="H130" s="818">
        <f t="shared" si="29"/>
        <v>42</v>
      </c>
      <c r="I130" s="818">
        <f t="shared" si="30"/>
        <v>42</v>
      </c>
      <c r="J130" s="818">
        <f t="shared" si="31"/>
        <v>3</v>
      </c>
      <c r="K130" s="818">
        <f t="shared" si="32"/>
        <v>3</v>
      </c>
      <c r="L130" s="818"/>
      <c r="M130" s="976"/>
      <c r="N130" s="818"/>
      <c r="AB130" s="1079" t="s">
        <v>2143</v>
      </c>
    </row>
    <row r="131" spans="1:28" ht="20.399999999999999" customHeight="1">
      <c r="A131" s="177"/>
      <c r="B131" s="950"/>
      <c r="C131" s="984" t="s">
        <v>952</v>
      </c>
      <c r="D131" s="985" t="s">
        <v>583</v>
      </c>
      <c r="E131" s="985" t="s">
        <v>751</v>
      </c>
      <c r="F131" s="950" t="s">
        <v>723</v>
      </c>
      <c r="G131" s="986">
        <f t="shared" si="28"/>
        <v>0</v>
      </c>
      <c r="H131" s="818">
        <f t="shared" si="29"/>
        <v>0</v>
      </c>
      <c r="I131" s="818">
        <f t="shared" si="30"/>
        <v>0</v>
      </c>
      <c r="J131" s="818">
        <f t="shared" si="31"/>
        <v>0</v>
      </c>
      <c r="K131" s="818">
        <f t="shared" si="32"/>
        <v>0</v>
      </c>
      <c r="L131" s="818"/>
      <c r="M131" s="976"/>
      <c r="N131" s="818"/>
      <c r="AB131" s="1079" t="s">
        <v>2144</v>
      </c>
    </row>
    <row r="132" spans="1:28" ht="20.399999999999999" customHeight="1">
      <c r="A132" s="177"/>
      <c r="B132" s="950"/>
      <c r="C132" s="984" t="s">
        <v>953</v>
      </c>
      <c r="D132" s="985" t="s">
        <v>585</v>
      </c>
      <c r="E132" s="985" t="s">
        <v>752</v>
      </c>
      <c r="F132" s="950" t="s">
        <v>723</v>
      </c>
      <c r="G132" s="986">
        <f t="shared" si="28"/>
        <v>0</v>
      </c>
      <c r="H132" s="818">
        <f t="shared" si="29"/>
        <v>0</v>
      </c>
      <c r="I132" s="818">
        <f t="shared" si="30"/>
        <v>0</v>
      </c>
      <c r="J132" s="818">
        <f t="shared" si="31"/>
        <v>0</v>
      </c>
      <c r="K132" s="818">
        <f t="shared" si="32"/>
        <v>0</v>
      </c>
      <c r="L132" s="818"/>
      <c r="M132" s="976"/>
      <c r="N132" s="818"/>
      <c r="AB132" s="1079" t="s">
        <v>2145</v>
      </c>
    </row>
    <row r="133" spans="1:28" ht="20.399999999999999" customHeight="1">
      <c r="A133" s="992"/>
      <c r="B133" s="993"/>
      <c r="C133" s="994" t="s">
        <v>954</v>
      </c>
      <c r="D133" s="995" t="s">
        <v>586</v>
      </c>
      <c r="E133" s="995" t="s">
        <v>753</v>
      </c>
      <c r="F133" s="993" t="s">
        <v>723</v>
      </c>
      <c r="G133" s="996">
        <f t="shared" si="28"/>
        <v>0</v>
      </c>
      <c r="H133" s="958">
        <f t="shared" si="29"/>
        <v>0</v>
      </c>
      <c r="I133" s="958">
        <f t="shared" si="30"/>
        <v>0</v>
      </c>
      <c r="J133" s="958">
        <f t="shared" si="31"/>
        <v>0</v>
      </c>
      <c r="K133" s="958">
        <f t="shared" si="32"/>
        <v>0</v>
      </c>
      <c r="L133" s="958"/>
      <c r="M133" s="959"/>
      <c r="N133" s="818"/>
      <c r="AB133" s="1045" t="s">
        <v>2146</v>
      </c>
    </row>
    <row r="134" spans="1:28" ht="20.399999999999999" customHeight="1">
      <c r="A134" s="1156"/>
      <c r="B134" s="1022"/>
      <c r="C134" s="1132"/>
      <c r="D134" s="1133"/>
      <c r="E134" s="1133"/>
      <c r="F134" s="1157"/>
      <c r="G134" s="986"/>
      <c r="H134" s="1455">
        <f>SUM(H125:H130)</f>
        <v>417</v>
      </c>
      <c r="I134" s="1455">
        <f t="shared" ref="I134:M134" si="33">SUM(I125:I130)</f>
        <v>418</v>
      </c>
      <c r="J134" s="1455">
        <f t="shared" si="33"/>
        <v>22</v>
      </c>
      <c r="K134" s="1455">
        <f t="shared" si="33"/>
        <v>23</v>
      </c>
      <c r="L134" s="1455">
        <f t="shared" si="33"/>
        <v>0</v>
      </c>
      <c r="M134" s="1455">
        <f t="shared" si="33"/>
        <v>0</v>
      </c>
      <c r="N134" s="818"/>
      <c r="AB134" s="1158"/>
    </row>
    <row r="135" spans="1:28" ht="20.399999999999999" customHeight="1">
      <c r="A135" s="943" t="s">
        <v>951</v>
      </c>
      <c r="B135" s="1094" t="s">
        <v>957</v>
      </c>
      <c r="C135" s="1095"/>
      <c r="D135" s="946" t="s">
        <v>587</v>
      </c>
      <c r="E135" s="1000" t="s">
        <v>755</v>
      </c>
      <c r="F135" s="998" t="s">
        <v>754</v>
      </c>
      <c r="G135" s="986">
        <f t="shared" si="28"/>
        <v>10</v>
      </c>
      <c r="H135" s="967">
        <f>COUNTIF(m2_v1,$C$125)+COUNTIF(m2_v1,$C$126)+COUNTIF(m2_v1,$C$127)</f>
        <v>5</v>
      </c>
      <c r="I135" s="948">
        <f>COUNTIF(m2_v2,$C$125)+COUNTIF(m2_v2,$C$126)+COUNTIF(m2_v2,$C$127)</f>
        <v>5</v>
      </c>
      <c r="J135" s="948">
        <f>COUNTIF(m2_v3,$C$125)+COUNTIF(m2_v3,$C$126)+COUNTIF(m2_v3,$C$127)</f>
        <v>0</v>
      </c>
      <c r="K135" s="948">
        <f>COUNTIF(m2_v4,$C$125)+COUNTIF(m2_v4,$C$126)+COUNTIF(m2_v4,$C$127)</f>
        <v>0</v>
      </c>
      <c r="L135" s="948"/>
      <c r="M135" s="949"/>
      <c r="N135" s="818"/>
      <c r="AB135" s="1077" t="s">
        <v>2147</v>
      </c>
    </row>
    <row r="136" spans="1:28" ht="20.399999999999999" customHeight="1">
      <c r="A136" s="177"/>
      <c r="B136" s="1096"/>
      <c r="C136" s="1097"/>
      <c r="D136" s="985" t="s">
        <v>588</v>
      </c>
      <c r="E136" s="985" t="s">
        <v>955</v>
      </c>
      <c r="F136" s="950" t="s">
        <v>754</v>
      </c>
      <c r="G136" s="986">
        <f t="shared" si="28"/>
        <v>0</v>
      </c>
      <c r="H136" s="1074"/>
      <c r="I136" s="1074"/>
      <c r="J136" s="1074"/>
      <c r="K136" s="1074"/>
      <c r="L136" s="818"/>
      <c r="M136" s="976"/>
      <c r="N136" s="818"/>
      <c r="AB136" s="1079" t="s">
        <v>2148</v>
      </c>
    </row>
    <row r="137" spans="1:28" ht="20.399999999999999" customHeight="1">
      <c r="A137" s="177"/>
      <c r="B137" s="998"/>
      <c r="C137" s="1098"/>
      <c r="D137" s="990" t="s">
        <v>588</v>
      </c>
      <c r="E137" s="990" t="s">
        <v>956</v>
      </c>
      <c r="F137" s="988" t="s">
        <v>754</v>
      </c>
      <c r="G137" s="986">
        <f t="shared" si="28"/>
        <v>0</v>
      </c>
      <c r="H137" s="975">
        <f>COUNTIF(m2_v1,$C$131)+COUNTIF(m2_v1,$C$132)+COUNTIF(m2_v1,$C$133)</f>
        <v>0</v>
      </c>
      <c r="I137" s="818">
        <f>COUNTIF(m2_v2,$C$131)+COUNTIF(m2_v2,$C$132)+COUNTIF(m2_v2,$C$133)</f>
        <v>0</v>
      </c>
      <c r="J137" s="818">
        <f>COUNTIF(m2_v3,$C$131)+COUNTIF(m2_v3,$C$132)+COUNTIF(m2_v3,$C$133)</f>
        <v>0</v>
      </c>
      <c r="K137" s="818">
        <f>COUNTIF(m2_v4,$C$131)+COUNTIF(m2_v4,$C$132)+COUNTIF(m2_v4,$C$133)</f>
        <v>0</v>
      </c>
      <c r="L137" s="818"/>
      <c r="M137" s="976"/>
      <c r="N137" s="818"/>
      <c r="AB137" s="1087" t="s">
        <v>2149</v>
      </c>
    </row>
    <row r="138" spans="1:28" ht="20.399999999999999" customHeight="1">
      <c r="A138" s="943" t="s">
        <v>2571</v>
      </c>
      <c r="B138" s="1099"/>
      <c r="C138" s="984" t="s">
        <v>2530</v>
      </c>
      <c r="D138" s="946" t="s">
        <v>756</v>
      </c>
      <c r="E138" s="946" t="s">
        <v>757</v>
      </c>
      <c r="F138" s="944" t="s">
        <v>723</v>
      </c>
      <c r="G138" s="947">
        <f t="shared" si="28"/>
        <v>1</v>
      </c>
      <c r="H138" s="967">
        <f>COUNTIF(Area_v1,$C138)</f>
        <v>1</v>
      </c>
      <c r="I138" s="948">
        <f>COUNTIF(Area_v2,$C138)</f>
        <v>0</v>
      </c>
      <c r="J138" s="948">
        <f>COUNTIF(Area_v3,$C138)</f>
        <v>0</v>
      </c>
      <c r="K138" s="948">
        <f>COUNTIF(Area_v4,$C138)</f>
        <v>0</v>
      </c>
      <c r="L138" s="948"/>
      <c r="M138" s="949"/>
      <c r="N138" s="818"/>
      <c r="AB138" s="1059" t="s">
        <v>2150</v>
      </c>
    </row>
    <row r="139" spans="1:28" ht="20.399999999999999" customHeight="1">
      <c r="A139" s="177"/>
      <c r="B139" s="1096"/>
      <c r="C139" s="984" t="s">
        <v>2531</v>
      </c>
      <c r="D139" s="985" t="s">
        <v>758</v>
      </c>
      <c r="E139" s="985" t="s">
        <v>759</v>
      </c>
      <c r="F139" s="950" t="s">
        <v>723</v>
      </c>
      <c r="G139" s="986">
        <f t="shared" si="28"/>
        <v>2</v>
      </c>
      <c r="H139" s="975">
        <f>COUNTIF(Area_v1,$C139)</f>
        <v>0</v>
      </c>
      <c r="I139" s="818">
        <f>COUNTIF(Area_v2,$C139)</f>
        <v>0</v>
      </c>
      <c r="J139" s="818">
        <f>COUNTIF(Area_v3,$C139)</f>
        <v>1</v>
      </c>
      <c r="K139" s="818">
        <f>COUNTIF(Area_v4,$C139)</f>
        <v>1</v>
      </c>
      <c r="L139" s="818"/>
      <c r="M139" s="976"/>
      <c r="N139" s="818"/>
      <c r="AB139" s="1067" t="s">
        <v>2151</v>
      </c>
    </row>
    <row r="140" spans="1:28" ht="20.399999999999999" customHeight="1">
      <c r="A140" s="1051"/>
      <c r="B140" s="1052" t="s">
        <v>906</v>
      </c>
      <c r="C140" s="1100" t="s">
        <v>2558</v>
      </c>
      <c r="D140" s="1092" t="s">
        <v>760</v>
      </c>
      <c r="E140" s="1092" t="s">
        <v>761</v>
      </c>
      <c r="F140" s="1060"/>
      <c r="G140" s="1093">
        <f t="shared" si="28"/>
        <v>0</v>
      </c>
      <c r="H140" s="1101"/>
      <c r="I140" s="1074"/>
      <c r="J140" s="1074"/>
      <c r="K140" s="1074"/>
      <c r="L140" s="1074"/>
      <c r="M140" s="1075"/>
      <c r="N140" s="818"/>
      <c r="AB140" s="1067" t="s">
        <v>2152</v>
      </c>
    </row>
    <row r="141" spans="1:28" ht="20.399999999999999" customHeight="1">
      <c r="A141" s="1102"/>
      <c r="B141" s="1063"/>
      <c r="C141" s="1061" t="s">
        <v>2558</v>
      </c>
      <c r="D141" s="1062" t="s">
        <v>762</v>
      </c>
      <c r="E141" s="1062" t="s">
        <v>763</v>
      </c>
      <c r="F141" s="1063" t="s">
        <v>723</v>
      </c>
      <c r="G141" s="1064">
        <f t="shared" si="28"/>
        <v>5</v>
      </c>
      <c r="H141" s="1103">
        <f>COUNTIF(Area_v1,"*P50*")+COUNTIF(Area_v1,"*P90*")</f>
        <v>2</v>
      </c>
      <c r="I141" s="1065">
        <f>COUNTIF(Area_v2,"*P50*")+COUNTIF(Area_v2,"*P90*")</f>
        <v>3</v>
      </c>
      <c r="J141" s="1065">
        <f>COUNTIF(Area_v3,"*P50*")+COUNTIF(Area_v3,"*P90*")</f>
        <v>0</v>
      </c>
      <c r="K141" s="1065">
        <f>COUNTIF(Area_v4,"*P50*")+COUNTIF(Area_v4,"*P90*")</f>
        <v>0</v>
      </c>
      <c r="L141" s="1065"/>
      <c r="M141" s="1066"/>
      <c r="N141" s="818"/>
      <c r="AB141" s="1076" t="s">
        <v>2153</v>
      </c>
    </row>
    <row r="142" spans="1:28" ht="20.399999999999999" customHeight="1">
      <c r="A142" s="943" t="s">
        <v>898</v>
      </c>
      <c r="B142" s="1247"/>
      <c r="C142" s="945"/>
      <c r="D142" s="946" t="s">
        <v>589</v>
      </c>
      <c r="E142" s="946" t="s">
        <v>764</v>
      </c>
      <c r="F142" s="944" t="s">
        <v>723</v>
      </c>
      <c r="G142" s="1104">
        <f t="shared" si="28"/>
        <v>44.787500000000001</v>
      </c>
      <c r="H142" s="1105">
        <f>+SUM(cantones_v1)/1000</f>
        <v>21.184000000000001</v>
      </c>
      <c r="I142" s="1105">
        <f>+SUM(cantones_v2)/1000</f>
        <v>21.1965</v>
      </c>
      <c r="J142" s="1105">
        <f>+SUM(cantones_v3)/1000</f>
        <v>1.2010000000000001</v>
      </c>
      <c r="K142" s="1105">
        <f>+SUM(cantones_v4)/1000</f>
        <v>1.206</v>
      </c>
      <c r="L142" s="1105"/>
      <c r="M142" s="1106"/>
      <c r="N142" s="1107"/>
      <c r="AB142" s="1043" t="s">
        <v>2154</v>
      </c>
    </row>
    <row r="143" spans="1:28" ht="20.399999999999999" customHeight="1">
      <c r="A143" s="177"/>
      <c r="B143" s="1423" t="s">
        <v>918</v>
      </c>
      <c r="C143" s="999"/>
      <c r="D143" s="985" t="s">
        <v>590</v>
      </c>
      <c r="E143" s="985" t="s">
        <v>104</v>
      </c>
      <c r="F143" s="950" t="s">
        <v>765</v>
      </c>
      <c r="G143" s="986">
        <f t="shared" si="28"/>
        <v>4711</v>
      </c>
      <c r="H143" s="818">
        <f t="shared" ref="H143:K143" si="34">+ROUND(140*H142,0)-H144</f>
        <v>2226</v>
      </c>
      <c r="I143" s="818">
        <f t="shared" si="34"/>
        <v>2226</v>
      </c>
      <c r="J143" s="818">
        <f t="shared" si="34"/>
        <v>130</v>
      </c>
      <c r="K143" s="818">
        <f t="shared" si="34"/>
        <v>129</v>
      </c>
      <c r="L143" s="818"/>
      <c r="M143" s="976"/>
      <c r="N143" s="818"/>
      <c r="AB143" s="1079" t="s">
        <v>2155</v>
      </c>
    </row>
    <row r="144" spans="1:28" ht="20.399999999999999" customHeight="1">
      <c r="A144" s="177"/>
      <c r="B144" s="1424"/>
      <c r="C144" s="984"/>
      <c r="D144" s="985" t="s">
        <v>591</v>
      </c>
      <c r="E144" s="985" t="s">
        <v>105</v>
      </c>
      <c r="F144" s="950" t="s">
        <v>765</v>
      </c>
      <c r="G144" s="986">
        <f t="shared" si="28"/>
        <v>1560</v>
      </c>
      <c r="H144" s="818">
        <f t="shared" ref="H144:K144" si="35">2*H145</f>
        <v>740</v>
      </c>
      <c r="I144" s="818">
        <f t="shared" si="35"/>
        <v>742</v>
      </c>
      <c r="J144" s="818">
        <f t="shared" si="35"/>
        <v>38</v>
      </c>
      <c r="K144" s="818">
        <f t="shared" si="35"/>
        <v>40</v>
      </c>
      <c r="L144" s="818"/>
      <c r="M144" s="976"/>
      <c r="N144" s="818"/>
      <c r="AB144" s="1079" t="s">
        <v>2156</v>
      </c>
    </row>
    <row r="145" spans="1:28" ht="20.399999999999999" customHeight="1">
      <c r="A145" s="177"/>
      <c r="B145" s="1425"/>
      <c r="C145" s="994"/>
      <c r="D145" s="995" t="s">
        <v>592</v>
      </c>
      <c r="E145" s="995" t="s">
        <v>767</v>
      </c>
      <c r="F145" s="993" t="s">
        <v>766</v>
      </c>
      <c r="G145" s="996">
        <f t="shared" si="28"/>
        <v>780</v>
      </c>
      <c r="H145" s="958">
        <f>+H125+H126+H128+H129+H131+H132</f>
        <v>370</v>
      </c>
      <c r="I145" s="958">
        <f t="shared" ref="I145:K145" si="36">+I125+I126+I128+I129+I131+I132</f>
        <v>371</v>
      </c>
      <c r="J145" s="958">
        <f t="shared" si="36"/>
        <v>19</v>
      </c>
      <c r="K145" s="958">
        <f t="shared" si="36"/>
        <v>20</v>
      </c>
      <c r="L145" s="958"/>
      <c r="M145" s="959"/>
      <c r="N145" s="818"/>
      <c r="AB145" s="1079" t="s">
        <v>2157</v>
      </c>
    </row>
    <row r="146" spans="1:28" ht="20.399999999999999" customHeight="1">
      <c r="A146" s="177"/>
      <c r="B146" s="998"/>
      <c r="C146" s="999" t="s">
        <v>958</v>
      </c>
      <c r="D146" s="946" t="s">
        <v>593</v>
      </c>
      <c r="E146" s="946" t="s">
        <v>159</v>
      </c>
      <c r="F146" s="944" t="s">
        <v>768</v>
      </c>
      <c r="G146" s="947">
        <f t="shared" si="28"/>
        <v>0</v>
      </c>
      <c r="H146" s="948">
        <f>COUNTIF(Area_v1,$C146)</f>
        <v>0</v>
      </c>
      <c r="I146" s="948">
        <f t="shared" ref="I146:I151" si="37">COUNTIF(Area_v2,$C146)</f>
        <v>0</v>
      </c>
      <c r="J146" s="948">
        <f t="shared" ref="J146:J155" si="38">COUNTIF(Area_v3,$C146)</f>
        <v>0</v>
      </c>
      <c r="K146" s="948">
        <f t="shared" ref="K146:K155" si="39">COUNTIF(Area_v4,$C146)</f>
        <v>0</v>
      </c>
      <c r="L146" s="948"/>
      <c r="M146" s="949"/>
      <c r="N146" s="818"/>
      <c r="AB146" s="1079" t="s">
        <v>2158</v>
      </c>
    </row>
    <row r="147" spans="1:28" ht="20.399999999999999" customHeight="1">
      <c r="A147" s="177"/>
      <c r="B147" s="950"/>
      <c r="C147" s="984" t="s">
        <v>959</v>
      </c>
      <c r="D147" s="985" t="s">
        <v>594</v>
      </c>
      <c r="E147" s="985" t="s">
        <v>595</v>
      </c>
      <c r="F147" s="950" t="s">
        <v>769</v>
      </c>
      <c r="G147" s="986">
        <f t="shared" si="28"/>
        <v>0</v>
      </c>
      <c r="H147" s="818">
        <f t="shared" ref="H147:H151" si="40">COUNTIF(Area_v1,$C147)</f>
        <v>0</v>
      </c>
      <c r="I147" s="818">
        <f t="shared" si="37"/>
        <v>0</v>
      </c>
      <c r="J147" s="818">
        <f t="shared" si="38"/>
        <v>0</v>
      </c>
      <c r="K147" s="818">
        <f t="shared" si="39"/>
        <v>0</v>
      </c>
      <c r="L147" s="818"/>
      <c r="M147" s="976"/>
      <c r="N147" s="818"/>
      <c r="AB147" s="1079" t="s">
        <v>2159</v>
      </c>
    </row>
    <row r="148" spans="1:28" ht="20.399999999999999" customHeight="1">
      <c r="A148" s="177"/>
      <c r="B148" s="950"/>
      <c r="C148" s="984" t="s">
        <v>996</v>
      </c>
      <c r="D148" s="995" t="s">
        <v>596</v>
      </c>
      <c r="E148" s="995" t="s">
        <v>106</v>
      </c>
      <c r="F148" s="993" t="s">
        <v>770</v>
      </c>
      <c r="G148" s="996">
        <f t="shared" si="28"/>
        <v>2</v>
      </c>
      <c r="H148" s="958">
        <f t="shared" si="40"/>
        <v>1</v>
      </c>
      <c r="I148" s="958">
        <f t="shared" si="37"/>
        <v>1</v>
      </c>
      <c r="J148" s="958">
        <f>COUNTIF(Area_v3,$C148)</f>
        <v>0</v>
      </c>
      <c r="K148" s="958">
        <f t="shared" si="39"/>
        <v>0</v>
      </c>
      <c r="L148" s="958"/>
      <c r="M148" s="959"/>
      <c r="N148" s="818"/>
      <c r="AB148" s="1079" t="s">
        <v>1034</v>
      </c>
    </row>
    <row r="149" spans="1:28" ht="20.399999999999999" customHeight="1">
      <c r="A149" s="177"/>
      <c r="B149" s="950"/>
      <c r="C149" s="984" t="s">
        <v>960</v>
      </c>
      <c r="D149" s="1000" t="s">
        <v>597</v>
      </c>
      <c r="E149" s="1000" t="s">
        <v>108</v>
      </c>
      <c r="F149" s="998" t="s">
        <v>771</v>
      </c>
      <c r="G149" s="986">
        <f t="shared" si="28"/>
        <v>70</v>
      </c>
      <c r="H149" s="818">
        <f t="shared" si="40"/>
        <v>35</v>
      </c>
      <c r="I149" s="818">
        <f t="shared" si="37"/>
        <v>35</v>
      </c>
      <c r="J149" s="818">
        <f t="shared" si="38"/>
        <v>0</v>
      </c>
      <c r="K149" s="818">
        <f t="shared" si="39"/>
        <v>0</v>
      </c>
      <c r="L149" s="818"/>
      <c r="M149" s="976"/>
      <c r="N149" s="818"/>
      <c r="AB149" s="1079" t="s">
        <v>2160</v>
      </c>
    </row>
    <row r="150" spans="1:28" ht="20.399999999999999" customHeight="1">
      <c r="A150" s="177"/>
      <c r="B150" s="950"/>
      <c r="C150" s="984" t="s">
        <v>961</v>
      </c>
      <c r="D150" s="985" t="s">
        <v>598</v>
      </c>
      <c r="E150" s="985" t="s">
        <v>109</v>
      </c>
      <c r="F150" s="950" t="s">
        <v>772</v>
      </c>
      <c r="G150" s="986">
        <f t="shared" si="28"/>
        <v>4</v>
      </c>
      <c r="H150" s="818">
        <f t="shared" si="40"/>
        <v>0</v>
      </c>
      <c r="I150" s="818">
        <f t="shared" si="37"/>
        <v>0</v>
      </c>
      <c r="J150" s="818">
        <f t="shared" si="38"/>
        <v>2</v>
      </c>
      <c r="K150" s="818">
        <f t="shared" si="39"/>
        <v>2</v>
      </c>
      <c r="L150" s="818"/>
      <c r="M150" s="976"/>
      <c r="N150" s="818"/>
      <c r="AB150" s="1079" t="s">
        <v>2161</v>
      </c>
    </row>
    <row r="151" spans="1:28" ht="20.399999999999999" customHeight="1">
      <c r="A151" s="177"/>
      <c r="B151" s="950"/>
      <c r="C151" s="984" t="s">
        <v>999</v>
      </c>
      <c r="D151" s="985" t="s">
        <v>599</v>
      </c>
      <c r="E151" s="985" t="s">
        <v>110</v>
      </c>
      <c r="F151" s="950" t="s">
        <v>773</v>
      </c>
      <c r="G151" s="986">
        <f t="shared" si="28"/>
        <v>46</v>
      </c>
      <c r="H151" s="818">
        <f t="shared" si="40"/>
        <v>22</v>
      </c>
      <c r="I151" s="818">
        <f t="shared" si="37"/>
        <v>22</v>
      </c>
      <c r="J151" s="818">
        <f t="shared" si="38"/>
        <v>1</v>
      </c>
      <c r="K151" s="818">
        <f t="shared" si="39"/>
        <v>1</v>
      </c>
      <c r="L151" s="818"/>
      <c r="M151" s="976"/>
      <c r="N151" s="818"/>
      <c r="AB151" s="1079" t="s">
        <v>2162</v>
      </c>
    </row>
    <row r="152" spans="1:28" ht="20.399999999999999" customHeight="1">
      <c r="A152" s="177"/>
      <c r="B152" s="950"/>
      <c r="C152" s="984" t="s">
        <v>3001</v>
      </c>
      <c r="D152" s="985" t="s">
        <v>600</v>
      </c>
      <c r="E152" s="985" t="s">
        <v>2826</v>
      </c>
      <c r="F152" s="950" t="s">
        <v>723</v>
      </c>
      <c r="G152" s="986">
        <f t="shared" si="28"/>
        <v>28</v>
      </c>
      <c r="H152" s="818">
        <f>COUNTIF(Area_v1,$C152)</f>
        <v>12</v>
      </c>
      <c r="I152" s="818">
        <f>COUNTIF(Area_v2,$C152)</f>
        <v>12</v>
      </c>
      <c r="J152" s="818">
        <f t="shared" si="38"/>
        <v>2</v>
      </c>
      <c r="K152" s="818">
        <f t="shared" si="39"/>
        <v>2</v>
      </c>
      <c r="L152" s="818"/>
      <c r="M152" s="976"/>
      <c r="N152" s="818"/>
      <c r="AB152" s="1079" t="s">
        <v>2163</v>
      </c>
    </row>
    <row r="153" spans="1:28" ht="20.399999999999999" customHeight="1">
      <c r="A153" s="177"/>
      <c r="B153" s="1274"/>
      <c r="C153" s="984" t="s">
        <v>2827</v>
      </c>
      <c r="D153" s="985" t="s">
        <v>601</v>
      </c>
      <c r="E153" s="985" t="s">
        <v>602</v>
      </c>
      <c r="F153" s="950" t="s">
        <v>774</v>
      </c>
      <c r="G153" s="986">
        <f t="shared" ref="G153:G167" si="41">SUM(H153:M153)</f>
        <v>16</v>
      </c>
      <c r="H153" s="975">
        <f>COUNTIF(Area_v1,$C153)</f>
        <v>7</v>
      </c>
      <c r="I153" s="818">
        <f>COUNTIF(Area_v2,$C153)</f>
        <v>7</v>
      </c>
      <c r="J153" s="818">
        <f t="shared" si="38"/>
        <v>1</v>
      </c>
      <c r="K153" s="818">
        <f t="shared" si="39"/>
        <v>1</v>
      </c>
      <c r="L153" s="818"/>
      <c r="M153" s="976"/>
      <c r="N153" s="818"/>
      <c r="AB153" s="1079"/>
    </row>
    <row r="154" spans="1:28" ht="20.399999999999999" customHeight="1">
      <c r="A154" s="987"/>
      <c r="B154" s="1275"/>
      <c r="C154" s="984" t="s">
        <v>2828</v>
      </c>
      <c r="D154" s="985" t="s">
        <v>2829</v>
      </c>
      <c r="E154" s="985" t="s">
        <v>2830</v>
      </c>
      <c r="F154" s="950" t="s">
        <v>774</v>
      </c>
      <c r="G154" s="986">
        <f t="shared" si="41"/>
        <v>0</v>
      </c>
      <c r="H154" s="975">
        <f>COUNTIF(Area_v1,$C154)</f>
        <v>0</v>
      </c>
      <c r="I154" s="818">
        <f>COUNTIF(Area_v2,$C154)</f>
        <v>0</v>
      </c>
      <c r="J154" s="818">
        <f t="shared" si="38"/>
        <v>0</v>
      </c>
      <c r="K154" s="818">
        <f t="shared" si="39"/>
        <v>0</v>
      </c>
      <c r="L154" s="818"/>
      <c r="M154" s="976"/>
      <c r="N154" s="818"/>
      <c r="AB154" s="1067" t="s">
        <v>2164</v>
      </c>
    </row>
    <row r="155" spans="1:28" ht="20.399999999999999" customHeight="1">
      <c r="A155" s="992"/>
      <c r="B155" s="993"/>
      <c r="C155" s="994" t="s">
        <v>2831</v>
      </c>
      <c r="D155" s="995" t="s">
        <v>2832</v>
      </c>
      <c r="E155" s="995" t="s">
        <v>2833</v>
      </c>
      <c r="F155" s="993"/>
      <c r="G155" s="996">
        <f t="shared" si="41"/>
        <v>12</v>
      </c>
      <c r="H155" s="957">
        <f>COUNTIF(Area_v1,$C155)</f>
        <v>5</v>
      </c>
      <c r="I155" s="958">
        <f>COUNTIF(Area_v2,$C155)</f>
        <v>5</v>
      </c>
      <c r="J155" s="958">
        <f t="shared" si="38"/>
        <v>1</v>
      </c>
      <c r="K155" s="958">
        <f t="shared" si="39"/>
        <v>1</v>
      </c>
      <c r="L155" s="958"/>
      <c r="M155" s="959"/>
      <c r="N155" s="818"/>
      <c r="AB155" s="1108"/>
    </row>
    <row r="156" spans="1:28" ht="20.399999999999999" customHeight="1">
      <c r="A156" s="1109" t="s">
        <v>976</v>
      </c>
      <c r="B156" s="1052" t="s">
        <v>906</v>
      </c>
      <c r="C156" s="1053"/>
      <c r="D156" s="1054" t="s">
        <v>775</v>
      </c>
      <c r="E156" s="1054" t="s">
        <v>776</v>
      </c>
      <c r="F156" s="1055" t="s">
        <v>723</v>
      </c>
      <c r="G156" s="1056">
        <f t="shared" si="41"/>
        <v>0</v>
      </c>
      <c r="H156" s="1057"/>
      <c r="I156" s="1057"/>
      <c r="J156" s="1057"/>
      <c r="K156" s="1057"/>
      <c r="L156" s="1057"/>
      <c r="M156" s="1058"/>
      <c r="N156" s="818"/>
      <c r="AB156" s="1076"/>
    </row>
    <row r="157" spans="1:28" ht="20.399999999999999" customHeight="1">
      <c r="A157" s="1051"/>
      <c r="B157" s="1060"/>
      <c r="C157" s="1100"/>
      <c r="D157" s="1092" t="s">
        <v>777</v>
      </c>
      <c r="E157" s="1092" t="s">
        <v>778</v>
      </c>
      <c r="F157" s="1060" t="s">
        <v>765</v>
      </c>
      <c r="G157" s="1093">
        <f t="shared" si="41"/>
        <v>0</v>
      </c>
      <c r="H157" s="1074"/>
      <c r="I157" s="1074"/>
      <c r="J157" s="1074"/>
      <c r="K157" s="1074"/>
      <c r="L157" s="1074"/>
      <c r="M157" s="1075"/>
      <c r="N157" s="818"/>
      <c r="AB157" s="1059" t="s">
        <v>2168</v>
      </c>
    </row>
    <row r="158" spans="1:28" ht="20.399999999999999" customHeight="1">
      <c r="A158" s="1051"/>
      <c r="B158" s="1070"/>
      <c r="C158" s="1091"/>
      <c r="D158" s="1092" t="s">
        <v>779</v>
      </c>
      <c r="E158" s="1092" t="s">
        <v>780</v>
      </c>
      <c r="F158" s="1060" t="s">
        <v>727</v>
      </c>
      <c r="G158" s="1093">
        <f t="shared" si="41"/>
        <v>0</v>
      </c>
      <c r="H158" s="1074"/>
      <c r="I158" s="1074"/>
      <c r="J158" s="1074"/>
      <c r="K158" s="1074"/>
      <c r="L158" s="1074"/>
      <c r="M158" s="1075"/>
      <c r="N158" s="818"/>
      <c r="AB158" s="1067" t="s">
        <v>2167</v>
      </c>
    </row>
    <row r="159" spans="1:28" ht="20.399999999999999" customHeight="1">
      <c r="A159" s="1051"/>
      <c r="B159" s="1070"/>
      <c r="C159" s="1091"/>
      <c r="D159" s="1092" t="s">
        <v>781</v>
      </c>
      <c r="E159" s="1092" t="s">
        <v>782</v>
      </c>
      <c r="F159" s="1060" t="s">
        <v>727</v>
      </c>
      <c r="G159" s="1093">
        <f t="shared" si="41"/>
        <v>0</v>
      </c>
      <c r="H159" s="1074"/>
      <c r="I159" s="1074"/>
      <c r="J159" s="1074"/>
      <c r="K159" s="1074"/>
      <c r="L159" s="1074"/>
      <c r="M159" s="1075"/>
      <c r="N159" s="818"/>
      <c r="AB159" s="1067" t="s">
        <v>2166</v>
      </c>
    </row>
    <row r="160" spans="1:28" ht="20.399999999999999" customHeight="1">
      <c r="A160" s="1102"/>
      <c r="B160" s="1063"/>
      <c r="C160" s="1061"/>
      <c r="D160" s="1062" t="s">
        <v>783</v>
      </c>
      <c r="E160" s="1062" t="s">
        <v>784</v>
      </c>
      <c r="F160" s="1063" t="s">
        <v>727</v>
      </c>
      <c r="G160" s="1064">
        <f t="shared" si="41"/>
        <v>0</v>
      </c>
      <c r="H160" s="1065"/>
      <c r="I160" s="1065"/>
      <c r="J160" s="1065"/>
      <c r="K160" s="1065"/>
      <c r="L160" s="1065"/>
      <c r="M160" s="1066"/>
      <c r="N160" s="818"/>
      <c r="AB160" s="1067" t="s">
        <v>2165</v>
      </c>
    </row>
    <row r="161" spans="1:28" ht="20.399999999999999" customHeight="1">
      <c r="A161" s="1110" t="s">
        <v>899</v>
      </c>
      <c r="B161" s="988"/>
      <c r="C161" s="989"/>
      <c r="D161" s="1111" t="s">
        <v>603</v>
      </c>
      <c r="E161" s="1111" t="s">
        <v>604</v>
      </c>
      <c r="F161" s="1112" t="s">
        <v>723</v>
      </c>
      <c r="G161" s="947">
        <f t="shared" si="41"/>
        <v>49.8</v>
      </c>
      <c r="H161" s="948">
        <f>+'HR Track 1'!BL8</f>
        <v>23.9</v>
      </c>
      <c r="I161" s="948">
        <f>+'HR Track 2'!BL8</f>
        <v>23.9</v>
      </c>
      <c r="J161" s="948">
        <f>+'HR Track 3'!BL8</f>
        <v>1</v>
      </c>
      <c r="K161" s="948">
        <f>+'HR Track 4'!BL8</f>
        <v>1</v>
      </c>
      <c r="L161" s="948"/>
      <c r="M161" s="948"/>
      <c r="N161" s="818"/>
      <c r="AB161" s="1076" t="s">
        <v>2169</v>
      </c>
    </row>
    <row r="162" spans="1:28" ht="20.399999999999999" customHeight="1">
      <c r="A162" s="1109"/>
      <c r="B162" s="1052" t="s">
        <v>906</v>
      </c>
      <c r="C162" s="1053"/>
      <c r="D162" s="1054" t="s">
        <v>605</v>
      </c>
      <c r="E162" s="1054" t="s">
        <v>785</v>
      </c>
      <c r="F162" s="1055" t="s">
        <v>723</v>
      </c>
      <c r="G162" s="1056">
        <f t="shared" si="41"/>
        <v>0</v>
      </c>
      <c r="H162" s="1057"/>
      <c r="I162" s="1057"/>
      <c r="J162" s="1057"/>
      <c r="K162" s="1057"/>
      <c r="L162" s="1057"/>
      <c r="M162" s="1058"/>
      <c r="N162" s="818"/>
      <c r="AB162" s="1113" t="s">
        <v>2170</v>
      </c>
    </row>
    <row r="163" spans="1:28" ht="20.399999999999999" customHeight="1">
      <c r="A163" s="1051" t="s">
        <v>967</v>
      </c>
      <c r="B163" s="1060"/>
      <c r="C163" s="1100"/>
      <c r="D163" s="1092" t="s">
        <v>786</v>
      </c>
      <c r="E163" s="1092" t="s">
        <v>787</v>
      </c>
      <c r="F163" s="1060" t="s">
        <v>723</v>
      </c>
      <c r="G163" s="1093">
        <f t="shared" si="41"/>
        <v>0</v>
      </c>
      <c r="H163" s="1074"/>
      <c r="I163" s="1074"/>
      <c r="J163" s="1074"/>
      <c r="K163" s="1074"/>
      <c r="L163" s="1074"/>
      <c r="M163" s="1075"/>
      <c r="N163" s="818"/>
      <c r="AB163" s="1059" t="s">
        <v>2171</v>
      </c>
    </row>
    <row r="164" spans="1:28" ht="34.950000000000003" customHeight="1">
      <c r="A164" s="1102"/>
      <c r="B164" s="1114"/>
      <c r="C164" s="1115"/>
      <c r="D164" s="1062" t="s">
        <v>788</v>
      </c>
      <c r="E164" s="1062" t="s">
        <v>789</v>
      </c>
      <c r="F164" s="1063" t="s">
        <v>723</v>
      </c>
      <c r="G164" s="1064">
        <f t="shared" si="41"/>
        <v>0</v>
      </c>
      <c r="H164" s="1065"/>
      <c r="I164" s="1065"/>
      <c r="J164" s="1065"/>
      <c r="K164" s="1065"/>
      <c r="L164" s="1065"/>
      <c r="M164" s="1066"/>
      <c r="N164" s="818"/>
      <c r="AB164" s="1067" t="s">
        <v>2443</v>
      </c>
    </row>
    <row r="165" spans="1:28" ht="20.399999999999999" customHeight="1">
      <c r="A165" s="1116" t="s">
        <v>2570</v>
      </c>
      <c r="B165" s="944"/>
      <c r="C165" s="945"/>
      <c r="D165" s="1000" t="s">
        <v>606</v>
      </c>
      <c r="E165" s="1000" t="s">
        <v>607</v>
      </c>
      <c r="F165" s="998" t="s">
        <v>790</v>
      </c>
      <c r="G165" s="986">
        <f t="shared" si="41"/>
        <v>0</v>
      </c>
      <c r="H165" s="975"/>
      <c r="J165" s="818"/>
      <c r="L165" s="818"/>
      <c r="M165" s="976"/>
      <c r="N165" s="818"/>
      <c r="AB165" s="1076" t="s">
        <v>2172</v>
      </c>
    </row>
    <row r="166" spans="1:28" ht="20.399999999999999" customHeight="1">
      <c r="A166" s="1118" t="s">
        <v>904</v>
      </c>
      <c r="B166" s="950"/>
      <c r="C166" s="984"/>
      <c r="D166" s="985" t="s">
        <v>608</v>
      </c>
      <c r="E166" s="985" t="s">
        <v>103</v>
      </c>
      <c r="F166" s="950" t="s">
        <v>791</v>
      </c>
      <c r="G166" s="986">
        <f t="shared" si="41"/>
        <v>0</v>
      </c>
      <c r="H166" s="975"/>
      <c r="J166" s="818"/>
      <c r="L166" s="818"/>
      <c r="M166" s="976"/>
      <c r="N166" s="818"/>
      <c r="AB166" s="1117" t="s">
        <v>2176</v>
      </c>
    </row>
    <row r="167" spans="1:28" ht="20.399999999999999" customHeight="1">
      <c r="A167" s="177"/>
      <c r="B167" s="950"/>
      <c r="C167" s="984"/>
      <c r="D167" s="985" t="s">
        <v>609</v>
      </c>
      <c r="E167" s="985" t="s">
        <v>792</v>
      </c>
      <c r="F167" s="950" t="s">
        <v>790</v>
      </c>
      <c r="G167" s="986">
        <f t="shared" si="41"/>
        <v>0</v>
      </c>
      <c r="H167" s="975"/>
      <c r="J167" s="818"/>
      <c r="L167" s="818"/>
      <c r="M167" s="976"/>
      <c r="N167" s="818"/>
      <c r="AB167" s="1119" t="s">
        <v>2175</v>
      </c>
    </row>
    <row r="168" spans="1:28" ht="20.399999999999999" customHeight="1">
      <c r="A168" s="177"/>
      <c r="B168" s="950"/>
      <c r="C168" s="984"/>
      <c r="D168" s="985" t="s">
        <v>1095</v>
      </c>
      <c r="E168" s="985" t="s">
        <v>1096</v>
      </c>
      <c r="F168" s="950" t="s">
        <v>790</v>
      </c>
      <c r="G168" s="986"/>
      <c r="H168" s="975"/>
      <c r="J168" s="818"/>
      <c r="L168" s="818"/>
      <c r="M168" s="976"/>
      <c r="N168" s="818"/>
      <c r="AB168" s="1119" t="s">
        <v>2173</v>
      </c>
    </row>
    <row r="169" spans="1:28" ht="20.399999999999999" customHeight="1">
      <c r="A169" s="177"/>
      <c r="B169" s="950"/>
      <c r="C169" s="984"/>
      <c r="D169" s="985" t="s">
        <v>610</v>
      </c>
      <c r="E169" s="985" t="s">
        <v>793</v>
      </c>
      <c r="F169" s="950" t="s">
        <v>723</v>
      </c>
      <c r="G169" s="986">
        <f t="shared" ref="G169:G212" si="42">SUM(H169:M169)</f>
        <v>0</v>
      </c>
      <c r="H169" s="975"/>
      <c r="J169" s="818"/>
      <c r="L169" s="818"/>
      <c r="M169" s="976"/>
      <c r="N169" s="818"/>
      <c r="AB169" s="1119" t="s">
        <v>2174</v>
      </c>
    </row>
    <row r="170" spans="1:28" ht="20.399999999999999" customHeight="1">
      <c r="A170" s="177"/>
      <c r="B170" s="950"/>
      <c r="C170" s="984"/>
      <c r="D170" s="985" t="s">
        <v>611</v>
      </c>
      <c r="E170" s="985" t="s">
        <v>795</v>
      </c>
      <c r="F170" s="950" t="s">
        <v>794</v>
      </c>
      <c r="G170" s="986">
        <f t="shared" si="42"/>
        <v>0</v>
      </c>
      <c r="H170" s="975"/>
      <c r="J170" s="818"/>
      <c r="L170" s="818"/>
      <c r="M170" s="976"/>
      <c r="N170" s="818"/>
      <c r="AB170" s="1119" t="s">
        <v>2177</v>
      </c>
    </row>
    <row r="171" spans="1:28" ht="20.399999999999999" customHeight="1">
      <c r="A171" s="177"/>
      <c r="B171" s="950"/>
      <c r="C171" s="984"/>
      <c r="D171" s="985" t="s">
        <v>612</v>
      </c>
      <c r="E171" s="985" t="s">
        <v>796</v>
      </c>
      <c r="F171" s="950" t="s">
        <v>794</v>
      </c>
      <c r="G171" s="986">
        <f t="shared" si="42"/>
        <v>0</v>
      </c>
      <c r="H171" s="975"/>
      <c r="J171" s="818"/>
      <c r="L171" s="818"/>
      <c r="M171" s="976"/>
      <c r="N171" s="818"/>
      <c r="AB171" s="1119" t="s">
        <v>2192</v>
      </c>
    </row>
    <row r="172" spans="1:28" ht="20.399999999999999" customHeight="1">
      <c r="A172" s="177"/>
      <c r="B172" s="950"/>
      <c r="C172" s="984"/>
      <c r="D172" s="985" t="s">
        <v>613</v>
      </c>
      <c r="E172" s="985" t="s">
        <v>614</v>
      </c>
      <c r="F172" s="950" t="s">
        <v>797</v>
      </c>
      <c r="G172" s="986">
        <f t="shared" si="42"/>
        <v>0</v>
      </c>
      <c r="H172" s="975"/>
      <c r="J172" s="818"/>
      <c r="L172" s="818"/>
      <c r="M172" s="976"/>
      <c r="N172" s="818"/>
      <c r="AB172" s="1119" t="s">
        <v>2193</v>
      </c>
    </row>
    <row r="173" spans="1:28" ht="20.399999999999999" customHeight="1">
      <c r="A173" s="177"/>
      <c r="B173" s="950"/>
      <c r="C173" s="984"/>
      <c r="D173" s="985" t="s">
        <v>615</v>
      </c>
      <c r="E173" s="985" t="s">
        <v>616</v>
      </c>
      <c r="F173" s="950" t="s">
        <v>797</v>
      </c>
      <c r="G173" s="986">
        <f t="shared" si="42"/>
        <v>0</v>
      </c>
      <c r="H173" s="975"/>
      <c r="J173" s="818"/>
      <c r="L173" s="818"/>
      <c r="M173" s="976"/>
      <c r="N173" s="818"/>
      <c r="AB173" s="1119" t="s">
        <v>2179</v>
      </c>
    </row>
    <row r="174" spans="1:28" ht="20.399999999999999" customHeight="1">
      <c r="A174" s="177"/>
      <c r="B174" s="950"/>
      <c r="C174" s="984"/>
      <c r="D174" s="985" t="s">
        <v>617</v>
      </c>
      <c r="E174" s="985" t="s">
        <v>618</v>
      </c>
      <c r="F174" s="950" t="s">
        <v>798</v>
      </c>
      <c r="G174" s="986">
        <f t="shared" si="42"/>
        <v>0</v>
      </c>
      <c r="H174" s="975"/>
      <c r="J174" s="818"/>
      <c r="L174" s="818"/>
      <c r="M174" s="976"/>
      <c r="N174" s="818"/>
      <c r="AB174" s="1119" t="s">
        <v>2178</v>
      </c>
    </row>
    <row r="175" spans="1:28" ht="20.399999999999999" customHeight="1">
      <c r="A175" s="177"/>
      <c r="B175" s="950"/>
      <c r="C175" s="984"/>
      <c r="D175" s="985" t="s">
        <v>619</v>
      </c>
      <c r="E175" s="985" t="s">
        <v>620</v>
      </c>
      <c r="F175" s="950" t="s">
        <v>798</v>
      </c>
      <c r="G175" s="986">
        <f t="shared" si="42"/>
        <v>0</v>
      </c>
      <c r="H175" s="975"/>
      <c r="J175" s="818"/>
      <c r="L175" s="818"/>
      <c r="M175" s="976"/>
      <c r="N175" s="818"/>
      <c r="AB175" s="1119" t="s">
        <v>2185</v>
      </c>
    </row>
    <row r="176" spans="1:28" ht="20.399999999999999" customHeight="1">
      <c r="A176" s="177"/>
      <c r="B176" s="950"/>
      <c r="C176" s="984"/>
      <c r="D176" s="985" t="s">
        <v>621</v>
      </c>
      <c r="E176" s="985" t="s">
        <v>622</v>
      </c>
      <c r="F176" s="950" t="s">
        <v>723</v>
      </c>
      <c r="G176" s="986">
        <f t="shared" si="42"/>
        <v>0</v>
      </c>
      <c r="H176" s="975"/>
      <c r="J176" s="818"/>
      <c r="L176" s="818"/>
      <c r="M176" s="976"/>
      <c r="N176" s="818"/>
      <c r="AB176" s="1119" t="s">
        <v>2184</v>
      </c>
    </row>
    <row r="177" spans="1:28" ht="20.399999999999999" customHeight="1">
      <c r="A177" s="177"/>
      <c r="B177" s="950"/>
      <c r="C177" s="984"/>
      <c r="D177" s="985" t="s">
        <v>623</v>
      </c>
      <c r="E177" s="985" t="s">
        <v>624</v>
      </c>
      <c r="F177" s="950" t="s">
        <v>723</v>
      </c>
      <c r="G177" s="986">
        <f t="shared" si="42"/>
        <v>0</v>
      </c>
      <c r="H177" s="975"/>
      <c r="J177" s="818"/>
      <c r="L177" s="818"/>
      <c r="M177" s="976"/>
      <c r="N177" s="818"/>
      <c r="AB177" s="1119" t="s">
        <v>2187</v>
      </c>
    </row>
    <row r="178" spans="1:28" ht="20.399999999999999" customHeight="1">
      <c r="A178" s="992"/>
      <c r="B178" s="993"/>
      <c r="C178" s="994"/>
      <c r="D178" s="995" t="s">
        <v>625</v>
      </c>
      <c r="E178" s="995" t="s">
        <v>626</v>
      </c>
      <c r="F178" s="993" t="s">
        <v>799</v>
      </c>
      <c r="G178" s="996">
        <f t="shared" si="42"/>
        <v>0</v>
      </c>
      <c r="H178" s="957"/>
      <c r="I178" s="958"/>
      <c r="J178" s="958"/>
      <c r="K178" s="958"/>
      <c r="L178" s="958"/>
      <c r="M178" s="959"/>
      <c r="N178" s="818"/>
      <c r="AB178" s="1119" t="s">
        <v>2186</v>
      </c>
    </row>
    <row r="179" spans="1:28" ht="20.399999999999999" customHeight="1">
      <c r="A179" s="177"/>
      <c r="B179" s="1094" t="s">
        <v>968</v>
      </c>
      <c r="C179" s="1121"/>
      <c r="D179" s="1111" t="s">
        <v>627</v>
      </c>
      <c r="E179" s="985" t="s">
        <v>800</v>
      </c>
      <c r="F179" s="950" t="s">
        <v>723</v>
      </c>
      <c r="G179" s="986">
        <f t="shared" si="42"/>
        <v>0</v>
      </c>
      <c r="H179" s="818">
        <v>0</v>
      </c>
      <c r="I179" s="818">
        <v>0</v>
      </c>
      <c r="J179" s="818">
        <v>0</v>
      </c>
      <c r="K179" s="818">
        <v>0</v>
      </c>
      <c r="L179" s="818"/>
      <c r="M179" s="949"/>
      <c r="N179" s="818"/>
      <c r="AB179" s="1120" t="s">
        <v>2194</v>
      </c>
    </row>
    <row r="180" spans="1:28" ht="20.399999999999999" customHeight="1">
      <c r="A180" s="1122"/>
      <c r="B180" s="1123"/>
      <c r="C180" s="1124"/>
      <c r="D180" s="1125" t="s">
        <v>628</v>
      </c>
      <c r="E180" s="1126" t="s">
        <v>629</v>
      </c>
      <c r="F180" s="1127" t="s">
        <v>723</v>
      </c>
      <c r="G180" s="1128">
        <f t="shared" si="42"/>
        <v>0</v>
      </c>
      <c r="H180" s="1129"/>
      <c r="I180" s="1129"/>
      <c r="J180" s="1129"/>
      <c r="K180" s="1129"/>
      <c r="L180" s="1129"/>
      <c r="M180" s="1130"/>
      <c r="N180" s="818"/>
      <c r="AB180" s="1079" t="s">
        <v>2188</v>
      </c>
    </row>
    <row r="181" spans="1:28" ht="20.399999999999999" customHeight="1">
      <c r="A181" s="177"/>
      <c r="B181" s="950"/>
      <c r="C181" s="1132" t="s">
        <v>979</v>
      </c>
      <c r="D181" s="1133" t="s">
        <v>630</v>
      </c>
      <c r="E181" s="985" t="s">
        <v>978</v>
      </c>
      <c r="F181" s="950" t="s">
        <v>723</v>
      </c>
      <c r="G181" s="986">
        <f t="shared" si="42"/>
        <v>0</v>
      </c>
      <c r="H181" s="818">
        <f>COUNTIF(Area_v1,$C181)</f>
        <v>0</v>
      </c>
      <c r="I181" s="818">
        <f>COUNTIF(Area_v2,$C181)</f>
        <v>0</v>
      </c>
      <c r="J181" s="818">
        <f>COUNTIF(Area_v3,$C181)</f>
        <v>0</v>
      </c>
      <c r="K181" s="818">
        <f>COUNTIF(Area_v4,$C181)</f>
        <v>0</v>
      </c>
      <c r="L181" s="818"/>
      <c r="M181" s="976"/>
      <c r="N181" s="818"/>
      <c r="AB181" s="1131" t="s">
        <v>2189</v>
      </c>
    </row>
    <row r="182" spans="1:28" ht="20.399999999999999" customHeight="1">
      <c r="A182" s="177"/>
      <c r="B182" s="950"/>
      <c r="C182" s="999" t="s">
        <v>2056</v>
      </c>
      <c r="D182" s="1000" t="s">
        <v>631</v>
      </c>
      <c r="E182" s="985" t="s">
        <v>802</v>
      </c>
      <c r="F182" s="950" t="s">
        <v>801</v>
      </c>
      <c r="G182" s="986">
        <f t="shared" si="42"/>
        <v>86</v>
      </c>
      <c r="H182" s="818">
        <f>COUNTIF(Area_v1,"RW1")+COUNTIF(Area_v1,"RW2")*2</f>
        <v>43</v>
      </c>
      <c r="I182" s="818">
        <f>COUNTIF(Area_v2,"RW1")+COUNTIF(Area_v2,"RW2")*2</f>
        <v>43</v>
      </c>
      <c r="J182" s="818">
        <f>COUNTIF(Area_v3,"RW1")+COUNTIF(Area_v3,"RW2")*2</f>
        <v>0</v>
      </c>
      <c r="K182" s="818">
        <f>COUNTIF(Area_v4,"RW1")+COUNTIF(Area_v4,"RW2")*2</f>
        <v>0</v>
      </c>
      <c r="L182" s="818"/>
      <c r="M182" s="976"/>
      <c r="N182" s="818"/>
      <c r="AB182" s="1079" t="s">
        <v>2190</v>
      </c>
    </row>
    <row r="183" spans="1:28" ht="20.399999999999999" customHeight="1">
      <c r="B183" s="1048" t="s">
        <v>2532</v>
      </c>
      <c r="C183" s="984" t="s">
        <v>2050</v>
      </c>
      <c r="D183" s="985" t="s">
        <v>632</v>
      </c>
      <c r="E183" s="985" t="s">
        <v>980</v>
      </c>
      <c r="F183" s="950" t="s">
        <v>803</v>
      </c>
      <c r="G183" s="986">
        <f t="shared" si="42"/>
        <v>0</v>
      </c>
      <c r="H183" s="818">
        <f>COUNTIF(Area_v1,$C183)</f>
        <v>0</v>
      </c>
      <c r="I183" s="818">
        <f>COUNTIF(Area_v2,$C183)</f>
        <v>0</v>
      </c>
      <c r="J183" s="818">
        <f>COUNTIF(Area_v3,$C183)</f>
        <v>0</v>
      </c>
      <c r="K183" s="818">
        <f>COUNTIF(Area_v4,$C183)</f>
        <v>0</v>
      </c>
      <c r="L183" s="818"/>
      <c r="M183" s="976"/>
      <c r="N183" s="818"/>
      <c r="AB183" s="1079" t="s">
        <v>2191</v>
      </c>
    </row>
    <row r="184" spans="1:28" ht="34.950000000000003" customHeight="1">
      <c r="A184" s="177"/>
      <c r="B184" s="950"/>
      <c r="C184" s="984" t="s">
        <v>2528</v>
      </c>
      <c r="D184" s="985" t="s">
        <v>633</v>
      </c>
      <c r="E184" s="985" t="s">
        <v>2527</v>
      </c>
      <c r="F184" s="950" t="s">
        <v>801</v>
      </c>
      <c r="G184" s="986">
        <f t="shared" si="42"/>
        <v>258</v>
      </c>
      <c r="H184" s="818">
        <f>COUNTIF(Area_v1,"RW1T-S")+COUNTIF(Area_v1,"RW2T-SC")+COUNTIF(Area_v1,"RW2T-S")*2</f>
        <v>123</v>
      </c>
      <c r="I184" s="818">
        <f>COUNTIF(Area_v2,"RW1T-S")+COUNTIF(Area_v2,"RW2T-SC")+COUNTIF(Area_v2,"RW2T-S")*2</f>
        <v>121</v>
      </c>
      <c r="J184" s="818">
        <f>COUNTIF(Area_v3,"RW1T-S")+COUNTIF(Area_v3,"RW2T-SC")+COUNTIF(Area_v3,"RW2T-S")*2</f>
        <v>7</v>
      </c>
      <c r="K184" s="818">
        <f>COUNTIF(Area_v4,"RW1T-S")+COUNTIF(Area_v4,"RW2T-SC")+COUNTIF(Area_v4,"RW2T-S")*2</f>
        <v>7</v>
      </c>
      <c r="L184" s="818"/>
      <c r="M184" s="818"/>
      <c r="N184" s="818"/>
      <c r="AB184" s="1079" t="s">
        <v>2195</v>
      </c>
    </row>
    <row r="185" spans="1:28" ht="34.950000000000003" customHeight="1">
      <c r="A185" s="177"/>
      <c r="B185" s="950"/>
      <c r="C185" s="984" t="s">
        <v>2576</v>
      </c>
      <c r="D185" s="985" t="s">
        <v>2529</v>
      </c>
      <c r="E185" s="985" t="s">
        <v>2526</v>
      </c>
      <c r="F185" s="950"/>
      <c r="G185" s="986">
        <f t="shared" ref="G185" si="43">SUM(H185:M185)</f>
        <v>664</v>
      </c>
      <c r="H185" s="818">
        <f>COUNTIF(Area_v1,"RW1T-C")+COUNTIF(Area_v1,"RW2T-SC")+COUNTIF(Area_v1,"RW2T-C")*2</f>
        <v>321</v>
      </c>
      <c r="I185" s="818">
        <f>COUNTIF(Area_v2,"RW1T-C")+COUNTIF(Area_v2,"RW2T-SC")+COUNTIF(Area_v2,"RW2T-C")*2</f>
        <v>320</v>
      </c>
      <c r="J185" s="818">
        <f>COUNTIF(Area_v3,"RW1T-C")+COUNTIF(Area_v3,"RW2T-SC")+COUNTIF(Area_v3,"RW2T-C")*2</f>
        <v>11</v>
      </c>
      <c r="K185" s="818">
        <f>COUNTIF(Area_v4,"RW1T-C")+COUNTIF(Area_v4,"RW2T-SC")+COUNTIF(Area_v4,"RW2T-C")*2</f>
        <v>12</v>
      </c>
      <c r="L185" s="818"/>
      <c r="M185" s="818"/>
      <c r="N185" s="818"/>
      <c r="AB185" s="1079" t="s">
        <v>2574</v>
      </c>
    </row>
    <row r="186" spans="1:28" ht="34.950000000000003" customHeight="1">
      <c r="A186" s="177"/>
      <c r="B186" s="1048" t="s">
        <v>2533</v>
      </c>
      <c r="C186" s="984" t="s">
        <v>2053</v>
      </c>
      <c r="D186" s="985" t="s">
        <v>634</v>
      </c>
      <c r="E186" s="985" t="s">
        <v>982</v>
      </c>
      <c r="F186" s="950" t="s">
        <v>804</v>
      </c>
      <c r="G186" s="986">
        <f t="shared" si="42"/>
        <v>72</v>
      </c>
      <c r="H186" s="818">
        <f>COUNTIF(Area_v1,$C$186)*2</f>
        <v>34</v>
      </c>
      <c r="I186" s="818">
        <f>COUNTIF(Area_v2,C186)*2</f>
        <v>32</v>
      </c>
      <c r="J186" s="818">
        <f>COUNTIF(Area_v3,$C$186)*2</f>
        <v>2</v>
      </c>
      <c r="K186" s="818">
        <f>COUNTIF(Area_v4,$C$186)*2</f>
        <v>4</v>
      </c>
      <c r="L186" s="818"/>
      <c r="M186" s="818"/>
      <c r="N186" s="818"/>
      <c r="AB186" s="1079" t="s">
        <v>2575</v>
      </c>
    </row>
    <row r="187" spans="1:28" ht="34.950000000000003" customHeight="1">
      <c r="A187" s="1134"/>
      <c r="B187" s="1135"/>
      <c r="C187" s="1136"/>
      <c r="D187" s="1137" t="s">
        <v>805</v>
      </c>
      <c r="E187" s="1137" t="s">
        <v>92</v>
      </c>
      <c r="F187" s="1135" t="s">
        <v>723</v>
      </c>
      <c r="G187" s="1138">
        <f t="shared" si="42"/>
        <v>0</v>
      </c>
      <c r="H187" s="1139"/>
      <c r="I187" s="1139"/>
      <c r="J187" s="1139"/>
      <c r="K187" s="1139"/>
      <c r="L187" s="1139"/>
      <c r="M187" s="1140"/>
      <c r="N187" s="818"/>
      <c r="AB187" s="1079" t="s">
        <v>2196</v>
      </c>
    </row>
    <row r="188" spans="1:28" ht="20.399999999999999" customHeight="1">
      <c r="A188" s="1142" t="s">
        <v>2569</v>
      </c>
      <c r="B188" s="944"/>
      <c r="C188" s="945" t="s">
        <v>977</v>
      </c>
      <c r="D188" s="946" t="s">
        <v>635</v>
      </c>
      <c r="E188" s="946" t="s">
        <v>111</v>
      </c>
      <c r="F188" s="944" t="s">
        <v>806</v>
      </c>
      <c r="G188" s="947">
        <f t="shared" si="42"/>
        <v>88</v>
      </c>
      <c r="H188" s="818">
        <f>COUNTIF(Area_v1,$C188)-H189</f>
        <v>41</v>
      </c>
      <c r="I188" s="818">
        <f>COUNTIF(Area_v2,$C188)-I189</f>
        <v>41</v>
      </c>
      <c r="J188" s="818">
        <f>COUNTIF(Area_v3,$C188)-J189</f>
        <v>3</v>
      </c>
      <c r="K188" s="818">
        <f>COUNTIF(Area_v4,$C188)-K189</f>
        <v>3</v>
      </c>
      <c r="L188" s="818"/>
      <c r="M188" s="976"/>
      <c r="N188" s="818"/>
      <c r="AB188" s="1141" t="s">
        <v>2197</v>
      </c>
    </row>
    <row r="189" spans="1:28" ht="20.399999999999999" customHeight="1">
      <c r="A189" s="174"/>
      <c r="B189" s="1048" t="s">
        <v>981</v>
      </c>
      <c r="C189" s="989" t="s">
        <v>984</v>
      </c>
      <c r="D189" s="990" t="s">
        <v>636</v>
      </c>
      <c r="E189" s="990" t="s">
        <v>122</v>
      </c>
      <c r="F189" s="988" t="s">
        <v>807</v>
      </c>
      <c r="G189" s="986">
        <f t="shared" si="42"/>
        <v>28</v>
      </c>
      <c r="H189" s="818">
        <f>COUNTIF(Area_v1,$C189)*2</f>
        <v>12</v>
      </c>
      <c r="I189" s="818">
        <f>COUNTIF(Area_v2,$C189)*2</f>
        <v>12</v>
      </c>
      <c r="J189" s="818">
        <f>COUNTIF(Area_v3,$C189)*2</f>
        <v>2</v>
      </c>
      <c r="K189" s="818">
        <f>COUNTIF(Area_v4,$C189)*2</f>
        <v>2</v>
      </c>
      <c r="L189" s="818"/>
      <c r="M189" s="976"/>
      <c r="N189" s="818"/>
      <c r="AB189" s="1043" t="s">
        <v>2199</v>
      </c>
    </row>
    <row r="190" spans="1:28" ht="20.399999999999999" customHeight="1">
      <c r="A190" s="1143"/>
      <c r="B190" s="1144" t="s">
        <v>906</v>
      </c>
      <c r="C190" s="1145"/>
      <c r="D190" s="1146" t="s">
        <v>637</v>
      </c>
      <c r="E190" s="1146" t="s">
        <v>638</v>
      </c>
      <c r="F190" s="1144" t="s">
        <v>808</v>
      </c>
      <c r="G190" s="1147">
        <f t="shared" si="42"/>
        <v>0</v>
      </c>
      <c r="H190" s="1148"/>
      <c r="I190" s="1148"/>
      <c r="J190" s="1148"/>
      <c r="K190" s="1148"/>
      <c r="L190" s="1148"/>
      <c r="M190" s="1149"/>
      <c r="N190" s="818"/>
      <c r="AB190" s="1043" t="s">
        <v>2200</v>
      </c>
    </row>
    <row r="191" spans="1:28" ht="20.399999999999999" customHeight="1">
      <c r="A191" s="174"/>
      <c r="B191" s="1094" t="s">
        <v>968</v>
      </c>
      <c r="C191" s="999" t="s">
        <v>983</v>
      </c>
      <c r="D191" s="1000" t="s">
        <v>809</v>
      </c>
      <c r="E191" s="1000" t="s">
        <v>115</v>
      </c>
      <c r="F191" s="998" t="s">
        <v>723</v>
      </c>
      <c r="G191" s="986">
        <f t="shared" si="42"/>
        <v>0</v>
      </c>
      <c r="J191" s="818"/>
      <c r="L191" s="818"/>
      <c r="M191" s="976"/>
      <c r="N191" s="818"/>
      <c r="AB191" s="1150" t="s">
        <v>2198</v>
      </c>
    </row>
    <row r="192" spans="1:28" ht="20.399999999999999" customHeight="1">
      <c r="A192" s="992"/>
      <c r="B192" s="993"/>
      <c r="C192" s="994"/>
      <c r="D192" s="995" t="s">
        <v>811</v>
      </c>
      <c r="E192" s="995" t="s">
        <v>2202</v>
      </c>
      <c r="F192" s="993" t="s">
        <v>810</v>
      </c>
      <c r="G192" s="996">
        <f t="shared" si="42"/>
        <v>0</v>
      </c>
      <c r="H192" s="958"/>
      <c r="I192" s="958"/>
      <c r="J192" s="958"/>
      <c r="K192" s="958"/>
      <c r="L192" s="958"/>
      <c r="M192" s="959"/>
      <c r="N192" s="818"/>
      <c r="AB192" s="1077" t="s">
        <v>2201</v>
      </c>
    </row>
    <row r="193" spans="1:28" ht="20.399999999999999" customHeight="1">
      <c r="A193" s="1151"/>
      <c r="B193" s="1047" t="s">
        <v>981</v>
      </c>
      <c r="C193" s="1095" t="s">
        <v>984</v>
      </c>
      <c r="D193" s="946" t="s">
        <v>639</v>
      </c>
      <c r="E193" s="946" t="s">
        <v>813</v>
      </c>
      <c r="F193" s="944" t="s">
        <v>812</v>
      </c>
      <c r="G193" s="947">
        <f t="shared" si="42"/>
        <v>28</v>
      </c>
      <c r="H193" s="948">
        <f t="shared" ref="H193:K193" si="44">+H189</f>
        <v>12</v>
      </c>
      <c r="I193" s="948">
        <f t="shared" si="44"/>
        <v>12</v>
      </c>
      <c r="J193" s="948">
        <f t="shared" si="44"/>
        <v>2</v>
      </c>
      <c r="K193" s="948">
        <f t="shared" si="44"/>
        <v>2</v>
      </c>
      <c r="L193" s="948"/>
      <c r="M193" s="949"/>
      <c r="N193" s="818"/>
      <c r="AB193" s="1045" t="s">
        <v>2203</v>
      </c>
    </row>
    <row r="194" spans="1:28" ht="20.399999999999999" customHeight="1">
      <c r="A194" s="177"/>
      <c r="B194" s="1048" t="s">
        <v>981</v>
      </c>
      <c r="C194" s="989" t="s">
        <v>984</v>
      </c>
      <c r="D194" s="985" t="s">
        <v>640</v>
      </c>
      <c r="E194" s="985" t="s">
        <v>814</v>
      </c>
      <c r="F194" s="950" t="s">
        <v>812</v>
      </c>
      <c r="G194" s="986">
        <f t="shared" si="42"/>
        <v>28</v>
      </c>
      <c r="H194" s="818">
        <f t="shared" ref="H194:K194" si="45">+H193</f>
        <v>12</v>
      </c>
      <c r="I194" s="818">
        <f t="shared" si="45"/>
        <v>12</v>
      </c>
      <c r="J194" s="818">
        <f t="shared" si="45"/>
        <v>2</v>
      </c>
      <c r="K194" s="818">
        <f t="shared" si="45"/>
        <v>2</v>
      </c>
      <c r="L194" s="818"/>
      <c r="M194" s="976"/>
      <c r="N194" s="818"/>
      <c r="AB194" s="1043" t="s">
        <v>2204</v>
      </c>
    </row>
    <row r="195" spans="1:28" ht="20.399999999999999" customHeight="1">
      <c r="A195" s="1122"/>
      <c r="B195" s="1127"/>
      <c r="C195" s="1152"/>
      <c r="D195" s="1126" t="s">
        <v>641</v>
      </c>
      <c r="E195" s="1126" t="s">
        <v>815</v>
      </c>
      <c r="F195" s="1127" t="s">
        <v>723</v>
      </c>
      <c r="G195" s="1128">
        <f t="shared" si="42"/>
        <v>0</v>
      </c>
      <c r="H195" s="1129"/>
      <c r="I195" s="1129"/>
      <c r="J195" s="1129"/>
      <c r="K195" s="1129"/>
      <c r="L195" s="1129"/>
      <c r="M195" s="1130"/>
      <c r="N195" s="818"/>
      <c r="AB195" s="1079" t="s">
        <v>2205</v>
      </c>
    </row>
    <row r="196" spans="1:28" ht="20.399999999999999" customHeight="1">
      <c r="A196" s="177"/>
      <c r="B196" s="950"/>
      <c r="C196" s="984" t="s">
        <v>985</v>
      </c>
      <c r="D196" s="985" t="s">
        <v>642</v>
      </c>
      <c r="E196" s="985" t="s">
        <v>1147</v>
      </c>
      <c r="F196" s="950" t="s">
        <v>816</v>
      </c>
      <c r="G196" s="986">
        <f>SUM(H196:M196)</f>
        <v>4</v>
      </c>
      <c r="H196" s="818">
        <f>COUNTIF(Area_v1,$C196)</f>
        <v>2</v>
      </c>
      <c r="I196" s="818">
        <f>COUNTIF(Area_v2,$C196)</f>
        <v>0</v>
      </c>
      <c r="J196" s="818">
        <f>COUNTIF(Area_v3,$C196)</f>
        <v>1</v>
      </c>
      <c r="K196" s="818">
        <f>COUNTIF(Area_v4,$C196)</f>
        <v>1</v>
      </c>
      <c r="L196" s="818"/>
      <c r="M196" s="976"/>
      <c r="N196" s="818"/>
      <c r="AB196" s="1131" t="s">
        <v>2206</v>
      </c>
    </row>
    <row r="197" spans="1:28" ht="20.399999999999999" customHeight="1">
      <c r="A197" s="992"/>
      <c r="B197" s="993"/>
      <c r="C197" s="994" t="s">
        <v>986</v>
      </c>
      <c r="D197" s="995" t="s">
        <v>643</v>
      </c>
      <c r="E197" s="995" t="s">
        <v>817</v>
      </c>
      <c r="F197" s="993" t="s">
        <v>723</v>
      </c>
      <c r="G197" s="996">
        <f t="shared" si="42"/>
        <v>0</v>
      </c>
      <c r="H197" s="958">
        <f>COUNTIF(Area_v1,$C197)</f>
        <v>0</v>
      </c>
      <c r="I197" s="958">
        <f>COUNTIF(Area_v2,$C197)</f>
        <v>0</v>
      </c>
      <c r="J197" s="958">
        <f>COUNTIF(Area_v3,$C197)</f>
        <v>0</v>
      </c>
      <c r="K197" s="958">
        <f>COUNTIF(Area_v4,$C197)</f>
        <v>0</v>
      </c>
      <c r="L197" s="958"/>
      <c r="M197" s="959"/>
      <c r="N197" s="818"/>
      <c r="AB197" s="1079" t="s">
        <v>2213</v>
      </c>
    </row>
    <row r="198" spans="1:28" ht="34.950000000000003" customHeight="1">
      <c r="A198" s="1142" t="s">
        <v>987</v>
      </c>
      <c r="B198" s="1309"/>
      <c r="C198" s="933" t="s">
        <v>3087</v>
      </c>
      <c r="D198" s="1000" t="s">
        <v>644</v>
      </c>
      <c r="E198" s="1000" t="s">
        <v>119</v>
      </c>
      <c r="F198" s="998">
        <v>6680</v>
      </c>
      <c r="G198" s="986">
        <f t="shared" si="42"/>
        <v>1</v>
      </c>
      <c r="H198" s="967">
        <f>COUNTIF(Area_S1,"DISC/NZ")+COUNTIF(Area_S1,"DISC/IO")+COUNTIF(Area_S1,"DISC/PP")</f>
        <v>0</v>
      </c>
      <c r="I198" s="948">
        <f>COUNTIF(Area_S2,"DISC/NZ")+COUNTIF(Area_S2,"DISC/IO")+COUNTIF(Area_S2,"DISC/PP")</f>
        <v>1</v>
      </c>
      <c r="J198" s="948">
        <f>COUNTIF(Area_S3,"DISC/NZ")+COUNTIF(Area_S3,"DISC/IO")+COUNTIF(Area_S3,"DISC/PP")</f>
        <v>0</v>
      </c>
      <c r="K198" s="948">
        <f>COUNTIF(Area_S4,"DISC/NZ")+COUNTIF(Area_S4,"DISC/IO")++COUNTIF(Area_S4,"DISC/PP")</f>
        <v>0</v>
      </c>
      <c r="L198" s="948"/>
      <c r="M198" s="949"/>
      <c r="N198" s="818"/>
      <c r="AB198" s="1153" t="s">
        <v>817</v>
      </c>
    </row>
    <row r="199" spans="1:28" ht="34.950000000000003" customHeight="1">
      <c r="A199" s="177"/>
      <c r="B199" s="950" t="s">
        <v>1006</v>
      </c>
      <c r="C199" s="1154" t="s">
        <v>2834</v>
      </c>
      <c r="D199" s="1000" t="s">
        <v>644</v>
      </c>
      <c r="E199" s="1000" t="s">
        <v>119</v>
      </c>
      <c r="F199" s="998">
        <v>6680</v>
      </c>
      <c r="G199" s="986">
        <f t="shared" si="42"/>
        <v>0</v>
      </c>
      <c r="H199" s="975">
        <f>COUNTIF(Area_S1,"FS-1")+COUNTIF(Area_S1,"FS/PP-2")*2+COUNTIF(Area_S1,"FS/PP-3")*2</f>
        <v>0</v>
      </c>
      <c r="I199" s="818">
        <f>COUNTIF(Area_S2,"FS-1")+COUNTIF(Area_S2,"FS/PP-2")*2+COUNTIF(Area_S2,"FS/PP-3")*2</f>
        <v>0</v>
      </c>
      <c r="J199" s="818">
        <f>COUNTIF(Area_S3,"FS-1")+COUNTIF(Area_S3,"FS/PP-2")*2+COUNTIF(Area_S3,"FS/PP-3")*2</f>
        <v>0</v>
      </c>
      <c r="K199" s="818">
        <f>COUNTIF(Area_S4,"FS-1")+COUNTIF(Area_S4,"FS/PP-2")*2+COUNTIF(Area_S4,"FS/PP-3")*2</f>
        <v>0</v>
      </c>
      <c r="L199" s="818"/>
      <c r="M199" s="976"/>
      <c r="N199" s="818"/>
      <c r="AB199" s="1077" t="s">
        <v>2214</v>
      </c>
    </row>
    <row r="200" spans="1:28" ht="34.950000000000003" customHeight="1">
      <c r="A200" s="177"/>
      <c r="B200" s="950"/>
      <c r="C200" s="1155" t="s">
        <v>3101</v>
      </c>
      <c r="D200" s="1000" t="s">
        <v>645</v>
      </c>
      <c r="E200" s="1000" t="s">
        <v>120</v>
      </c>
      <c r="F200" s="950">
        <v>6682</v>
      </c>
      <c r="G200" s="986">
        <f t="shared" si="42"/>
        <v>17</v>
      </c>
      <c r="H200" s="975">
        <f>COUNTIF(Area_S1,"LoadB*")</f>
        <v>7</v>
      </c>
      <c r="I200" s="818">
        <f>COUNTIF(Area_S2,"LoadB*")</f>
        <v>6</v>
      </c>
      <c r="J200" s="818">
        <f>COUNTIF(Area_S3,"LoadB*")</f>
        <v>2</v>
      </c>
      <c r="K200" s="818">
        <f>COUNTIF(Area_S4,"LoadB*")</f>
        <v>2</v>
      </c>
      <c r="L200" s="818"/>
      <c r="M200" s="976"/>
      <c r="N200" s="818"/>
      <c r="AB200" s="1077"/>
    </row>
    <row r="201" spans="1:28" ht="62.25" customHeight="1">
      <c r="A201" s="177"/>
      <c r="B201" s="950" t="s">
        <v>1006</v>
      </c>
      <c r="C201" s="1154" t="s">
        <v>3088</v>
      </c>
      <c r="D201" s="1000" t="s">
        <v>645</v>
      </c>
      <c r="E201" s="1000" t="s">
        <v>120</v>
      </c>
      <c r="F201" s="950">
        <v>6682</v>
      </c>
      <c r="G201" s="986">
        <f t="shared" si="42"/>
        <v>0</v>
      </c>
      <c r="H201" s="975">
        <f>COUNTIF(Area_S1,"LoadB/PP")+COUNTIF(Area_S1,"PP-2")*2+COUNTIF(Area_S1,"PP-4")*5+COUNTIF(Area_S1,"FS/PP-2")+COUNTIF(Area_S1,"FS/PP-3")*3</f>
        <v>0</v>
      </c>
      <c r="I201" s="818">
        <f>COUNTIF(Area_S2,"LoadB/PP")+COUNTIF(Area_S2,"PP-2")*2+COUNTIF(Area_S2,"PP-4")*5+COUNTIF(Area_S2,"FS/PP-2")+COUNTIF(Area_S2,"FS/PP-3")*3</f>
        <v>0</v>
      </c>
      <c r="J201" s="818">
        <f>COUNTIF(Area_S3,"LoadB/PP")+COUNTIF(Area_S3,"PP-2")*2+COUNTIF(Area_S3,"PP-4")*5+COUNTIF(Area_S3,"FS/PP-2")+COUNTIF(Area_S3,"FS/PP-3")*3</f>
        <v>0</v>
      </c>
      <c r="K201" s="818">
        <f>COUNTIF(Area_S4,"LoadB/PP")+COUNTIF(Area_S4,"PP-2")*2+COUNTIF(Area_S4,"PP-4")*5+COUNTIF(Area_S4,"FS/PP-2")+COUNTIF(Area_S4,"FS/PP-3")*3</f>
        <v>0</v>
      </c>
      <c r="L201" s="818"/>
      <c r="M201" s="976"/>
      <c r="N201" s="818"/>
      <c r="AB201" s="1077" t="s">
        <v>2218</v>
      </c>
    </row>
    <row r="202" spans="1:28" ht="57" customHeight="1">
      <c r="A202" s="177"/>
      <c r="B202" s="950"/>
      <c r="C202" s="984" t="s">
        <v>1005</v>
      </c>
      <c r="D202" s="985" t="s">
        <v>646</v>
      </c>
      <c r="E202" s="985" t="s">
        <v>818</v>
      </c>
      <c r="F202" s="950" t="s">
        <v>723</v>
      </c>
      <c r="G202" s="986">
        <f t="shared" si="42"/>
        <v>0</v>
      </c>
      <c r="H202" s="975">
        <f>COUNTIF(Area_S1,$C202)</f>
        <v>0</v>
      </c>
      <c r="I202" s="818">
        <f>COUNTIF(Area_S2,$C202)</f>
        <v>0</v>
      </c>
      <c r="J202" s="818">
        <f>COUNTIF(Area_S3,$C202)</f>
        <v>0</v>
      </c>
      <c r="K202" s="818">
        <f>COUNTIF(Area_S4,$C202)</f>
        <v>0</v>
      </c>
      <c r="L202" s="818"/>
      <c r="M202" s="976"/>
      <c r="N202" s="818"/>
      <c r="AB202" s="1077"/>
    </row>
    <row r="203" spans="1:28" ht="20.399999999999999" customHeight="1">
      <c r="A203" s="987"/>
      <c r="B203" s="988"/>
      <c r="C203" s="989" t="s">
        <v>2539</v>
      </c>
      <c r="D203" s="990" t="s">
        <v>647</v>
      </c>
      <c r="E203" s="990" t="s">
        <v>2552</v>
      </c>
      <c r="F203" s="988">
        <v>6173</v>
      </c>
      <c r="G203" s="986">
        <f t="shared" si="42"/>
        <v>16</v>
      </c>
      <c r="H203" s="975">
        <f>COUNTIF(Area_S1,"ED")+COUNTIF(Area_S1,"ED/T")</f>
        <v>7</v>
      </c>
      <c r="I203" s="818">
        <f>COUNTIF(Area_S2,"ED")+COUNTIF(Area_S2,"ED/T")</f>
        <v>7</v>
      </c>
      <c r="J203" s="818">
        <f>COUNTIF(Area_S3,"ED")+COUNTIF(Area_S3,"ED/T")</f>
        <v>1</v>
      </c>
      <c r="K203" s="818">
        <f>COUNTIF(Area_S4,"ED")+COUNTIF(Area_S4,"ED/T")</f>
        <v>1</v>
      </c>
      <c r="L203" s="818"/>
      <c r="M203" s="976"/>
      <c r="N203" s="818"/>
      <c r="AB203" s="1077" t="s">
        <v>2219</v>
      </c>
    </row>
    <row r="204" spans="1:28" ht="20.399999999999999" customHeight="1">
      <c r="A204" s="1156"/>
      <c r="B204" s="1157"/>
      <c r="C204" s="1155" t="s">
        <v>1004</v>
      </c>
      <c r="D204" s="990" t="s">
        <v>1148</v>
      </c>
      <c r="E204" s="990" t="s">
        <v>3089</v>
      </c>
      <c r="F204" s="1157">
        <v>6172</v>
      </c>
      <c r="G204" s="986">
        <f t="shared" si="42"/>
        <v>0</v>
      </c>
      <c r="H204" s="957">
        <f>COUNTIF(Area_S1,$C204)</f>
        <v>0</v>
      </c>
      <c r="I204" s="958">
        <f>COUNTIF(Area_S2,$C204)</f>
        <v>0</v>
      </c>
      <c r="J204" s="958">
        <f>COUNTIF(Area_S3,$C204)</f>
        <v>0</v>
      </c>
      <c r="K204" s="958">
        <f>COUNTIF(Area_S4,$C204)</f>
        <v>0</v>
      </c>
      <c r="L204" s="958"/>
      <c r="M204" s="959"/>
      <c r="N204" s="818"/>
      <c r="AB204" s="1087" t="s">
        <v>2573</v>
      </c>
    </row>
    <row r="205" spans="1:28" ht="30.6" customHeight="1">
      <c r="A205" s="1159" t="s">
        <v>991</v>
      </c>
      <c r="B205" s="944"/>
      <c r="C205" s="945" t="s">
        <v>3090</v>
      </c>
      <c r="D205" s="946" t="s">
        <v>649</v>
      </c>
      <c r="E205" s="946" t="s">
        <v>3091</v>
      </c>
      <c r="F205" s="944" t="s">
        <v>820</v>
      </c>
      <c r="G205" s="947">
        <f t="shared" si="42"/>
        <v>5</v>
      </c>
      <c r="H205" s="948">
        <f>COUNTIF(Area_S1,"Disc*")+COUNTIF(Area_S1,"LoadB*")-H209-H212-H215</f>
        <v>2</v>
      </c>
      <c r="I205" s="948">
        <f>COUNTIF(Area_S2,"Disc*")+COUNTIF(Area_S2,"LoadB*")-I209-I212-I215</f>
        <v>3</v>
      </c>
      <c r="J205" s="948">
        <f>COUNTIF(Area_S3,"Disc*")+COUNTIF(Area_S3,"LoadB*")-J209-J212-J215</f>
        <v>0</v>
      </c>
      <c r="K205" s="948">
        <f>COUNTIF(Area_S4,"Disc*")+COUNTIF(Area_S4,"LoadB*")-K209-K212-K215</f>
        <v>0</v>
      </c>
      <c r="L205" s="948"/>
      <c r="M205" s="949"/>
      <c r="N205" s="818"/>
      <c r="AB205" s="1158" t="s">
        <v>2215</v>
      </c>
    </row>
    <row r="206" spans="1:28" ht="30.6" customHeight="1">
      <c r="A206" s="177"/>
      <c r="B206" s="998"/>
      <c r="C206" s="984" t="s">
        <v>3092</v>
      </c>
      <c r="D206" s="962" t="s">
        <v>3094</v>
      </c>
      <c r="E206" s="985" t="s">
        <v>3093</v>
      </c>
      <c r="F206" s="998"/>
      <c r="G206" s="986"/>
      <c r="J206" s="818"/>
      <c r="L206" s="818"/>
      <c r="M206" s="976"/>
      <c r="N206" s="818"/>
      <c r="AB206" s="1158"/>
    </row>
    <row r="207" spans="1:28" ht="30.6" customHeight="1">
      <c r="A207" s="177"/>
      <c r="B207" s="998"/>
      <c r="C207" s="984" t="s">
        <v>3049</v>
      </c>
      <c r="D207" s="962" t="s">
        <v>3097</v>
      </c>
      <c r="E207" s="985" t="s">
        <v>3095</v>
      </c>
      <c r="F207" s="998"/>
      <c r="G207" s="986"/>
      <c r="J207" s="818"/>
      <c r="L207" s="818"/>
      <c r="M207" s="976"/>
      <c r="N207" s="818"/>
      <c r="AB207" s="1158"/>
    </row>
    <row r="208" spans="1:28" ht="30.6" customHeight="1">
      <c r="A208" s="177"/>
      <c r="B208" s="998"/>
      <c r="C208" s="984" t="s">
        <v>3096</v>
      </c>
      <c r="D208" s="962" t="s">
        <v>3113</v>
      </c>
      <c r="E208" s="985" t="s">
        <v>3098</v>
      </c>
      <c r="F208" s="998"/>
      <c r="G208" s="986"/>
      <c r="J208" s="818"/>
      <c r="L208" s="818"/>
      <c r="M208" s="976"/>
      <c r="N208" s="818"/>
      <c r="AB208" s="1158"/>
    </row>
    <row r="209" spans="1:28" ht="33" customHeight="1">
      <c r="A209" s="177"/>
      <c r="B209" s="1099"/>
      <c r="C209" s="984"/>
      <c r="D209" s="985" t="s">
        <v>651</v>
      </c>
      <c r="E209" s="985" t="s">
        <v>2541</v>
      </c>
      <c r="F209" s="950" t="s">
        <v>820</v>
      </c>
      <c r="G209" s="986">
        <f t="shared" si="42"/>
        <v>0</v>
      </c>
      <c r="J209" s="818"/>
      <c r="L209" s="818"/>
      <c r="M209" s="976"/>
      <c r="N209" s="818"/>
      <c r="AB209" s="1043" t="s">
        <v>2220</v>
      </c>
    </row>
    <row r="210" spans="1:28" ht="20.399999999999999" customHeight="1">
      <c r="A210" s="177"/>
      <c r="B210" s="950"/>
      <c r="C210" s="984" t="s">
        <v>1009</v>
      </c>
      <c r="D210" s="985" t="s">
        <v>652</v>
      </c>
      <c r="E210" s="985" t="s">
        <v>2835</v>
      </c>
      <c r="F210" s="950">
        <v>6175</v>
      </c>
      <c r="G210" s="986">
        <f t="shared" si="42"/>
        <v>0</v>
      </c>
      <c r="H210" s="818">
        <f>COUNTIF(Area_S1,$C210)</f>
        <v>0</v>
      </c>
      <c r="I210" s="818">
        <f>COUNTIF(Area_S2,$C210)</f>
        <v>0</v>
      </c>
      <c r="J210" s="818">
        <f t="shared" ref="J210:J215" si="46">COUNTIF(Area_S3,$C210)</f>
        <v>0</v>
      </c>
      <c r="K210" s="818">
        <f t="shared" ref="K210:K215" si="47">COUNTIF(Area_S4,$C210)</f>
        <v>0</v>
      </c>
      <c r="L210" s="818"/>
      <c r="M210" s="976"/>
      <c r="N210" s="818"/>
      <c r="AB210" s="1043" t="s">
        <v>2221</v>
      </c>
    </row>
    <row r="211" spans="1:28" ht="34.950000000000003" customHeight="1">
      <c r="A211" s="177"/>
      <c r="B211" s="950"/>
      <c r="C211" s="984" t="s">
        <v>1010</v>
      </c>
      <c r="D211" s="985" t="s">
        <v>653</v>
      </c>
      <c r="E211" s="985" t="s">
        <v>2836</v>
      </c>
      <c r="F211" s="950" t="s">
        <v>723</v>
      </c>
      <c r="G211" s="986">
        <f t="shared" si="42"/>
        <v>0</v>
      </c>
      <c r="H211" s="818">
        <f>COUNTIF(Area_S1,$C211)</f>
        <v>0</v>
      </c>
      <c r="I211" s="818">
        <f>COUNTIF(Area_S2,$C211)</f>
        <v>0</v>
      </c>
      <c r="J211" s="818">
        <f t="shared" si="46"/>
        <v>0</v>
      </c>
      <c r="K211" s="818">
        <f t="shared" si="47"/>
        <v>0</v>
      </c>
      <c r="L211" s="818"/>
      <c r="M211" s="976"/>
      <c r="N211" s="818"/>
      <c r="AB211" s="1079" t="s">
        <v>2224</v>
      </c>
    </row>
    <row r="212" spans="1:28" ht="34.950000000000003" customHeight="1">
      <c r="A212" s="1160"/>
      <c r="B212" s="950"/>
      <c r="C212" s="984" t="s">
        <v>2971</v>
      </c>
      <c r="D212" s="985" t="s">
        <v>654</v>
      </c>
      <c r="E212" s="985" t="s">
        <v>822</v>
      </c>
      <c r="F212" s="950">
        <v>6172</v>
      </c>
      <c r="G212" s="986">
        <f t="shared" si="42"/>
        <v>13</v>
      </c>
      <c r="H212" s="818">
        <f>COUNTIF(Area_S1,"Disc/t")+COUNTIF(Area_S1,"LoadB/t")</f>
        <v>5</v>
      </c>
      <c r="I212" s="818">
        <f>COUNTIF(Area_S2,"Disc/t")+COUNTIF(Area_S2,"LoadB/t")</f>
        <v>4</v>
      </c>
      <c r="J212" s="818">
        <f>COUNTIF(Area_S3,"Disc/t")+COUNTIF(Area_S3,"LoadB/t")</f>
        <v>2</v>
      </c>
      <c r="K212" s="818">
        <f>COUNTIF(Area_S4,"Disc/t")+COUNTIF(Area_S4,"LoadB/t")</f>
        <v>2</v>
      </c>
      <c r="L212" s="818"/>
      <c r="M212" s="818"/>
      <c r="N212" s="818"/>
      <c r="Z212" s="1079"/>
      <c r="AB212" s="1079" t="s">
        <v>2837</v>
      </c>
    </row>
    <row r="213" spans="1:28" ht="20.399999999999999" customHeight="1">
      <c r="A213" s="177"/>
      <c r="B213" s="950"/>
      <c r="C213" s="984" t="s">
        <v>1002</v>
      </c>
      <c r="D213" s="985" t="s">
        <v>823</v>
      </c>
      <c r="E213" s="985" t="s">
        <v>824</v>
      </c>
      <c r="F213" s="950">
        <v>6173</v>
      </c>
      <c r="G213" s="986">
        <f t="shared" ref="G213:G215" si="48">SUM(H213:M213)</f>
        <v>8</v>
      </c>
      <c r="H213" s="818">
        <f>COUNTIF(Area_S1,$C213)</f>
        <v>3</v>
      </c>
      <c r="I213" s="818">
        <f>COUNTIF(Area_S2,$C213)</f>
        <v>3</v>
      </c>
      <c r="J213" s="818">
        <f t="shared" si="46"/>
        <v>1</v>
      </c>
      <c r="K213" s="818">
        <f t="shared" si="47"/>
        <v>1</v>
      </c>
      <c r="L213" s="818"/>
      <c r="M213" s="976"/>
      <c r="N213" s="818"/>
      <c r="AB213" s="1079" t="s">
        <v>2222</v>
      </c>
    </row>
    <row r="214" spans="1:28" ht="20.399999999999999" customHeight="1">
      <c r="A214" s="177"/>
      <c r="B214" s="950"/>
      <c r="C214" s="1248" t="s">
        <v>2466</v>
      </c>
      <c r="D214" s="1249" t="s">
        <v>2937</v>
      </c>
      <c r="E214" s="985" t="s">
        <v>2939</v>
      </c>
      <c r="F214" s="950"/>
      <c r="G214" s="986">
        <f t="shared" si="48"/>
        <v>8</v>
      </c>
      <c r="H214" s="818">
        <f>COUNTIF(Area_S1,$C214)-H215</f>
        <v>4</v>
      </c>
      <c r="I214" s="818">
        <f>COUNTIF(Area_S2,$C214)-I215</f>
        <v>4</v>
      </c>
      <c r="J214" s="818">
        <f>COUNTIF(Area_S3,$C214)</f>
        <v>0</v>
      </c>
      <c r="K214" s="818">
        <f t="shared" si="47"/>
        <v>0</v>
      </c>
      <c r="L214" s="818"/>
      <c r="M214" s="976"/>
      <c r="N214" s="818"/>
      <c r="AB214" s="1079" t="s">
        <v>2223</v>
      </c>
    </row>
    <row r="215" spans="1:28" ht="27" customHeight="1">
      <c r="A215" s="177"/>
      <c r="B215" s="950"/>
      <c r="C215" s="1248" t="s">
        <v>2936</v>
      </c>
      <c r="D215" s="1249" t="s">
        <v>2938</v>
      </c>
      <c r="E215" s="985" t="s">
        <v>2543</v>
      </c>
      <c r="F215" s="950"/>
      <c r="G215" s="1250">
        <f t="shared" si="48"/>
        <v>0</v>
      </c>
      <c r="H215" s="1246"/>
      <c r="I215" s="1246"/>
      <c r="J215" s="1246">
        <f t="shared" si="46"/>
        <v>0</v>
      </c>
      <c r="K215" s="1246">
        <f t="shared" si="47"/>
        <v>0</v>
      </c>
      <c r="L215" s="1246"/>
      <c r="M215" s="1251"/>
      <c r="N215" s="818"/>
      <c r="AB215" s="1079"/>
    </row>
    <row r="216" spans="1:28" ht="34.950000000000003" customHeight="1">
      <c r="A216" s="177"/>
      <c r="B216" s="950"/>
      <c r="C216" s="984"/>
      <c r="D216" s="985" t="s">
        <v>1150</v>
      </c>
      <c r="E216" s="985" t="s">
        <v>1151</v>
      </c>
      <c r="F216" s="950"/>
      <c r="G216" s="986"/>
      <c r="J216" s="818"/>
      <c r="L216" s="818"/>
      <c r="M216" s="976"/>
      <c r="N216" s="818"/>
      <c r="AB216" s="1079" t="s">
        <v>2572</v>
      </c>
    </row>
    <row r="217" spans="1:28" ht="20.399999999999999" customHeight="1">
      <c r="A217" s="177"/>
      <c r="B217" s="950"/>
      <c r="C217" s="984" t="s">
        <v>1003</v>
      </c>
      <c r="D217" s="985" t="s">
        <v>825</v>
      </c>
      <c r="E217" s="985" t="s">
        <v>826</v>
      </c>
      <c r="F217" s="950" t="s">
        <v>821</v>
      </c>
      <c r="G217" s="986">
        <f t="shared" ref="G217:G257" si="49">SUM(H217:M217)</f>
        <v>0</v>
      </c>
      <c r="H217" s="818">
        <f>COUNTIF(Area_S1,C217)</f>
        <v>0</v>
      </c>
      <c r="J217" s="818"/>
      <c r="L217" s="818"/>
      <c r="M217" s="976"/>
      <c r="N217" s="818"/>
      <c r="AB217" s="1079" t="s">
        <v>2225</v>
      </c>
    </row>
    <row r="218" spans="1:28" ht="20.399999999999999" customHeight="1">
      <c r="A218" s="177"/>
      <c r="B218" s="950"/>
      <c r="C218" s="984" t="s">
        <v>1013</v>
      </c>
      <c r="D218" s="985" t="s">
        <v>830</v>
      </c>
      <c r="E218" s="985" t="s">
        <v>831</v>
      </c>
      <c r="F218" s="950" t="s">
        <v>829</v>
      </c>
      <c r="G218" s="986">
        <f t="shared" si="49"/>
        <v>0</v>
      </c>
      <c r="H218" s="818">
        <f>COUNTIF(Area_S1,C218)</f>
        <v>0</v>
      </c>
      <c r="J218" s="818"/>
      <c r="L218" s="818"/>
      <c r="M218" s="976"/>
      <c r="N218" s="818"/>
      <c r="AB218" s="1079" t="s">
        <v>2226</v>
      </c>
    </row>
    <row r="219" spans="1:28" ht="20.399999999999999" customHeight="1">
      <c r="A219" s="177"/>
      <c r="B219" s="950"/>
      <c r="C219" s="1155" t="s">
        <v>1007</v>
      </c>
      <c r="D219" s="985" t="s">
        <v>827</v>
      </c>
      <c r="E219" s="985" t="s">
        <v>828</v>
      </c>
      <c r="F219" s="950">
        <v>6179</v>
      </c>
      <c r="G219" s="986">
        <f t="shared" si="49"/>
        <v>0</v>
      </c>
      <c r="H219" s="818">
        <f>COUNTIF(Area_S1,"PP-2")</f>
        <v>0</v>
      </c>
      <c r="I219" s="818">
        <f>COUNTIF(Area_S2,"PP-2")</f>
        <v>0</v>
      </c>
      <c r="J219" s="818">
        <f>COUNTIF(Area_S3,"PP-2")</f>
        <v>0</v>
      </c>
      <c r="K219" s="818">
        <f>COUNTIF(Area_S4,"PP-2")</f>
        <v>0</v>
      </c>
      <c r="L219" s="818"/>
      <c r="M219" s="976"/>
      <c r="N219" s="818"/>
      <c r="AB219" s="1079" t="s">
        <v>2227</v>
      </c>
    </row>
    <row r="220" spans="1:28" ht="20.399999999999999" customHeight="1">
      <c r="A220" s="992"/>
      <c r="B220" s="993"/>
      <c r="C220" s="994" t="s">
        <v>1012</v>
      </c>
      <c r="D220" s="995" t="s">
        <v>833</v>
      </c>
      <c r="E220" s="995" t="s">
        <v>1011</v>
      </c>
      <c r="F220" s="993" t="s">
        <v>832</v>
      </c>
      <c r="G220" s="996">
        <f t="shared" si="49"/>
        <v>0</v>
      </c>
      <c r="H220" s="818">
        <f>COUNTIF(Area_S1,C220)</f>
        <v>0</v>
      </c>
      <c r="I220" s="958"/>
      <c r="J220" s="958"/>
      <c r="K220" s="958"/>
      <c r="L220" s="958"/>
      <c r="M220" s="959"/>
      <c r="N220" s="818"/>
      <c r="AB220" s="1079" t="s">
        <v>2228</v>
      </c>
    </row>
    <row r="221" spans="1:28" ht="20.399999999999999" customHeight="1">
      <c r="A221" s="1159" t="s">
        <v>992</v>
      </c>
      <c r="B221" s="1161"/>
      <c r="C221" s="1162"/>
      <c r="D221" s="946" t="s">
        <v>834</v>
      </c>
      <c r="E221" s="946" t="s">
        <v>648</v>
      </c>
      <c r="F221" s="944" t="s">
        <v>723</v>
      </c>
      <c r="G221" s="947">
        <f t="shared" si="49"/>
        <v>13</v>
      </c>
      <c r="H221" s="948">
        <f>+H205+H209+H210+H211+H214+H215*2</f>
        <v>6</v>
      </c>
      <c r="I221" s="948">
        <f>+I205+I209+I210+I211+I214+I215*2</f>
        <v>7</v>
      </c>
      <c r="J221" s="948">
        <f t="shared" ref="J221:K221" si="50">+J205+J209+J210+J211+J214+J215*2</f>
        <v>0</v>
      </c>
      <c r="K221" s="948">
        <f t="shared" si="50"/>
        <v>0</v>
      </c>
      <c r="L221" s="948"/>
      <c r="M221" s="949"/>
      <c r="N221" s="818"/>
      <c r="AB221" s="1045" t="s">
        <v>2229</v>
      </c>
    </row>
    <row r="222" spans="1:28" ht="20.399999999999999" customHeight="1">
      <c r="A222" s="1110"/>
      <c r="B222" s="1310"/>
      <c r="C222" s="1311"/>
      <c r="D222" s="962" t="s">
        <v>3099</v>
      </c>
      <c r="E222" s="985" t="s">
        <v>3100</v>
      </c>
      <c r="F222" s="998"/>
      <c r="G222" s="986">
        <f t="shared" si="49"/>
        <v>0</v>
      </c>
      <c r="H222" s="818">
        <f>COUNTIF(Area_S1,"*-pr")</f>
        <v>0</v>
      </c>
      <c r="J222" s="818"/>
      <c r="L222" s="818"/>
      <c r="M222" s="976"/>
      <c r="N222" s="818"/>
      <c r="AB222" s="1158"/>
    </row>
    <row r="223" spans="1:28" ht="20.399999999999999" customHeight="1">
      <c r="A223" s="177"/>
      <c r="B223" s="950"/>
      <c r="C223" s="984"/>
      <c r="D223" s="985" t="s">
        <v>835</v>
      </c>
      <c r="E223" s="985" t="s">
        <v>836</v>
      </c>
      <c r="F223" s="950" t="s">
        <v>723</v>
      </c>
      <c r="G223" s="986">
        <f t="shared" si="49"/>
        <v>0</v>
      </c>
      <c r="H223" s="975">
        <f>+H217*3+H218*5+H219+H220*5</f>
        <v>0</v>
      </c>
      <c r="I223" s="818">
        <f>+I217*3+I218*5+I220*5</f>
        <v>0</v>
      </c>
      <c r="J223" s="818">
        <f>+J217*3+J218*5+J220*5</f>
        <v>0</v>
      </c>
      <c r="K223" s="818">
        <f>+K217*3+K218*5+K220*5</f>
        <v>0</v>
      </c>
      <c r="L223" s="818"/>
      <c r="M223" s="976"/>
      <c r="N223" s="818"/>
      <c r="AB223" s="1043" t="s">
        <v>2230</v>
      </c>
    </row>
    <row r="224" spans="1:28" ht="20.399999999999999" customHeight="1">
      <c r="A224" s="992"/>
      <c r="B224" s="993"/>
      <c r="C224" s="994"/>
      <c r="D224" s="995" t="s">
        <v>837</v>
      </c>
      <c r="E224" s="995" t="s">
        <v>838</v>
      </c>
      <c r="F224" s="993" t="s">
        <v>723</v>
      </c>
      <c r="G224" s="996">
        <f t="shared" si="49"/>
        <v>21</v>
      </c>
      <c r="H224" s="957">
        <f t="shared" ref="H224:K224" si="51">+H212+H213</f>
        <v>8</v>
      </c>
      <c r="I224" s="958">
        <f t="shared" si="51"/>
        <v>7</v>
      </c>
      <c r="J224" s="958">
        <f t="shared" si="51"/>
        <v>3</v>
      </c>
      <c r="K224" s="958">
        <f t="shared" si="51"/>
        <v>3</v>
      </c>
      <c r="L224" s="958"/>
      <c r="M224" s="959"/>
      <c r="N224" s="818"/>
      <c r="AB224" s="1079" t="s">
        <v>2231</v>
      </c>
    </row>
    <row r="225" spans="1:28" ht="20.399999999999999" customHeight="1">
      <c r="A225" s="1159" t="s">
        <v>993</v>
      </c>
      <c r="B225" s="1161"/>
      <c r="C225" s="1163"/>
      <c r="D225" s="1000" t="s">
        <v>840</v>
      </c>
      <c r="E225" s="1000" t="s">
        <v>650</v>
      </c>
      <c r="F225" s="998" t="s">
        <v>839</v>
      </c>
      <c r="G225" s="986">
        <f t="shared" si="49"/>
        <v>34</v>
      </c>
      <c r="H225" s="948">
        <f>+H205+H206+H207+H208+H209+H210+H211+H212+H213+H214+H216+H219+H215*2</f>
        <v>14</v>
      </c>
      <c r="I225" s="948">
        <f t="shared" ref="I225:K225" si="52">+I205+I206+I207+I208+I209+I210+I211+I212+I213+I214+I216+I219+I215*2</f>
        <v>14</v>
      </c>
      <c r="J225" s="948">
        <f t="shared" si="52"/>
        <v>3</v>
      </c>
      <c r="K225" s="948">
        <f t="shared" si="52"/>
        <v>3</v>
      </c>
      <c r="L225" s="948"/>
      <c r="M225" s="949"/>
      <c r="N225" s="818"/>
      <c r="AB225" s="1045" t="s">
        <v>2232</v>
      </c>
    </row>
    <row r="226" spans="1:28" ht="20.399999999999999" customHeight="1">
      <c r="A226" s="1164"/>
      <c r="B226" s="1157"/>
      <c r="C226" s="1132"/>
      <c r="D226" s="985" t="s">
        <v>842</v>
      </c>
      <c r="E226" s="985" t="s">
        <v>843</v>
      </c>
      <c r="F226" s="950" t="s">
        <v>841</v>
      </c>
      <c r="G226" s="986">
        <f t="shared" si="49"/>
        <v>0</v>
      </c>
      <c r="H226" s="975">
        <f t="shared" ref="H226:K226" si="53">+H217</f>
        <v>0</v>
      </c>
      <c r="I226" s="818">
        <f t="shared" si="53"/>
        <v>0</v>
      </c>
      <c r="J226" s="818">
        <f t="shared" si="53"/>
        <v>0</v>
      </c>
      <c r="K226" s="818">
        <f t="shared" si="53"/>
        <v>0</v>
      </c>
      <c r="L226" s="818"/>
      <c r="M226" s="976"/>
      <c r="N226" s="818"/>
      <c r="AB226" s="1077" t="s">
        <v>2244</v>
      </c>
    </row>
    <row r="227" spans="1:28" ht="20.399999999999999" customHeight="1">
      <c r="A227" s="174"/>
      <c r="B227" s="998"/>
      <c r="C227" s="999"/>
      <c r="D227" s="985" t="s">
        <v>844</v>
      </c>
      <c r="E227" s="985" t="s">
        <v>845</v>
      </c>
      <c r="F227" s="950" t="s">
        <v>841</v>
      </c>
      <c r="G227" s="986">
        <f t="shared" si="49"/>
        <v>0</v>
      </c>
      <c r="H227" s="975">
        <f t="shared" ref="H227:K227" si="54">+H218+H220</f>
        <v>0</v>
      </c>
      <c r="I227" s="818">
        <f t="shared" si="54"/>
        <v>0</v>
      </c>
      <c r="J227" s="818">
        <f t="shared" si="54"/>
        <v>0</v>
      </c>
      <c r="K227" s="818">
        <f t="shared" si="54"/>
        <v>0</v>
      </c>
      <c r="L227" s="818"/>
      <c r="M227" s="976"/>
      <c r="N227" s="818"/>
      <c r="AB227" s="1079" t="s">
        <v>2245</v>
      </c>
    </row>
    <row r="228" spans="1:28" ht="20.399999999999999" customHeight="1">
      <c r="A228" s="1110" t="s">
        <v>994</v>
      </c>
      <c r="B228" s="950"/>
      <c r="C228" s="984" t="s">
        <v>2453</v>
      </c>
      <c r="D228" s="985" t="s">
        <v>846</v>
      </c>
      <c r="E228" s="985" t="s">
        <v>121</v>
      </c>
      <c r="F228" s="950">
        <v>6684</v>
      </c>
      <c r="G228" s="986">
        <f t="shared" si="49"/>
        <v>0</v>
      </c>
      <c r="H228" s="818">
        <f>+COUNTIF(Area_S1,$C$228)</f>
        <v>0</v>
      </c>
      <c r="I228" s="818">
        <f>COUNTIF(Area_S2,$C$228)</f>
        <v>0</v>
      </c>
      <c r="J228" s="818">
        <f>COUNTIF(Area_S3,$C$228)</f>
        <v>0</v>
      </c>
      <c r="K228" s="818">
        <f>COUNTIF(Area_S4,$C$228)</f>
        <v>0</v>
      </c>
      <c r="L228" s="818"/>
      <c r="M228" s="976"/>
      <c r="N228" s="818"/>
      <c r="AB228" s="1079" t="s">
        <v>2246</v>
      </c>
    </row>
    <row r="229" spans="1:28" ht="20.399999999999999" customHeight="1">
      <c r="A229" s="987"/>
      <c r="B229" s="988"/>
      <c r="C229" s="989" t="s">
        <v>2456</v>
      </c>
      <c r="D229" s="990" t="s">
        <v>847</v>
      </c>
      <c r="E229" s="990" t="s">
        <v>848</v>
      </c>
      <c r="F229" s="988"/>
      <c r="G229" s="986">
        <f t="shared" si="49"/>
        <v>4</v>
      </c>
      <c r="H229" s="818">
        <f>COUNTIF(Area_S1,$C229)</f>
        <v>1</v>
      </c>
      <c r="I229" s="818">
        <f>COUNTIF(Area_S2,$C229)</f>
        <v>1</v>
      </c>
      <c r="J229" s="818">
        <f>COUNTIF(Area_S3,$C229)</f>
        <v>1</v>
      </c>
      <c r="K229" s="818">
        <f>COUNTIF(Area_S4,$C229)</f>
        <v>1</v>
      </c>
      <c r="L229" s="818"/>
      <c r="M229" s="976"/>
      <c r="N229" s="818"/>
      <c r="AB229" s="1079" t="s">
        <v>2216</v>
      </c>
    </row>
    <row r="230" spans="1:28" ht="20.399999999999999" customHeight="1">
      <c r="A230" s="1307"/>
      <c r="B230" s="1022"/>
      <c r="C230" s="1098" t="s">
        <v>3054</v>
      </c>
      <c r="D230" s="1308" t="s">
        <v>3080</v>
      </c>
      <c r="E230" s="1308" t="s">
        <v>848</v>
      </c>
      <c r="F230" s="1022"/>
      <c r="G230" s="996">
        <f t="shared" ref="G230" si="55">SUM(H230:M230)</f>
        <v>0</v>
      </c>
      <c r="H230" s="818">
        <f>COUNTIF(Area_S1,$C230)</f>
        <v>0</v>
      </c>
      <c r="I230" s="818">
        <f>COUNTIF(Area_S2,$C230)</f>
        <v>0</v>
      </c>
      <c r="J230" s="818">
        <f>COUNTIF(Area_S3,$C230)</f>
        <v>0</v>
      </c>
      <c r="K230" s="818">
        <f>COUNTIF(Area_S4,$C230)</f>
        <v>0</v>
      </c>
      <c r="L230" s="818"/>
      <c r="M230" s="976"/>
      <c r="N230" s="818"/>
      <c r="AB230" s="1079" t="s">
        <v>2216</v>
      </c>
    </row>
    <row r="231" spans="1:28" ht="20.399999999999999" customHeight="1">
      <c r="A231" s="943" t="s">
        <v>900</v>
      </c>
      <c r="B231" s="944">
        <v>95</v>
      </c>
      <c r="C231" s="945"/>
      <c r="D231" s="946" t="s">
        <v>850</v>
      </c>
      <c r="E231" s="946" t="s">
        <v>112</v>
      </c>
      <c r="F231" s="944" t="s">
        <v>849</v>
      </c>
      <c r="G231" s="947">
        <f t="shared" si="49"/>
        <v>53</v>
      </c>
      <c r="H231" s="948">
        <v>53</v>
      </c>
      <c r="I231" s="948"/>
      <c r="J231" s="948"/>
      <c r="K231" s="948"/>
      <c r="L231" s="948"/>
      <c r="M231" s="949"/>
      <c r="N231" s="818"/>
      <c r="AB231" s="1045" t="s">
        <v>2217</v>
      </c>
    </row>
    <row r="232" spans="1:28" ht="20.399999999999999" customHeight="1">
      <c r="A232" s="177"/>
      <c r="B232" s="950">
        <v>95</v>
      </c>
      <c r="C232" s="984"/>
      <c r="D232" s="985" t="s">
        <v>852</v>
      </c>
      <c r="E232" s="985" t="s">
        <v>113</v>
      </c>
      <c r="F232" s="950" t="s">
        <v>851</v>
      </c>
      <c r="G232" s="986">
        <f t="shared" si="49"/>
        <v>212</v>
      </c>
      <c r="H232" s="818">
        <f>2*H231</f>
        <v>106</v>
      </c>
      <c r="I232" s="818">
        <f>+H232</f>
        <v>106</v>
      </c>
      <c r="J232" s="818"/>
      <c r="L232" s="818"/>
      <c r="M232" s="976"/>
      <c r="N232" s="818"/>
      <c r="AB232" s="1043" t="s">
        <v>2233</v>
      </c>
    </row>
    <row r="233" spans="1:28" ht="20.399999999999999" customHeight="1">
      <c r="A233" s="177"/>
      <c r="B233" s="950" t="s">
        <v>2838</v>
      </c>
      <c r="C233" s="1165" t="s">
        <v>1014</v>
      </c>
      <c r="D233" s="985" t="s">
        <v>854</v>
      </c>
      <c r="E233" s="985" t="s">
        <v>655</v>
      </c>
      <c r="F233" s="950" t="s">
        <v>853</v>
      </c>
      <c r="G233" s="986">
        <f t="shared" si="49"/>
        <v>665</v>
      </c>
      <c r="H233" s="818">
        <f>COUNTIF(Area_v1,"S1T")+COUNTIF(Area_v1,"S2T")</f>
        <v>321</v>
      </c>
      <c r="I233" s="818">
        <f>COUNTIF(Area_v2,"S1T")+COUNTIF(Area_v2,"S2T")</f>
        <v>321</v>
      </c>
      <c r="J233" s="818">
        <f>COUNTIF(Area_v3,"S1T")+COUNTIF(Area_v3,"S2T")</f>
        <v>11</v>
      </c>
      <c r="K233" s="818">
        <f>COUNTIF(Area_v4,"S1T")+COUNTIF(Area_v4,"S2T")</f>
        <v>12</v>
      </c>
      <c r="L233" s="818"/>
      <c r="M233" s="976"/>
      <c r="N233" s="818"/>
      <c r="AB233" s="1079" t="s">
        <v>2234</v>
      </c>
    </row>
    <row r="234" spans="1:28" ht="20.399999999999999" customHeight="1">
      <c r="A234" s="177"/>
      <c r="B234" s="950">
        <v>70</v>
      </c>
      <c r="C234" s="1165" t="s">
        <v>948</v>
      </c>
      <c r="D234" s="985" t="s">
        <v>855</v>
      </c>
      <c r="E234" s="985" t="s">
        <v>656</v>
      </c>
      <c r="F234" s="950" t="s">
        <v>723</v>
      </c>
      <c r="G234" s="986">
        <f t="shared" si="49"/>
        <v>70</v>
      </c>
      <c r="H234" s="818">
        <f>COUNTIF(Area_v1,$C234)</f>
        <v>35</v>
      </c>
      <c r="I234" s="818">
        <f>COUNTIF(Area_v2,$C234)</f>
        <v>35</v>
      </c>
      <c r="J234" s="818">
        <f>COUNTIF(Area_v3,$C234)</f>
        <v>0</v>
      </c>
      <c r="K234" s="818">
        <f>COUNTIF(Area_v4,$C234)</f>
        <v>0</v>
      </c>
      <c r="L234" s="818"/>
      <c r="M234" s="976"/>
      <c r="N234" s="818"/>
      <c r="AB234" s="1079" t="s">
        <v>2235</v>
      </c>
    </row>
    <row r="235" spans="1:28" ht="34.950000000000003" customHeight="1">
      <c r="A235" s="177"/>
      <c r="B235" s="950">
        <v>70</v>
      </c>
      <c r="C235" s="1165" t="s">
        <v>947</v>
      </c>
      <c r="D235" s="985" t="s">
        <v>856</v>
      </c>
      <c r="E235" s="985" t="s">
        <v>657</v>
      </c>
      <c r="F235" s="950" t="s">
        <v>723</v>
      </c>
      <c r="G235" s="986">
        <f t="shared" si="49"/>
        <v>4</v>
      </c>
      <c r="H235" s="818">
        <f>COUNTIF(Area_v1,$C235)</f>
        <v>0</v>
      </c>
      <c r="I235" s="818">
        <f>COUNTIF(Area_v2,$C235)</f>
        <v>0</v>
      </c>
      <c r="J235" s="818">
        <f>COUNTIF(Area_v3,$C235)</f>
        <v>2</v>
      </c>
      <c r="K235" s="818">
        <f>COUNTIF(Area_v4,$C235)</f>
        <v>2</v>
      </c>
      <c r="L235" s="818"/>
      <c r="M235" s="976"/>
      <c r="N235" s="818"/>
      <c r="AB235" s="1079" t="s">
        <v>2236</v>
      </c>
    </row>
    <row r="236" spans="1:28" ht="34.950000000000003" customHeight="1">
      <c r="A236" s="177"/>
      <c r="B236" s="950">
        <v>70</v>
      </c>
      <c r="C236" s="1165" t="s">
        <v>997</v>
      </c>
      <c r="D236" s="985" t="s">
        <v>857</v>
      </c>
      <c r="E236" s="985" t="s">
        <v>658</v>
      </c>
      <c r="F236" s="950" t="s">
        <v>723</v>
      </c>
      <c r="G236" s="986">
        <f t="shared" si="49"/>
        <v>46</v>
      </c>
      <c r="H236" s="818">
        <f>COUNTIF(Area_v1,$C236)</f>
        <v>22</v>
      </c>
      <c r="I236" s="818">
        <f>COUNTIF(Area_v2,$C236)</f>
        <v>22</v>
      </c>
      <c r="J236" s="818">
        <f>COUNTIF(Area_v3,$C236)</f>
        <v>1</v>
      </c>
      <c r="K236" s="818">
        <f>COUNTIF(Area_v4,$C236)</f>
        <v>1</v>
      </c>
      <c r="L236" s="818"/>
      <c r="M236" s="976"/>
      <c r="N236" s="818"/>
      <c r="AB236" s="1079" t="s">
        <v>2237</v>
      </c>
    </row>
    <row r="237" spans="1:28" ht="20.399999999999999" customHeight="1">
      <c r="A237" s="177"/>
      <c r="B237" s="950">
        <v>70</v>
      </c>
      <c r="C237" s="984"/>
      <c r="D237" s="985" t="s">
        <v>858</v>
      </c>
      <c r="E237" s="985" t="s">
        <v>659</v>
      </c>
      <c r="F237" s="950" t="s">
        <v>723</v>
      </c>
      <c r="G237" s="986">
        <f t="shared" si="49"/>
        <v>665</v>
      </c>
      <c r="H237" s="818">
        <f>+H233</f>
        <v>321</v>
      </c>
      <c r="I237" s="818">
        <f>+I233</f>
        <v>321</v>
      </c>
      <c r="J237" s="818">
        <f t="shared" ref="J237:K237" si="56">+J233</f>
        <v>11</v>
      </c>
      <c r="K237" s="818">
        <f t="shared" si="56"/>
        <v>12</v>
      </c>
      <c r="L237" s="818"/>
      <c r="M237" s="976"/>
      <c r="N237" s="818"/>
      <c r="AB237" s="1079" t="s">
        <v>2238</v>
      </c>
    </row>
    <row r="238" spans="1:28" ht="20.399999999999999" customHeight="1">
      <c r="A238" s="177"/>
      <c r="B238" s="950">
        <v>95</v>
      </c>
      <c r="C238" s="984"/>
      <c r="D238" s="985" t="s">
        <v>860</v>
      </c>
      <c r="E238" s="985" t="s">
        <v>114</v>
      </c>
      <c r="F238" s="950" t="s">
        <v>859</v>
      </c>
      <c r="G238" s="986">
        <f t="shared" si="49"/>
        <v>20</v>
      </c>
      <c r="H238" s="818">
        <v>20</v>
      </c>
      <c r="J238" s="818"/>
      <c r="L238" s="818"/>
      <c r="M238" s="976"/>
      <c r="N238" s="818"/>
      <c r="AB238" s="1079" t="s">
        <v>2239</v>
      </c>
    </row>
    <row r="239" spans="1:28" ht="34.950000000000003" customHeight="1">
      <c r="A239" s="177"/>
      <c r="B239" s="950">
        <v>70</v>
      </c>
      <c r="C239" s="984" t="s">
        <v>2479</v>
      </c>
      <c r="D239" s="985" t="s">
        <v>861</v>
      </c>
      <c r="E239" s="985" t="s">
        <v>116</v>
      </c>
      <c r="F239" s="950" t="s">
        <v>723</v>
      </c>
      <c r="G239" s="986">
        <f t="shared" si="49"/>
        <v>58</v>
      </c>
      <c r="H239" s="818">
        <f>COUNTIF(Area_v1,$C239)</f>
        <v>29</v>
      </c>
      <c r="I239" s="818">
        <f>COUNTIF(Area_v2,$C239)</f>
        <v>29</v>
      </c>
      <c r="J239" s="818">
        <f>COUNTIF(Area_v3,$C239)</f>
        <v>0</v>
      </c>
      <c r="K239" s="818">
        <f>COUNTIF(Area_v4,$C239)</f>
        <v>0</v>
      </c>
      <c r="L239" s="818"/>
      <c r="M239" s="976"/>
      <c r="N239" s="818"/>
      <c r="AB239" s="1131" t="s">
        <v>2240</v>
      </c>
    </row>
    <row r="240" spans="1:28" ht="20.399999999999999" customHeight="1">
      <c r="A240" s="1122"/>
      <c r="B240" s="1127">
        <v>150</v>
      </c>
      <c r="C240" s="1152"/>
      <c r="D240" s="1126" t="s">
        <v>863</v>
      </c>
      <c r="E240" s="1126" t="s">
        <v>117</v>
      </c>
      <c r="F240" s="1127" t="s">
        <v>862</v>
      </c>
      <c r="G240" s="1128">
        <f t="shared" si="49"/>
        <v>8</v>
      </c>
      <c r="H240" s="1129">
        <v>4</v>
      </c>
      <c r="I240" s="1129">
        <v>4</v>
      </c>
      <c r="J240" s="1129"/>
      <c r="K240" s="1129"/>
      <c r="L240" s="1129"/>
      <c r="M240" s="1130"/>
      <c r="N240" s="818"/>
      <c r="AB240" s="1079" t="s">
        <v>2242</v>
      </c>
    </row>
    <row r="241" spans="1:28" ht="20.399999999999999" customHeight="1">
      <c r="A241" s="1122"/>
      <c r="B241" s="1127">
        <v>95</v>
      </c>
      <c r="C241" s="1152"/>
      <c r="D241" s="1126" t="s">
        <v>864</v>
      </c>
      <c r="E241" s="1126" t="s">
        <v>118</v>
      </c>
      <c r="F241" s="1127" t="s">
        <v>723</v>
      </c>
      <c r="G241" s="1128">
        <f t="shared" si="49"/>
        <v>0</v>
      </c>
      <c r="H241" s="1129"/>
      <c r="I241" s="1129"/>
      <c r="J241" s="1129"/>
      <c r="K241" s="1129"/>
      <c r="L241" s="1129"/>
      <c r="M241" s="1130"/>
      <c r="N241" s="818"/>
      <c r="AB241" s="1131" t="s">
        <v>2241</v>
      </c>
    </row>
    <row r="242" spans="1:28" ht="20.399999999999999" customHeight="1">
      <c r="A242" s="1122"/>
      <c r="B242" s="1127"/>
      <c r="C242" s="1152"/>
      <c r="D242" s="1126" t="s">
        <v>660</v>
      </c>
      <c r="E242" s="1126" t="s">
        <v>865</v>
      </c>
      <c r="F242" s="1127" t="s">
        <v>723</v>
      </c>
      <c r="G242" s="1128">
        <f t="shared" si="49"/>
        <v>0</v>
      </c>
      <c r="H242" s="1129"/>
      <c r="I242" s="1129"/>
      <c r="J242" s="1129"/>
      <c r="K242" s="1129"/>
      <c r="L242" s="1129"/>
      <c r="M242" s="1130"/>
      <c r="N242" s="818"/>
      <c r="AB242" s="1131" t="s">
        <v>2243</v>
      </c>
    </row>
    <row r="243" spans="1:28" ht="20.399999999999999" customHeight="1">
      <c r="A243" s="1122"/>
      <c r="B243" s="1127"/>
      <c r="C243" s="1152"/>
      <c r="D243" s="1126" t="s">
        <v>866</v>
      </c>
      <c r="E243" s="1126" t="s">
        <v>867</v>
      </c>
      <c r="F243" s="1127" t="s">
        <v>723</v>
      </c>
      <c r="G243" s="1128">
        <f t="shared" si="49"/>
        <v>0</v>
      </c>
      <c r="H243" s="1129"/>
      <c r="I243" s="1129"/>
      <c r="J243" s="1129"/>
      <c r="K243" s="1129"/>
      <c r="L243" s="1129"/>
      <c r="M243" s="1130"/>
      <c r="N243" s="818"/>
      <c r="AB243" s="1131" t="s">
        <v>2247</v>
      </c>
    </row>
    <row r="244" spans="1:28" ht="20.399999999999999" customHeight="1">
      <c r="A244" s="1166"/>
      <c r="B244" s="1090"/>
      <c r="C244" s="984" t="s">
        <v>2479</v>
      </c>
      <c r="D244" s="985" t="s">
        <v>868</v>
      </c>
      <c r="E244" s="985" t="s">
        <v>661</v>
      </c>
      <c r="F244" s="950" t="s">
        <v>723</v>
      </c>
      <c r="G244" s="986">
        <f t="shared" si="49"/>
        <v>58</v>
      </c>
      <c r="H244" s="818">
        <f>COUNTIF(Area_v1,$C244)</f>
        <v>29</v>
      </c>
      <c r="I244" s="818">
        <f>COUNTIF(Area_v2,$C244)</f>
        <v>29</v>
      </c>
      <c r="J244" s="818">
        <f>COUNTIF(Area_v3,$C244)</f>
        <v>0</v>
      </c>
      <c r="K244" s="818">
        <f>COUNTIF(Area_v4,$C244)</f>
        <v>0</v>
      </c>
      <c r="L244" s="818"/>
      <c r="M244" s="976"/>
      <c r="N244" s="818"/>
      <c r="AB244" s="1131" t="s">
        <v>2248</v>
      </c>
    </row>
    <row r="245" spans="1:28" ht="20.399999999999999" customHeight="1">
      <c r="A245" s="1122"/>
      <c r="B245" s="1127"/>
      <c r="C245" s="1152"/>
      <c r="D245" s="1126" t="s">
        <v>870</v>
      </c>
      <c r="E245" s="1126" t="s">
        <v>202</v>
      </c>
      <c r="F245" s="1127" t="s">
        <v>869</v>
      </c>
      <c r="G245" s="1128">
        <f t="shared" si="49"/>
        <v>0</v>
      </c>
      <c r="H245" s="1129"/>
      <c r="I245" s="1129"/>
      <c r="J245" s="1129"/>
      <c r="K245" s="1129"/>
      <c r="L245" s="1129"/>
      <c r="M245" s="1130"/>
      <c r="N245" s="818"/>
      <c r="AB245" s="1079" t="s">
        <v>2249</v>
      </c>
    </row>
    <row r="246" spans="1:28" ht="20.399999999999999" customHeight="1">
      <c r="A246" s="1122"/>
      <c r="B246" s="1127"/>
      <c r="C246" s="1152"/>
      <c r="D246" s="1126" t="s">
        <v>871</v>
      </c>
      <c r="E246" s="1126" t="s">
        <v>101</v>
      </c>
      <c r="F246" s="1127" t="s">
        <v>723</v>
      </c>
      <c r="G246" s="1128">
        <f t="shared" si="49"/>
        <v>0</v>
      </c>
      <c r="H246" s="1129"/>
      <c r="I246" s="1129"/>
      <c r="J246" s="1129"/>
      <c r="K246" s="1129"/>
      <c r="L246" s="1129"/>
      <c r="M246" s="1130"/>
      <c r="N246" s="818"/>
      <c r="AB246" s="1131" t="s">
        <v>2250</v>
      </c>
    </row>
    <row r="247" spans="1:28" ht="20.399999999999999" customHeight="1">
      <c r="A247" s="943" t="s">
        <v>989</v>
      </c>
      <c r="B247" s="1127"/>
      <c r="C247" s="1152"/>
      <c r="D247" s="1126" t="s">
        <v>872</v>
      </c>
      <c r="E247" s="1126" t="s">
        <v>873</v>
      </c>
      <c r="F247" s="1127" t="s">
        <v>723</v>
      </c>
      <c r="G247" s="1128">
        <f t="shared" si="49"/>
        <v>0</v>
      </c>
      <c r="H247" s="1129"/>
      <c r="I247" s="1129"/>
      <c r="J247" s="1129"/>
      <c r="K247" s="1129"/>
      <c r="L247" s="1129"/>
      <c r="M247" s="1130"/>
      <c r="N247" s="818"/>
      <c r="AB247" s="1131" t="s">
        <v>2251</v>
      </c>
    </row>
    <row r="248" spans="1:28" ht="20.399999999999999" customHeight="1">
      <c r="A248" s="1122"/>
      <c r="B248" s="1127"/>
      <c r="C248" s="1152"/>
      <c r="D248" s="1126" t="s">
        <v>874</v>
      </c>
      <c r="E248" s="1126" t="s">
        <v>875</v>
      </c>
      <c r="F248" s="1127" t="s">
        <v>723</v>
      </c>
      <c r="G248" s="1128">
        <f t="shared" si="49"/>
        <v>0</v>
      </c>
      <c r="H248" s="1129"/>
      <c r="I248" s="1129"/>
      <c r="J248" s="1129"/>
      <c r="K248" s="1129"/>
      <c r="L248" s="1129"/>
      <c r="M248" s="1130"/>
      <c r="N248" s="818"/>
      <c r="AB248" s="1131" t="s">
        <v>2254</v>
      </c>
    </row>
    <row r="249" spans="1:28" ht="20.399999999999999" customHeight="1">
      <c r="A249" s="1122"/>
      <c r="B249" s="1127"/>
      <c r="C249" s="1152"/>
      <c r="D249" s="1126" t="s">
        <v>876</v>
      </c>
      <c r="E249" s="1126" t="s">
        <v>877</v>
      </c>
      <c r="F249" s="1127" t="s">
        <v>723</v>
      </c>
      <c r="G249" s="1128">
        <f t="shared" si="49"/>
        <v>0</v>
      </c>
      <c r="H249" s="1129"/>
      <c r="I249" s="1129"/>
      <c r="J249" s="1129"/>
      <c r="K249" s="1129"/>
      <c r="L249" s="1129"/>
      <c r="M249" s="1130"/>
      <c r="N249" s="818"/>
      <c r="AB249" s="1131" t="s">
        <v>2252</v>
      </c>
    </row>
    <row r="250" spans="1:28" ht="20.399999999999999" customHeight="1">
      <c r="A250" s="1122"/>
      <c r="B250" s="1127"/>
      <c r="C250" s="1152"/>
      <c r="D250" s="1126" t="s">
        <v>878</v>
      </c>
      <c r="E250" s="1126" t="s">
        <v>879</v>
      </c>
      <c r="F250" s="1127" t="s">
        <v>723</v>
      </c>
      <c r="G250" s="1128">
        <f t="shared" si="49"/>
        <v>0</v>
      </c>
      <c r="H250" s="1129"/>
      <c r="I250" s="1129"/>
      <c r="J250" s="1129"/>
      <c r="K250" s="1129"/>
      <c r="L250" s="1129"/>
      <c r="M250" s="1130"/>
      <c r="N250" s="818"/>
      <c r="AB250" s="1131" t="s">
        <v>2253</v>
      </c>
    </row>
    <row r="251" spans="1:28" ht="20.399999999999999" customHeight="1">
      <c r="A251" s="943" t="s">
        <v>990</v>
      </c>
      <c r="B251" s="1167"/>
      <c r="C251" s="1168"/>
      <c r="D251" s="1169" t="s">
        <v>880</v>
      </c>
      <c r="E251" s="1169" t="s">
        <v>988</v>
      </c>
      <c r="F251" s="1167" t="s">
        <v>723</v>
      </c>
      <c r="G251" s="1170">
        <f t="shared" si="49"/>
        <v>0</v>
      </c>
      <c r="H251" s="1171"/>
      <c r="I251" s="1171"/>
      <c r="J251" s="1171"/>
      <c r="K251" s="1171"/>
      <c r="L251" s="1171"/>
      <c r="M251" s="1172"/>
      <c r="N251" s="818"/>
      <c r="AB251" s="1131" t="s">
        <v>2255</v>
      </c>
    </row>
    <row r="252" spans="1:28" ht="20.399999999999999" customHeight="1">
      <c r="A252" s="943" t="s">
        <v>896</v>
      </c>
      <c r="B252" s="1174" t="s">
        <v>906</v>
      </c>
      <c r="C252" s="1175"/>
      <c r="D252" s="1176" t="s">
        <v>881</v>
      </c>
      <c r="E252" s="1176" t="s">
        <v>882</v>
      </c>
      <c r="F252" s="1177" t="s">
        <v>723</v>
      </c>
      <c r="G252" s="1128">
        <f t="shared" si="49"/>
        <v>0</v>
      </c>
      <c r="H252" s="1178"/>
      <c r="I252" s="1129"/>
      <c r="J252" s="1129"/>
      <c r="K252" s="1129"/>
      <c r="L252" s="1129"/>
      <c r="M252" s="1130"/>
      <c r="N252" s="818"/>
      <c r="AB252" s="1173" t="s">
        <v>2256</v>
      </c>
    </row>
    <row r="253" spans="1:28" ht="20.399999999999999" customHeight="1">
      <c r="A253" s="1122"/>
      <c r="B253" s="1127"/>
      <c r="C253" s="1152"/>
      <c r="D253" s="1126" t="s">
        <v>883</v>
      </c>
      <c r="E253" s="1126" t="s">
        <v>884</v>
      </c>
      <c r="F253" s="1127" t="s">
        <v>723</v>
      </c>
      <c r="G253" s="1128">
        <f t="shared" si="49"/>
        <v>0</v>
      </c>
      <c r="H253" s="1178"/>
      <c r="I253" s="1129"/>
      <c r="J253" s="1129"/>
      <c r="K253" s="1129"/>
      <c r="L253" s="1129"/>
      <c r="M253" s="1130"/>
      <c r="N253" s="818"/>
      <c r="AB253" s="1179" t="s">
        <v>2257</v>
      </c>
    </row>
    <row r="254" spans="1:28" ht="20.399999999999999" customHeight="1">
      <c r="A254" s="1122"/>
      <c r="B254" s="1127"/>
      <c r="C254" s="1152"/>
      <c r="D254" s="1126" t="s">
        <v>885</v>
      </c>
      <c r="E254" s="1126" t="s">
        <v>886</v>
      </c>
      <c r="F254" s="1127" t="s">
        <v>723</v>
      </c>
      <c r="G254" s="1128">
        <f t="shared" si="49"/>
        <v>0</v>
      </c>
      <c r="H254" s="1178"/>
      <c r="I254" s="1129"/>
      <c r="J254" s="1129"/>
      <c r="K254" s="1129"/>
      <c r="L254" s="1129"/>
      <c r="M254" s="1130"/>
      <c r="N254" s="818"/>
      <c r="AB254" s="1180" t="s">
        <v>2258</v>
      </c>
    </row>
    <row r="255" spans="1:28" ht="20.399999999999999" customHeight="1">
      <c r="A255" s="1122"/>
      <c r="B255" s="1127"/>
      <c r="C255" s="1152"/>
      <c r="D255" s="1126" t="s">
        <v>887</v>
      </c>
      <c r="E255" s="1126" t="s">
        <v>888</v>
      </c>
      <c r="F255" s="1127" t="s">
        <v>723</v>
      </c>
      <c r="G255" s="1128">
        <f t="shared" si="49"/>
        <v>0</v>
      </c>
      <c r="H255" s="1178"/>
      <c r="I255" s="1129"/>
      <c r="J255" s="1129"/>
      <c r="K255" s="1129"/>
      <c r="L255" s="1129"/>
      <c r="M255" s="1130"/>
      <c r="N255" s="818"/>
      <c r="AB255" s="1180" t="s">
        <v>2261</v>
      </c>
    </row>
    <row r="256" spans="1:28" ht="20.399999999999999" customHeight="1">
      <c r="A256" s="1122"/>
      <c r="B256" s="1127"/>
      <c r="C256" s="1152"/>
      <c r="D256" s="1126" t="s">
        <v>889</v>
      </c>
      <c r="E256" s="1126" t="s">
        <v>890</v>
      </c>
      <c r="F256" s="1127" t="s">
        <v>723</v>
      </c>
      <c r="G256" s="1128">
        <f t="shared" si="49"/>
        <v>0</v>
      </c>
      <c r="H256" s="1178"/>
      <c r="I256" s="1129"/>
      <c r="J256" s="1129"/>
      <c r="K256" s="1129"/>
      <c r="L256" s="1129"/>
      <c r="M256" s="1130"/>
      <c r="N256" s="818"/>
      <c r="AB256" s="1180" t="s">
        <v>2259</v>
      </c>
    </row>
    <row r="257" spans="1:28" ht="20.399999999999999" customHeight="1">
      <c r="A257" s="1134"/>
      <c r="B257" s="1135"/>
      <c r="C257" s="1136"/>
      <c r="D257" s="1137" t="s">
        <v>891</v>
      </c>
      <c r="E257" s="1137" t="s">
        <v>892</v>
      </c>
      <c r="F257" s="1135" t="s">
        <v>723</v>
      </c>
      <c r="G257" s="1138">
        <f t="shared" si="49"/>
        <v>0</v>
      </c>
      <c r="H257" s="1181"/>
      <c r="I257" s="1139"/>
      <c r="J257" s="1139"/>
      <c r="K257" s="1139"/>
      <c r="L257" s="1139"/>
      <c r="M257" s="1140"/>
      <c r="N257" s="818"/>
      <c r="AB257" s="1180" t="s">
        <v>2260</v>
      </c>
    </row>
    <row r="258" spans="1:28" ht="20.399999999999999" customHeight="1">
      <c r="C258" s="816"/>
      <c r="E258" s="816"/>
      <c r="J258" s="818"/>
      <c r="L258" s="818"/>
      <c r="M258" s="818"/>
      <c r="N258" s="818"/>
      <c r="AB258" s="1182" t="s">
        <v>2262</v>
      </c>
    </row>
    <row r="259" spans="1:28" ht="19.95" customHeight="1">
      <c r="C259" s="816"/>
      <c r="E259" s="816"/>
      <c r="J259" s="818"/>
      <c r="L259" s="818"/>
      <c r="M259" s="818"/>
      <c r="N259" s="818"/>
      <c r="AB259" s="821"/>
    </row>
    <row r="260" spans="1:28" ht="19.95" customHeight="1">
      <c r="C260" s="816"/>
      <c r="E260" s="816"/>
      <c r="AB260" s="821"/>
    </row>
    <row r="261" spans="1:28" ht="19.95" customHeight="1">
      <c r="C261" s="816"/>
      <c r="E261" s="816"/>
      <c r="H261" s="1183"/>
      <c r="AB261" s="821"/>
    </row>
    <row r="262" spans="1:28" ht="19.95" customHeight="1">
      <c r="C262" s="816"/>
      <c r="E262" s="816"/>
      <c r="AB262" s="821"/>
    </row>
    <row r="263" spans="1:28" ht="19.95" customHeight="1">
      <c r="C263" s="816"/>
      <c r="E263" s="816"/>
      <c r="AB263" s="821"/>
    </row>
    <row r="264" spans="1:28" ht="19.95" customHeight="1">
      <c r="C264" s="816"/>
      <c r="E264" s="816"/>
      <c r="AB264" s="821"/>
    </row>
    <row r="265" spans="1:28" ht="19.95" customHeight="1">
      <c r="C265" s="816"/>
      <c r="E265" s="816"/>
      <c r="AB265" s="821"/>
    </row>
    <row r="266" spans="1:28" ht="19.95" customHeight="1">
      <c r="C266" s="816"/>
      <c r="E266" s="816"/>
      <c r="AB266" s="821"/>
    </row>
    <row r="267" spans="1:28" ht="19.95" customHeight="1">
      <c r="C267" s="816"/>
      <c r="E267" s="816"/>
      <c r="AB267" s="821"/>
    </row>
    <row r="268" spans="1:28" ht="19.95" customHeight="1">
      <c r="C268" s="816"/>
      <c r="E268" s="816"/>
      <c r="AB268" s="821"/>
    </row>
    <row r="269" spans="1:28" ht="19.95" customHeight="1">
      <c r="C269" s="816"/>
      <c r="E269" s="816"/>
      <c r="AB269" s="821"/>
    </row>
    <row r="270" spans="1:28" ht="19.95" customHeight="1">
      <c r="C270" s="816"/>
      <c r="E270" s="816"/>
      <c r="AB270" s="821"/>
    </row>
    <row r="271" spans="1:28" ht="19.95" customHeight="1">
      <c r="C271" s="816"/>
      <c r="E271" s="816"/>
      <c r="AB271" s="821"/>
    </row>
    <row r="272" spans="1:28" ht="19.95" customHeight="1">
      <c r="C272" s="816"/>
      <c r="E272" s="816"/>
      <c r="AB272" s="821"/>
    </row>
    <row r="273" spans="3:28" ht="19.95" customHeight="1">
      <c r="C273" s="816"/>
      <c r="E273" s="816"/>
      <c r="AB273" s="821"/>
    </row>
    <row r="274" spans="3:28" ht="19.95" customHeight="1">
      <c r="C274" s="816"/>
      <c r="E274" s="816"/>
      <c r="AB274" s="821"/>
    </row>
    <row r="275" spans="3:28" ht="19.95" customHeight="1">
      <c r="C275" s="816"/>
      <c r="E275" s="816"/>
      <c r="AB275" s="821"/>
    </row>
    <row r="276" spans="3:28" ht="19.95" customHeight="1">
      <c r="C276" s="816"/>
      <c r="E276" s="816"/>
      <c r="AB276" s="821"/>
    </row>
    <row r="277" spans="3:28" ht="19.95" customHeight="1">
      <c r="C277" s="816"/>
      <c r="E277" s="816"/>
      <c r="AB277" s="821"/>
    </row>
    <row r="278" spans="3:28" ht="19.95" customHeight="1">
      <c r="C278" s="816"/>
      <c r="E278" s="816"/>
      <c r="AB278" s="821"/>
    </row>
    <row r="279" spans="3:28" ht="19.95" customHeight="1">
      <c r="C279" s="816"/>
      <c r="E279" s="816"/>
      <c r="AB279" s="821"/>
    </row>
    <row r="280" spans="3:28" ht="19.95" customHeight="1">
      <c r="C280" s="816"/>
      <c r="E280" s="816"/>
      <c r="AB280" s="821"/>
    </row>
    <row r="281" spans="3:28" ht="19.95" customHeight="1">
      <c r="C281" s="816"/>
      <c r="E281" s="816"/>
      <c r="AB281" s="821"/>
    </row>
    <row r="282" spans="3:28" ht="19.95" customHeight="1">
      <c r="C282" s="816"/>
      <c r="E282" s="816"/>
      <c r="AB282" s="821"/>
    </row>
    <row r="283" spans="3:28" ht="19.95" customHeight="1">
      <c r="C283" s="816"/>
      <c r="E283" s="816"/>
      <c r="AB283" s="821"/>
    </row>
    <row r="284" spans="3:28" ht="19.95" customHeight="1">
      <c r="C284" s="816"/>
      <c r="E284" s="816"/>
      <c r="AB284" s="821"/>
    </row>
    <row r="285" spans="3:28" ht="19.95" customHeight="1">
      <c r="C285" s="816"/>
      <c r="E285" s="816"/>
      <c r="AB285" s="821"/>
    </row>
    <row r="286" spans="3:28" ht="19.95" customHeight="1">
      <c r="C286" s="816"/>
      <c r="E286" s="816"/>
      <c r="AB286" s="821"/>
    </row>
    <row r="287" spans="3:28" ht="19.95" customHeight="1">
      <c r="C287" s="816"/>
      <c r="E287" s="816"/>
      <c r="AB287" s="821"/>
    </row>
    <row r="288" spans="3:28" ht="19.95" customHeight="1">
      <c r="C288" s="816"/>
      <c r="E288" s="816"/>
      <c r="AB288" s="821"/>
    </row>
    <row r="289" spans="3:28" ht="19.95" customHeight="1">
      <c r="C289" s="816"/>
      <c r="E289" s="816"/>
      <c r="AB289" s="821"/>
    </row>
    <row r="290" spans="3:28" ht="19.95" customHeight="1">
      <c r="C290" s="816"/>
      <c r="E290" s="816"/>
      <c r="AB290" s="821"/>
    </row>
    <row r="291" spans="3:28" ht="19.95" customHeight="1">
      <c r="C291" s="816"/>
      <c r="E291" s="816"/>
      <c r="AB291" s="821"/>
    </row>
    <row r="292" spans="3:28" ht="19.95" customHeight="1">
      <c r="C292" s="816"/>
      <c r="E292" s="816"/>
      <c r="AB292" s="821"/>
    </row>
    <row r="293" spans="3:28" ht="19.95" customHeight="1">
      <c r="C293" s="816"/>
      <c r="E293" s="816"/>
      <c r="AB293" s="821"/>
    </row>
    <row r="294" spans="3:28" ht="19.95" customHeight="1">
      <c r="C294" s="816"/>
      <c r="E294" s="816"/>
      <c r="AB294" s="821"/>
    </row>
    <row r="295" spans="3:28" ht="19.95" customHeight="1">
      <c r="C295" s="816"/>
      <c r="E295" s="816"/>
      <c r="AB295" s="821"/>
    </row>
    <row r="296" spans="3:28" ht="19.95" customHeight="1">
      <c r="C296" s="816"/>
      <c r="E296" s="816"/>
      <c r="AB296" s="821"/>
    </row>
    <row r="297" spans="3:28" ht="19.95" customHeight="1">
      <c r="C297" s="816"/>
      <c r="E297" s="816"/>
      <c r="AB297" s="821"/>
    </row>
    <row r="298" spans="3:28" ht="19.95" customHeight="1">
      <c r="C298" s="816"/>
      <c r="E298" s="816"/>
      <c r="AB298" s="821"/>
    </row>
    <row r="299" spans="3:28" ht="19.95" customHeight="1">
      <c r="C299" s="816"/>
      <c r="E299" s="816"/>
      <c r="AB299" s="821"/>
    </row>
    <row r="300" spans="3:28" ht="19.95" customHeight="1">
      <c r="C300" s="816"/>
      <c r="E300" s="816"/>
      <c r="AB300" s="821"/>
    </row>
    <row r="301" spans="3:28" ht="19.95" customHeight="1">
      <c r="C301" s="816"/>
      <c r="E301" s="816"/>
      <c r="AB301" s="821"/>
    </row>
    <row r="302" spans="3:28" ht="19.95" customHeight="1">
      <c r="C302" s="816"/>
      <c r="E302" s="816"/>
      <c r="AB302" s="821"/>
    </row>
    <row r="303" spans="3:28" ht="19.95" customHeight="1">
      <c r="C303" s="816"/>
      <c r="E303" s="816"/>
      <c r="AB303" s="821"/>
    </row>
    <row r="304" spans="3:28" ht="19.95" customHeight="1">
      <c r="C304" s="816"/>
      <c r="E304" s="816"/>
      <c r="AB304" s="821"/>
    </row>
    <row r="305" spans="3:28" ht="19.95" customHeight="1">
      <c r="C305" s="816"/>
      <c r="E305" s="816"/>
      <c r="AB305" s="821"/>
    </row>
    <row r="306" spans="3:28" ht="19.95" customHeight="1">
      <c r="C306" s="816"/>
      <c r="E306" s="816"/>
      <c r="AB306" s="821"/>
    </row>
    <row r="307" spans="3:28" ht="19.95" customHeight="1">
      <c r="C307" s="816"/>
      <c r="E307" s="816"/>
      <c r="AB307" s="821"/>
    </row>
    <row r="308" spans="3:28" ht="19.95" customHeight="1">
      <c r="C308" s="816"/>
      <c r="E308" s="816"/>
      <c r="AB308" s="821"/>
    </row>
    <row r="309" spans="3:28" ht="19.95" customHeight="1">
      <c r="C309" s="816"/>
      <c r="E309" s="816"/>
      <c r="AB309" s="821"/>
    </row>
    <row r="310" spans="3:28" ht="19.95" customHeight="1">
      <c r="C310" s="816"/>
      <c r="E310" s="816"/>
      <c r="AB310" s="821"/>
    </row>
    <row r="311" spans="3:28" ht="19.95" customHeight="1">
      <c r="C311" s="816"/>
      <c r="E311" s="816"/>
      <c r="AB311" s="821"/>
    </row>
    <row r="312" spans="3:28" ht="19.95" customHeight="1">
      <c r="C312" s="816"/>
      <c r="E312" s="816"/>
      <c r="AB312" s="821"/>
    </row>
    <row r="313" spans="3:28" ht="19.95" customHeight="1">
      <c r="C313" s="816"/>
      <c r="E313" s="816"/>
      <c r="AB313" s="821"/>
    </row>
    <row r="314" spans="3:28" ht="19.95" customHeight="1">
      <c r="C314" s="816"/>
      <c r="E314" s="816"/>
      <c r="AB314" s="821"/>
    </row>
    <row r="315" spans="3:28" ht="19.95" customHeight="1">
      <c r="C315" s="816"/>
      <c r="E315" s="816"/>
      <c r="AB315" s="821"/>
    </row>
    <row r="316" spans="3:28" ht="19.95" customHeight="1">
      <c r="C316" s="816"/>
      <c r="E316" s="816"/>
      <c r="AB316" s="821"/>
    </row>
    <row r="317" spans="3:28" ht="19.95" customHeight="1">
      <c r="C317" s="816"/>
      <c r="E317" s="816"/>
      <c r="AB317" s="821"/>
    </row>
    <row r="318" spans="3:28" ht="19.95" customHeight="1">
      <c r="C318" s="816"/>
      <c r="E318" s="816"/>
      <c r="AB318" s="821"/>
    </row>
    <row r="319" spans="3:28" ht="19.95" customHeight="1">
      <c r="C319" s="816"/>
      <c r="E319" s="816"/>
      <c r="AB319" s="821"/>
    </row>
    <row r="320" spans="3:28" ht="19.95" customHeight="1">
      <c r="C320" s="816"/>
      <c r="E320" s="816"/>
      <c r="AB320" s="821"/>
    </row>
    <row r="321" spans="3:28" ht="19.95" customHeight="1">
      <c r="C321" s="816"/>
      <c r="E321" s="816"/>
      <c r="AB321" s="821"/>
    </row>
    <row r="322" spans="3:28" ht="19.95" customHeight="1">
      <c r="C322" s="816"/>
      <c r="E322" s="816"/>
      <c r="AB322" s="821"/>
    </row>
    <row r="323" spans="3:28" ht="19.95" customHeight="1">
      <c r="C323" s="816"/>
      <c r="E323" s="816"/>
      <c r="AB323" s="821"/>
    </row>
    <row r="324" spans="3:28" ht="19.95" customHeight="1">
      <c r="C324" s="816"/>
      <c r="E324" s="816"/>
      <c r="AB324" s="821"/>
    </row>
    <row r="325" spans="3:28" ht="19.95" customHeight="1">
      <c r="C325" s="816"/>
      <c r="E325" s="816"/>
      <c r="AB325" s="821"/>
    </row>
    <row r="326" spans="3:28" ht="19.95" customHeight="1">
      <c r="C326" s="816"/>
      <c r="E326" s="816"/>
      <c r="AB326" s="821"/>
    </row>
    <row r="327" spans="3:28" ht="19.95" customHeight="1">
      <c r="C327" s="816"/>
      <c r="E327" s="816"/>
      <c r="AB327" s="821"/>
    </row>
    <row r="328" spans="3:28" ht="19.95" customHeight="1">
      <c r="C328" s="816"/>
      <c r="E328" s="816"/>
      <c r="AB328" s="821"/>
    </row>
    <row r="329" spans="3:28" ht="19.95" customHeight="1">
      <c r="C329" s="816"/>
      <c r="E329" s="816"/>
      <c r="AB329" s="821"/>
    </row>
    <row r="330" spans="3:28" ht="19.95" customHeight="1">
      <c r="C330" s="816"/>
      <c r="E330" s="816"/>
      <c r="AB330" s="821"/>
    </row>
    <row r="331" spans="3:28" ht="19.95" customHeight="1">
      <c r="C331" s="816"/>
      <c r="E331" s="816"/>
      <c r="AB331" s="821"/>
    </row>
    <row r="332" spans="3:28" ht="19.95" customHeight="1">
      <c r="C332" s="816"/>
      <c r="E332" s="816"/>
      <c r="AB332" s="821"/>
    </row>
    <row r="333" spans="3:28" ht="19.95" customHeight="1">
      <c r="C333" s="816"/>
      <c r="E333" s="816"/>
      <c r="AB333" s="821"/>
    </row>
    <row r="334" spans="3:28" ht="19.95" customHeight="1">
      <c r="C334" s="816"/>
      <c r="E334" s="816"/>
      <c r="AB334" s="821"/>
    </row>
    <row r="335" spans="3:28" ht="19.95" customHeight="1">
      <c r="C335" s="816"/>
      <c r="E335" s="816"/>
      <c r="AB335" s="821"/>
    </row>
    <row r="336" spans="3:28" ht="19.95" customHeight="1">
      <c r="C336" s="816"/>
      <c r="E336" s="816"/>
      <c r="AB336" s="821"/>
    </row>
    <row r="337" spans="3:28" ht="19.95" customHeight="1">
      <c r="C337" s="816"/>
      <c r="E337" s="816"/>
      <c r="AB337" s="821"/>
    </row>
    <row r="338" spans="3:28" ht="19.95" customHeight="1">
      <c r="C338" s="816"/>
      <c r="E338" s="816"/>
      <c r="AB338" s="821"/>
    </row>
    <row r="339" spans="3:28" ht="19.95" customHeight="1">
      <c r="C339" s="816"/>
      <c r="E339" s="816"/>
      <c r="AB339" s="821"/>
    </row>
    <row r="340" spans="3:28" ht="19.95" customHeight="1">
      <c r="C340" s="816"/>
      <c r="E340" s="816"/>
      <c r="AB340" s="821"/>
    </row>
    <row r="341" spans="3:28" ht="19.95" customHeight="1">
      <c r="C341" s="816"/>
      <c r="E341" s="816"/>
      <c r="AB341" s="821"/>
    </row>
    <row r="342" spans="3:28" ht="19.95" customHeight="1">
      <c r="C342" s="816"/>
      <c r="E342" s="816"/>
      <c r="AB342" s="821"/>
    </row>
    <row r="343" spans="3:28" ht="19.95" customHeight="1">
      <c r="C343" s="816"/>
      <c r="E343" s="816"/>
      <c r="AB343" s="821"/>
    </row>
    <row r="344" spans="3:28" ht="19.95" customHeight="1">
      <c r="C344" s="816"/>
      <c r="E344" s="816"/>
      <c r="AB344" s="821"/>
    </row>
    <row r="345" spans="3:28" ht="19.95" customHeight="1">
      <c r="C345" s="816"/>
      <c r="E345" s="816"/>
      <c r="AB345" s="821"/>
    </row>
    <row r="346" spans="3:28" ht="19.95" customHeight="1">
      <c r="C346" s="816"/>
      <c r="E346" s="816"/>
      <c r="AB346" s="821"/>
    </row>
    <row r="347" spans="3:28" ht="19.95" customHeight="1">
      <c r="C347" s="816"/>
      <c r="E347" s="816"/>
      <c r="AB347" s="821"/>
    </row>
    <row r="348" spans="3:28" ht="19.95" customHeight="1">
      <c r="C348" s="816"/>
      <c r="E348" s="816"/>
      <c r="AB348" s="821"/>
    </row>
    <row r="349" spans="3:28" ht="19.95" customHeight="1">
      <c r="C349" s="816"/>
      <c r="E349" s="816"/>
      <c r="AB349" s="821"/>
    </row>
    <row r="350" spans="3:28" ht="19.95" customHeight="1">
      <c r="C350" s="816"/>
      <c r="E350" s="816"/>
      <c r="AB350" s="821"/>
    </row>
    <row r="351" spans="3:28" ht="19.95" customHeight="1">
      <c r="C351" s="816"/>
      <c r="E351" s="816"/>
      <c r="AB351" s="821"/>
    </row>
    <row r="352" spans="3:28" ht="19.95" customHeight="1">
      <c r="C352" s="816"/>
      <c r="E352" s="816"/>
      <c r="AB352" s="821"/>
    </row>
    <row r="353" spans="3:28" ht="19.95" customHeight="1">
      <c r="C353" s="816"/>
      <c r="E353" s="816"/>
      <c r="AB353" s="821"/>
    </row>
    <row r="354" spans="3:28" ht="19.95" customHeight="1">
      <c r="C354" s="816"/>
      <c r="E354" s="816"/>
      <c r="AB354" s="821"/>
    </row>
    <row r="355" spans="3:28" ht="19.95" customHeight="1">
      <c r="C355" s="816"/>
      <c r="E355" s="816"/>
      <c r="AB355" s="821"/>
    </row>
    <row r="356" spans="3:28" ht="19.95" customHeight="1">
      <c r="C356" s="816"/>
      <c r="E356" s="816"/>
      <c r="AB356" s="821"/>
    </row>
    <row r="357" spans="3:28" ht="19.95" customHeight="1">
      <c r="C357" s="816"/>
      <c r="E357" s="816"/>
      <c r="AB357" s="821"/>
    </row>
    <row r="358" spans="3:28" ht="19.95" customHeight="1">
      <c r="C358" s="816"/>
      <c r="E358" s="816"/>
      <c r="AB358" s="821"/>
    </row>
    <row r="359" spans="3:28" ht="19.95" customHeight="1">
      <c r="C359" s="816"/>
      <c r="E359" s="816"/>
      <c r="AB359" s="821"/>
    </row>
    <row r="360" spans="3:28" ht="19.95" customHeight="1">
      <c r="C360" s="816"/>
      <c r="E360" s="816"/>
      <c r="AB360" s="821"/>
    </row>
    <row r="361" spans="3:28" ht="19.95" customHeight="1">
      <c r="C361" s="816"/>
      <c r="E361" s="816"/>
      <c r="AB361" s="821"/>
    </row>
    <row r="362" spans="3:28" ht="19.95" customHeight="1">
      <c r="C362" s="816"/>
      <c r="E362" s="816"/>
      <c r="AB362" s="821"/>
    </row>
    <row r="363" spans="3:28" ht="19.95" customHeight="1">
      <c r="C363" s="816"/>
      <c r="E363" s="816"/>
      <c r="AB363" s="821"/>
    </row>
    <row r="364" spans="3:28" ht="19.95" customHeight="1">
      <c r="C364" s="816"/>
      <c r="E364" s="816"/>
      <c r="AB364" s="821"/>
    </row>
    <row r="365" spans="3:28" ht="19.95" customHeight="1">
      <c r="C365" s="816"/>
      <c r="E365" s="816"/>
      <c r="AB365" s="821"/>
    </row>
    <row r="366" spans="3:28" ht="19.95" customHeight="1">
      <c r="C366" s="816"/>
      <c r="E366" s="816"/>
      <c r="AB366" s="821"/>
    </row>
    <row r="367" spans="3:28" ht="19.95" customHeight="1">
      <c r="C367" s="816"/>
      <c r="E367" s="816"/>
      <c r="AB367" s="821"/>
    </row>
    <row r="368" spans="3:28" ht="19.95" customHeight="1">
      <c r="C368" s="816"/>
      <c r="E368" s="816"/>
      <c r="AB368" s="821"/>
    </row>
    <row r="369" spans="3:28" ht="19.95" customHeight="1">
      <c r="C369" s="816"/>
      <c r="E369" s="816"/>
      <c r="AB369" s="821"/>
    </row>
    <row r="370" spans="3:28" ht="19.95" customHeight="1">
      <c r="C370" s="816"/>
      <c r="E370" s="816"/>
      <c r="AB370" s="821"/>
    </row>
    <row r="371" spans="3:28" ht="19.95" customHeight="1">
      <c r="C371" s="816"/>
      <c r="E371" s="816"/>
      <c r="AB371" s="821"/>
    </row>
    <row r="372" spans="3:28" ht="19.95" customHeight="1">
      <c r="C372" s="816"/>
      <c r="E372" s="816"/>
      <c r="AB372" s="821"/>
    </row>
    <row r="373" spans="3:28" ht="19.95" customHeight="1">
      <c r="C373" s="816"/>
      <c r="E373" s="816"/>
      <c r="AB373" s="821"/>
    </row>
    <row r="374" spans="3:28" ht="19.95" customHeight="1">
      <c r="C374" s="816"/>
      <c r="E374" s="816"/>
      <c r="AB374" s="821"/>
    </row>
    <row r="375" spans="3:28" ht="19.95" customHeight="1">
      <c r="C375" s="816"/>
      <c r="E375" s="816"/>
      <c r="AB375" s="821"/>
    </row>
    <row r="376" spans="3:28" ht="19.95" customHeight="1">
      <c r="C376" s="816"/>
      <c r="E376" s="816"/>
      <c r="AB376" s="821"/>
    </row>
    <row r="377" spans="3:28" ht="19.95" customHeight="1">
      <c r="C377" s="816"/>
      <c r="E377" s="816"/>
      <c r="AB377" s="821"/>
    </row>
    <row r="378" spans="3:28" ht="19.95" customHeight="1">
      <c r="C378" s="816"/>
      <c r="E378" s="816"/>
      <c r="AB378" s="821"/>
    </row>
    <row r="379" spans="3:28" ht="19.95" customHeight="1">
      <c r="C379" s="816"/>
      <c r="E379" s="816"/>
      <c r="AB379" s="821"/>
    </row>
    <row r="380" spans="3:28" ht="19.95" customHeight="1">
      <c r="C380" s="816"/>
      <c r="E380" s="816"/>
      <c r="AB380" s="821"/>
    </row>
    <row r="381" spans="3:28" ht="19.95" customHeight="1">
      <c r="C381" s="816"/>
      <c r="E381" s="816"/>
      <c r="AB381" s="821"/>
    </row>
    <row r="382" spans="3:28" ht="19.95" customHeight="1">
      <c r="C382" s="816"/>
      <c r="E382" s="816"/>
      <c r="AB382" s="821"/>
    </row>
    <row r="383" spans="3:28" ht="19.95" customHeight="1">
      <c r="C383" s="816"/>
      <c r="E383" s="816"/>
      <c r="AB383" s="821"/>
    </row>
    <row r="384" spans="3:28" ht="19.95" customHeight="1">
      <c r="C384" s="816"/>
      <c r="E384" s="816"/>
      <c r="AB384" s="821"/>
    </row>
    <row r="385" spans="3:28" ht="19.95" customHeight="1">
      <c r="C385" s="816"/>
      <c r="E385" s="816"/>
      <c r="AB385" s="821"/>
    </row>
    <row r="386" spans="3:28" ht="19.95" customHeight="1">
      <c r="C386" s="816"/>
      <c r="E386" s="816"/>
      <c r="AB386" s="821"/>
    </row>
    <row r="387" spans="3:28" ht="19.95" customHeight="1">
      <c r="C387" s="816"/>
      <c r="E387" s="816"/>
      <c r="AB387" s="821"/>
    </row>
    <row r="388" spans="3:28" ht="19.95" customHeight="1">
      <c r="C388" s="816"/>
      <c r="E388" s="816"/>
      <c r="AB388" s="821"/>
    </row>
    <row r="389" spans="3:28" ht="19.95" customHeight="1">
      <c r="C389" s="816"/>
      <c r="E389" s="816"/>
      <c r="AB389" s="821"/>
    </row>
    <row r="390" spans="3:28" ht="19.95" customHeight="1">
      <c r="C390" s="816"/>
      <c r="E390" s="816"/>
      <c r="AB390" s="821"/>
    </row>
    <row r="391" spans="3:28" ht="19.95" customHeight="1">
      <c r="C391" s="816"/>
      <c r="E391" s="816"/>
      <c r="AB391" s="821"/>
    </row>
    <row r="392" spans="3:28" ht="19.95" customHeight="1">
      <c r="C392" s="816"/>
      <c r="E392" s="816"/>
      <c r="AB392" s="821"/>
    </row>
    <row r="393" spans="3:28" ht="19.95" customHeight="1">
      <c r="C393" s="816"/>
      <c r="E393" s="816"/>
      <c r="AB393" s="821"/>
    </row>
    <row r="394" spans="3:28" ht="19.95" customHeight="1">
      <c r="C394" s="816"/>
      <c r="E394" s="816"/>
      <c r="AB394" s="821"/>
    </row>
    <row r="395" spans="3:28" ht="19.95" customHeight="1">
      <c r="C395" s="816"/>
      <c r="E395" s="816"/>
      <c r="AB395" s="821"/>
    </row>
    <row r="396" spans="3:28" ht="19.95" customHeight="1">
      <c r="C396" s="816"/>
      <c r="E396" s="816"/>
      <c r="AB396" s="821"/>
    </row>
    <row r="397" spans="3:28" ht="19.95" customHeight="1">
      <c r="C397" s="816"/>
      <c r="E397" s="816"/>
      <c r="AB397" s="821"/>
    </row>
    <row r="398" spans="3:28" ht="19.95" customHeight="1">
      <c r="C398" s="816"/>
      <c r="E398" s="816"/>
      <c r="AB398" s="821"/>
    </row>
    <row r="399" spans="3:28" ht="19.95" customHeight="1">
      <c r="C399" s="816"/>
      <c r="E399" s="816"/>
      <c r="AB399" s="821"/>
    </row>
    <row r="400" spans="3:28" ht="19.95" customHeight="1">
      <c r="C400" s="816"/>
      <c r="E400" s="816"/>
      <c r="AB400" s="821"/>
    </row>
    <row r="401" spans="3:28" ht="19.95" customHeight="1">
      <c r="C401" s="816"/>
      <c r="E401" s="816"/>
      <c r="AB401" s="821"/>
    </row>
    <row r="402" spans="3:28" ht="19.95" customHeight="1">
      <c r="C402" s="816"/>
      <c r="E402" s="816"/>
      <c r="AB402" s="821"/>
    </row>
    <row r="403" spans="3:28" ht="19.95" customHeight="1">
      <c r="C403" s="816"/>
      <c r="E403" s="816"/>
      <c r="AB403" s="821"/>
    </row>
    <row r="404" spans="3:28" ht="19.95" customHeight="1">
      <c r="C404" s="816"/>
      <c r="E404" s="816"/>
      <c r="AB404" s="821"/>
    </row>
    <row r="405" spans="3:28" ht="19.95" customHeight="1">
      <c r="C405" s="816"/>
      <c r="E405" s="816"/>
      <c r="AB405" s="821"/>
    </row>
    <row r="406" spans="3:28" ht="19.95" customHeight="1">
      <c r="C406" s="816"/>
      <c r="E406" s="816"/>
      <c r="AB406" s="821"/>
    </row>
    <row r="407" spans="3:28" ht="19.95" customHeight="1">
      <c r="C407" s="816"/>
      <c r="E407" s="816"/>
      <c r="AB407" s="821"/>
    </row>
    <row r="408" spans="3:28" ht="19.95" customHeight="1">
      <c r="C408" s="816"/>
      <c r="E408" s="816"/>
      <c r="AB408" s="821"/>
    </row>
    <row r="409" spans="3:28" ht="19.95" customHeight="1">
      <c r="C409" s="816"/>
      <c r="E409" s="816"/>
      <c r="AB409" s="821"/>
    </row>
    <row r="410" spans="3:28" ht="19.95" customHeight="1">
      <c r="C410" s="816"/>
      <c r="E410" s="816"/>
      <c r="AB410" s="821"/>
    </row>
    <row r="411" spans="3:28" ht="19.95" customHeight="1">
      <c r="C411" s="816"/>
      <c r="E411" s="816"/>
      <c r="AB411" s="821"/>
    </row>
    <row r="412" spans="3:28" ht="19.95" customHeight="1">
      <c r="C412" s="816"/>
      <c r="E412" s="816"/>
      <c r="AB412" s="821"/>
    </row>
    <row r="413" spans="3:28" ht="19.95" customHeight="1">
      <c r="C413" s="816"/>
      <c r="E413" s="816"/>
      <c r="AB413" s="821"/>
    </row>
    <row r="414" spans="3:28" ht="19.95" customHeight="1">
      <c r="C414" s="816"/>
      <c r="E414" s="816"/>
      <c r="AB414" s="821"/>
    </row>
    <row r="415" spans="3:28" ht="19.95" customHeight="1">
      <c r="C415" s="816"/>
      <c r="E415" s="816"/>
      <c r="AB415" s="821"/>
    </row>
    <row r="416" spans="3:28" ht="19.95" customHeight="1">
      <c r="C416" s="816"/>
      <c r="E416" s="816"/>
      <c r="AB416" s="821"/>
    </row>
    <row r="417" spans="3:28" ht="19.95" customHeight="1">
      <c r="C417" s="816"/>
      <c r="E417" s="816"/>
      <c r="AB417" s="821"/>
    </row>
    <row r="418" spans="3:28" ht="19.95" customHeight="1">
      <c r="C418" s="816"/>
      <c r="E418" s="816"/>
      <c r="AB418" s="821"/>
    </row>
    <row r="419" spans="3:28" ht="19.95" customHeight="1">
      <c r="C419" s="816"/>
      <c r="E419" s="816"/>
      <c r="AB419" s="821"/>
    </row>
    <row r="420" spans="3:28" ht="19.95" customHeight="1">
      <c r="C420" s="816"/>
      <c r="E420" s="816"/>
      <c r="AB420" s="821"/>
    </row>
    <row r="421" spans="3:28" ht="19.95" customHeight="1">
      <c r="C421" s="816"/>
      <c r="E421" s="816"/>
      <c r="AB421" s="821"/>
    </row>
    <row r="422" spans="3:28" ht="19.95" customHeight="1">
      <c r="C422" s="816"/>
      <c r="E422" s="816"/>
      <c r="AB422" s="821"/>
    </row>
    <row r="423" spans="3:28" ht="19.95" customHeight="1">
      <c r="C423" s="816"/>
      <c r="E423" s="816"/>
      <c r="AB423" s="821"/>
    </row>
    <row r="424" spans="3:28" ht="19.95" customHeight="1">
      <c r="C424" s="816"/>
      <c r="E424" s="816"/>
      <c r="AB424" s="821"/>
    </row>
    <row r="425" spans="3:28" ht="19.95" customHeight="1">
      <c r="C425" s="816"/>
      <c r="E425" s="816"/>
      <c r="AB425" s="821"/>
    </row>
    <row r="426" spans="3:28" ht="19.95" customHeight="1">
      <c r="C426" s="816"/>
      <c r="E426" s="816"/>
      <c r="AB426" s="821"/>
    </row>
    <row r="427" spans="3:28" ht="19.95" customHeight="1">
      <c r="C427" s="816"/>
      <c r="E427" s="816"/>
      <c r="AB427" s="821"/>
    </row>
    <row r="428" spans="3:28" ht="19.95" customHeight="1">
      <c r="C428" s="816"/>
      <c r="E428" s="816"/>
      <c r="AB428" s="821"/>
    </row>
    <row r="429" spans="3:28" ht="19.95" customHeight="1">
      <c r="C429" s="816"/>
      <c r="E429" s="816"/>
      <c r="AB429" s="821"/>
    </row>
    <row r="430" spans="3:28" ht="19.95" customHeight="1">
      <c r="C430" s="816"/>
      <c r="E430" s="816"/>
      <c r="AB430" s="821"/>
    </row>
    <row r="431" spans="3:28" ht="19.95" customHeight="1">
      <c r="C431" s="816"/>
      <c r="E431" s="816"/>
      <c r="AB431" s="821"/>
    </row>
    <row r="432" spans="3:28" ht="19.95" customHeight="1">
      <c r="C432" s="816"/>
      <c r="E432" s="816"/>
      <c r="AB432" s="821"/>
    </row>
    <row r="433" spans="3:28" ht="19.95" customHeight="1">
      <c r="C433" s="816"/>
      <c r="E433" s="816"/>
      <c r="AB433" s="821"/>
    </row>
    <row r="434" spans="3:28" ht="19.95" customHeight="1">
      <c r="C434" s="816"/>
      <c r="E434" s="816"/>
      <c r="AB434" s="821"/>
    </row>
    <row r="435" spans="3:28" ht="19.95" customHeight="1">
      <c r="C435" s="816"/>
      <c r="E435" s="816"/>
      <c r="AB435" s="821"/>
    </row>
    <row r="436" spans="3:28" ht="19.95" customHeight="1">
      <c r="C436" s="816"/>
      <c r="E436" s="816"/>
      <c r="AB436" s="821"/>
    </row>
    <row r="437" spans="3:28" ht="19.95" customHeight="1">
      <c r="C437" s="816"/>
      <c r="E437" s="816"/>
      <c r="AB437" s="821"/>
    </row>
    <row r="438" spans="3:28" ht="19.95" customHeight="1">
      <c r="C438" s="816"/>
      <c r="E438" s="816"/>
      <c r="AB438" s="821"/>
    </row>
    <row r="439" spans="3:28" ht="19.95" customHeight="1">
      <c r="C439" s="816"/>
      <c r="E439" s="816"/>
      <c r="AB439" s="821"/>
    </row>
    <row r="440" spans="3:28" ht="19.95" customHeight="1">
      <c r="C440" s="816"/>
      <c r="E440" s="816"/>
      <c r="AB440" s="821"/>
    </row>
    <row r="441" spans="3:28" ht="19.95" customHeight="1">
      <c r="C441" s="816"/>
      <c r="E441" s="816"/>
      <c r="AB441" s="821"/>
    </row>
    <row r="442" spans="3:28" ht="19.95" customHeight="1">
      <c r="C442" s="816"/>
      <c r="E442" s="816"/>
      <c r="AB442" s="821"/>
    </row>
    <row r="443" spans="3:28" ht="19.95" customHeight="1">
      <c r="C443" s="816"/>
      <c r="E443" s="816"/>
      <c r="AB443" s="821"/>
    </row>
    <row r="444" spans="3:28" ht="19.95" customHeight="1">
      <c r="C444" s="816"/>
      <c r="E444" s="816"/>
      <c r="AB444" s="821"/>
    </row>
    <row r="445" spans="3:28" ht="19.95" customHeight="1">
      <c r="C445" s="816"/>
      <c r="E445" s="816"/>
      <c r="AB445" s="821"/>
    </row>
    <row r="446" spans="3:28" ht="19.95" customHeight="1">
      <c r="C446" s="816"/>
      <c r="E446" s="816"/>
      <c r="AB446" s="821"/>
    </row>
    <row r="447" spans="3:28" ht="19.95" customHeight="1">
      <c r="C447" s="816"/>
      <c r="E447" s="816"/>
      <c r="AB447" s="821"/>
    </row>
    <row r="448" spans="3:28" ht="19.95" customHeight="1">
      <c r="C448" s="816"/>
      <c r="E448" s="816"/>
      <c r="AB448" s="821"/>
    </row>
    <row r="449" spans="3:28" ht="19.95" customHeight="1">
      <c r="C449" s="816"/>
      <c r="E449" s="816"/>
      <c r="AB449" s="821"/>
    </row>
    <row r="450" spans="3:28" ht="19.95" customHeight="1">
      <c r="C450" s="816"/>
      <c r="E450" s="816"/>
      <c r="AB450" s="821"/>
    </row>
    <row r="451" spans="3:28" ht="19.95" customHeight="1">
      <c r="C451" s="816"/>
      <c r="E451" s="816"/>
      <c r="AB451" s="821"/>
    </row>
    <row r="452" spans="3:28" ht="19.95" customHeight="1">
      <c r="C452" s="816"/>
      <c r="E452" s="816"/>
      <c r="AB452" s="821"/>
    </row>
    <row r="453" spans="3:28" ht="19.95" customHeight="1">
      <c r="C453" s="816"/>
      <c r="E453" s="816"/>
      <c r="AB453" s="821"/>
    </row>
    <row r="454" spans="3:28" ht="19.95" customHeight="1">
      <c r="C454" s="816"/>
      <c r="E454" s="816"/>
      <c r="AB454" s="821"/>
    </row>
    <row r="455" spans="3:28" ht="19.95" customHeight="1">
      <c r="C455" s="816"/>
      <c r="E455" s="816"/>
      <c r="AB455" s="821"/>
    </row>
    <row r="456" spans="3:28" ht="19.95" customHeight="1">
      <c r="C456" s="816"/>
      <c r="E456" s="816"/>
      <c r="AB456" s="821"/>
    </row>
    <row r="457" spans="3:28" ht="19.95" customHeight="1">
      <c r="C457" s="816"/>
      <c r="E457" s="816"/>
      <c r="AB457" s="821"/>
    </row>
    <row r="458" spans="3:28" ht="19.95" customHeight="1">
      <c r="C458" s="816"/>
      <c r="E458" s="816"/>
      <c r="AB458" s="821"/>
    </row>
    <row r="459" spans="3:28" ht="19.95" customHeight="1">
      <c r="C459" s="816"/>
      <c r="E459" s="816"/>
      <c r="AB459" s="821"/>
    </row>
    <row r="460" spans="3:28" ht="19.95" customHeight="1">
      <c r="C460" s="816"/>
      <c r="E460" s="816"/>
      <c r="AB460" s="821"/>
    </row>
    <row r="461" spans="3:28" ht="19.95" customHeight="1">
      <c r="C461" s="816"/>
      <c r="E461" s="816"/>
      <c r="AB461" s="821"/>
    </row>
    <row r="462" spans="3:28" ht="19.95" customHeight="1">
      <c r="C462" s="816"/>
      <c r="E462" s="816"/>
      <c r="AB462" s="821"/>
    </row>
    <row r="463" spans="3:28" ht="19.95" customHeight="1">
      <c r="C463" s="816"/>
      <c r="E463" s="816"/>
      <c r="AB463" s="821"/>
    </row>
    <row r="464" spans="3:28" ht="19.95" customHeight="1">
      <c r="C464" s="816"/>
      <c r="E464" s="816"/>
      <c r="AB464" s="821"/>
    </row>
    <row r="465" spans="3:28" ht="19.95" customHeight="1">
      <c r="C465" s="816"/>
      <c r="E465" s="816"/>
      <c r="AB465" s="821"/>
    </row>
    <row r="466" spans="3:28" ht="19.95" customHeight="1">
      <c r="C466" s="816"/>
      <c r="E466" s="816"/>
      <c r="AB466" s="821"/>
    </row>
    <row r="467" spans="3:28" ht="19.95" customHeight="1">
      <c r="C467" s="816"/>
      <c r="E467" s="816"/>
      <c r="AB467" s="821"/>
    </row>
    <row r="468" spans="3:28" ht="19.95" customHeight="1">
      <c r="C468" s="816"/>
      <c r="E468" s="816"/>
      <c r="AB468" s="821"/>
    </row>
    <row r="469" spans="3:28" ht="19.95" customHeight="1">
      <c r="C469" s="816"/>
      <c r="E469" s="816"/>
      <c r="AB469" s="821"/>
    </row>
    <row r="470" spans="3:28" ht="19.95" customHeight="1">
      <c r="C470" s="816"/>
      <c r="E470" s="816"/>
      <c r="AB470" s="821"/>
    </row>
    <row r="471" spans="3:28" ht="19.95" customHeight="1">
      <c r="C471" s="816"/>
      <c r="E471" s="816"/>
      <c r="AB471" s="821"/>
    </row>
    <row r="472" spans="3:28" ht="19.95" customHeight="1">
      <c r="C472" s="816"/>
      <c r="E472" s="816"/>
      <c r="AB472" s="821"/>
    </row>
    <row r="473" spans="3:28" ht="19.95" customHeight="1">
      <c r="C473" s="816"/>
      <c r="E473" s="816"/>
      <c r="AB473" s="821"/>
    </row>
    <row r="474" spans="3:28" ht="19.95" customHeight="1">
      <c r="C474" s="816"/>
      <c r="E474" s="816"/>
      <c r="AB474" s="821"/>
    </row>
    <row r="475" spans="3:28" ht="19.95" customHeight="1">
      <c r="C475" s="816"/>
      <c r="E475" s="816"/>
      <c r="AB475" s="821"/>
    </row>
    <row r="476" spans="3:28" ht="19.95" customHeight="1">
      <c r="C476" s="816"/>
      <c r="E476" s="816"/>
      <c r="AB476" s="821"/>
    </row>
    <row r="477" spans="3:28" ht="19.95" customHeight="1">
      <c r="C477" s="816"/>
      <c r="E477" s="816"/>
      <c r="AB477" s="821"/>
    </row>
    <row r="478" spans="3:28" ht="19.95" customHeight="1">
      <c r="C478" s="816"/>
      <c r="E478" s="816"/>
      <c r="AB478" s="821"/>
    </row>
    <row r="479" spans="3:28" ht="19.95" customHeight="1">
      <c r="C479" s="816"/>
      <c r="E479" s="816"/>
      <c r="AB479" s="821"/>
    </row>
    <row r="480" spans="3:28" ht="19.95" customHeight="1">
      <c r="C480" s="816"/>
      <c r="E480" s="816"/>
      <c r="AB480" s="821"/>
    </row>
    <row r="481" spans="3:28" ht="19.95" customHeight="1">
      <c r="C481" s="816"/>
      <c r="E481" s="816"/>
      <c r="AB481" s="821"/>
    </row>
    <row r="482" spans="3:28" ht="19.95" customHeight="1">
      <c r="C482" s="816"/>
      <c r="E482" s="816"/>
      <c r="AB482" s="821"/>
    </row>
    <row r="483" spans="3:28" ht="19.95" customHeight="1">
      <c r="C483" s="816"/>
      <c r="E483" s="816"/>
      <c r="AB483" s="821"/>
    </row>
    <row r="484" spans="3:28" ht="19.95" customHeight="1">
      <c r="C484" s="816"/>
      <c r="E484" s="816"/>
      <c r="AB484" s="821"/>
    </row>
    <row r="485" spans="3:28" ht="19.95" customHeight="1">
      <c r="C485" s="816"/>
      <c r="E485" s="816"/>
      <c r="AB485" s="821"/>
    </row>
    <row r="486" spans="3:28" ht="19.95" customHeight="1">
      <c r="C486" s="816"/>
      <c r="E486" s="816"/>
      <c r="AB486" s="821"/>
    </row>
    <row r="487" spans="3:28" ht="19.95" customHeight="1">
      <c r="C487" s="816"/>
      <c r="E487" s="816"/>
      <c r="AB487" s="821"/>
    </row>
    <row r="488" spans="3:28" ht="19.95" customHeight="1">
      <c r="C488" s="816"/>
      <c r="E488" s="816"/>
      <c r="AB488" s="821"/>
    </row>
    <row r="489" spans="3:28" ht="19.95" customHeight="1">
      <c r="C489" s="816"/>
      <c r="E489" s="816"/>
      <c r="AB489" s="821"/>
    </row>
    <row r="490" spans="3:28" ht="19.95" customHeight="1">
      <c r="C490" s="816"/>
      <c r="E490" s="816"/>
      <c r="AB490" s="821"/>
    </row>
    <row r="491" spans="3:28" ht="19.95" customHeight="1">
      <c r="C491" s="816"/>
      <c r="E491" s="816"/>
      <c r="AB491" s="821"/>
    </row>
    <row r="492" spans="3:28" ht="19.95" customHeight="1">
      <c r="C492" s="816"/>
      <c r="E492" s="816"/>
      <c r="AB492" s="821"/>
    </row>
    <row r="493" spans="3:28" ht="19.95" customHeight="1">
      <c r="C493" s="816"/>
      <c r="E493" s="816"/>
      <c r="AB493" s="821"/>
    </row>
    <row r="494" spans="3:28" ht="19.95" customHeight="1">
      <c r="C494" s="816"/>
      <c r="E494" s="816"/>
      <c r="AB494" s="821"/>
    </row>
    <row r="495" spans="3:28" ht="19.95" customHeight="1">
      <c r="C495" s="816"/>
      <c r="E495" s="816"/>
      <c r="AB495" s="821"/>
    </row>
    <row r="496" spans="3:28" ht="19.95" customHeight="1">
      <c r="C496" s="816"/>
      <c r="E496" s="816"/>
      <c r="AB496" s="821"/>
    </row>
    <row r="497" spans="3:28" ht="19.95" customHeight="1">
      <c r="C497" s="816"/>
      <c r="E497" s="816"/>
      <c r="AB497" s="821"/>
    </row>
    <row r="498" spans="3:28" ht="19.95" customHeight="1">
      <c r="C498" s="816"/>
      <c r="E498" s="816"/>
      <c r="AB498" s="821"/>
    </row>
    <row r="499" spans="3:28" ht="19.95" customHeight="1">
      <c r="C499" s="816"/>
      <c r="E499" s="816"/>
      <c r="AB499" s="821"/>
    </row>
    <row r="500" spans="3:28" ht="19.95" customHeight="1">
      <c r="C500" s="816"/>
      <c r="E500" s="816"/>
      <c r="AB500" s="821"/>
    </row>
    <row r="501" spans="3:28" ht="19.95" customHeight="1">
      <c r="C501" s="816"/>
      <c r="E501" s="816"/>
      <c r="AB501" s="821"/>
    </row>
    <row r="502" spans="3:28" ht="19.95" customHeight="1">
      <c r="C502" s="816"/>
      <c r="E502" s="816"/>
      <c r="AB502" s="821"/>
    </row>
    <row r="503" spans="3:28" ht="19.95" customHeight="1">
      <c r="C503" s="816"/>
      <c r="E503" s="816"/>
      <c r="AB503" s="821"/>
    </row>
    <row r="504" spans="3:28" ht="19.95" customHeight="1">
      <c r="C504" s="816"/>
      <c r="E504" s="816"/>
      <c r="AB504" s="821"/>
    </row>
    <row r="505" spans="3:28" ht="19.95" customHeight="1">
      <c r="C505" s="816"/>
      <c r="E505" s="816"/>
      <c r="AB505" s="821"/>
    </row>
    <row r="506" spans="3:28" ht="19.95" customHeight="1">
      <c r="C506" s="816"/>
      <c r="E506" s="816"/>
      <c r="AB506" s="821"/>
    </row>
    <row r="507" spans="3:28" ht="19.95" customHeight="1">
      <c r="C507" s="816"/>
      <c r="E507" s="816"/>
      <c r="AB507" s="821"/>
    </row>
    <row r="508" spans="3:28" ht="19.95" customHeight="1">
      <c r="C508" s="816"/>
      <c r="E508" s="816"/>
      <c r="AB508" s="821"/>
    </row>
    <row r="509" spans="3:28" ht="19.95" customHeight="1">
      <c r="C509" s="816"/>
      <c r="E509" s="816"/>
      <c r="AB509" s="821"/>
    </row>
    <row r="510" spans="3:28" ht="19.95" customHeight="1">
      <c r="C510" s="816"/>
      <c r="E510" s="816"/>
      <c r="AB510" s="821"/>
    </row>
    <row r="511" spans="3:28" ht="19.95" customHeight="1">
      <c r="C511" s="816"/>
      <c r="E511" s="816"/>
      <c r="AB511" s="821"/>
    </row>
    <row r="512" spans="3:28" ht="19.95" customHeight="1">
      <c r="C512" s="816"/>
      <c r="E512" s="816"/>
      <c r="AB512" s="821"/>
    </row>
    <row r="513" spans="3:28" ht="19.95" customHeight="1">
      <c r="C513" s="816"/>
      <c r="E513" s="816"/>
      <c r="AB513" s="821"/>
    </row>
    <row r="514" spans="3:28" ht="19.95" customHeight="1">
      <c r="C514" s="816"/>
      <c r="E514" s="816"/>
      <c r="AB514" s="821"/>
    </row>
    <row r="515" spans="3:28" ht="19.95" customHeight="1">
      <c r="C515" s="816"/>
      <c r="E515" s="816"/>
      <c r="AB515" s="821"/>
    </row>
    <row r="516" spans="3:28" ht="19.95" customHeight="1">
      <c r="C516" s="816"/>
      <c r="E516" s="816"/>
      <c r="AB516" s="821"/>
    </row>
    <row r="517" spans="3:28" ht="19.95" customHeight="1">
      <c r="C517" s="816"/>
      <c r="E517" s="816"/>
      <c r="AB517" s="821"/>
    </row>
    <row r="518" spans="3:28" ht="19.95" customHeight="1">
      <c r="C518" s="816"/>
      <c r="E518" s="816"/>
      <c r="AB518" s="821"/>
    </row>
    <row r="519" spans="3:28" ht="19.95" customHeight="1">
      <c r="C519" s="816"/>
      <c r="E519" s="816"/>
      <c r="AB519" s="821"/>
    </row>
    <row r="520" spans="3:28" ht="19.95" customHeight="1">
      <c r="C520" s="816"/>
      <c r="E520" s="816"/>
      <c r="AB520" s="821"/>
    </row>
    <row r="521" spans="3:28" ht="19.95" customHeight="1">
      <c r="C521" s="816"/>
      <c r="E521" s="816"/>
      <c r="AB521" s="821"/>
    </row>
    <row r="522" spans="3:28" ht="19.95" customHeight="1">
      <c r="C522" s="816"/>
      <c r="E522" s="816"/>
      <c r="AB522" s="821"/>
    </row>
    <row r="523" spans="3:28" ht="19.95" customHeight="1">
      <c r="C523" s="816"/>
      <c r="E523" s="816"/>
      <c r="AB523" s="821"/>
    </row>
    <row r="524" spans="3:28" ht="19.95" customHeight="1">
      <c r="C524" s="816"/>
      <c r="E524" s="816"/>
      <c r="AB524" s="821"/>
    </row>
    <row r="525" spans="3:28" ht="19.95" customHeight="1">
      <c r="C525" s="816"/>
      <c r="E525" s="816"/>
      <c r="AB525" s="821"/>
    </row>
    <row r="526" spans="3:28" ht="19.95" customHeight="1">
      <c r="C526" s="816"/>
      <c r="E526" s="816"/>
      <c r="AB526" s="821"/>
    </row>
    <row r="527" spans="3:28" ht="19.95" customHeight="1">
      <c r="C527" s="816"/>
      <c r="E527" s="816"/>
      <c r="AB527" s="821"/>
    </row>
    <row r="528" spans="3:28" ht="19.95" customHeight="1">
      <c r="C528" s="816"/>
      <c r="E528" s="816"/>
      <c r="AB528" s="821"/>
    </row>
    <row r="529" spans="3:28" ht="19.95" customHeight="1">
      <c r="C529" s="816"/>
      <c r="E529" s="816"/>
      <c r="AB529" s="821"/>
    </row>
    <row r="530" spans="3:28" ht="19.95" customHeight="1">
      <c r="C530" s="816"/>
      <c r="E530" s="816"/>
      <c r="AB530" s="821"/>
    </row>
    <row r="531" spans="3:28" ht="19.95" customHeight="1">
      <c r="C531" s="816"/>
      <c r="E531" s="816"/>
      <c r="AB531" s="821"/>
    </row>
    <row r="532" spans="3:28" ht="19.95" customHeight="1">
      <c r="C532" s="816"/>
      <c r="E532" s="816"/>
      <c r="AB532" s="821"/>
    </row>
    <row r="533" spans="3:28" ht="19.95" customHeight="1">
      <c r="C533" s="816"/>
      <c r="E533" s="816"/>
      <c r="AB533" s="821"/>
    </row>
    <row r="534" spans="3:28" ht="19.95" customHeight="1">
      <c r="C534" s="816"/>
      <c r="E534" s="816"/>
      <c r="AB534" s="821"/>
    </row>
    <row r="535" spans="3:28" ht="19.95" customHeight="1">
      <c r="C535" s="816"/>
      <c r="E535" s="816"/>
      <c r="AB535" s="821"/>
    </row>
    <row r="536" spans="3:28" ht="19.95" customHeight="1">
      <c r="C536" s="816"/>
      <c r="E536" s="816"/>
      <c r="AB536" s="821"/>
    </row>
    <row r="537" spans="3:28" ht="19.95" customHeight="1">
      <c r="C537" s="816"/>
      <c r="E537" s="816"/>
      <c r="AB537" s="821"/>
    </row>
    <row r="538" spans="3:28" ht="19.95" customHeight="1">
      <c r="C538" s="816"/>
      <c r="E538" s="816"/>
      <c r="AB538" s="821"/>
    </row>
    <row r="539" spans="3:28" ht="19.95" customHeight="1">
      <c r="C539" s="816"/>
      <c r="E539" s="816"/>
      <c r="AB539" s="821"/>
    </row>
    <row r="540" spans="3:28" ht="19.95" customHeight="1">
      <c r="C540" s="816"/>
      <c r="E540" s="816"/>
      <c r="AB540" s="821"/>
    </row>
    <row r="541" spans="3:28" ht="19.95" customHeight="1">
      <c r="C541" s="816"/>
      <c r="E541" s="816"/>
      <c r="AB541" s="821"/>
    </row>
    <row r="542" spans="3:28" ht="19.95" customHeight="1">
      <c r="C542" s="816"/>
      <c r="E542" s="816"/>
      <c r="AB542" s="821"/>
    </row>
    <row r="543" spans="3:28" ht="19.95" customHeight="1">
      <c r="C543" s="816"/>
      <c r="E543" s="816"/>
      <c r="AB543" s="821"/>
    </row>
    <row r="544" spans="3:28" ht="19.95" customHeight="1">
      <c r="C544" s="816"/>
      <c r="E544" s="816"/>
      <c r="AB544" s="821"/>
    </row>
    <row r="545" spans="3:28" ht="19.95" customHeight="1">
      <c r="C545" s="816"/>
      <c r="E545" s="816"/>
      <c r="AB545" s="821"/>
    </row>
    <row r="546" spans="3:28" ht="19.95" customHeight="1">
      <c r="C546" s="816"/>
      <c r="E546" s="816"/>
      <c r="AB546" s="821"/>
    </row>
    <row r="547" spans="3:28" ht="19.95" customHeight="1">
      <c r="C547" s="816"/>
      <c r="E547" s="816"/>
      <c r="AB547" s="821"/>
    </row>
    <row r="548" spans="3:28" ht="19.95" customHeight="1">
      <c r="C548" s="816"/>
      <c r="E548" s="816"/>
      <c r="AB548" s="821"/>
    </row>
    <row r="549" spans="3:28" ht="19.95" customHeight="1">
      <c r="C549" s="816"/>
      <c r="E549" s="816"/>
      <c r="AB549" s="821"/>
    </row>
    <row r="550" spans="3:28" ht="19.95" customHeight="1">
      <c r="C550" s="816"/>
      <c r="E550" s="816"/>
      <c r="AB550" s="821"/>
    </row>
    <row r="551" spans="3:28" ht="19.95" customHeight="1">
      <c r="C551" s="816"/>
      <c r="E551" s="816"/>
      <c r="AB551" s="821"/>
    </row>
    <row r="552" spans="3:28" ht="19.95" customHeight="1">
      <c r="C552" s="816"/>
      <c r="E552" s="816"/>
      <c r="AB552" s="821"/>
    </row>
    <row r="553" spans="3:28" ht="19.95" customHeight="1">
      <c r="C553" s="816"/>
      <c r="E553" s="816"/>
      <c r="AB553" s="821"/>
    </row>
    <row r="554" spans="3:28" ht="19.95" customHeight="1">
      <c r="C554" s="816"/>
      <c r="E554" s="816"/>
      <c r="AB554" s="821"/>
    </row>
    <row r="555" spans="3:28" ht="19.95" customHeight="1">
      <c r="C555" s="816"/>
      <c r="E555" s="816"/>
      <c r="AB555" s="821"/>
    </row>
    <row r="556" spans="3:28" ht="19.95" customHeight="1">
      <c r="C556" s="816"/>
      <c r="E556" s="816"/>
      <c r="AB556" s="821"/>
    </row>
    <row r="557" spans="3:28" ht="19.95" customHeight="1">
      <c r="C557" s="816"/>
      <c r="E557" s="816"/>
      <c r="AB557" s="821"/>
    </row>
    <row r="558" spans="3:28" ht="19.95" customHeight="1">
      <c r="C558" s="816"/>
      <c r="E558" s="816"/>
      <c r="AB558" s="821"/>
    </row>
    <row r="559" spans="3:28" ht="19.95" customHeight="1">
      <c r="C559" s="816"/>
      <c r="E559" s="816"/>
      <c r="AB559" s="821"/>
    </row>
    <row r="560" spans="3:28" ht="19.95" customHeight="1">
      <c r="C560" s="816"/>
      <c r="E560" s="816"/>
      <c r="AB560" s="821"/>
    </row>
    <row r="561" spans="3:28" ht="19.95" customHeight="1">
      <c r="C561" s="816"/>
      <c r="E561" s="816"/>
      <c r="AB561" s="821"/>
    </row>
    <row r="562" spans="3:28" ht="19.95" customHeight="1">
      <c r="C562" s="816"/>
      <c r="E562" s="816"/>
      <c r="AB562" s="821"/>
    </row>
    <row r="563" spans="3:28" ht="19.95" customHeight="1">
      <c r="C563" s="816"/>
      <c r="E563" s="816"/>
      <c r="AB563" s="821"/>
    </row>
    <row r="564" spans="3:28" ht="19.95" customHeight="1">
      <c r="C564" s="816"/>
      <c r="E564" s="816"/>
      <c r="AB564" s="821"/>
    </row>
    <row r="565" spans="3:28" ht="19.95" customHeight="1">
      <c r="C565" s="816"/>
      <c r="E565" s="816"/>
      <c r="AB565" s="821"/>
    </row>
    <row r="566" spans="3:28" ht="19.95" customHeight="1">
      <c r="C566" s="816"/>
      <c r="E566" s="816"/>
      <c r="AB566" s="821"/>
    </row>
    <row r="567" spans="3:28" ht="19.95" customHeight="1">
      <c r="C567" s="816"/>
      <c r="E567" s="816"/>
      <c r="AB567" s="821"/>
    </row>
    <row r="568" spans="3:28" ht="19.95" customHeight="1">
      <c r="C568" s="816"/>
      <c r="E568" s="816"/>
      <c r="AB568" s="821"/>
    </row>
    <row r="569" spans="3:28" ht="19.95" customHeight="1">
      <c r="C569" s="816"/>
      <c r="E569" s="816"/>
      <c r="AB569" s="821"/>
    </row>
    <row r="570" spans="3:28" ht="19.95" customHeight="1">
      <c r="C570" s="816"/>
      <c r="E570" s="816"/>
      <c r="AB570" s="821"/>
    </row>
    <row r="571" spans="3:28" ht="19.95" customHeight="1">
      <c r="C571" s="816"/>
      <c r="E571" s="816"/>
      <c r="AB571" s="821"/>
    </row>
    <row r="572" spans="3:28" ht="19.95" customHeight="1">
      <c r="C572" s="816"/>
      <c r="E572" s="816"/>
      <c r="AB572" s="821"/>
    </row>
    <row r="573" spans="3:28" ht="19.95" customHeight="1">
      <c r="C573" s="816"/>
      <c r="E573" s="816"/>
      <c r="AB573" s="821"/>
    </row>
    <row r="574" spans="3:28" ht="19.95" customHeight="1">
      <c r="C574" s="816"/>
      <c r="E574" s="816"/>
      <c r="AB574" s="821"/>
    </row>
    <row r="575" spans="3:28" ht="19.95" customHeight="1">
      <c r="C575" s="816"/>
      <c r="E575" s="816"/>
      <c r="AB575" s="821"/>
    </row>
    <row r="576" spans="3:28" ht="19.95" customHeight="1">
      <c r="C576" s="816"/>
      <c r="E576" s="816"/>
      <c r="AB576" s="821"/>
    </row>
    <row r="577" spans="3:28" ht="19.95" customHeight="1">
      <c r="C577" s="816"/>
      <c r="E577" s="816"/>
      <c r="AB577" s="821"/>
    </row>
    <row r="578" spans="3:28" ht="19.95" customHeight="1">
      <c r="C578" s="816"/>
      <c r="E578" s="816"/>
      <c r="AB578" s="821"/>
    </row>
    <row r="579" spans="3:28" ht="19.95" customHeight="1">
      <c r="C579" s="816"/>
      <c r="E579" s="816"/>
      <c r="AB579" s="821"/>
    </row>
    <row r="580" spans="3:28" ht="19.95" customHeight="1">
      <c r="C580" s="816"/>
      <c r="E580" s="816"/>
      <c r="AB580" s="821"/>
    </row>
    <row r="581" spans="3:28" ht="19.95" customHeight="1">
      <c r="C581" s="816"/>
      <c r="E581" s="816"/>
      <c r="AB581" s="821"/>
    </row>
    <row r="582" spans="3:28" ht="19.95" customHeight="1">
      <c r="C582" s="816"/>
      <c r="E582" s="816"/>
      <c r="AB582" s="821"/>
    </row>
    <row r="583" spans="3:28" ht="19.95" customHeight="1">
      <c r="C583" s="816"/>
      <c r="E583" s="816"/>
      <c r="AB583" s="821"/>
    </row>
    <row r="584" spans="3:28" ht="19.95" customHeight="1">
      <c r="C584" s="816"/>
      <c r="E584" s="816"/>
      <c r="AB584" s="821"/>
    </row>
    <row r="585" spans="3:28" ht="19.95" customHeight="1">
      <c r="C585" s="816"/>
      <c r="E585" s="816"/>
      <c r="AB585" s="821"/>
    </row>
    <row r="586" spans="3:28" ht="19.95" customHeight="1">
      <c r="C586" s="816"/>
      <c r="E586" s="816"/>
      <c r="AB586" s="821"/>
    </row>
    <row r="587" spans="3:28" ht="19.95" customHeight="1">
      <c r="C587" s="816"/>
      <c r="E587" s="816"/>
      <c r="AB587" s="821"/>
    </row>
    <row r="588" spans="3:28" ht="19.95" customHeight="1">
      <c r="C588" s="816"/>
      <c r="E588" s="816"/>
      <c r="AB588" s="821"/>
    </row>
    <row r="589" spans="3:28" ht="19.95" customHeight="1">
      <c r="C589" s="816"/>
      <c r="E589" s="816"/>
      <c r="AB589" s="821"/>
    </row>
    <row r="590" spans="3:28" ht="19.95" customHeight="1">
      <c r="C590" s="816"/>
      <c r="E590" s="816"/>
      <c r="AB590" s="821"/>
    </row>
    <row r="591" spans="3:28" ht="19.95" customHeight="1">
      <c r="C591" s="816"/>
      <c r="E591" s="816"/>
      <c r="AB591" s="821"/>
    </row>
    <row r="592" spans="3:28" ht="19.95" customHeight="1">
      <c r="C592" s="816"/>
      <c r="E592" s="816"/>
      <c r="AB592" s="821"/>
    </row>
    <row r="593" spans="3:28" ht="19.95" customHeight="1">
      <c r="C593" s="816"/>
      <c r="E593" s="816"/>
      <c r="AB593" s="821"/>
    </row>
    <row r="594" spans="3:28" ht="19.95" customHeight="1">
      <c r="C594" s="816"/>
      <c r="E594" s="816"/>
      <c r="AB594" s="821"/>
    </row>
    <row r="595" spans="3:28" ht="19.95" customHeight="1">
      <c r="C595" s="816"/>
      <c r="E595" s="816"/>
      <c r="AB595" s="821"/>
    </row>
    <row r="596" spans="3:28" ht="19.95" customHeight="1">
      <c r="C596" s="816"/>
      <c r="E596" s="816"/>
      <c r="AB596" s="821"/>
    </row>
    <row r="597" spans="3:28" ht="19.95" customHeight="1">
      <c r="C597" s="816"/>
      <c r="E597" s="816"/>
      <c r="AB597" s="821"/>
    </row>
    <row r="598" spans="3:28" ht="19.95" customHeight="1">
      <c r="C598" s="816"/>
      <c r="E598" s="816"/>
      <c r="AB598" s="821"/>
    </row>
    <row r="599" spans="3:28" ht="19.95" customHeight="1">
      <c r="C599" s="816"/>
      <c r="E599" s="816"/>
      <c r="AB599" s="821"/>
    </row>
    <row r="600" spans="3:28" ht="19.95" customHeight="1">
      <c r="C600" s="816"/>
      <c r="E600" s="816"/>
      <c r="AB600" s="821"/>
    </row>
    <row r="601" spans="3:28" ht="19.95" customHeight="1">
      <c r="C601" s="816"/>
      <c r="E601" s="816"/>
      <c r="AB601" s="821"/>
    </row>
    <row r="602" spans="3:28" ht="19.95" customHeight="1">
      <c r="C602" s="816"/>
      <c r="E602" s="816"/>
      <c r="AB602" s="821"/>
    </row>
    <row r="603" spans="3:28" ht="19.95" customHeight="1">
      <c r="C603" s="816"/>
      <c r="E603" s="816"/>
      <c r="AB603" s="821"/>
    </row>
    <row r="604" spans="3:28" ht="19.95" customHeight="1">
      <c r="C604" s="816"/>
      <c r="E604" s="816"/>
      <c r="AB604" s="821"/>
    </row>
    <row r="605" spans="3:28" ht="19.95" customHeight="1">
      <c r="C605" s="816"/>
      <c r="E605" s="816"/>
      <c r="AB605" s="821"/>
    </row>
    <row r="606" spans="3:28" ht="19.95" customHeight="1">
      <c r="C606" s="816"/>
      <c r="E606" s="816"/>
      <c r="AB606" s="821"/>
    </row>
    <row r="607" spans="3:28" ht="19.95" customHeight="1">
      <c r="C607" s="816"/>
      <c r="E607" s="816"/>
      <c r="AB607" s="821"/>
    </row>
    <row r="608" spans="3:28" ht="19.95" customHeight="1">
      <c r="C608" s="816"/>
      <c r="E608" s="816"/>
      <c r="AB608" s="821"/>
    </row>
    <row r="609" spans="3:28" ht="19.95" customHeight="1">
      <c r="C609" s="816"/>
      <c r="E609" s="816"/>
      <c r="AB609" s="821"/>
    </row>
    <row r="610" spans="3:28" ht="19.95" customHeight="1">
      <c r="C610" s="816"/>
      <c r="E610" s="816"/>
      <c r="AB610" s="821"/>
    </row>
    <row r="611" spans="3:28" ht="19.95" customHeight="1">
      <c r="C611" s="816"/>
      <c r="E611" s="816"/>
      <c r="AB611" s="821"/>
    </row>
    <row r="612" spans="3:28" ht="19.95" customHeight="1">
      <c r="C612" s="816"/>
      <c r="E612" s="816"/>
      <c r="AB612" s="821"/>
    </row>
    <row r="613" spans="3:28" ht="19.95" customHeight="1">
      <c r="C613" s="816"/>
      <c r="E613" s="816"/>
      <c r="AB613" s="821"/>
    </row>
    <row r="614" spans="3:28" ht="19.95" customHeight="1">
      <c r="C614" s="816"/>
      <c r="E614" s="816"/>
      <c r="AB614" s="821"/>
    </row>
    <row r="615" spans="3:28" ht="19.95" customHeight="1">
      <c r="C615" s="816"/>
      <c r="E615" s="816"/>
      <c r="AB615" s="821"/>
    </row>
    <row r="616" spans="3:28" ht="19.95" customHeight="1">
      <c r="C616" s="816"/>
      <c r="E616" s="816"/>
      <c r="AB616" s="821"/>
    </row>
    <row r="617" spans="3:28" ht="19.95" customHeight="1">
      <c r="C617" s="816"/>
      <c r="E617" s="816"/>
      <c r="AB617" s="821"/>
    </row>
    <row r="618" spans="3:28" ht="19.95" customHeight="1">
      <c r="C618" s="816"/>
      <c r="E618" s="816"/>
      <c r="AB618" s="821"/>
    </row>
    <row r="619" spans="3:28" ht="19.95" customHeight="1">
      <c r="C619" s="816"/>
      <c r="E619" s="816"/>
      <c r="AB619" s="821"/>
    </row>
    <row r="620" spans="3:28" ht="19.95" customHeight="1">
      <c r="C620" s="816"/>
      <c r="E620" s="816"/>
      <c r="AB620" s="821"/>
    </row>
    <row r="621" spans="3:28" ht="19.95" customHeight="1">
      <c r="C621" s="816"/>
      <c r="E621" s="816"/>
      <c r="AB621" s="821"/>
    </row>
    <row r="622" spans="3:28" ht="19.95" customHeight="1">
      <c r="C622" s="816"/>
      <c r="E622" s="816"/>
      <c r="AB622" s="821"/>
    </row>
    <row r="623" spans="3:28" ht="19.95" customHeight="1">
      <c r="C623" s="816"/>
      <c r="E623" s="816"/>
      <c r="AB623" s="821"/>
    </row>
    <row r="624" spans="3:28" ht="19.95" customHeight="1">
      <c r="C624" s="816"/>
      <c r="E624" s="816"/>
      <c r="AB624" s="821"/>
    </row>
    <row r="625" spans="3:28" ht="19.95" customHeight="1">
      <c r="C625" s="816"/>
      <c r="E625" s="816"/>
      <c r="AB625" s="821"/>
    </row>
    <row r="626" spans="3:28" ht="19.95" customHeight="1">
      <c r="C626" s="816"/>
      <c r="E626" s="816"/>
      <c r="AB626" s="821"/>
    </row>
    <row r="627" spans="3:28" ht="19.95" customHeight="1">
      <c r="C627" s="816"/>
      <c r="E627" s="816"/>
      <c r="AB627" s="821"/>
    </row>
    <row r="628" spans="3:28" ht="19.95" customHeight="1">
      <c r="C628" s="816"/>
      <c r="E628" s="816"/>
      <c r="AB628" s="821"/>
    </row>
    <row r="629" spans="3:28" ht="19.95" customHeight="1">
      <c r="C629" s="816"/>
      <c r="E629" s="816"/>
      <c r="AB629" s="821"/>
    </row>
    <row r="630" spans="3:28" ht="19.95" customHeight="1">
      <c r="C630" s="816"/>
      <c r="E630" s="816"/>
      <c r="AB630" s="821"/>
    </row>
    <row r="631" spans="3:28" ht="19.95" customHeight="1">
      <c r="C631" s="816"/>
      <c r="E631" s="816"/>
      <c r="AB631" s="821"/>
    </row>
    <row r="632" spans="3:28" ht="19.95" customHeight="1">
      <c r="C632" s="816"/>
      <c r="E632" s="816"/>
      <c r="AB632" s="821"/>
    </row>
    <row r="633" spans="3:28" ht="19.95" customHeight="1">
      <c r="C633" s="816"/>
      <c r="E633" s="816"/>
      <c r="AB633" s="821"/>
    </row>
    <row r="634" spans="3:28" ht="19.95" customHeight="1">
      <c r="C634" s="816"/>
      <c r="E634" s="816"/>
      <c r="AB634" s="821"/>
    </row>
    <row r="635" spans="3:28" ht="19.95" customHeight="1">
      <c r="C635" s="816"/>
      <c r="E635" s="816"/>
      <c r="AB635" s="821"/>
    </row>
    <row r="636" spans="3:28" ht="19.95" customHeight="1">
      <c r="C636" s="816"/>
      <c r="E636" s="816"/>
      <c r="AB636" s="821"/>
    </row>
    <row r="637" spans="3:28" ht="19.95" customHeight="1">
      <c r="C637" s="816"/>
      <c r="E637" s="816"/>
      <c r="AB637" s="821"/>
    </row>
    <row r="638" spans="3:28" ht="19.95" customHeight="1">
      <c r="C638" s="816"/>
      <c r="E638" s="816"/>
      <c r="AB638" s="821"/>
    </row>
    <row r="639" spans="3:28" ht="19.95" customHeight="1">
      <c r="C639" s="816"/>
      <c r="E639" s="816"/>
      <c r="AB639" s="821"/>
    </row>
    <row r="640" spans="3:28" ht="19.95" customHeight="1">
      <c r="C640" s="816"/>
      <c r="E640" s="816"/>
      <c r="AB640" s="821"/>
    </row>
    <row r="641" spans="3:28" ht="19.95" customHeight="1">
      <c r="C641" s="816"/>
      <c r="E641" s="816"/>
      <c r="AB641" s="821"/>
    </row>
    <row r="642" spans="3:28" ht="19.95" customHeight="1">
      <c r="C642" s="816"/>
      <c r="E642" s="816"/>
      <c r="AB642" s="821"/>
    </row>
    <row r="643" spans="3:28" ht="19.95" customHeight="1">
      <c r="C643" s="816"/>
      <c r="E643" s="816"/>
      <c r="AB643" s="821"/>
    </row>
    <row r="644" spans="3:28" ht="19.95" customHeight="1">
      <c r="C644" s="816"/>
      <c r="E644" s="816"/>
      <c r="AB644" s="821"/>
    </row>
    <row r="645" spans="3:28" ht="19.95" customHeight="1">
      <c r="C645" s="816"/>
      <c r="E645" s="816"/>
      <c r="AB645" s="821"/>
    </row>
    <row r="646" spans="3:28" ht="19.95" customHeight="1">
      <c r="C646" s="816"/>
      <c r="E646" s="816"/>
      <c r="AB646" s="821"/>
    </row>
    <row r="647" spans="3:28" ht="19.95" customHeight="1">
      <c r="C647" s="816"/>
      <c r="E647" s="816"/>
      <c r="AB647" s="821"/>
    </row>
    <row r="648" spans="3:28" ht="19.95" customHeight="1">
      <c r="C648" s="816"/>
      <c r="E648" s="816"/>
      <c r="AB648" s="821"/>
    </row>
    <row r="649" spans="3:28" ht="19.95" customHeight="1">
      <c r="C649" s="816"/>
      <c r="E649" s="816"/>
      <c r="AB649" s="821"/>
    </row>
    <row r="650" spans="3:28" ht="19.95" customHeight="1">
      <c r="C650" s="816"/>
      <c r="E650" s="816"/>
      <c r="AB650" s="821"/>
    </row>
    <row r="651" spans="3:28" ht="19.95" customHeight="1">
      <c r="C651" s="816"/>
      <c r="E651" s="816"/>
      <c r="AB651" s="821"/>
    </row>
    <row r="652" spans="3:28" ht="19.95" customHeight="1">
      <c r="C652" s="816"/>
      <c r="E652" s="816"/>
      <c r="AB652" s="821"/>
    </row>
    <row r="653" spans="3:28" ht="19.95" customHeight="1">
      <c r="C653" s="816"/>
      <c r="E653" s="816"/>
      <c r="AB653" s="821"/>
    </row>
    <row r="654" spans="3:28" ht="19.95" customHeight="1">
      <c r="C654" s="816"/>
      <c r="E654" s="816"/>
      <c r="AB654" s="821"/>
    </row>
    <row r="655" spans="3:28" ht="19.95" customHeight="1">
      <c r="C655" s="816"/>
      <c r="E655" s="816"/>
      <c r="AB655" s="821"/>
    </row>
    <row r="656" spans="3:28" ht="19.95" customHeight="1">
      <c r="C656" s="816"/>
      <c r="E656" s="816"/>
      <c r="AB656" s="821"/>
    </row>
    <row r="657" spans="3:28" ht="19.95" customHeight="1">
      <c r="C657" s="816"/>
      <c r="E657" s="816"/>
      <c r="AB657" s="821"/>
    </row>
    <row r="658" spans="3:28" ht="19.95" customHeight="1">
      <c r="C658" s="816"/>
      <c r="E658" s="816"/>
      <c r="AB658" s="821"/>
    </row>
    <row r="659" spans="3:28" ht="19.95" customHeight="1">
      <c r="C659" s="816"/>
      <c r="E659" s="816"/>
      <c r="AB659" s="821"/>
    </row>
    <row r="660" spans="3:28" ht="19.95" customHeight="1">
      <c r="C660" s="816"/>
      <c r="E660" s="816"/>
      <c r="AB660" s="821"/>
    </row>
    <row r="661" spans="3:28" ht="19.95" customHeight="1">
      <c r="C661" s="816"/>
      <c r="E661" s="816"/>
      <c r="AB661" s="821"/>
    </row>
    <row r="662" spans="3:28" ht="19.95" customHeight="1">
      <c r="C662" s="816"/>
      <c r="E662" s="816"/>
      <c r="AB662" s="821"/>
    </row>
    <row r="663" spans="3:28" ht="19.95" customHeight="1">
      <c r="C663" s="816"/>
      <c r="E663" s="816"/>
      <c r="AB663" s="821"/>
    </row>
    <row r="664" spans="3:28" ht="19.95" customHeight="1">
      <c r="C664" s="816"/>
      <c r="E664" s="816"/>
      <c r="AB664" s="821"/>
    </row>
    <row r="665" spans="3:28" ht="19.95" customHeight="1">
      <c r="C665" s="816"/>
      <c r="E665" s="816"/>
      <c r="AB665" s="821"/>
    </row>
    <row r="666" spans="3:28" ht="19.95" customHeight="1">
      <c r="C666" s="816"/>
      <c r="E666" s="816"/>
      <c r="AB666" s="821"/>
    </row>
    <row r="667" spans="3:28" ht="19.95" customHeight="1">
      <c r="C667" s="816"/>
      <c r="E667" s="816"/>
      <c r="AB667" s="821"/>
    </row>
    <row r="668" spans="3:28" ht="19.95" customHeight="1">
      <c r="C668" s="816"/>
      <c r="E668" s="816"/>
      <c r="AB668" s="821"/>
    </row>
    <row r="669" spans="3:28" ht="19.95" customHeight="1">
      <c r="C669" s="816"/>
      <c r="E669" s="816"/>
      <c r="AB669" s="821"/>
    </row>
    <row r="670" spans="3:28" ht="19.95" customHeight="1">
      <c r="C670" s="816"/>
      <c r="E670" s="816"/>
      <c r="AB670" s="821"/>
    </row>
    <row r="671" spans="3:28" ht="19.95" customHeight="1">
      <c r="C671" s="816"/>
      <c r="E671" s="816"/>
      <c r="AB671" s="821"/>
    </row>
    <row r="672" spans="3:28" ht="19.95" customHeight="1">
      <c r="C672" s="816"/>
      <c r="E672" s="816"/>
      <c r="AB672" s="821"/>
    </row>
    <row r="673" spans="3:28" ht="19.95" customHeight="1">
      <c r="C673" s="816"/>
      <c r="E673" s="816"/>
      <c r="AB673" s="821"/>
    </row>
    <row r="674" spans="3:28" ht="19.95" customHeight="1">
      <c r="C674" s="816"/>
      <c r="E674" s="816"/>
      <c r="AB674" s="821"/>
    </row>
    <row r="675" spans="3:28" ht="19.95" customHeight="1">
      <c r="C675" s="816"/>
      <c r="E675" s="816"/>
      <c r="AB675" s="821"/>
    </row>
    <row r="676" spans="3:28" ht="19.95" customHeight="1">
      <c r="C676" s="816"/>
      <c r="E676" s="816"/>
      <c r="AB676" s="821"/>
    </row>
    <row r="677" spans="3:28" ht="19.95" customHeight="1">
      <c r="C677" s="816"/>
      <c r="E677" s="816"/>
      <c r="AB677" s="821"/>
    </row>
    <row r="678" spans="3:28" ht="19.95" customHeight="1">
      <c r="C678" s="816"/>
      <c r="E678" s="816"/>
      <c r="AB678" s="821"/>
    </row>
    <row r="679" spans="3:28" ht="19.95" customHeight="1">
      <c r="C679" s="816"/>
      <c r="E679" s="816"/>
      <c r="AB679" s="821"/>
    </row>
    <row r="680" spans="3:28" ht="19.95" customHeight="1">
      <c r="C680" s="816"/>
      <c r="E680" s="816"/>
      <c r="AB680" s="821"/>
    </row>
    <row r="681" spans="3:28" ht="19.95" customHeight="1">
      <c r="C681" s="816"/>
      <c r="E681" s="816"/>
      <c r="AB681" s="821"/>
    </row>
    <row r="682" spans="3:28" ht="19.95" customHeight="1">
      <c r="C682" s="816"/>
      <c r="E682" s="816"/>
      <c r="AB682" s="821"/>
    </row>
    <row r="683" spans="3:28" ht="19.95" customHeight="1">
      <c r="C683" s="816"/>
      <c r="E683" s="816"/>
      <c r="AB683" s="821"/>
    </row>
    <row r="684" spans="3:28" ht="19.95" customHeight="1">
      <c r="C684" s="816"/>
      <c r="E684" s="816"/>
      <c r="AB684" s="821"/>
    </row>
    <row r="685" spans="3:28" ht="19.95" customHeight="1">
      <c r="C685" s="816"/>
      <c r="E685" s="816"/>
      <c r="AB685" s="821"/>
    </row>
    <row r="686" spans="3:28" ht="19.95" customHeight="1">
      <c r="C686" s="816"/>
      <c r="E686" s="816"/>
      <c r="AB686" s="821"/>
    </row>
    <row r="687" spans="3:28" ht="19.95" customHeight="1">
      <c r="C687" s="816"/>
      <c r="E687" s="816"/>
      <c r="AB687" s="821"/>
    </row>
    <row r="688" spans="3:28" ht="19.95" customHeight="1">
      <c r="C688" s="816"/>
      <c r="E688" s="816"/>
      <c r="AB688" s="821"/>
    </row>
    <row r="689" spans="3:28" ht="19.95" customHeight="1">
      <c r="C689" s="816"/>
      <c r="E689" s="816"/>
      <c r="AB689" s="821"/>
    </row>
    <row r="690" spans="3:28" ht="19.95" customHeight="1">
      <c r="C690" s="816"/>
      <c r="E690" s="816"/>
      <c r="AB690" s="821"/>
    </row>
    <row r="691" spans="3:28" ht="19.95" customHeight="1">
      <c r="C691" s="816"/>
      <c r="E691" s="816"/>
      <c r="AB691" s="821"/>
    </row>
    <row r="692" spans="3:28" ht="19.95" customHeight="1">
      <c r="C692" s="816"/>
      <c r="E692" s="816"/>
      <c r="AB692" s="821"/>
    </row>
    <row r="693" spans="3:28" ht="19.95" customHeight="1">
      <c r="C693" s="816"/>
      <c r="E693" s="816"/>
      <c r="AB693" s="821"/>
    </row>
    <row r="694" spans="3:28" ht="19.95" customHeight="1">
      <c r="C694" s="816"/>
      <c r="E694" s="816"/>
      <c r="AB694" s="821"/>
    </row>
    <row r="695" spans="3:28" ht="19.95" customHeight="1">
      <c r="C695" s="816"/>
      <c r="E695" s="816"/>
      <c r="AB695" s="821"/>
    </row>
    <row r="696" spans="3:28" ht="19.95" customHeight="1">
      <c r="C696" s="816"/>
      <c r="E696" s="816"/>
      <c r="AB696" s="821"/>
    </row>
    <row r="697" spans="3:28" ht="19.95" customHeight="1">
      <c r="C697" s="816"/>
      <c r="E697" s="816"/>
      <c r="AB697" s="821"/>
    </row>
    <row r="698" spans="3:28" ht="19.95" customHeight="1">
      <c r="C698" s="816"/>
      <c r="E698" s="816"/>
      <c r="AB698" s="821"/>
    </row>
    <row r="699" spans="3:28" ht="19.95" customHeight="1">
      <c r="C699" s="816"/>
      <c r="E699" s="816"/>
      <c r="AB699" s="821"/>
    </row>
    <row r="700" spans="3:28" ht="19.95" customHeight="1">
      <c r="C700" s="816"/>
      <c r="E700" s="816"/>
      <c r="AB700" s="821"/>
    </row>
    <row r="701" spans="3:28" ht="19.95" customHeight="1">
      <c r="C701" s="816"/>
      <c r="E701" s="816"/>
      <c r="AB701" s="821"/>
    </row>
    <row r="702" spans="3:28" ht="19.95" customHeight="1">
      <c r="C702" s="816"/>
      <c r="E702" s="816"/>
      <c r="AB702" s="821"/>
    </row>
    <row r="703" spans="3:28" ht="19.95" customHeight="1">
      <c r="C703" s="816"/>
      <c r="E703" s="816"/>
      <c r="AB703" s="821"/>
    </row>
    <row r="704" spans="3:28" ht="19.95" customHeight="1">
      <c r="C704" s="816"/>
      <c r="E704" s="816"/>
      <c r="AB704" s="821"/>
    </row>
    <row r="705" spans="3:28" ht="19.95" customHeight="1">
      <c r="C705" s="816"/>
      <c r="E705" s="816"/>
      <c r="AB705" s="821"/>
    </row>
    <row r="706" spans="3:28" ht="19.95" customHeight="1">
      <c r="C706" s="816"/>
      <c r="E706" s="816"/>
      <c r="AB706" s="821"/>
    </row>
    <row r="707" spans="3:28" ht="19.95" customHeight="1">
      <c r="C707" s="816"/>
      <c r="E707" s="816"/>
      <c r="AB707" s="821"/>
    </row>
    <row r="708" spans="3:28" ht="19.95" customHeight="1">
      <c r="C708" s="816"/>
      <c r="E708" s="816"/>
      <c r="AB708" s="821"/>
    </row>
    <row r="709" spans="3:28" ht="19.95" customHeight="1">
      <c r="C709" s="816"/>
      <c r="E709" s="816"/>
      <c r="AB709" s="821"/>
    </row>
    <row r="710" spans="3:28" ht="19.95" customHeight="1">
      <c r="C710" s="816"/>
      <c r="E710" s="816"/>
      <c r="AB710" s="821"/>
    </row>
    <row r="711" spans="3:28" ht="19.95" customHeight="1">
      <c r="C711" s="816"/>
      <c r="E711" s="816"/>
      <c r="AB711" s="821"/>
    </row>
    <row r="712" spans="3:28" ht="19.95" customHeight="1">
      <c r="C712" s="816"/>
      <c r="E712" s="816"/>
      <c r="AB712" s="821"/>
    </row>
    <row r="713" spans="3:28" ht="19.95" customHeight="1">
      <c r="C713" s="816"/>
      <c r="E713" s="816"/>
      <c r="AB713" s="821"/>
    </row>
    <row r="714" spans="3:28" ht="19.95" customHeight="1">
      <c r="C714" s="816"/>
      <c r="E714" s="816"/>
      <c r="AB714" s="821"/>
    </row>
    <row r="715" spans="3:28" ht="19.95" customHeight="1">
      <c r="C715" s="816"/>
      <c r="E715" s="816"/>
      <c r="AB715" s="821"/>
    </row>
    <row r="716" spans="3:28" ht="19.95" customHeight="1">
      <c r="C716" s="816"/>
      <c r="E716" s="816"/>
      <c r="AB716" s="821"/>
    </row>
    <row r="717" spans="3:28" ht="19.95" customHeight="1">
      <c r="C717" s="816"/>
      <c r="E717" s="816"/>
      <c r="AB717" s="821"/>
    </row>
    <row r="718" spans="3:28" ht="19.95" customHeight="1">
      <c r="C718" s="816"/>
      <c r="E718" s="816"/>
      <c r="AB718" s="821"/>
    </row>
    <row r="719" spans="3:28" ht="19.95" customHeight="1">
      <c r="C719" s="816"/>
      <c r="E719" s="816"/>
      <c r="AB719" s="821"/>
    </row>
    <row r="720" spans="3:28" ht="19.95" customHeight="1">
      <c r="C720" s="816"/>
      <c r="E720" s="816"/>
      <c r="AB720" s="821"/>
    </row>
    <row r="721" spans="3:28" ht="19.95" customHeight="1">
      <c r="C721" s="816"/>
      <c r="E721" s="816"/>
      <c r="AB721" s="821"/>
    </row>
    <row r="722" spans="3:28" ht="19.95" customHeight="1">
      <c r="C722" s="816"/>
      <c r="E722" s="816"/>
      <c r="AB722" s="821"/>
    </row>
    <row r="723" spans="3:28" ht="19.95" customHeight="1">
      <c r="C723" s="816"/>
      <c r="E723" s="816"/>
      <c r="AB723" s="821"/>
    </row>
    <row r="724" spans="3:28" ht="19.95" customHeight="1">
      <c r="C724" s="816"/>
      <c r="E724" s="816"/>
      <c r="AB724" s="821"/>
    </row>
    <row r="725" spans="3:28" ht="19.95" customHeight="1">
      <c r="C725" s="816"/>
      <c r="E725" s="816"/>
      <c r="AB725" s="821"/>
    </row>
    <row r="726" spans="3:28" ht="19.95" customHeight="1">
      <c r="C726" s="816"/>
      <c r="E726" s="816"/>
      <c r="AB726" s="821"/>
    </row>
    <row r="727" spans="3:28" ht="19.95" customHeight="1">
      <c r="C727" s="816"/>
      <c r="E727" s="816"/>
      <c r="AB727" s="821"/>
    </row>
    <row r="728" spans="3:28" ht="19.95" customHeight="1">
      <c r="C728" s="816"/>
      <c r="E728" s="816"/>
      <c r="AB728" s="821"/>
    </row>
    <row r="729" spans="3:28" ht="19.95" customHeight="1">
      <c r="C729" s="816"/>
      <c r="E729" s="816"/>
      <c r="AB729" s="821"/>
    </row>
    <row r="730" spans="3:28" ht="19.95" customHeight="1">
      <c r="C730" s="816"/>
      <c r="E730" s="816"/>
      <c r="AB730" s="821"/>
    </row>
    <row r="731" spans="3:28" ht="19.95" customHeight="1">
      <c r="C731" s="816"/>
      <c r="E731" s="816"/>
      <c r="AB731" s="821"/>
    </row>
    <row r="732" spans="3:28" ht="19.95" customHeight="1">
      <c r="C732" s="816"/>
      <c r="E732" s="816"/>
      <c r="AB732" s="821"/>
    </row>
    <row r="733" spans="3:28" ht="19.95" customHeight="1">
      <c r="C733" s="816"/>
      <c r="E733" s="816"/>
      <c r="AB733" s="821"/>
    </row>
    <row r="734" spans="3:28" ht="19.95" customHeight="1">
      <c r="C734" s="816"/>
      <c r="E734" s="816"/>
      <c r="AB734" s="821"/>
    </row>
    <row r="735" spans="3:28" ht="19.95" customHeight="1">
      <c r="C735" s="816"/>
      <c r="E735" s="816"/>
      <c r="AB735" s="821"/>
    </row>
    <row r="736" spans="3:28" ht="19.95" customHeight="1">
      <c r="C736" s="816"/>
      <c r="E736" s="816"/>
      <c r="AB736" s="821"/>
    </row>
    <row r="737" spans="3:28" ht="19.95" customHeight="1">
      <c r="C737" s="816"/>
      <c r="E737" s="816"/>
      <c r="AB737" s="821"/>
    </row>
    <row r="738" spans="3:28" ht="19.95" customHeight="1">
      <c r="C738" s="816"/>
      <c r="E738" s="816"/>
      <c r="AB738" s="821"/>
    </row>
    <row r="739" spans="3:28" ht="19.95" customHeight="1">
      <c r="C739" s="816"/>
      <c r="E739" s="816"/>
      <c r="AB739" s="821"/>
    </row>
    <row r="740" spans="3:28" ht="19.95" customHeight="1">
      <c r="C740" s="816"/>
      <c r="E740" s="816"/>
      <c r="AB740" s="821"/>
    </row>
    <row r="741" spans="3:28" ht="19.95" customHeight="1">
      <c r="C741" s="816"/>
      <c r="E741" s="816"/>
      <c r="AB741" s="821"/>
    </row>
    <row r="742" spans="3:28" ht="19.95" customHeight="1">
      <c r="C742" s="816"/>
      <c r="E742" s="816"/>
      <c r="AB742" s="821"/>
    </row>
    <row r="743" spans="3:28" ht="19.95" customHeight="1">
      <c r="C743" s="816"/>
      <c r="E743" s="816"/>
      <c r="AB743" s="821"/>
    </row>
    <row r="744" spans="3:28" ht="19.95" customHeight="1">
      <c r="C744" s="816"/>
      <c r="E744" s="816"/>
      <c r="AB744" s="821"/>
    </row>
    <row r="745" spans="3:28" ht="19.95" customHeight="1">
      <c r="C745" s="816"/>
      <c r="E745" s="816"/>
      <c r="AB745" s="821"/>
    </row>
    <row r="746" spans="3:28" ht="19.95" customHeight="1">
      <c r="C746" s="816"/>
      <c r="E746" s="816"/>
      <c r="AB746" s="821"/>
    </row>
    <row r="747" spans="3:28" ht="19.95" customHeight="1">
      <c r="C747" s="816"/>
      <c r="E747" s="816"/>
      <c r="AB747" s="821"/>
    </row>
    <row r="748" spans="3:28" ht="19.95" customHeight="1">
      <c r="C748" s="816"/>
      <c r="E748" s="816"/>
      <c r="AB748" s="821"/>
    </row>
    <row r="749" spans="3:28" ht="19.95" customHeight="1">
      <c r="C749" s="816"/>
      <c r="E749" s="816"/>
      <c r="AB749" s="821"/>
    </row>
    <row r="750" spans="3:28" ht="19.95" customHeight="1">
      <c r="C750" s="816"/>
      <c r="E750" s="816"/>
      <c r="AB750" s="821"/>
    </row>
    <row r="751" spans="3:28" ht="19.95" customHeight="1">
      <c r="C751" s="816"/>
      <c r="E751" s="816"/>
      <c r="AB751" s="821"/>
    </row>
    <row r="752" spans="3:28" ht="19.95" customHeight="1">
      <c r="C752" s="816"/>
      <c r="E752" s="816"/>
      <c r="AB752" s="821"/>
    </row>
    <row r="753" spans="3:28" ht="19.95" customHeight="1">
      <c r="C753" s="816"/>
      <c r="E753" s="816"/>
      <c r="AB753" s="821"/>
    </row>
    <row r="754" spans="3:28" ht="19.95" customHeight="1">
      <c r="C754" s="816"/>
      <c r="E754" s="816"/>
      <c r="AB754" s="821"/>
    </row>
    <row r="755" spans="3:28" ht="19.95" customHeight="1">
      <c r="C755" s="816"/>
      <c r="E755" s="816"/>
      <c r="AB755" s="821"/>
    </row>
    <row r="756" spans="3:28" ht="19.95" customHeight="1">
      <c r="C756" s="816"/>
      <c r="E756" s="816"/>
      <c r="AB756" s="821"/>
    </row>
    <row r="757" spans="3:28" ht="19.95" customHeight="1">
      <c r="C757" s="816"/>
      <c r="E757" s="816"/>
      <c r="AB757" s="821"/>
    </row>
    <row r="758" spans="3:28" ht="19.95" customHeight="1">
      <c r="C758" s="816"/>
      <c r="E758" s="816"/>
      <c r="AB758" s="821"/>
    </row>
    <row r="759" spans="3:28" ht="19.95" customHeight="1">
      <c r="C759" s="816"/>
      <c r="E759" s="816"/>
      <c r="AB759" s="821"/>
    </row>
    <row r="760" spans="3:28" ht="19.95" customHeight="1">
      <c r="C760" s="816"/>
      <c r="E760" s="816"/>
      <c r="AB760" s="821"/>
    </row>
    <row r="761" spans="3:28" ht="19.95" customHeight="1">
      <c r="C761" s="816"/>
      <c r="E761" s="816"/>
      <c r="AB761" s="821"/>
    </row>
    <row r="762" spans="3:28" ht="19.95" customHeight="1">
      <c r="C762" s="816"/>
      <c r="E762" s="816"/>
      <c r="AB762" s="821"/>
    </row>
    <row r="763" spans="3:28" ht="19.95" customHeight="1">
      <c r="C763" s="816"/>
      <c r="E763" s="816"/>
      <c r="AB763" s="821"/>
    </row>
    <row r="764" spans="3:28" ht="19.95" customHeight="1">
      <c r="C764" s="816"/>
      <c r="E764" s="816"/>
      <c r="AB764" s="821"/>
    </row>
    <row r="765" spans="3:28" ht="19.95" customHeight="1">
      <c r="C765" s="816"/>
      <c r="E765" s="816"/>
      <c r="AB765" s="821"/>
    </row>
    <row r="766" spans="3:28" ht="19.95" customHeight="1">
      <c r="C766" s="816"/>
      <c r="E766" s="816"/>
      <c r="AB766" s="821"/>
    </row>
    <row r="767" spans="3:28" ht="19.95" customHeight="1">
      <c r="C767" s="816"/>
      <c r="E767" s="816"/>
      <c r="AB767" s="821"/>
    </row>
    <row r="768" spans="3:28" ht="19.95" customHeight="1">
      <c r="C768" s="816"/>
      <c r="E768" s="816"/>
      <c r="AB768" s="821"/>
    </row>
    <row r="769" spans="3:28" ht="19.95" customHeight="1">
      <c r="C769" s="816"/>
      <c r="E769" s="816"/>
      <c r="AB769" s="821"/>
    </row>
    <row r="770" spans="3:28" ht="19.95" customHeight="1">
      <c r="C770" s="816"/>
      <c r="E770" s="816"/>
      <c r="AB770" s="821"/>
    </row>
    <row r="771" spans="3:28" ht="19.95" customHeight="1">
      <c r="C771" s="816"/>
      <c r="E771" s="816"/>
      <c r="AB771" s="821"/>
    </row>
    <row r="772" spans="3:28" ht="19.95" customHeight="1">
      <c r="C772" s="816"/>
      <c r="E772" s="816"/>
      <c r="AB772" s="821"/>
    </row>
    <row r="773" spans="3:28" ht="19.95" customHeight="1">
      <c r="C773" s="816"/>
      <c r="E773" s="816"/>
      <c r="AB773" s="821"/>
    </row>
    <row r="774" spans="3:28" ht="19.95" customHeight="1">
      <c r="C774" s="816"/>
      <c r="E774" s="816"/>
      <c r="AB774" s="821"/>
    </row>
    <row r="775" spans="3:28" ht="19.95" customHeight="1">
      <c r="C775" s="816"/>
      <c r="E775" s="816"/>
      <c r="AB775" s="821"/>
    </row>
    <row r="776" spans="3:28" ht="19.95" customHeight="1">
      <c r="C776" s="816"/>
      <c r="E776" s="816"/>
      <c r="AB776" s="821"/>
    </row>
    <row r="777" spans="3:28" ht="19.95" customHeight="1">
      <c r="C777" s="816"/>
      <c r="E777" s="816"/>
      <c r="AB777" s="821"/>
    </row>
    <row r="778" spans="3:28" ht="19.95" customHeight="1">
      <c r="C778" s="816"/>
      <c r="E778" s="816"/>
      <c r="AB778" s="821"/>
    </row>
    <row r="779" spans="3:28" ht="19.95" customHeight="1">
      <c r="C779" s="816"/>
      <c r="E779" s="816"/>
      <c r="AB779" s="821"/>
    </row>
    <row r="780" spans="3:28" ht="19.95" customHeight="1">
      <c r="C780" s="816"/>
      <c r="E780" s="816"/>
      <c r="AB780" s="821"/>
    </row>
    <row r="781" spans="3:28" ht="19.95" customHeight="1">
      <c r="C781" s="816"/>
      <c r="E781" s="816"/>
      <c r="AB781" s="821"/>
    </row>
    <row r="782" spans="3:28" ht="19.95" customHeight="1">
      <c r="C782" s="816"/>
      <c r="E782" s="816"/>
      <c r="AB782" s="821"/>
    </row>
    <row r="783" spans="3:28" ht="19.95" customHeight="1">
      <c r="C783" s="816"/>
      <c r="E783" s="816"/>
      <c r="AB783" s="821"/>
    </row>
    <row r="784" spans="3:28" ht="19.95" customHeight="1">
      <c r="C784" s="816"/>
      <c r="E784" s="816"/>
      <c r="AB784" s="821"/>
    </row>
    <row r="785" spans="3:28" ht="19.95" customHeight="1">
      <c r="C785" s="816"/>
      <c r="E785" s="816"/>
      <c r="AB785" s="821"/>
    </row>
    <row r="786" spans="3:28" ht="19.95" customHeight="1">
      <c r="C786" s="816"/>
      <c r="E786" s="816"/>
      <c r="AB786" s="821"/>
    </row>
    <row r="787" spans="3:28" ht="19.95" customHeight="1">
      <c r="C787" s="816"/>
      <c r="E787" s="816"/>
      <c r="AB787" s="821"/>
    </row>
    <row r="788" spans="3:28" ht="19.95" customHeight="1">
      <c r="C788" s="816"/>
      <c r="E788" s="816"/>
      <c r="AB788" s="821"/>
    </row>
    <row r="789" spans="3:28" ht="19.95" customHeight="1">
      <c r="C789" s="816"/>
      <c r="E789" s="816"/>
      <c r="AB789" s="821"/>
    </row>
    <row r="790" spans="3:28" ht="19.95" customHeight="1">
      <c r="C790" s="816"/>
      <c r="E790" s="816"/>
      <c r="AB790" s="821"/>
    </row>
    <row r="791" spans="3:28" ht="19.95" customHeight="1">
      <c r="C791" s="816"/>
      <c r="E791" s="816"/>
      <c r="AB791" s="821"/>
    </row>
    <row r="792" spans="3:28" ht="19.95" customHeight="1">
      <c r="C792" s="816"/>
      <c r="E792" s="816"/>
      <c r="AB792" s="821"/>
    </row>
    <row r="793" spans="3:28" ht="19.95" customHeight="1">
      <c r="C793" s="816"/>
      <c r="E793" s="816"/>
      <c r="AB793" s="821"/>
    </row>
    <row r="794" spans="3:28" ht="19.95" customHeight="1">
      <c r="C794" s="816"/>
      <c r="E794" s="816"/>
      <c r="AB794" s="821"/>
    </row>
    <row r="795" spans="3:28" ht="19.95" customHeight="1">
      <c r="C795" s="816"/>
      <c r="E795" s="816"/>
      <c r="AB795" s="821"/>
    </row>
    <row r="796" spans="3:28" ht="19.95" customHeight="1">
      <c r="C796" s="816"/>
      <c r="E796" s="816"/>
      <c r="AB796" s="821"/>
    </row>
    <row r="797" spans="3:28" ht="19.95" customHeight="1">
      <c r="C797" s="816"/>
      <c r="E797" s="816"/>
      <c r="AB797" s="821"/>
    </row>
    <row r="798" spans="3:28" ht="19.95" customHeight="1">
      <c r="C798" s="816"/>
      <c r="E798" s="816"/>
      <c r="AB798" s="821"/>
    </row>
    <row r="799" spans="3:28" ht="19.95" customHeight="1">
      <c r="C799" s="816"/>
      <c r="E799" s="816"/>
      <c r="AB799" s="821"/>
    </row>
    <row r="800" spans="3:28" ht="19.95" customHeight="1">
      <c r="C800" s="816"/>
      <c r="E800" s="816"/>
      <c r="AB800" s="821"/>
    </row>
    <row r="801" spans="3:28" ht="19.95" customHeight="1">
      <c r="C801" s="816"/>
      <c r="E801" s="816"/>
      <c r="AB801" s="821"/>
    </row>
    <row r="802" spans="3:28" ht="19.95" customHeight="1">
      <c r="C802" s="816"/>
      <c r="E802" s="816"/>
      <c r="AB802" s="821"/>
    </row>
    <row r="803" spans="3:28" ht="19.95" customHeight="1">
      <c r="C803" s="816"/>
      <c r="E803" s="816"/>
      <c r="AB803" s="821"/>
    </row>
    <row r="804" spans="3:28" ht="19.95" customHeight="1">
      <c r="C804" s="816"/>
      <c r="E804" s="816"/>
      <c r="AB804" s="821"/>
    </row>
    <row r="805" spans="3:28" ht="19.95" customHeight="1">
      <c r="C805" s="816"/>
      <c r="E805" s="816"/>
      <c r="AB805" s="821"/>
    </row>
    <row r="806" spans="3:28" ht="19.95" customHeight="1">
      <c r="C806" s="816"/>
      <c r="E806" s="816"/>
      <c r="AB806" s="821"/>
    </row>
    <row r="807" spans="3:28" ht="19.95" customHeight="1">
      <c r="C807" s="816"/>
      <c r="E807" s="816"/>
      <c r="AB807" s="821"/>
    </row>
    <row r="808" spans="3:28" ht="19.95" customHeight="1">
      <c r="C808" s="816"/>
      <c r="E808" s="816"/>
      <c r="AB808" s="821"/>
    </row>
    <row r="809" spans="3:28" ht="19.95" customHeight="1">
      <c r="C809" s="816"/>
      <c r="E809" s="816"/>
      <c r="AB809" s="821"/>
    </row>
    <row r="810" spans="3:28" ht="19.95" customHeight="1">
      <c r="C810" s="816"/>
      <c r="E810" s="816"/>
      <c r="AB810" s="821"/>
    </row>
    <row r="811" spans="3:28" ht="19.95" customHeight="1">
      <c r="C811" s="816"/>
      <c r="E811" s="816"/>
      <c r="AB811" s="821"/>
    </row>
    <row r="812" spans="3:28" ht="19.95" customHeight="1">
      <c r="C812" s="816"/>
      <c r="E812" s="816"/>
      <c r="AB812" s="821"/>
    </row>
    <row r="813" spans="3:28" ht="19.95" customHeight="1">
      <c r="C813" s="816"/>
      <c r="E813" s="816"/>
      <c r="AB813" s="821"/>
    </row>
    <row r="814" spans="3:28" ht="19.95" customHeight="1">
      <c r="C814" s="816"/>
      <c r="E814" s="816"/>
      <c r="AB814" s="821"/>
    </row>
    <row r="815" spans="3:28" ht="19.95" customHeight="1">
      <c r="C815" s="816"/>
      <c r="E815" s="816"/>
      <c r="AB815" s="821"/>
    </row>
    <row r="816" spans="3:28" ht="19.95" customHeight="1">
      <c r="C816" s="816"/>
      <c r="E816" s="816"/>
      <c r="AB816" s="821"/>
    </row>
    <row r="817" spans="3:28" ht="19.95" customHeight="1">
      <c r="C817" s="816"/>
      <c r="E817" s="816"/>
      <c r="AB817" s="821"/>
    </row>
    <row r="818" spans="3:28" ht="19.95" customHeight="1">
      <c r="C818" s="816"/>
      <c r="E818" s="816"/>
      <c r="AB818" s="821"/>
    </row>
    <row r="819" spans="3:28" ht="19.95" customHeight="1">
      <c r="C819" s="816"/>
      <c r="E819" s="816"/>
      <c r="AB819" s="821"/>
    </row>
    <row r="820" spans="3:28" ht="19.95" customHeight="1">
      <c r="C820" s="816"/>
      <c r="E820" s="816"/>
      <c r="AB820" s="821"/>
    </row>
    <row r="821" spans="3:28" ht="19.95" customHeight="1">
      <c r="C821" s="816"/>
      <c r="E821" s="816"/>
      <c r="AB821" s="821"/>
    </row>
    <row r="822" spans="3:28" ht="19.95" customHeight="1">
      <c r="C822" s="816"/>
      <c r="E822" s="816"/>
      <c r="AB822" s="821"/>
    </row>
    <row r="823" spans="3:28" ht="19.95" customHeight="1">
      <c r="C823" s="816"/>
      <c r="E823" s="816"/>
      <c r="AB823" s="821"/>
    </row>
    <row r="824" spans="3:28" ht="19.95" customHeight="1">
      <c r="C824" s="816"/>
      <c r="E824" s="816"/>
      <c r="AB824" s="821"/>
    </row>
    <row r="825" spans="3:28" ht="19.95" customHeight="1">
      <c r="C825" s="816"/>
      <c r="E825" s="816"/>
      <c r="AB825" s="821"/>
    </row>
    <row r="826" spans="3:28" ht="19.95" customHeight="1">
      <c r="C826" s="816"/>
      <c r="E826" s="816"/>
      <c r="AB826" s="821"/>
    </row>
    <row r="827" spans="3:28" ht="19.95" customHeight="1">
      <c r="C827" s="816"/>
      <c r="E827" s="816"/>
      <c r="AB827" s="821"/>
    </row>
    <row r="828" spans="3:28" ht="19.95" customHeight="1">
      <c r="C828" s="816"/>
      <c r="E828" s="816"/>
      <c r="AB828" s="821"/>
    </row>
    <row r="829" spans="3:28" ht="19.95" customHeight="1">
      <c r="C829" s="816"/>
      <c r="E829" s="816"/>
      <c r="AB829" s="821"/>
    </row>
    <row r="830" spans="3:28" ht="19.95" customHeight="1">
      <c r="C830" s="816"/>
      <c r="E830" s="816"/>
      <c r="AB830" s="821"/>
    </row>
    <row r="831" spans="3:28" ht="19.95" customHeight="1">
      <c r="C831" s="816"/>
      <c r="E831" s="816"/>
      <c r="AB831" s="821"/>
    </row>
    <row r="832" spans="3:28" ht="19.95" customHeight="1">
      <c r="C832" s="816"/>
      <c r="E832" s="816"/>
      <c r="AB832" s="821"/>
    </row>
    <row r="833" spans="3:28" ht="19.95" customHeight="1">
      <c r="C833" s="816"/>
      <c r="E833" s="816"/>
      <c r="AB833" s="821"/>
    </row>
    <row r="834" spans="3:28" ht="19.95" customHeight="1">
      <c r="C834" s="816"/>
      <c r="E834" s="816"/>
      <c r="AB834" s="821"/>
    </row>
    <row r="835" spans="3:28" ht="19.95" customHeight="1">
      <c r="C835" s="816"/>
      <c r="E835" s="816"/>
      <c r="AB835" s="821"/>
    </row>
    <row r="836" spans="3:28" ht="19.95" customHeight="1">
      <c r="C836" s="816"/>
      <c r="E836" s="816"/>
      <c r="AB836" s="821"/>
    </row>
    <row r="837" spans="3:28" ht="19.95" customHeight="1">
      <c r="C837" s="816"/>
      <c r="E837" s="816"/>
      <c r="AB837" s="821"/>
    </row>
    <row r="838" spans="3:28" ht="19.95" customHeight="1">
      <c r="C838" s="816"/>
      <c r="E838" s="816"/>
      <c r="AB838" s="821"/>
    </row>
    <row r="839" spans="3:28" ht="19.95" customHeight="1">
      <c r="C839" s="816"/>
      <c r="E839" s="816"/>
      <c r="AB839" s="821"/>
    </row>
    <row r="840" spans="3:28" ht="19.95" customHeight="1">
      <c r="C840" s="816"/>
      <c r="E840" s="816"/>
      <c r="AB840" s="821"/>
    </row>
    <row r="841" spans="3:28" ht="19.95" customHeight="1">
      <c r="C841" s="816"/>
      <c r="E841" s="816"/>
      <c r="AB841" s="821"/>
    </row>
    <row r="842" spans="3:28" ht="19.95" customHeight="1">
      <c r="C842" s="816"/>
      <c r="E842" s="816"/>
      <c r="AB842" s="821"/>
    </row>
    <row r="843" spans="3:28" ht="19.95" customHeight="1">
      <c r="C843" s="816"/>
      <c r="E843" s="816"/>
      <c r="AB843" s="821"/>
    </row>
    <row r="844" spans="3:28" ht="19.95" customHeight="1">
      <c r="C844" s="816"/>
      <c r="E844" s="816"/>
      <c r="AB844" s="821"/>
    </row>
    <row r="845" spans="3:28" ht="19.95" customHeight="1">
      <c r="C845" s="816"/>
      <c r="E845" s="816"/>
      <c r="AB845" s="821"/>
    </row>
    <row r="846" spans="3:28" ht="19.95" customHeight="1">
      <c r="C846" s="816"/>
      <c r="E846" s="816"/>
      <c r="AB846" s="821"/>
    </row>
    <row r="847" spans="3:28" ht="19.95" customHeight="1">
      <c r="C847" s="816"/>
      <c r="E847" s="816"/>
      <c r="AB847" s="821"/>
    </row>
    <row r="848" spans="3:28" ht="19.95" customHeight="1">
      <c r="C848" s="816"/>
      <c r="E848" s="816"/>
      <c r="AB848" s="821"/>
    </row>
    <row r="849" spans="3:28" ht="19.95" customHeight="1">
      <c r="C849" s="816"/>
      <c r="E849" s="816"/>
      <c r="AB849" s="821"/>
    </row>
    <row r="850" spans="3:28" ht="19.95" customHeight="1">
      <c r="C850" s="816"/>
      <c r="E850" s="816"/>
      <c r="AB850" s="821"/>
    </row>
    <row r="851" spans="3:28" ht="19.95" customHeight="1">
      <c r="C851" s="816"/>
      <c r="E851" s="816"/>
      <c r="AB851" s="821"/>
    </row>
    <row r="852" spans="3:28" ht="19.95" customHeight="1">
      <c r="C852" s="816"/>
      <c r="E852" s="816"/>
      <c r="AB852" s="821"/>
    </row>
    <row r="853" spans="3:28" ht="19.95" customHeight="1">
      <c r="C853" s="816"/>
      <c r="E853" s="816"/>
      <c r="AB853" s="821"/>
    </row>
    <row r="854" spans="3:28" ht="19.95" customHeight="1">
      <c r="C854" s="816"/>
      <c r="E854" s="816"/>
      <c r="AB854" s="821"/>
    </row>
    <row r="855" spans="3:28" ht="19.95" customHeight="1">
      <c r="C855" s="816"/>
      <c r="E855" s="816"/>
      <c r="AB855" s="821"/>
    </row>
    <row r="856" spans="3:28" ht="19.95" customHeight="1">
      <c r="C856" s="816"/>
      <c r="E856" s="816"/>
      <c r="AB856" s="821"/>
    </row>
    <row r="857" spans="3:28" ht="19.95" customHeight="1">
      <c r="C857" s="816"/>
      <c r="E857" s="816"/>
      <c r="AB857" s="821"/>
    </row>
    <row r="858" spans="3:28" ht="19.95" customHeight="1">
      <c r="C858" s="816"/>
      <c r="E858" s="816"/>
      <c r="AB858" s="821"/>
    </row>
    <row r="859" spans="3:28" ht="19.95" customHeight="1">
      <c r="C859" s="816"/>
      <c r="E859" s="816"/>
      <c r="AB859" s="821"/>
    </row>
    <row r="860" spans="3:28" ht="19.95" customHeight="1">
      <c r="C860" s="816"/>
      <c r="E860" s="816"/>
      <c r="AB860" s="821"/>
    </row>
    <row r="861" spans="3:28" ht="19.95" customHeight="1">
      <c r="C861" s="816"/>
      <c r="E861" s="816"/>
      <c r="AB861" s="821"/>
    </row>
    <row r="862" spans="3:28" ht="19.95" customHeight="1">
      <c r="C862" s="816"/>
      <c r="E862" s="816"/>
      <c r="AB862" s="821"/>
    </row>
    <row r="863" spans="3:28" ht="19.95" customHeight="1">
      <c r="C863" s="816"/>
      <c r="E863" s="816"/>
      <c r="AB863" s="821"/>
    </row>
    <row r="864" spans="3:28" ht="19.95" customHeight="1">
      <c r="C864" s="816"/>
      <c r="E864" s="816"/>
      <c r="AB864" s="821"/>
    </row>
    <row r="865" spans="3:28" ht="19.95" customHeight="1">
      <c r="C865" s="816"/>
      <c r="E865" s="816"/>
      <c r="AB865" s="821"/>
    </row>
    <row r="866" spans="3:28" ht="19.95" customHeight="1">
      <c r="C866" s="816"/>
      <c r="E866" s="816"/>
      <c r="AB866" s="821"/>
    </row>
    <row r="867" spans="3:28" ht="19.95" customHeight="1">
      <c r="C867" s="816"/>
      <c r="E867" s="816"/>
      <c r="AB867" s="821"/>
    </row>
    <row r="868" spans="3:28" ht="19.95" customHeight="1">
      <c r="C868" s="816"/>
      <c r="E868" s="816"/>
      <c r="AB868" s="821"/>
    </row>
    <row r="869" spans="3:28" ht="19.95" customHeight="1">
      <c r="C869" s="816"/>
      <c r="E869" s="816"/>
      <c r="AB869" s="821"/>
    </row>
    <row r="870" spans="3:28" ht="19.95" customHeight="1">
      <c r="C870" s="816"/>
      <c r="E870" s="816"/>
      <c r="AB870" s="821"/>
    </row>
    <row r="871" spans="3:28" ht="19.95" customHeight="1">
      <c r="C871" s="816"/>
      <c r="E871" s="816"/>
      <c r="AB871" s="821"/>
    </row>
    <row r="872" spans="3:28" ht="19.95" customHeight="1">
      <c r="C872" s="816"/>
      <c r="E872" s="816"/>
      <c r="AB872" s="821"/>
    </row>
    <row r="873" spans="3:28" ht="19.95" customHeight="1">
      <c r="C873" s="816"/>
      <c r="E873" s="816"/>
      <c r="AB873" s="821"/>
    </row>
    <row r="874" spans="3:28" ht="19.95" customHeight="1">
      <c r="C874" s="816"/>
      <c r="E874" s="816"/>
      <c r="AB874" s="821"/>
    </row>
    <row r="875" spans="3:28" ht="19.95" customHeight="1">
      <c r="C875" s="816"/>
      <c r="E875" s="816"/>
      <c r="AB875" s="821"/>
    </row>
    <row r="876" spans="3:28" ht="19.95" customHeight="1">
      <c r="C876" s="816"/>
      <c r="E876" s="816"/>
      <c r="AB876" s="821"/>
    </row>
    <row r="877" spans="3:28" ht="19.95" customHeight="1">
      <c r="C877" s="816"/>
      <c r="E877" s="816"/>
      <c r="AB877" s="821"/>
    </row>
    <row r="878" spans="3:28" ht="19.95" customHeight="1">
      <c r="C878" s="816"/>
      <c r="E878" s="816"/>
      <c r="AB878" s="821"/>
    </row>
    <row r="879" spans="3:28" ht="19.95" customHeight="1">
      <c r="C879" s="816"/>
      <c r="E879" s="816"/>
      <c r="AB879" s="821"/>
    </row>
    <row r="880" spans="3:28" ht="19.95" customHeight="1">
      <c r="C880" s="816"/>
      <c r="E880" s="816"/>
      <c r="AB880" s="821"/>
    </row>
    <row r="881" spans="3:28" ht="19.95" customHeight="1">
      <c r="C881" s="816"/>
      <c r="E881" s="816"/>
      <c r="AB881" s="821"/>
    </row>
    <row r="882" spans="3:28" ht="19.95" customHeight="1">
      <c r="C882" s="816"/>
      <c r="E882" s="816"/>
      <c r="AB882" s="821"/>
    </row>
    <row r="883" spans="3:28" ht="19.95" customHeight="1">
      <c r="C883" s="816"/>
      <c r="E883" s="816"/>
      <c r="AB883" s="821"/>
    </row>
    <row r="884" spans="3:28" ht="19.95" customHeight="1">
      <c r="C884" s="816"/>
      <c r="E884" s="816"/>
      <c r="AB884" s="821"/>
    </row>
    <row r="885" spans="3:28" ht="19.95" customHeight="1">
      <c r="C885" s="816"/>
      <c r="E885" s="816"/>
      <c r="AB885" s="821"/>
    </row>
    <row r="886" spans="3:28" ht="19.95" customHeight="1">
      <c r="C886" s="816"/>
      <c r="E886" s="816"/>
      <c r="AB886" s="821"/>
    </row>
    <row r="887" spans="3:28" ht="19.95" customHeight="1">
      <c r="C887" s="816"/>
      <c r="E887" s="816"/>
      <c r="AB887" s="821"/>
    </row>
    <row r="888" spans="3:28" ht="19.95" customHeight="1">
      <c r="C888" s="816"/>
      <c r="E888" s="816"/>
      <c r="AB888" s="821"/>
    </row>
    <row r="889" spans="3:28" ht="19.95" customHeight="1">
      <c r="C889" s="816"/>
      <c r="E889" s="816"/>
      <c r="AB889" s="821"/>
    </row>
    <row r="890" spans="3:28" ht="19.95" customHeight="1">
      <c r="C890" s="816"/>
      <c r="E890" s="816"/>
      <c r="AB890" s="821"/>
    </row>
    <row r="891" spans="3:28" ht="19.95" customHeight="1">
      <c r="C891" s="816"/>
      <c r="E891" s="816"/>
      <c r="AB891" s="821"/>
    </row>
    <row r="892" spans="3:28" ht="19.95" customHeight="1">
      <c r="C892" s="816"/>
      <c r="E892" s="816"/>
      <c r="AB892" s="821"/>
    </row>
    <row r="893" spans="3:28" ht="19.95" customHeight="1">
      <c r="C893" s="816"/>
      <c r="E893" s="816"/>
      <c r="AB893" s="821"/>
    </row>
    <row r="894" spans="3:28" ht="19.95" customHeight="1">
      <c r="C894" s="816"/>
      <c r="E894" s="816"/>
      <c r="AB894" s="821"/>
    </row>
    <row r="895" spans="3:28" ht="19.95" customHeight="1">
      <c r="C895" s="816"/>
      <c r="E895" s="816"/>
      <c r="AB895" s="821"/>
    </row>
    <row r="896" spans="3:28" ht="19.95" customHeight="1">
      <c r="C896" s="816"/>
      <c r="E896" s="816"/>
      <c r="AB896" s="821"/>
    </row>
    <row r="897" spans="3:28" ht="19.95" customHeight="1">
      <c r="C897" s="816"/>
      <c r="E897" s="816"/>
      <c r="AB897" s="821"/>
    </row>
    <row r="898" spans="3:28" ht="19.95" customHeight="1">
      <c r="C898" s="816"/>
      <c r="E898" s="816"/>
      <c r="AB898" s="821"/>
    </row>
    <row r="899" spans="3:28" ht="19.95" customHeight="1">
      <c r="C899" s="816"/>
      <c r="E899" s="816"/>
      <c r="AB899" s="821"/>
    </row>
    <row r="900" spans="3:28" ht="19.95" customHeight="1">
      <c r="C900" s="816"/>
      <c r="E900" s="816"/>
      <c r="AB900" s="821"/>
    </row>
    <row r="901" spans="3:28" ht="19.95" customHeight="1">
      <c r="C901" s="816"/>
      <c r="E901" s="816"/>
      <c r="AB901" s="821"/>
    </row>
    <row r="902" spans="3:28" ht="19.95" customHeight="1">
      <c r="C902" s="816"/>
      <c r="E902" s="816"/>
      <c r="AB902" s="821"/>
    </row>
    <row r="903" spans="3:28" ht="19.95" customHeight="1">
      <c r="C903" s="816"/>
      <c r="E903" s="816"/>
      <c r="AB903" s="821"/>
    </row>
    <row r="904" spans="3:28" ht="19.95" customHeight="1">
      <c r="C904" s="816"/>
      <c r="E904" s="816"/>
      <c r="AB904" s="821"/>
    </row>
    <row r="905" spans="3:28" ht="19.95" customHeight="1">
      <c r="C905" s="816"/>
      <c r="E905" s="816"/>
      <c r="AB905" s="821"/>
    </row>
    <row r="906" spans="3:28" ht="19.95" customHeight="1">
      <c r="C906" s="816"/>
      <c r="E906" s="816"/>
      <c r="AB906" s="821"/>
    </row>
    <row r="907" spans="3:28" ht="19.95" customHeight="1">
      <c r="C907" s="816"/>
      <c r="E907" s="816"/>
      <c r="AB907" s="821"/>
    </row>
    <row r="908" spans="3:28" ht="19.95" customHeight="1">
      <c r="C908" s="816"/>
      <c r="E908" s="816"/>
      <c r="AB908" s="821"/>
    </row>
    <row r="909" spans="3:28" ht="19.95" customHeight="1">
      <c r="C909" s="816"/>
      <c r="E909" s="816"/>
      <c r="AB909" s="821"/>
    </row>
    <row r="910" spans="3:28" ht="19.95" customHeight="1">
      <c r="C910" s="816"/>
      <c r="E910" s="816"/>
      <c r="AB910" s="821"/>
    </row>
    <row r="911" spans="3:28" ht="19.95" customHeight="1">
      <c r="C911" s="816"/>
      <c r="E911" s="816"/>
      <c r="AB911" s="821"/>
    </row>
    <row r="912" spans="3:28" ht="19.95" customHeight="1">
      <c r="C912" s="816"/>
      <c r="E912" s="816"/>
      <c r="AB912" s="821"/>
    </row>
    <row r="913" spans="3:28" ht="19.95" customHeight="1">
      <c r="C913" s="816"/>
      <c r="E913" s="816"/>
      <c r="AB913" s="821"/>
    </row>
    <row r="914" spans="3:28" ht="19.95" customHeight="1">
      <c r="C914" s="816"/>
      <c r="E914" s="816"/>
      <c r="AB914" s="821"/>
    </row>
    <row r="915" spans="3:28" ht="19.95" customHeight="1">
      <c r="C915" s="816"/>
      <c r="E915" s="816"/>
      <c r="AB915" s="821"/>
    </row>
    <row r="916" spans="3:28" ht="19.95" customHeight="1">
      <c r="C916" s="816"/>
      <c r="E916" s="816"/>
      <c r="AB916" s="821"/>
    </row>
    <row r="917" spans="3:28" ht="19.95" customHeight="1">
      <c r="C917" s="816"/>
      <c r="E917" s="816"/>
      <c r="AB917" s="821"/>
    </row>
    <row r="918" spans="3:28" ht="19.95" customHeight="1">
      <c r="C918" s="816"/>
      <c r="E918" s="816"/>
      <c r="AB918" s="821"/>
    </row>
    <row r="919" spans="3:28" ht="19.95" customHeight="1">
      <c r="C919" s="816"/>
      <c r="E919" s="816"/>
      <c r="AB919" s="821"/>
    </row>
    <row r="920" spans="3:28" ht="19.95" customHeight="1">
      <c r="C920" s="816"/>
      <c r="E920" s="816"/>
      <c r="AB920" s="821"/>
    </row>
    <row r="921" spans="3:28" ht="19.95" customHeight="1">
      <c r="C921" s="816"/>
      <c r="E921" s="816"/>
      <c r="AB921" s="821"/>
    </row>
    <row r="922" spans="3:28" ht="19.95" customHeight="1">
      <c r="C922" s="816"/>
      <c r="E922" s="816"/>
      <c r="AB922" s="821"/>
    </row>
    <row r="923" spans="3:28" ht="19.95" customHeight="1">
      <c r="C923" s="816"/>
      <c r="E923" s="816"/>
      <c r="AB923" s="821"/>
    </row>
    <row r="924" spans="3:28" ht="19.95" customHeight="1">
      <c r="C924" s="816"/>
      <c r="E924" s="816"/>
      <c r="AB924" s="821"/>
    </row>
    <row r="925" spans="3:28" ht="19.95" customHeight="1">
      <c r="C925" s="816"/>
      <c r="E925" s="816"/>
      <c r="AB925" s="821"/>
    </row>
    <row r="926" spans="3:28" ht="19.95" customHeight="1">
      <c r="C926" s="816"/>
      <c r="E926" s="816"/>
      <c r="AB926" s="821"/>
    </row>
    <row r="927" spans="3:28" ht="19.95" customHeight="1">
      <c r="C927" s="816"/>
      <c r="E927" s="816"/>
      <c r="AB927" s="821"/>
    </row>
    <row r="928" spans="3:28" ht="19.95" customHeight="1">
      <c r="C928" s="816"/>
      <c r="E928" s="816"/>
      <c r="AB928" s="821"/>
    </row>
    <row r="929" spans="3:28" ht="19.95" customHeight="1">
      <c r="C929" s="816"/>
      <c r="E929" s="816"/>
      <c r="AB929" s="821"/>
    </row>
    <row r="930" spans="3:28" ht="19.95" customHeight="1">
      <c r="C930" s="816"/>
      <c r="E930" s="816"/>
      <c r="AB930" s="821"/>
    </row>
    <row r="931" spans="3:28" ht="19.95" customHeight="1">
      <c r="C931" s="816"/>
      <c r="E931" s="816"/>
      <c r="AB931" s="821"/>
    </row>
    <row r="932" spans="3:28" ht="19.95" customHeight="1">
      <c r="C932" s="816"/>
      <c r="E932" s="816"/>
      <c r="AB932" s="821"/>
    </row>
    <row r="933" spans="3:28" ht="19.95" customHeight="1">
      <c r="C933" s="816"/>
      <c r="E933" s="816"/>
      <c r="AB933" s="821"/>
    </row>
    <row r="934" spans="3:28" ht="19.95" customHeight="1">
      <c r="C934" s="816"/>
      <c r="E934" s="816"/>
      <c r="AB934" s="821"/>
    </row>
    <row r="935" spans="3:28" ht="19.95" customHeight="1">
      <c r="C935" s="816"/>
      <c r="E935" s="816"/>
      <c r="AB935" s="821"/>
    </row>
    <row r="936" spans="3:28" ht="19.95" customHeight="1">
      <c r="C936" s="816"/>
      <c r="E936" s="816"/>
      <c r="AB936" s="821"/>
    </row>
    <row r="937" spans="3:28" ht="19.95" customHeight="1">
      <c r="C937" s="816"/>
      <c r="E937" s="816"/>
      <c r="AB937" s="821"/>
    </row>
    <row r="938" spans="3:28" ht="19.95" customHeight="1">
      <c r="C938" s="816"/>
      <c r="E938" s="816"/>
      <c r="AB938" s="821"/>
    </row>
    <row r="939" spans="3:28" ht="19.95" customHeight="1">
      <c r="C939" s="816"/>
      <c r="E939" s="816"/>
      <c r="AB939" s="821"/>
    </row>
    <row r="940" spans="3:28" ht="19.95" customHeight="1">
      <c r="C940" s="816"/>
      <c r="E940" s="816"/>
      <c r="AB940" s="821"/>
    </row>
    <row r="941" spans="3:28" ht="19.95" customHeight="1">
      <c r="C941" s="816"/>
      <c r="E941" s="816"/>
      <c r="AB941" s="821"/>
    </row>
    <row r="942" spans="3:28" ht="19.95" customHeight="1">
      <c r="C942" s="816"/>
      <c r="E942" s="816"/>
      <c r="AB942" s="821"/>
    </row>
    <row r="943" spans="3:28" ht="19.95" customHeight="1">
      <c r="C943" s="816"/>
      <c r="E943" s="816"/>
      <c r="AB943" s="821"/>
    </row>
    <row r="944" spans="3:28" ht="19.95" customHeight="1">
      <c r="C944" s="816"/>
      <c r="E944" s="816"/>
      <c r="AB944" s="821"/>
    </row>
    <row r="945" spans="3:28" ht="19.95" customHeight="1">
      <c r="C945" s="816"/>
      <c r="E945" s="816"/>
      <c r="AB945" s="821"/>
    </row>
    <row r="946" spans="3:28" ht="19.95" customHeight="1">
      <c r="C946" s="816"/>
      <c r="E946" s="816"/>
      <c r="AB946" s="821"/>
    </row>
    <row r="947" spans="3:28" ht="19.95" customHeight="1">
      <c r="C947" s="816"/>
      <c r="E947" s="816"/>
      <c r="AB947" s="821"/>
    </row>
    <row r="948" spans="3:28" ht="19.95" customHeight="1">
      <c r="C948" s="816"/>
      <c r="E948" s="816"/>
      <c r="AB948" s="821"/>
    </row>
    <row r="949" spans="3:28" ht="19.95" customHeight="1">
      <c r="C949" s="816"/>
      <c r="E949" s="816"/>
      <c r="AB949" s="821"/>
    </row>
    <row r="950" spans="3:28" ht="19.95" customHeight="1">
      <c r="C950" s="816"/>
      <c r="E950" s="816"/>
      <c r="AB950" s="821"/>
    </row>
    <row r="951" spans="3:28" ht="19.95" customHeight="1">
      <c r="C951" s="816"/>
      <c r="E951" s="816"/>
      <c r="AB951" s="821"/>
    </row>
    <row r="952" spans="3:28" ht="19.95" customHeight="1">
      <c r="C952" s="816"/>
      <c r="E952" s="816"/>
      <c r="AB952" s="821"/>
    </row>
    <row r="953" spans="3:28" ht="19.95" customHeight="1">
      <c r="C953" s="816"/>
      <c r="E953" s="816"/>
      <c r="AB953" s="821"/>
    </row>
    <row r="954" spans="3:28" ht="19.95" customHeight="1">
      <c r="C954" s="816"/>
      <c r="E954" s="816"/>
      <c r="AB954" s="821"/>
    </row>
    <row r="955" spans="3:28" ht="19.95" customHeight="1">
      <c r="C955" s="816"/>
      <c r="E955" s="816"/>
      <c r="AB955" s="821"/>
    </row>
    <row r="956" spans="3:28" ht="19.95" customHeight="1">
      <c r="C956" s="816"/>
      <c r="E956" s="816"/>
      <c r="AB956" s="821"/>
    </row>
    <row r="957" spans="3:28" ht="19.95" customHeight="1">
      <c r="C957" s="816"/>
      <c r="E957" s="816"/>
      <c r="AB957" s="821"/>
    </row>
    <row r="958" spans="3:28" ht="19.95" customHeight="1">
      <c r="C958" s="816"/>
      <c r="E958" s="816"/>
      <c r="AB958" s="821"/>
    </row>
    <row r="959" spans="3:28" ht="19.95" customHeight="1">
      <c r="C959" s="816"/>
      <c r="E959" s="816"/>
      <c r="AB959" s="821"/>
    </row>
    <row r="960" spans="3:28" ht="19.95" customHeight="1">
      <c r="C960" s="816"/>
      <c r="E960" s="816"/>
      <c r="AB960" s="821"/>
    </row>
    <row r="961" spans="3:28" ht="19.95" customHeight="1">
      <c r="C961" s="816"/>
      <c r="E961" s="816"/>
      <c r="AB961" s="821"/>
    </row>
    <row r="962" spans="3:28" ht="19.95" customHeight="1">
      <c r="C962" s="816"/>
      <c r="E962" s="816"/>
      <c r="AB962" s="821"/>
    </row>
    <row r="963" spans="3:28" ht="19.95" customHeight="1">
      <c r="C963" s="816"/>
      <c r="E963" s="816"/>
      <c r="AB963" s="821"/>
    </row>
    <row r="964" spans="3:28" ht="19.95" customHeight="1">
      <c r="C964" s="816"/>
      <c r="E964" s="816"/>
      <c r="AB964" s="821"/>
    </row>
    <row r="965" spans="3:28" ht="19.95" customHeight="1">
      <c r="C965" s="816"/>
      <c r="E965" s="816"/>
      <c r="AB965" s="821"/>
    </row>
    <row r="966" spans="3:28" ht="19.95" customHeight="1">
      <c r="C966" s="816"/>
      <c r="E966" s="816"/>
      <c r="AB966" s="821"/>
    </row>
    <row r="967" spans="3:28" ht="19.95" customHeight="1">
      <c r="C967" s="816"/>
      <c r="E967" s="816"/>
      <c r="AB967" s="821"/>
    </row>
    <row r="968" spans="3:28" ht="19.95" customHeight="1">
      <c r="C968" s="816"/>
      <c r="E968" s="816"/>
      <c r="AB968" s="821"/>
    </row>
    <row r="969" spans="3:28" ht="19.95" customHeight="1">
      <c r="C969" s="816"/>
      <c r="E969" s="816"/>
      <c r="AB969" s="821"/>
    </row>
    <row r="970" spans="3:28" ht="19.95" customHeight="1">
      <c r="C970" s="816"/>
      <c r="E970" s="816"/>
      <c r="AB970" s="821"/>
    </row>
    <row r="971" spans="3:28" ht="19.95" customHeight="1">
      <c r="C971" s="816"/>
      <c r="E971" s="816"/>
      <c r="AB971" s="821"/>
    </row>
    <row r="972" spans="3:28" ht="19.95" customHeight="1">
      <c r="C972" s="816"/>
      <c r="E972" s="816"/>
      <c r="AB972" s="821"/>
    </row>
    <row r="973" spans="3:28" ht="19.95" customHeight="1">
      <c r="C973" s="816"/>
      <c r="E973" s="816"/>
      <c r="AB973" s="821"/>
    </row>
    <row r="974" spans="3:28" ht="19.95" customHeight="1">
      <c r="C974" s="816"/>
      <c r="E974" s="816"/>
      <c r="AB974" s="821"/>
    </row>
    <row r="975" spans="3:28" ht="19.95" customHeight="1">
      <c r="C975" s="816"/>
      <c r="E975" s="816"/>
      <c r="AB975" s="821"/>
    </row>
    <row r="976" spans="3:28" ht="19.95" customHeight="1">
      <c r="C976" s="816"/>
      <c r="E976" s="816"/>
      <c r="AB976" s="821"/>
    </row>
    <row r="977" spans="3:28" ht="19.95" customHeight="1">
      <c r="C977" s="816"/>
      <c r="E977" s="816"/>
      <c r="AB977" s="821"/>
    </row>
    <row r="978" spans="3:28" ht="19.95" customHeight="1">
      <c r="C978" s="816"/>
      <c r="E978" s="816"/>
      <c r="AB978" s="821"/>
    </row>
    <row r="979" spans="3:28" ht="19.95" customHeight="1">
      <c r="C979" s="816"/>
      <c r="E979" s="816"/>
      <c r="AB979" s="821"/>
    </row>
    <row r="980" spans="3:28" ht="19.95" customHeight="1">
      <c r="C980" s="816"/>
      <c r="E980" s="816"/>
      <c r="AB980" s="821"/>
    </row>
    <row r="981" spans="3:28" ht="19.95" customHeight="1">
      <c r="C981" s="816"/>
      <c r="E981" s="816"/>
      <c r="AB981" s="821"/>
    </row>
    <row r="982" spans="3:28" ht="19.95" customHeight="1">
      <c r="C982" s="816"/>
      <c r="E982" s="816"/>
      <c r="AB982" s="821"/>
    </row>
    <row r="983" spans="3:28" ht="19.95" customHeight="1">
      <c r="C983" s="816"/>
      <c r="E983" s="816"/>
      <c r="AB983" s="821"/>
    </row>
    <row r="984" spans="3:28" ht="19.95" customHeight="1">
      <c r="C984" s="816"/>
      <c r="E984" s="816"/>
      <c r="AB984" s="821"/>
    </row>
    <row r="985" spans="3:28" ht="19.95" customHeight="1">
      <c r="C985" s="816"/>
      <c r="E985" s="816"/>
      <c r="AB985" s="821"/>
    </row>
    <row r="986" spans="3:28" ht="19.95" customHeight="1">
      <c r="C986" s="816"/>
      <c r="E986" s="816"/>
      <c r="AB986" s="821"/>
    </row>
    <row r="987" spans="3:28" ht="19.95" customHeight="1">
      <c r="C987" s="816"/>
      <c r="E987" s="816"/>
      <c r="AB987" s="821"/>
    </row>
    <row r="988" spans="3:28" ht="19.95" customHeight="1">
      <c r="C988" s="816"/>
      <c r="E988" s="816"/>
      <c r="AB988" s="821"/>
    </row>
    <row r="989" spans="3:28" ht="19.95" customHeight="1">
      <c r="C989" s="816"/>
      <c r="E989" s="816"/>
      <c r="AB989" s="821"/>
    </row>
    <row r="990" spans="3:28" ht="19.95" customHeight="1">
      <c r="C990" s="816"/>
      <c r="E990" s="816"/>
      <c r="AB990" s="821"/>
    </row>
    <row r="991" spans="3:28" ht="19.95" customHeight="1">
      <c r="C991" s="816"/>
      <c r="E991" s="816"/>
      <c r="AB991" s="821"/>
    </row>
    <row r="992" spans="3:28" ht="19.95" customHeight="1">
      <c r="C992" s="816"/>
      <c r="E992" s="816"/>
      <c r="AB992" s="821"/>
    </row>
    <row r="993" spans="3:28" ht="19.95" customHeight="1">
      <c r="C993" s="816"/>
      <c r="E993" s="816"/>
      <c r="AB993" s="821"/>
    </row>
    <row r="994" spans="3:28" ht="19.95" customHeight="1">
      <c r="C994" s="816"/>
      <c r="E994" s="816"/>
      <c r="AB994" s="821"/>
    </row>
    <row r="995" spans="3:28" ht="19.95" customHeight="1">
      <c r="C995" s="816"/>
      <c r="E995" s="816"/>
      <c r="AB995" s="821"/>
    </row>
    <row r="996" spans="3:28" ht="19.95" customHeight="1">
      <c r="C996" s="816"/>
      <c r="E996" s="816"/>
      <c r="AB996" s="821"/>
    </row>
    <row r="997" spans="3:28" ht="19.95" customHeight="1">
      <c r="C997" s="816"/>
      <c r="E997" s="816"/>
      <c r="AB997" s="821"/>
    </row>
    <row r="998" spans="3:28" ht="19.95" customHeight="1">
      <c r="C998" s="816"/>
      <c r="E998" s="816"/>
      <c r="AB998" s="821"/>
    </row>
    <row r="999" spans="3:28" ht="19.95" customHeight="1">
      <c r="C999" s="816"/>
      <c r="E999" s="816"/>
      <c r="AB999" s="821"/>
    </row>
    <row r="1000" spans="3:28" ht="19.95" customHeight="1">
      <c r="C1000" s="816"/>
      <c r="E1000" s="816"/>
      <c r="AB1000" s="821"/>
    </row>
    <row r="1001" spans="3:28" ht="19.95" customHeight="1">
      <c r="C1001" s="816"/>
      <c r="E1001" s="816"/>
      <c r="AB1001" s="821"/>
    </row>
    <row r="1002" spans="3:28" ht="19.95" customHeight="1">
      <c r="C1002" s="816"/>
      <c r="E1002" s="816"/>
      <c r="AB1002" s="821"/>
    </row>
    <row r="1003" spans="3:28" ht="19.95" customHeight="1">
      <c r="C1003" s="816"/>
      <c r="E1003" s="816"/>
      <c r="AB1003" s="821"/>
    </row>
    <row r="1004" spans="3:28" ht="19.95" customHeight="1">
      <c r="C1004" s="816"/>
      <c r="E1004" s="816"/>
      <c r="AB1004" s="821"/>
    </row>
    <row r="1005" spans="3:28" ht="19.95" customHeight="1">
      <c r="C1005" s="816"/>
      <c r="E1005" s="816"/>
      <c r="AB1005" s="821"/>
    </row>
    <row r="1006" spans="3:28" ht="19.95" customHeight="1">
      <c r="C1006" s="816"/>
      <c r="E1006" s="816"/>
      <c r="AB1006" s="821"/>
    </row>
    <row r="1007" spans="3:28" ht="19.95" customHeight="1">
      <c r="C1007" s="816"/>
      <c r="E1007" s="816"/>
      <c r="AB1007" s="821"/>
    </row>
    <row r="1008" spans="3:28" ht="19.95" customHeight="1">
      <c r="C1008" s="816"/>
      <c r="E1008" s="816"/>
      <c r="AB1008" s="821"/>
    </row>
    <row r="1009" spans="3:28" ht="19.95" customHeight="1">
      <c r="C1009" s="816"/>
      <c r="E1009" s="816"/>
      <c r="AB1009" s="821"/>
    </row>
    <row r="1010" spans="3:28" ht="19.95" customHeight="1">
      <c r="C1010" s="816"/>
      <c r="E1010" s="816"/>
      <c r="AB1010" s="821"/>
    </row>
    <row r="1011" spans="3:28" ht="19.95" customHeight="1">
      <c r="C1011" s="816"/>
      <c r="E1011" s="816"/>
      <c r="AB1011" s="821"/>
    </row>
    <row r="1012" spans="3:28" ht="19.95" customHeight="1">
      <c r="C1012" s="816"/>
      <c r="E1012" s="816"/>
      <c r="AB1012" s="821"/>
    </row>
    <row r="1013" spans="3:28" ht="19.95" customHeight="1">
      <c r="C1013" s="816"/>
      <c r="E1013" s="816"/>
      <c r="AB1013" s="821"/>
    </row>
    <row r="1014" spans="3:28" ht="19.95" customHeight="1">
      <c r="C1014" s="816"/>
      <c r="E1014" s="816"/>
      <c r="AB1014" s="821"/>
    </row>
    <row r="1015" spans="3:28" ht="19.95" customHeight="1">
      <c r="C1015" s="816"/>
      <c r="E1015" s="816"/>
      <c r="AB1015" s="821"/>
    </row>
    <row r="1016" spans="3:28" ht="19.95" customHeight="1">
      <c r="C1016" s="816"/>
      <c r="E1016" s="816"/>
      <c r="AB1016" s="821"/>
    </row>
    <row r="1017" spans="3:28" ht="19.95" customHeight="1">
      <c r="C1017" s="816"/>
      <c r="E1017" s="816"/>
      <c r="AB1017" s="821"/>
    </row>
    <row r="1018" spans="3:28" ht="19.95" customHeight="1">
      <c r="AB1018" s="821"/>
    </row>
  </sheetData>
  <mergeCells count="4">
    <mergeCell ref="A23:A26"/>
    <mergeCell ref="O46:S46"/>
    <mergeCell ref="U46:Z46"/>
    <mergeCell ref="B143:B145"/>
  </mergeCells>
  <printOptions horizontalCentered="1" gridLines="1"/>
  <pageMargins left="0.39370078740157483" right="0.39370078740157483" top="0.39370078740157483" bottom="0.39370078740157483" header="0.39370078740157483" footer="0"/>
  <pageSetup paperSize="9" scale="88" fitToHeight="0" orientation="landscape" r:id="rId1"/>
  <headerFooter alignWithMargins="0">
    <oddHeader>&amp;C&amp;"Arial,Negrita"&amp;12TRAYECTO: EP-15&amp;R&amp;D</oddHeader>
    <oddFooter>&amp;L&amp;F&amp;C&amp;P DE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I13"/>
  <sheetViews>
    <sheetView workbookViewId="0">
      <selection activeCell="B22" sqref="B22"/>
    </sheetView>
  </sheetViews>
  <sheetFormatPr baseColWidth="10" defaultRowHeight="13.2"/>
  <cols>
    <col min="2" max="2" width="80.5546875" bestFit="1" customWidth="1"/>
    <col min="5" max="5" width="14.6640625" bestFit="1" customWidth="1"/>
  </cols>
  <sheetData>
    <row r="1" spans="1:9" ht="18">
      <c r="A1" s="72"/>
      <c r="B1" s="1314" t="s">
        <v>3114</v>
      </c>
      <c r="C1" s="71"/>
      <c r="D1" s="71"/>
      <c r="E1" s="71"/>
    </row>
    <row r="2" spans="1:9" ht="13.8">
      <c r="A2" s="81"/>
      <c r="B2" s="81"/>
      <c r="C2" s="80"/>
      <c r="D2" s="80"/>
      <c r="E2" s="70"/>
      <c r="F2" s="76" t="s">
        <v>499</v>
      </c>
      <c r="G2" s="76" t="s">
        <v>500</v>
      </c>
      <c r="H2" s="76" t="s">
        <v>501</v>
      </c>
      <c r="I2" s="76" t="s">
        <v>502</v>
      </c>
    </row>
    <row r="3" spans="1:9" ht="13.8">
      <c r="A3" s="72"/>
      <c r="B3" s="72"/>
      <c r="C3" s="73"/>
      <c r="D3" s="73"/>
      <c r="E3" s="71"/>
    </row>
    <row r="4" spans="1:9" ht="13.8">
      <c r="A4" s="1315" t="s">
        <v>3115</v>
      </c>
      <c r="B4" s="1315" t="s">
        <v>3116</v>
      </c>
      <c r="C4" s="1316">
        <f>SUM(F4:K4)</f>
        <v>0</v>
      </c>
      <c r="D4" s="113"/>
      <c r="E4" s="810" t="s">
        <v>3117</v>
      </c>
      <c r="F4" s="1318">
        <f>COUNTIF(Area_v1,"AnRW2")</f>
        <v>0</v>
      </c>
      <c r="G4" s="1318">
        <f>COUNTIF(Area_v2,"AnRW2")</f>
        <v>0</v>
      </c>
      <c r="H4" s="1318"/>
      <c r="I4" s="1318"/>
    </row>
    <row r="5" spans="1:9" ht="13.8">
      <c r="A5" s="72"/>
      <c r="B5" s="72"/>
      <c r="C5" s="73"/>
      <c r="D5" s="73"/>
      <c r="E5" s="71"/>
    </row>
    <row r="6" spans="1:9" ht="13.8">
      <c r="A6" s="1315" t="s">
        <v>3118</v>
      </c>
      <c r="B6" s="1315" t="s">
        <v>3119</v>
      </c>
      <c r="C6" s="1316">
        <f>SUM(F6:G6)</f>
        <v>8</v>
      </c>
      <c r="D6" s="72"/>
      <c r="E6" s="810" t="s">
        <v>3120</v>
      </c>
      <c r="F6" s="1319">
        <v>4</v>
      </c>
      <c r="G6" s="1319">
        <v>4</v>
      </c>
      <c r="H6" s="1318"/>
      <c r="I6" s="1318"/>
    </row>
    <row r="7" spans="1:9" ht="13.8">
      <c r="A7" s="72"/>
      <c r="B7" s="1317"/>
      <c r="C7" s="72"/>
      <c r="D7" s="72"/>
      <c r="E7" s="366"/>
    </row>
    <row r="8" spans="1:9" ht="13.8">
      <c r="A8" s="1315" t="s">
        <v>3142</v>
      </c>
      <c r="B8" s="1315" t="s">
        <v>3143</v>
      </c>
      <c r="C8" s="1316">
        <f>SUM(F8:I8)</f>
        <v>10</v>
      </c>
      <c r="D8" s="72"/>
      <c r="E8" s="1315" t="s">
        <v>3142</v>
      </c>
      <c r="F8" s="1319">
        <v>4</v>
      </c>
      <c r="G8" s="1319">
        <v>4</v>
      </c>
      <c r="H8" s="1319">
        <v>1</v>
      </c>
      <c r="I8" s="1319">
        <v>1</v>
      </c>
    </row>
    <row r="9" spans="1:9" ht="13.8">
      <c r="A9" s="1315" t="s">
        <v>3146</v>
      </c>
      <c r="B9" s="1315" t="s">
        <v>3147</v>
      </c>
      <c r="C9" s="1316">
        <f>C8*-2</f>
        <v>-20</v>
      </c>
    </row>
    <row r="11" spans="1:9" ht="13.8">
      <c r="B11" s="1321" t="s">
        <v>3145</v>
      </c>
    </row>
    <row r="13" spans="1:9">
      <c r="B13" s="667" t="s">
        <v>3144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J2077"/>
  <sheetViews>
    <sheetView showZeros="0" zoomScale="70" zoomScaleNormal="70" workbookViewId="0">
      <pane xSplit="2" ySplit="3" topLeftCell="C96" activePane="bottomRight" state="frozen"/>
      <selection activeCell="H12" sqref="H12"/>
      <selection pane="topRight" activeCell="H12" sqref="H12"/>
      <selection pane="bottomLeft" activeCell="H12" sqref="H12"/>
      <selection pane="bottomRight" activeCell="G108" sqref="G108"/>
    </sheetView>
  </sheetViews>
  <sheetFormatPr baseColWidth="10" defaultColWidth="12.5546875" defaultRowHeight="14.4"/>
  <cols>
    <col min="1" max="1" width="14.109375" style="450" customWidth="1"/>
    <col min="2" max="2" width="4.88671875" style="433" customWidth="1"/>
    <col min="3" max="3" width="58.88671875" style="450" customWidth="1"/>
    <col min="4" max="4" width="12.5546875" style="434" hidden="1" customWidth="1"/>
    <col min="5" max="5" width="12.109375" style="434" hidden="1" customWidth="1"/>
    <col min="6" max="6" width="17.109375" style="433" customWidth="1"/>
    <col min="7" max="7" width="14.6640625" style="613" customWidth="1"/>
    <col min="8" max="8" width="17.44140625" style="491" customWidth="1"/>
    <col min="9" max="9" width="12.5546875" style="434" hidden="1" customWidth="1"/>
    <col min="10" max="10" width="67.88671875" style="450" customWidth="1"/>
    <col min="11" max="16384" width="12.5546875" style="434"/>
  </cols>
  <sheetData>
    <row r="1" spans="1:10" s="428" customFormat="1" ht="27" customHeight="1">
      <c r="A1" s="1186"/>
      <c r="B1" s="426"/>
      <c r="C1" s="435"/>
      <c r="D1" s="435"/>
      <c r="E1" s="427"/>
      <c r="G1" s="595"/>
      <c r="H1" s="430"/>
      <c r="J1" s="435"/>
    </row>
    <row r="2" spans="1:10" s="428" customFormat="1" ht="20.399999999999999" customHeight="1">
      <c r="A2" s="1187"/>
      <c r="B2" s="429"/>
      <c r="C2" s="436"/>
      <c r="D2" s="488"/>
      <c r="F2" s="431"/>
      <c r="G2" s="596"/>
      <c r="H2" s="430"/>
      <c r="J2" s="436"/>
    </row>
    <row r="3" spans="1:10" s="428" customFormat="1" ht="29.4" customHeight="1" thickBot="1">
      <c r="A3" s="1188" t="s">
        <v>146</v>
      </c>
      <c r="B3" s="452" t="s">
        <v>147</v>
      </c>
      <c r="C3" s="453" t="s">
        <v>199</v>
      </c>
      <c r="D3" s="1189" t="s">
        <v>148</v>
      </c>
      <c r="E3" s="455" t="s">
        <v>200</v>
      </c>
      <c r="F3" s="456" t="s">
        <v>1168</v>
      </c>
      <c r="G3" s="597" t="s">
        <v>203</v>
      </c>
      <c r="H3" s="430"/>
      <c r="J3" s="453" t="s">
        <v>2268</v>
      </c>
    </row>
    <row r="4" spans="1:10" s="428" customFormat="1" ht="20.399999999999999" customHeight="1">
      <c r="A4" s="1190"/>
      <c r="B4" s="373"/>
      <c r="C4" s="376"/>
      <c r="D4" s="1191"/>
      <c r="E4" s="375"/>
      <c r="F4" s="374"/>
      <c r="G4" s="598"/>
      <c r="H4" s="430"/>
      <c r="J4" s="376"/>
    </row>
    <row r="5" spans="1:10" s="428" customFormat="1" ht="20.399999999999999" customHeight="1">
      <c r="A5" s="1190"/>
      <c r="B5" s="373"/>
      <c r="C5" s="377"/>
      <c r="D5" s="1191"/>
      <c r="E5" s="375"/>
      <c r="F5" s="373"/>
      <c r="G5" s="599"/>
      <c r="H5" s="430"/>
      <c r="J5" s="377"/>
    </row>
    <row r="6" spans="1:10" s="428" customFormat="1" ht="20.399999999999999" customHeight="1">
      <c r="A6" s="1192"/>
      <c r="B6" s="378"/>
      <c r="C6" s="377" t="s">
        <v>244</v>
      </c>
      <c r="D6" s="1191"/>
      <c r="E6" s="375"/>
      <c r="F6" s="373"/>
      <c r="G6" s="599"/>
      <c r="H6" s="1276" t="s">
        <v>2698</v>
      </c>
      <c r="J6" s="377" t="s">
        <v>244</v>
      </c>
    </row>
    <row r="7" spans="1:10" s="428" customFormat="1" ht="20.399999999999999" customHeight="1">
      <c r="A7" s="1192"/>
      <c r="B7" s="378"/>
      <c r="C7" s="377"/>
      <c r="D7" s="1191"/>
      <c r="E7" s="375"/>
      <c r="F7" s="373"/>
      <c r="G7" s="599"/>
      <c r="H7" s="1276" t="s">
        <v>2699</v>
      </c>
      <c r="J7" s="377"/>
    </row>
    <row r="8" spans="1:10" s="428" customFormat="1" ht="20.399999999999999" customHeight="1">
      <c r="A8" s="1192"/>
      <c r="B8" s="378"/>
      <c r="C8" s="377" t="s">
        <v>245</v>
      </c>
      <c r="D8" s="1191"/>
      <c r="E8" s="375"/>
      <c r="F8" s="373"/>
      <c r="G8" s="599"/>
      <c r="H8" s="1276"/>
      <c r="J8" s="377" t="s">
        <v>2269</v>
      </c>
    </row>
    <row r="9" spans="1:10" s="428" customFormat="1" ht="20.399999999999999" customHeight="1">
      <c r="A9" s="1192"/>
      <c r="B9" s="378"/>
      <c r="C9" s="57"/>
      <c r="D9" s="1193"/>
      <c r="E9" s="379"/>
      <c r="F9" s="378"/>
      <c r="G9" s="600"/>
      <c r="H9" s="430"/>
      <c r="J9" s="57"/>
    </row>
    <row r="10" spans="1:10" s="428" customFormat="1" ht="20.399999999999999" customHeight="1">
      <c r="A10" s="1192"/>
      <c r="B10" s="378"/>
      <c r="C10" s="403" t="s">
        <v>246</v>
      </c>
      <c r="D10" s="1191"/>
      <c r="E10" s="375"/>
      <c r="F10" s="380"/>
      <c r="G10" s="601"/>
      <c r="H10" s="430"/>
      <c r="J10" s="403" t="s">
        <v>2270</v>
      </c>
    </row>
    <row r="11" spans="1:10" s="428" customFormat="1" ht="20.399999999999999" customHeight="1">
      <c r="A11" s="1192" t="s">
        <v>247</v>
      </c>
      <c r="B11" s="378" t="s">
        <v>147</v>
      </c>
      <c r="C11" s="57" t="s">
        <v>201</v>
      </c>
      <c r="D11" s="1194">
        <v>15.65</v>
      </c>
      <c r="E11" s="382">
        <f>+G11*D11</f>
        <v>0</v>
      </c>
      <c r="F11" s="473" t="s">
        <v>699</v>
      </c>
      <c r="G11" s="602"/>
      <c r="H11" s="430"/>
      <c r="J11" s="57" t="s">
        <v>2271</v>
      </c>
    </row>
    <row r="12" spans="1:10" s="428" customFormat="1" ht="32.4" customHeight="1">
      <c r="A12" s="1192" t="s">
        <v>248</v>
      </c>
      <c r="B12" s="378" t="s">
        <v>147</v>
      </c>
      <c r="C12" s="57" t="s">
        <v>204</v>
      </c>
      <c r="D12" s="1194">
        <v>151.05000000000001</v>
      </c>
      <c r="E12" s="382">
        <f t="shared" ref="E12:E13" si="0">+G12*D12</f>
        <v>0</v>
      </c>
      <c r="F12" s="473" t="s">
        <v>1274</v>
      </c>
      <c r="G12" s="602"/>
      <c r="H12" s="430"/>
      <c r="J12" s="57" t="s">
        <v>2371</v>
      </c>
    </row>
    <row r="13" spans="1:10" s="428" customFormat="1" ht="20.399999999999999" customHeight="1">
      <c r="A13" s="1192" t="s">
        <v>249</v>
      </c>
      <c r="B13" s="378" t="s">
        <v>147</v>
      </c>
      <c r="C13" s="57" t="s">
        <v>205</v>
      </c>
      <c r="D13" s="1194">
        <v>151.05000000000001</v>
      </c>
      <c r="E13" s="382">
        <f t="shared" si="0"/>
        <v>0</v>
      </c>
      <c r="F13" s="473" t="s">
        <v>509</v>
      </c>
      <c r="G13" s="602"/>
      <c r="H13" s="430"/>
      <c r="J13" s="57" t="s">
        <v>2272</v>
      </c>
    </row>
    <row r="14" spans="1:10" s="428" customFormat="1" ht="20.399999999999999" customHeight="1">
      <c r="A14" s="1192" t="s">
        <v>1169</v>
      </c>
      <c r="B14" s="378" t="s">
        <v>147</v>
      </c>
      <c r="C14" s="57" t="s">
        <v>1171</v>
      </c>
      <c r="D14" s="1195"/>
      <c r="E14" s="13"/>
      <c r="F14" s="383" t="s">
        <v>504</v>
      </c>
      <c r="G14" s="602">
        <f>+'Recuento Conjuntos'!G25+'Recuento Conjuntos'!G26</f>
        <v>0</v>
      </c>
      <c r="H14" s="430"/>
      <c r="J14" s="57" t="s">
        <v>2273</v>
      </c>
    </row>
    <row r="15" spans="1:10" s="428" customFormat="1" ht="20.399999999999999" customHeight="1">
      <c r="A15" s="1192" t="s">
        <v>1170</v>
      </c>
      <c r="B15" s="378" t="s">
        <v>147</v>
      </c>
      <c r="C15" s="57" t="s">
        <v>1172</v>
      </c>
      <c r="D15" s="1196"/>
      <c r="E15" s="382"/>
      <c r="F15" s="383" t="s">
        <v>503</v>
      </c>
      <c r="G15" s="602">
        <f>+'Recuento Conjuntos'!G24+'Recuento Conjuntos'!G23</f>
        <v>0</v>
      </c>
      <c r="H15" s="430"/>
      <c r="J15" s="57" t="s">
        <v>2274</v>
      </c>
    </row>
    <row r="16" spans="1:10" s="428" customFormat="1" ht="21" customHeight="1" thickBot="1">
      <c r="A16" s="1197"/>
      <c r="B16" s="401"/>
      <c r="C16" s="408" t="s">
        <v>250</v>
      </c>
      <c r="D16" s="1198"/>
      <c r="E16" s="386">
        <f>E11+E12+E13</f>
        <v>0</v>
      </c>
      <c r="F16" s="387"/>
      <c r="G16" s="603"/>
      <c r="H16" s="430"/>
      <c r="J16" s="408" t="s">
        <v>2275</v>
      </c>
    </row>
    <row r="17" spans="1:10" s="428" customFormat="1" ht="20.399999999999999" customHeight="1">
      <c r="A17" s="1192"/>
      <c r="B17" s="378"/>
      <c r="C17" s="377"/>
      <c r="D17" s="1199"/>
      <c r="E17" s="388"/>
      <c r="F17" s="385"/>
      <c r="G17" s="604"/>
      <c r="H17" s="430"/>
      <c r="J17" s="377"/>
    </row>
    <row r="18" spans="1:10" s="428" customFormat="1" ht="20.399999999999999" hidden="1" customHeight="1">
      <c r="A18" s="1192"/>
      <c r="B18" s="378"/>
      <c r="C18" s="403" t="s">
        <v>251</v>
      </c>
      <c r="D18" s="1199"/>
      <c r="E18" s="388"/>
      <c r="F18" s="385"/>
      <c r="G18" s="604"/>
      <c r="H18" s="430"/>
      <c r="J18" s="403" t="s">
        <v>2276</v>
      </c>
    </row>
    <row r="19" spans="1:10" s="428" customFormat="1" ht="42" hidden="1" customHeight="1">
      <c r="A19" s="1192" t="s">
        <v>252</v>
      </c>
      <c r="B19" s="378" t="s">
        <v>147</v>
      </c>
      <c r="C19" s="57" t="s">
        <v>242</v>
      </c>
      <c r="D19" s="1194">
        <v>926.4</v>
      </c>
      <c r="E19" s="382" t="e">
        <f>#REF!*D19</f>
        <v>#REF!</v>
      </c>
      <c r="F19" s="381"/>
      <c r="G19" s="605"/>
      <c r="H19" s="430"/>
      <c r="J19" s="57" t="s">
        <v>2372</v>
      </c>
    </row>
    <row r="20" spans="1:10" s="428" customFormat="1" ht="42" hidden="1" customHeight="1">
      <c r="A20" s="1192" t="s">
        <v>253</v>
      </c>
      <c r="B20" s="378" t="s">
        <v>147</v>
      </c>
      <c r="C20" s="57" t="s">
        <v>243</v>
      </c>
      <c r="D20" s="1200">
        <v>1445.45</v>
      </c>
      <c r="E20" s="382" t="e">
        <f>#REF!*D20</f>
        <v>#REF!</v>
      </c>
      <c r="F20" s="381"/>
      <c r="G20" s="605"/>
      <c r="H20" s="430"/>
      <c r="J20" s="57" t="s">
        <v>2373</v>
      </c>
    </row>
    <row r="21" spans="1:10" s="428" customFormat="1" ht="42" hidden="1" customHeight="1">
      <c r="A21" s="1192" t="s">
        <v>457</v>
      </c>
      <c r="B21" s="378" t="s">
        <v>147</v>
      </c>
      <c r="C21" s="57" t="s">
        <v>460</v>
      </c>
      <c r="D21" s="1200">
        <v>1500</v>
      </c>
      <c r="E21" s="12" t="e">
        <f>#REF!*D21</f>
        <v>#REF!</v>
      </c>
      <c r="F21" s="381"/>
      <c r="G21" s="605"/>
      <c r="H21" s="430"/>
      <c r="J21" s="57" t="s">
        <v>2374</v>
      </c>
    </row>
    <row r="22" spans="1:10" s="428" customFormat="1" ht="42" hidden="1" customHeight="1">
      <c r="A22" s="1192" t="s">
        <v>458</v>
      </c>
      <c r="B22" s="378" t="s">
        <v>147</v>
      </c>
      <c r="C22" s="57" t="s">
        <v>461</v>
      </c>
      <c r="D22" s="1200"/>
      <c r="E22" s="12"/>
      <c r="F22" s="381"/>
      <c r="G22" s="605"/>
      <c r="H22" s="430"/>
      <c r="J22" s="57" t="s">
        <v>2375</v>
      </c>
    </row>
    <row r="23" spans="1:10" s="428" customFormat="1" ht="42" hidden="1" customHeight="1">
      <c r="A23" s="1192" t="s">
        <v>459</v>
      </c>
      <c r="B23" s="378" t="s">
        <v>147</v>
      </c>
      <c r="C23" s="57" t="s">
        <v>462</v>
      </c>
      <c r="D23" s="1200"/>
      <c r="E23" s="12"/>
      <c r="F23" s="381"/>
      <c r="G23" s="605"/>
      <c r="H23" s="430"/>
      <c r="J23" s="57" t="s">
        <v>2376</v>
      </c>
    </row>
    <row r="24" spans="1:10" s="428" customFormat="1" ht="42" hidden="1" customHeight="1">
      <c r="A24" s="1192" t="s">
        <v>254</v>
      </c>
      <c r="B24" s="378" t="s">
        <v>147</v>
      </c>
      <c r="C24" s="57" t="s">
        <v>206</v>
      </c>
      <c r="D24" s="1194">
        <v>788.99</v>
      </c>
      <c r="E24" s="382" t="e">
        <f>#REF!*D24</f>
        <v>#REF!</v>
      </c>
      <c r="F24" s="381"/>
      <c r="G24" s="605"/>
      <c r="H24" s="430"/>
      <c r="J24" s="57" t="s">
        <v>2277</v>
      </c>
    </row>
    <row r="25" spans="1:10" s="428" customFormat="1" ht="42" hidden="1" customHeight="1">
      <c r="A25" s="1192" t="s">
        <v>255</v>
      </c>
      <c r="B25" s="378" t="s">
        <v>147</v>
      </c>
      <c r="C25" s="57" t="s">
        <v>207</v>
      </c>
      <c r="D25" s="1194">
        <v>788.99</v>
      </c>
      <c r="E25" s="382" t="e">
        <f>#REF!*D25</f>
        <v>#REF!</v>
      </c>
      <c r="F25" s="381"/>
      <c r="G25" s="605"/>
      <c r="H25" s="430"/>
      <c r="J25" s="57" t="s">
        <v>2278</v>
      </c>
    </row>
    <row r="26" spans="1:10" s="428" customFormat="1" ht="20.399999999999999" hidden="1" customHeight="1">
      <c r="A26" s="1192" t="s">
        <v>256</v>
      </c>
      <c r="B26" s="378" t="s">
        <v>147</v>
      </c>
      <c r="C26" s="57" t="s">
        <v>208</v>
      </c>
      <c r="D26" s="1194">
        <v>325.52999999999997</v>
      </c>
      <c r="E26" s="382" t="e">
        <f>#REF!*D26</f>
        <v>#REF!</v>
      </c>
      <c r="F26" s="381"/>
      <c r="G26" s="605"/>
      <c r="H26" s="430"/>
      <c r="J26" s="57" t="s">
        <v>2279</v>
      </c>
    </row>
    <row r="27" spans="1:10" s="428" customFormat="1" ht="20.399999999999999" hidden="1" customHeight="1">
      <c r="A27" s="1192" t="s">
        <v>257</v>
      </c>
      <c r="B27" s="378"/>
      <c r="C27" s="57" t="s">
        <v>209</v>
      </c>
      <c r="D27" s="1194">
        <v>325.52999999999997</v>
      </c>
      <c r="E27" s="382" t="e">
        <f>#REF!*D27</f>
        <v>#REF!</v>
      </c>
      <c r="F27" s="381"/>
      <c r="G27" s="605"/>
      <c r="H27" s="430"/>
      <c r="J27" s="57" t="s">
        <v>2280</v>
      </c>
    </row>
    <row r="28" spans="1:10" s="428" customFormat="1" ht="42" hidden="1" customHeight="1">
      <c r="A28" s="1192" t="s">
        <v>258</v>
      </c>
      <c r="B28" s="378" t="s">
        <v>147</v>
      </c>
      <c r="C28" s="57" t="s">
        <v>57</v>
      </c>
      <c r="D28" s="1194">
        <v>189.75</v>
      </c>
      <c r="E28" s="12"/>
      <c r="F28" s="381"/>
      <c r="G28" s="605"/>
      <c r="H28" s="430"/>
      <c r="J28" s="57" t="s">
        <v>2377</v>
      </c>
    </row>
    <row r="29" spans="1:10" s="428" customFormat="1" ht="42" hidden="1" customHeight="1">
      <c r="A29" s="1192" t="s">
        <v>259</v>
      </c>
      <c r="B29" s="378" t="s">
        <v>147</v>
      </c>
      <c r="C29" s="57" t="s">
        <v>58</v>
      </c>
      <c r="D29" s="1194">
        <v>217.43</v>
      </c>
      <c r="E29" s="12"/>
      <c r="F29" s="381"/>
      <c r="G29" s="605"/>
      <c r="H29" s="430"/>
      <c r="J29" s="57" t="s">
        <v>2378</v>
      </c>
    </row>
    <row r="30" spans="1:10" s="428" customFormat="1" ht="30" hidden="1" customHeight="1">
      <c r="A30" s="1192" t="s">
        <v>260</v>
      </c>
      <c r="B30" s="378" t="s">
        <v>147</v>
      </c>
      <c r="C30" s="57" t="s">
        <v>149</v>
      </c>
      <c r="D30" s="1194">
        <v>179.24</v>
      </c>
      <c r="E30" s="12"/>
      <c r="F30" s="381"/>
      <c r="G30" s="605"/>
      <c r="H30" s="430"/>
      <c r="J30" s="57" t="s">
        <v>2281</v>
      </c>
    </row>
    <row r="31" spans="1:10" s="428" customFormat="1" ht="21" hidden="1" customHeight="1" thickBot="1">
      <c r="A31" s="1192"/>
      <c r="B31" s="378"/>
      <c r="C31" s="403" t="s">
        <v>261</v>
      </c>
      <c r="D31" s="1198"/>
      <c r="E31" s="386" t="e">
        <f>SUM(E19:E30)</f>
        <v>#REF!</v>
      </c>
      <c r="F31" s="387"/>
      <c r="G31" s="603"/>
      <c r="H31" s="430"/>
      <c r="J31" s="403" t="s">
        <v>2282</v>
      </c>
    </row>
    <row r="32" spans="1:10" s="428" customFormat="1" ht="20.399999999999999" hidden="1" customHeight="1">
      <c r="A32" s="1192"/>
      <c r="B32" s="378"/>
      <c r="C32" s="377" t="s">
        <v>262</v>
      </c>
      <c r="D32" s="1199"/>
      <c r="E32" s="388"/>
      <c r="F32" s="385"/>
      <c r="G32" s="604"/>
      <c r="H32" s="430"/>
      <c r="J32" s="377" t="s">
        <v>2283</v>
      </c>
    </row>
    <row r="33" spans="1:10" s="428" customFormat="1" ht="20.399999999999999" hidden="1" customHeight="1">
      <c r="A33" s="1192"/>
      <c r="B33" s="378"/>
      <c r="C33" s="377"/>
      <c r="D33" s="1199"/>
      <c r="E33" s="388"/>
      <c r="F33" s="385"/>
      <c r="G33" s="604"/>
      <c r="H33" s="430"/>
      <c r="J33" s="377"/>
    </row>
    <row r="34" spans="1:10" s="428" customFormat="1" ht="20.399999999999999" customHeight="1">
      <c r="A34" s="1192"/>
      <c r="B34" s="378"/>
      <c r="C34" s="377" t="s">
        <v>263</v>
      </c>
      <c r="D34" s="1199"/>
      <c r="E34" s="388"/>
      <c r="F34" s="385"/>
      <c r="G34" s="604"/>
      <c r="H34" s="430"/>
      <c r="J34" s="377" t="s">
        <v>2284</v>
      </c>
    </row>
    <row r="35" spans="1:10" s="428" customFormat="1" ht="20.399999999999999" customHeight="1">
      <c r="A35" s="1192"/>
      <c r="B35" s="378"/>
      <c r="C35" s="377"/>
      <c r="D35" s="1199"/>
      <c r="E35" s="388"/>
      <c r="F35" s="385"/>
      <c r="G35" s="604"/>
      <c r="H35" s="430"/>
      <c r="J35" s="377"/>
    </row>
    <row r="36" spans="1:10" s="428" customFormat="1" ht="30" customHeight="1">
      <c r="A36" s="1192"/>
      <c r="B36" s="378"/>
      <c r="C36" s="403" t="s">
        <v>264</v>
      </c>
      <c r="D36" s="1199"/>
      <c r="E36" s="388"/>
      <c r="F36" s="385"/>
      <c r="G36" s="604"/>
      <c r="H36" s="430"/>
      <c r="J36" s="403" t="s">
        <v>2379</v>
      </c>
    </row>
    <row r="37" spans="1:10" s="428" customFormat="1" ht="20.399999999999999" customHeight="1">
      <c r="A37" s="1201" t="s">
        <v>265</v>
      </c>
      <c r="B37" s="1202" t="s">
        <v>147</v>
      </c>
      <c r="C37" s="1203" t="s">
        <v>1183</v>
      </c>
      <c r="D37" s="1204">
        <v>541.97</v>
      </c>
      <c r="E37" s="382">
        <f t="shared" ref="E37:E100" si="1">+G37*D37</f>
        <v>0</v>
      </c>
      <c r="F37" s="1205" t="s">
        <v>510</v>
      </c>
      <c r="G37" s="1206">
        <f>+Rebusca_t1(F37)</f>
        <v>0</v>
      </c>
      <c r="H37" s="430"/>
      <c r="J37" s="1203" t="s">
        <v>2380</v>
      </c>
    </row>
    <row r="38" spans="1:10" s="428" customFormat="1" ht="20.399999999999999" customHeight="1">
      <c r="A38" s="1207" t="s">
        <v>1180</v>
      </c>
      <c r="B38" s="378"/>
      <c r="C38" s="57" t="s">
        <v>2839</v>
      </c>
      <c r="D38" s="1194"/>
      <c r="E38" s="382">
        <f t="shared" si="1"/>
        <v>0</v>
      </c>
      <c r="F38" s="383" t="s">
        <v>1276</v>
      </c>
      <c r="G38" s="602">
        <f t="shared" ref="G38:G77" si="2">+Rebusca_t1(F38)</f>
        <v>0</v>
      </c>
      <c r="H38" s="430"/>
      <c r="J38" s="57" t="s">
        <v>2381</v>
      </c>
    </row>
    <row r="39" spans="1:10" s="428" customFormat="1" ht="20.399999999999999" customHeight="1">
      <c r="A39" s="1207" t="s">
        <v>1181</v>
      </c>
      <c r="B39" s="378"/>
      <c r="C39" s="57" t="s">
        <v>1185</v>
      </c>
      <c r="D39" s="1194"/>
      <c r="E39" s="382">
        <f t="shared" si="1"/>
        <v>0</v>
      </c>
      <c r="F39" s="383" t="s">
        <v>1277</v>
      </c>
      <c r="G39" s="602">
        <f t="shared" si="2"/>
        <v>0</v>
      </c>
      <c r="H39" s="430"/>
      <c r="J39" s="57" t="s">
        <v>2382</v>
      </c>
    </row>
    <row r="40" spans="1:10" s="428" customFormat="1" ht="20.399999999999999" customHeight="1">
      <c r="A40" s="1207" t="s">
        <v>1182</v>
      </c>
      <c r="B40" s="378"/>
      <c r="C40" s="57" t="s">
        <v>2840</v>
      </c>
      <c r="D40" s="1194"/>
      <c r="E40" s="382">
        <f t="shared" si="1"/>
        <v>0</v>
      </c>
      <c r="F40" s="383" t="s">
        <v>1278</v>
      </c>
      <c r="G40" s="602">
        <f t="shared" si="2"/>
        <v>0</v>
      </c>
      <c r="H40" s="430"/>
      <c r="J40" s="57" t="s">
        <v>2383</v>
      </c>
    </row>
    <row r="41" spans="1:10" s="428" customFormat="1" ht="20.399999999999999" customHeight="1">
      <c r="A41" s="1201" t="s">
        <v>266</v>
      </c>
      <c r="B41" s="1202" t="s">
        <v>147</v>
      </c>
      <c r="C41" s="1203" t="s">
        <v>1195</v>
      </c>
      <c r="D41" s="1204">
        <v>541.97</v>
      </c>
      <c r="E41" s="382">
        <f t="shared" si="1"/>
        <v>2167.88</v>
      </c>
      <c r="F41" s="1205" t="s">
        <v>511</v>
      </c>
      <c r="G41" s="1206">
        <f>+Rebusca_t1(F41)</f>
        <v>4</v>
      </c>
      <c r="H41" s="430"/>
      <c r="J41" s="1203" t="s">
        <v>2384</v>
      </c>
    </row>
    <row r="42" spans="1:10" s="428" customFormat="1" ht="20.399999999999999" customHeight="1">
      <c r="A42" s="1207" t="s">
        <v>1191</v>
      </c>
      <c r="B42" s="378" t="s">
        <v>147</v>
      </c>
      <c r="C42" s="57" t="s">
        <v>2841</v>
      </c>
      <c r="D42" s="1194"/>
      <c r="E42" s="382">
        <f t="shared" si="1"/>
        <v>0</v>
      </c>
      <c r="F42" s="383" t="s">
        <v>1152</v>
      </c>
      <c r="G42" s="602">
        <f t="shared" si="2"/>
        <v>0</v>
      </c>
      <c r="H42" s="430"/>
      <c r="J42" s="57" t="s">
        <v>2385</v>
      </c>
    </row>
    <row r="43" spans="1:10" s="428" customFormat="1" ht="20.399999999999999" customHeight="1">
      <c r="A43" s="1208" t="s">
        <v>2842</v>
      </c>
      <c r="B43" s="378" t="s">
        <v>147</v>
      </c>
      <c r="C43" s="57" t="s">
        <v>2843</v>
      </c>
      <c r="D43" s="1194"/>
      <c r="E43" s="382">
        <f t="shared" si="1"/>
        <v>0</v>
      </c>
      <c r="F43" s="383" t="s">
        <v>1152</v>
      </c>
      <c r="G43" s="602">
        <f t="shared" ref="G43" si="3">+Rebusca_t1(F43)</f>
        <v>0</v>
      </c>
      <c r="H43" s="430"/>
      <c r="J43" s="57" t="s">
        <v>2844</v>
      </c>
    </row>
    <row r="44" spans="1:10" s="428" customFormat="1" ht="20.399999999999999" customHeight="1">
      <c r="A44" s="1207" t="s">
        <v>1192</v>
      </c>
      <c r="B44" s="378" t="s">
        <v>147</v>
      </c>
      <c r="C44" s="57" t="s">
        <v>1189</v>
      </c>
      <c r="D44" s="1194"/>
      <c r="E44" s="382">
        <f t="shared" si="1"/>
        <v>0</v>
      </c>
      <c r="F44" s="383" t="s">
        <v>2785</v>
      </c>
      <c r="G44" s="602">
        <f t="shared" si="2"/>
        <v>0</v>
      </c>
      <c r="H44" s="430"/>
      <c r="J44" s="57" t="s">
        <v>2386</v>
      </c>
    </row>
    <row r="45" spans="1:10" s="428" customFormat="1" ht="20.399999999999999" customHeight="1">
      <c r="A45" s="1207" t="s">
        <v>1187</v>
      </c>
      <c r="B45" s="378"/>
      <c r="C45" s="57" t="s">
        <v>2845</v>
      </c>
      <c r="D45" s="1194"/>
      <c r="E45" s="382">
        <f t="shared" si="1"/>
        <v>0</v>
      </c>
      <c r="F45" s="383" t="s">
        <v>1194</v>
      </c>
      <c r="G45" s="602">
        <f t="shared" si="2"/>
        <v>0</v>
      </c>
      <c r="H45" s="430"/>
      <c r="J45" s="57" t="s">
        <v>2387</v>
      </c>
    </row>
    <row r="46" spans="1:10" s="428" customFormat="1" ht="20.399999999999999" customHeight="1">
      <c r="A46" s="1209" t="s">
        <v>1211</v>
      </c>
      <c r="B46" s="1202" t="s">
        <v>147</v>
      </c>
      <c r="C46" s="1203" t="s">
        <v>1209</v>
      </c>
      <c r="D46" s="1210"/>
      <c r="E46" s="382">
        <f t="shared" si="1"/>
        <v>0</v>
      </c>
      <c r="F46" s="1205" t="s">
        <v>1161</v>
      </c>
      <c r="G46" s="1206">
        <f t="shared" si="2"/>
        <v>0</v>
      </c>
      <c r="H46" s="430"/>
      <c r="J46" s="1203" t="s">
        <v>2388</v>
      </c>
    </row>
    <row r="47" spans="1:10" s="428" customFormat="1" ht="20.399999999999999" customHeight="1">
      <c r="A47" s="1207" t="s">
        <v>2638</v>
      </c>
      <c r="B47" s="378" t="s">
        <v>147</v>
      </c>
      <c r="C47" s="57" t="s">
        <v>2639</v>
      </c>
      <c r="D47" s="1200"/>
      <c r="E47" s="382">
        <f t="shared" si="1"/>
        <v>0</v>
      </c>
      <c r="F47" s="383" t="s">
        <v>1162</v>
      </c>
      <c r="G47" s="602">
        <f t="shared" si="2"/>
        <v>4</v>
      </c>
      <c r="H47" s="430"/>
      <c r="J47" s="57" t="s">
        <v>2846</v>
      </c>
    </row>
    <row r="48" spans="1:10" s="428" customFormat="1" ht="20.399999999999999" customHeight="1">
      <c r="A48" s="1201" t="s">
        <v>267</v>
      </c>
      <c r="B48" s="1202" t="s">
        <v>147</v>
      </c>
      <c r="C48" s="1203" t="s">
        <v>1196</v>
      </c>
      <c r="D48" s="1204">
        <v>1078.52</v>
      </c>
      <c r="E48" s="382">
        <f t="shared" si="1"/>
        <v>4314.08</v>
      </c>
      <c r="F48" s="1205" t="s">
        <v>512</v>
      </c>
      <c r="G48" s="1206">
        <f t="shared" si="2"/>
        <v>4</v>
      </c>
      <c r="H48" s="430"/>
      <c r="J48" s="1203" t="s">
        <v>2389</v>
      </c>
    </row>
    <row r="49" spans="1:10" s="428" customFormat="1" ht="20.399999999999999" customHeight="1">
      <c r="A49" s="1207" t="s">
        <v>1197</v>
      </c>
      <c r="B49" s="378" t="s">
        <v>147</v>
      </c>
      <c r="C49" s="57" t="s">
        <v>2847</v>
      </c>
      <c r="D49" s="1194"/>
      <c r="E49" s="382">
        <f t="shared" si="1"/>
        <v>0</v>
      </c>
      <c r="F49" s="383" t="s">
        <v>1173</v>
      </c>
      <c r="G49" s="602">
        <f t="shared" si="2"/>
        <v>26</v>
      </c>
      <c r="H49" s="430"/>
      <c r="J49" s="57" t="s">
        <v>2390</v>
      </c>
    </row>
    <row r="50" spans="1:10" s="428" customFormat="1" ht="20.399999999999999" customHeight="1">
      <c r="A50" s="1208" t="s">
        <v>2848</v>
      </c>
      <c r="B50" s="378" t="s">
        <v>147</v>
      </c>
      <c r="C50" s="57" t="s">
        <v>2849</v>
      </c>
      <c r="D50" s="1194"/>
      <c r="E50" s="382">
        <f t="shared" si="1"/>
        <v>0</v>
      </c>
      <c r="F50" s="383" t="s">
        <v>2789</v>
      </c>
      <c r="G50" s="602">
        <f t="shared" ref="G50" si="4">+Rebusca_t1(F50)</f>
        <v>0</v>
      </c>
      <c r="H50" s="430"/>
      <c r="J50" s="57" t="s">
        <v>2850</v>
      </c>
    </row>
    <row r="51" spans="1:10" s="428" customFormat="1" ht="20.399999999999999" customHeight="1">
      <c r="A51" s="1207" t="s">
        <v>1198</v>
      </c>
      <c r="B51" s="378" t="s">
        <v>147</v>
      </c>
      <c r="C51" s="57" t="s">
        <v>1200</v>
      </c>
      <c r="D51" s="1194"/>
      <c r="E51" s="382">
        <f t="shared" si="1"/>
        <v>0</v>
      </c>
      <c r="F51" s="383" t="s">
        <v>1146</v>
      </c>
      <c r="G51" s="602">
        <f t="shared" si="2"/>
        <v>0</v>
      </c>
      <c r="H51" s="430"/>
      <c r="J51" s="57" t="s">
        <v>2391</v>
      </c>
    </row>
    <row r="52" spans="1:10" s="428" customFormat="1" ht="20.399999999999999" customHeight="1">
      <c r="A52" s="1207" t="s">
        <v>1202</v>
      </c>
      <c r="B52" s="378"/>
      <c r="C52" s="57" t="s">
        <v>2851</v>
      </c>
      <c r="D52" s="1194"/>
      <c r="E52" s="382">
        <f t="shared" si="1"/>
        <v>0</v>
      </c>
      <c r="F52" s="383" t="s">
        <v>1153</v>
      </c>
      <c r="G52" s="602">
        <f t="shared" si="2"/>
        <v>0</v>
      </c>
      <c r="H52" s="430"/>
      <c r="J52" s="57" t="s">
        <v>2392</v>
      </c>
    </row>
    <row r="53" spans="1:10" s="428" customFormat="1" ht="20.399999999999999" customHeight="1">
      <c r="A53" s="1209" t="s">
        <v>1177</v>
      </c>
      <c r="B53" s="1202" t="s">
        <v>147</v>
      </c>
      <c r="C53" s="1203" t="s">
        <v>1210</v>
      </c>
      <c r="D53" s="1210"/>
      <c r="E53" s="382">
        <f t="shared" si="1"/>
        <v>0</v>
      </c>
      <c r="F53" s="1205" t="s">
        <v>1163</v>
      </c>
      <c r="G53" s="1206">
        <f t="shared" si="2"/>
        <v>0</v>
      </c>
      <c r="H53" s="430"/>
      <c r="J53" s="1203" t="s">
        <v>2393</v>
      </c>
    </row>
    <row r="54" spans="1:10" s="428" customFormat="1" ht="20.399999999999999" customHeight="1">
      <c r="A54" s="1207" t="s">
        <v>2640</v>
      </c>
      <c r="B54" s="378" t="s">
        <v>147</v>
      </c>
      <c r="C54" s="57" t="s">
        <v>2641</v>
      </c>
      <c r="D54" s="1200"/>
      <c r="E54" s="382">
        <f t="shared" si="1"/>
        <v>0</v>
      </c>
      <c r="F54" s="383" t="s">
        <v>1164</v>
      </c>
      <c r="G54" s="602">
        <f t="shared" si="2"/>
        <v>0</v>
      </c>
      <c r="H54" s="430"/>
      <c r="J54" s="57" t="s">
        <v>2852</v>
      </c>
    </row>
    <row r="55" spans="1:10" s="428" customFormat="1" ht="20.399999999999999" customHeight="1">
      <c r="A55" s="1211" t="s">
        <v>268</v>
      </c>
      <c r="B55" s="1212" t="s">
        <v>147</v>
      </c>
      <c r="C55" s="1203" t="s">
        <v>1203</v>
      </c>
      <c r="D55" s="1204">
        <v>1078.52</v>
      </c>
      <c r="E55" s="382">
        <f t="shared" si="1"/>
        <v>0</v>
      </c>
      <c r="F55" s="1205" t="s">
        <v>513</v>
      </c>
      <c r="G55" s="1206">
        <f t="shared" si="2"/>
        <v>0</v>
      </c>
      <c r="H55" s="430"/>
      <c r="J55" s="1203" t="s">
        <v>2394</v>
      </c>
    </row>
    <row r="56" spans="1:10" s="428" customFormat="1" ht="20.399999999999999" customHeight="1">
      <c r="A56" s="1207" t="s">
        <v>1212</v>
      </c>
      <c r="B56" s="378" t="s">
        <v>147</v>
      </c>
      <c r="C56" s="57" t="s">
        <v>2853</v>
      </c>
      <c r="D56" s="1194"/>
      <c r="E56" s="382">
        <f t="shared" si="1"/>
        <v>0</v>
      </c>
      <c r="F56" s="383" t="s">
        <v>1155</v>
      </c>
      <c r="G56" s="602">
        <f t="shared" si="2"/>
        <v>20</v>
      </c>
      <c r="H56" s="430"/>
      <c r="J56" s="57" t="s">
        <v>2395</v>
      </c>
    </row>
    <row r="57" spans="1:10" s="428" customFormat="1" ht="20.399999999999999" customHeight="1">
      <c r="A57" s="1207" t="s">
        <v>2854</v>
      </c>
      <c r="B57" s="378" t="s">
        <v>147</v>
      </c>
      <c r="C57" s="57" t="s">
        <v>2855</v>
      </c>
      <c r="D57" s="1194"/>
      <c r="E57" s="382">
        <f t="shared" si="1"/>
        <v>0</v>
      </c>
      <c r="F57" s="383" t="s">
        <v>2793</v>
      </c>
      <c r="G57" s="602">
        <f t="shared" ref="G57" si="5">+Rebusca_t1(F57)</f>
        <v>0</v>
      </c>
      <c r="H57" s="430"/>
      <c r="J57" s="57" t="s">
        <v>2856</v>
      </c>
    </row>
    <row r="58" spans="1:10" s="428" customFormat="1" ht="20.399999999999999" customHeight="1">
      <c r="A58" s="1207" t="s">
        <v>1213</v>
      </c>
      <c r="B58" s="378" t="s">
        <v>147</v>
      </c>
      <c r="C58" s="57" t="s">
        <v>1215</v>
      </c>
      <c r="D58" s="1194"/>
      <c r="E58" s="382">
        <f t="shared" si="1"/>
        <v>0</v>
      </c>
      <c r="F58" s="383" t="s">
        <v>1154</v>
      </c>
      <c r="G58" s="602">
        <f t="shared" si="2"/>
        <v>0</v>
      </c>
      <c r="H58" s="430"/>
      <c r="J58" s="57" t="s">
        <v>2396</v>
      </c>
    </row>
    <row r="59" spans="1:10" s="428" customFormat="1" ht="20.399999999999999" customHeight="1">
      <c r="A59" s="1207" t="s">
        <v>1219</v>
      </c>
      <c r="B59" s="378" t="s">
        <v>147</v>
      </c>
      <c r="C59" s="57" t="s">
        <v>2857</v>
      </c>
      <c r="D59" s="1194"/>
      <c r="E59" s="382">
        <f t="shared" si="1"/>
        <v>0</v>
      </c>
      <c r="F59" s="383" t="s">
        <v>1156</v>
      </c>
      <c r="G59" s="602">
        <f t="shared" si="2"/>
        <v>0</v>
      </c>
      <c r="H59" s="430"/>
      <c r="J59" s="57" t="s">
        <v>2858</v>
      </c>
    </row>
    <row r="60" spans="1:10" s="428" customFormat="1" ht="20.399999999999999" customHeight="1">
      <c r="A60" s="1209" t="s">
        <v>2689</v>
      </c>
      <c r="B60" s="1212" t="s">
        <v>147</v>
      </c>
      <c r="C60" s="1203" t="s">
        <v>2690</v>
      </c>
      <c r="D60" s="1204"/>
      <c r="E60" s="382">
        <f t="shared" si="1"/>
        <v>0</v>
      </c>
      <c r="F60" s="1205" t="s">
        <v>2685</v>
      </c>
      <c r="G60" s="1206">
        <f t="shared" si="2"/>
        <v>4</v>
      </c>
      <c r="H60" s="430"/>
      <c r="J60" s="1203" t="s">
        <v>2691</v>
      </c>
    </row>
    <row r="61" spans="1:10" s="428" customFormat="1" ht="20.399999999999999" customHeight="1">
      <c r="A61" s="1207" t="s">
        <v>2859</v>
      </c>
      <c r="B61" s="378" t="s">
        <v>147</v>
      </c>
      <c r="C61" s="57" t="s">
        <v>2860</v>
      </c>
      <c r="D61" s="1194"/>
      <c r="E61" s="382">
        <f t="shared" si="1"/>
        <v>0</v>
      </c>
      <c r="F61" s="383" t="s">
        <v>2802</v>
      </c>
      <c r="G61" s="602">
        <f t="shared" ref="G61" si="6">+Rebusca_t1(F61)</f>
        <v>0</v>
      </c>
      <c r="H61" s="430"/>
      <c r="J61" s="57" t="s">
        <v>2691</v>
      </c>
    </row>
    <row r="62" spans="1:10" s="428" customFormat="1" ht="20.399999999999999" customHeight="1">
      <c r="A62" s="1211" t="s">
        <v>269</v>
      </c>
      <c r="B62" s="1212" t="s">
        <v>147</v>
      </c>
      <c r="C62" s="1203" t="s">
        <v>1204</v>
      </c>
      <c r="D62" s="1210">
        <v>591.14</v>
      </c>
      <c r="E62" s="382">
        <f t="shared" si="1"/>
        <v>0</v>
      </c>
      <c r="F62" s="1205" t="s">
        <v>514</v>
      </c>
      <c r="G62" s="1206">
        <f t="shared" si="2"/>
        <v>0</v>
      </c>
      <c r="H62" s="430"/>
      <c r="J62" s="1203" t="s">
        <v>2397</v>
      </c>
    </row>
    <row r="63" spans="1:10" s="428" customFormat="1" ht="20.399999999999999" customHeight="1">
      <c r="A63" s="1207" t="s">
        <v>1217</v>
      </c>
      <c r="B63" s="378" t="s">
        <v>147</v>
      </c>
      <c r="C63" s="57" t="s">
        <v>2861</v>
      </c>
      <c r="D63" s="1200"/>
      <c r="E63" s="382">
        <f t="shared" si="1"/>
        <v>0</v>
      </c>
      <c r="F63" s="383" t="s">
        <v>1158</v>
      </c>
      <c r="G63" s="602">
        <f t="shared" si="2"/>
        <v>4</v>
      </c>
      <c r="H63" s="430"/>
      <c r="J63" s="57" t="s">
        <v>2398</v>
      </c>
    </row>
    <row r="64" spans="1:10" s="428" customFormat="1" ht="20.399999999999999" customHeight="1">
      <c r="A64" s="1207" t="s">
        <v>2862</v>
      </c>
      <c r="B64" s="378" t="s">
        <v>147</v>
      </c>
      <c r="C64" s="57" t="s">
        <v>2863</v>
      </c>
      <c r="D64" s="1200"/>
      <c r="E64" s="382">
        <f t="shared" si="1"/>
        <v>0</v>
      </c>
      <c r="F64" s="383" t="s">
        <v>2797</v>
      </c>
      <c r="G64" s="602">
        <f t="shared" ref="G64" si="7">+Rebusca_t1(F64)</f>
        <v>0</v>
      </c>
      <c r="H64" s="430"/>
      <c r="J64" s="57" t="s">
        <v>2864</v>
      </c>
    </row>
    <row r="65" spans="1:10" s="428" customFormat="1" ht="20.399999999999999" customHeight="1">
      <c r="A65" s="1207" t="s">
        <v>1218</v>
      </c>
      <c r="B65" s="378" t="s">
        <v>147</v>
      </c>
      <c r="C65" s="57" t="s">
        <v>1222</v>
      </c>
      <c r="D65" s="1200"/>
      <c r="E65" s="382">
        <f t="shared" si="1"/>
        <v>0</v>
      </c>
      <c r="F65" s="383" t="s">
        <v>1157</v>
      </c>
      <c r="G65" s="602">
        <f t="shared" si="2"/>
        <v>0</v>
      </c>
      <c r="H65" s="430"/>
      <c r="J65" s="57" t="s">
        <v>2399</v>
      </c>
    </row>
    <row r="66" spans="1:10" s="428" customFormat="1" ht="20.399999999999999" customHeight="1">
      <c r="A66" s="1207" t="s">
        <v>1220</v>
      </c>
      <c r="B66" s="378" t="s">
        <v>147</v>
      </c>
      <c r="C66" s="57" t="s">
        <v>2865</v>
      </c>
      <c r="D66" s="1200"/>
      <c r="E66" s="382">
        <f t="shared" si="1"/>
        <v>0</v>
      </c>
      <c r="F66" s="383" t="s">
        <v>1159</v>
      </c>
      <c r="G66" s="602">
        <f t="shared" si="2"/>
        <v>0</v>
      </c>
      <c r="H66" s="430"/>
      <c r="J66" s="57" t="s">
        <v>2400</v>
      </c>
    </row>
    <row r="67" spans="1:10" s="428" customFormat="1" ht="20.399999999999999" customHeight="1">
      <c r="A67" s="1209" t="s">
        <v>2692</v>
      </c>
      <c r="B67" s="1212" t="s">
        <v>147</v>
      </c>
      <c r="C67" s="1203" t="s">
        <v>2693</v>
      </c>
      <c r="D67" s="1210"/>
      <c r="E67" s="382">
        <f t="shared" si="1"/>
        <v>0</v>
      </c>
      <c r="F67" s="1205" t="s">
        <v>2687</v>
      </c>
      <c r="G67" s="1206">
        <f t="shared" si="2"/>
        <v>8</v>
      </c>
      <c r="H67" s="430"/>
      <c r="J67" s="1203" t="s">
        <v>2694</v>
      </c>
    </row>
    <row r="68" spans="1:10" s="428" customFormat="1" ht="20.399999999999999" customHeight="1">
      <c r="A68" s="1209" t="s">
        <v>2866</v>
      </c>
      <c r="B68" s="1212" t="s">
        <v>147</v>
      </c>
      <c r="C68" s="1203" t="s">
        <v>2867</v>
      </c>
      <c r="D68" s="1210"/>
      <c r="E68" s="382">
        <f t="shared" si="1"/>
        <v>0</v>
      </c>
      <c r="F68" s="1205" t="s">
        <v>2806</v>
      </c>
      <c r="G68" s="1206">
        <f t="shared" ref="G68" si="8">+Rebusca_t1(F68)</f>
        <v>0</v>
      </c>
      <c r="H68" s="430"/>
      <c r="J68" s="1203" t="s">
        <v>2868</v>
      </c>
    </row>
    <row r="69" spans="1:10" s="428" customFormat="1" ht="20.399999999999999" customHeight="1">
      <c r="A69" s="1192" t="s">
        <v>270</v>
      </c>
      <c r="B69" s="378" t="s">
        <v>147</v>
      </c>
      <c r="C69" s="57" t="s">
        <v>2869</v>
      </c>
      <c r="D69" s="1194">
        <v>1018.03</v>
      </c>
      <c r="E69" s="382">
        <f t="shared" si="1"/>
        <v>0</v>
      </c>
      <c r="F69" s="383" t="s">
        <v>515</v>
      </c>
      <c r="G69" s="602">
        <f t="shared" si="2"/>
        <v>0</v>
      </c>
      <c r="H69" s="430"/>
      <c r="J69" s="57" t="s">
        <v>2401</v>
      </c>
    </row>
    <row r="70" spans="1:10" s="428" customFormat="1" ht="20.399999999999999" customHeight="1">
      <c r="A70" s="1192" t="s">
        <v>271</v>
      </c>
      <c r="B70" s="378" t="s">
        <v>147</v>
      </c>
      <c r="C70" s="57" t="s">
        <v>2870</v>
      </c>
      <c r="D70" s="1194">
        <v>2231.69</v>
      </c>
      <c r="E70" s="382">
        <f t="shared" si="1"/>
        <v>0</v>
      </c>
      <c r="F70" s="383" t="s">
        <v>516</v>
      </c>
      <c r="G70" s="602">
        <f t="shared" si="2"/>
        <v>0</v>
      </c>
      <c r="H70" s="430"/>
      <c r="J70" s="57" t="s">
        <v>2402</v>
      </c>
    </row>
    <row r="71" spans="1:10" s="428" customFormat="1" ht="20.399999999999999" customHeight="1">
      <c r="A71" s="1197" t="s">
        <v>272</v>
      </c>
      <c r="B71" s="389" t="s">
        <v>147</v>
      </c>
      <c r="C71" s="57" t="s">
        <v>2871</v>
      </c>
      <c r="D71" s="1194">
        <v>2231.69</v>
      </c>
      <c r="E71" s="382">
        <f t="shared" si="1"/>
        <v>0</v>
      </c>
      <c r="F71" s="383" t="s">
        <v>517</v>
      </c>
      <c r="G71" s="602">
        <f t="shared" si="2"/>
        <v>0</v>
      </c>
      <c r="H71" s="430"/>
      <c r="J71" s="57" t="s">
        <v>2403</v>
      </c>
    </row>
    <row r="72" spans="1:10" s="428" customFormat="1" ht="20.399999999999999" customHeight="1">
      <c r="A72" s="1197" t="s">
        <v>273</v>
      </c>
      <c r="B72" s="389" t="s">
        <v>147</v>
      </c>
      <c r="C72" s="57" t="s">
        <v>2872</v>
      </c>
      <c r="D72" s="1200">
        <v>1018.03</v>
      </c>
      <c r="E72" s="382">
        <f t="shared" si="1"/>
        <v>0</v>
      </c>
      <c r="F72" s="383" t="s">
        <v>519</v>
      </c>
      <c r="G72" s="602">
        <f t="shared" si="2"/>
        <v>0</v>
      </c>
      <c r="H72" s="430"/>
      <c r="J72" s="57" t="s">
        <v>2404</v>
      </c>
    </row>
    <row r="73" spans="1:10" s="428" customFormat="1" ht="20.399999999999999" customHeight="1">
      <c r="A73" s="1197" t="s">
        <v>274</v>
      </c>
      <c r="B73" s="389" t="s">
        <v>147</v>
      </c>
      <c r="C73" s="57" t="s">
        <v>444</v>
      </c>
      <c r="D73" s="1194">
        <v>1000</v>
      </c>
      <c r="E73" s="382">
        <f t="shared" si="1"/>
        <v>0</v>
      </c>
      <c r="F73" s="383" t="s">
        <v>1165</v>
      </c>
      <c r="G73" s="602">
        <f t="shared" si="2"/>
        <v>0</v>
      </c>
      <c r="H73" s="430"/>
      <c r="J73" s="57" t="s">
        <v>2405</v>
      </c>
    </row>
    <row r="74" spans="1:10" s="428" customFormat="1" ht="20.399999999999999" customHeight="1">
      <c r="A74" s="1197" t="s">
        <v>275</v>
      </c>
      <c r="B74" s="389" t="s">
        <v>147</v>
      </c>
      <c r="C74" s="57" t="s">
        <v>442</v>
      </c>
      <c r="D74" s="1194">
        <v>600</v>
      </c>
      <c r="E74" s="382">
        <f t="shared" si="1"/>
        <v>0</v>
      </c>
      <c r="F74" s="383" t="s">
        <v>1166</v>
      </c>
      <c r="G74" s="602">
        <f t="shared" si="2"/>
        <v>0</v>
      </c>
      <c r="H74" s="430"/>
      <c r="J74" s="57" t="s">
        <v>2406</v>
      </c>
    </row>
    <row r="75" spans="1:10" s="428" customFormat="1" ht="20.399999999999999" customHeight="1">
      <c r="A75" s="1197" t="s">
        <v>276</v>
      </c>
      <c r="B75" s="389" t="s">
        <v>147</v>
      </c>
      <c r="C75" s="57" t="s">
        <v>449</v>
      </c>
      <c r="D75" s="1194"/>
      <c r="E75" s="382">
        <f t="shared" si="1"/>
        <v>0</v>
      </c>
      <c r="F75" s="383" t="s">
        <v>1167</v>
      </c>
      <c r="G75" s="602">
        <f t="shared" si="2"/>
        <v>0</v>
      </c>
      <c r="H75" s="430"/>
      <c r="J75" s="57" t="s">
        <v>2407</v>
      </c>
    </row>
    <row r="76" spans="1:10" s="428" customFormat="1" ht="20.399999999999999" customHeight="1">
      <c r="A76" s="1197" t="s">
        <v>277</v>
      </c>
      <c r="B76" s="389" t="s">
        <v>147</v>
      </c>
      <c r="C76" s="57" t="s">
        <v>443</v>
      </c>
      <c r="D76" s="1194">
        <v>1831.88</v>
      </c>
      <c r="E76" s="382">
        <f t="shared" si="1"/>
        <v>0</v>
      </c>
      <c r="F76" s="383" t="s">
        <v>1160</v>
      </c>
      <c r="G76" s="602">
        <f>+Rebusca_t1(F76)</f>
        <v>0</v>
      </c>
      <c r="H76" s="430"/>
      <c r="J76" s="57" t="s">
        <v>2408</v>
      </c>
    </row>
    <row r="77" spans="1:10" s="428" customFormat="1" ht="20.399999999999999" customHeight="1">
      <c r="A77" s="1213" t="s">
        <v>2695</v>
      </c>
      <c r="B77" s="1214" t="s">
        <v>147</v>
      </c>
      <c r="C77" s="1215" t="s">
        <v>2696</v>
      </c>
      <c r="D77" s="1216">
        <v>1831.88</v>
      </c>
      <c r="E77" s="382">
        <f t="shared" si="1"/>
        <v>0</v>
      </c>
      <c r="F77" s="1217" t="s">
        <v>2683</v>
      </c>
      <c r="G77" s="1218">
        <f t="shared" si="2"/>
        <v>0</v>
      </c>
      <c r="H77" s="430"/>
      <c r="J77" s="1215" t="s">
        <v>2697</v>
      </c>
    </row>
    <row r="78" spans="1:10" s="428" customFormat="1" ht="20.399999999999999" customHeight="1">
      <c r="A78" s="1211" t="s">
        <v>278</v>
      </c>
      <c r="B78" s="1214" t="s">
        <v>147</v>
      </c>
      <c r="C78" s="1219" t="s">
        <v>2873</v>
      </c>
      <c r="D78" s="1220">
        <v>121.99</v>
      </c>
      <c r="E78" s="382">
        <f t="shared" si="1"/>
        <v>0</v>
      </c>
      <c r="F78" s="1205" t="s">
        <v>525</v>
      </c>
      <c r="G78" s="1206">
        <f>+Rebusca_t1(F78)</f>
        <v>0</v>
      </c>
      <c r="H78" s="430"/>
      <c r="J78" s="1219" t="s">
        <v>2874</v>
      </c>
    </row>
    <row r="79" spans="1:10" s="428" customFormat="1" ht="20.399999999999999" customHeight="1">
      <c r="A79" s="1211" t="s">
        <v>2875</v>
      </c>
      <c r="B79" s="1214" t="s">
        <v>147</v>
      </c>
      <c r="C79" s="1219" t="s">
        <v>2876</v>
      </c>
      <c r="D79" s="1220"/>
      <c r="E79" s="382">
        <f t="shared" si="1"/>
        <v>0</v>
      </c>
      <c r="F79" s="1205" t="s">
        <v>526</v>
      </c>
      <c r="G79" s="1206">
        <f t="shared" ref="G79:G89" si="9">+Rebusca_t1(F79)</f>
        <v>0</v>
      </c>
      <c r="H79" s="430"/>
      <c r="J79" s="1219" t="s">
        <v>2877</v>
      </c>
    </row>
    <row r="80" spans="1:10" s="428" customFormat="1" ht="20.399999999999999" customHeight="1">
      <c r="A80" s="1211" t="s">
        <v>2878</v>
      </c>
      <c r="B80" s="1214" t="s">
        <v>147</v>
      </c>
      <c r="C80" s="1219" t="s">
        <v>2879</v>
      </c>
      <c r="D80" s="1220"/>
      <c r="E80" s="382">
        <f t="shared" si="1"/>
        <v>0</v>
      </c>
      <c r="F80" s="1205" t="s">
        <v>528</v>
      </c>
      <c r="G80" s="1206">
        <f t="shared" si="9"/>
        <v>0</v>
      </c>
      <c r="H80" s="430"/>
      <c r="J80" s="1219" t="s">
        <v>2880</v>
      </c>
    </row>
    <row r="81" spans="1:10" s="428" customFormat="1" ht="20.399999999999999" customHeight="1">
      <c r="A81" s="1192" t="s">
        <v>279</v>
      </c>
      <c r="B81" s="389" t="s">
        <v>2881</v>
      </c>
      <c r="C81" s="1221" t="s">
        <v>2882</v>
      </c>
      <c r="D81" s="1194">
        <v>138.5</v>
      </c>
      <c r="E81" s="382">
        <f t="shared" si="1"/>
        <v>0</v>
      </c>
      <c r="F81" s="1222" t="s">
        <v>530</v>
      </c>
      <c r="G81" s="1222">
        <f t="shared" si="9"/>
        <v>0</v>
      </c>
      <c r="H81" s="430"/>
      <c r="J81" s="1221" t="s">
        <v>2883</v>
      </c>
    </row>
    <row r="82" spans="1:10" s="428" customFormat="1" ht="20.399999999999999" customHeight="1">
      <c r="A82" s="1192" t="s">
        <v>2884</v>
      </c>
      <c r="B82" s="389" t="s">
        <v>2881</v>
      </c>
      <c r="C82" s="1221" t="s">
        <v>2885</v>
      </c>
      <c r="D82" s="1194">
        <v>139.5</v>
      </c>
      <c r="E82" s="382">
        <f t="shared" si="1"/>
        <v>0</v>
      </c>
      <c r="F82" s="1222" t="s">
        <v>532</v>
      </c>
      <c r="G82" s="1222">
        <f t="shared" si="9"/>
        <v>0</v>
      </c>
      <c r="H82" s="430"/>
      <c r="J82" s="1221" t="s">
        <v>2886</v>
      </c>
    </row>
    <row r="83" spans="1:10" s="428" customFormat="1" ht="20.399999999999999" customHeight="1">
      <c r="A83" s="1201" t="s">
        <v>280</v>
      </c>
      <c r="B83" s="1223" t="s">
        <v>2881</v>
      </c>
      <c r="C83" s="1203" t="s">
        <v>2887</v>
      </c>
      <c r="D83" s="1204">
        <v>180.6</v>
      </c>
      <c r="E83" s="382">
        <f t="shared" si="1"/>
        <v>0</v>
      </c>
      <c r="F83" s="1205" t="s">
        <v>534</v>
      </c>
      <c r="G83" s="1206">
        <f t="shared" si="9"/>
        <v>0</v>
      </c>
      <c r="H83" s="430"/>
      <c r="J83" s="1203" t="s">
        <v>2888</v>
      </c>
    </row>
    <row r="84" spans="1:10" s="428" customFormat="1" ht="20.399999999999999" customHeight="1">
      <c r="A84" s="1201" t="s">
        <v>2889</v>
      </c>
      <c r="B84" s="1212" t="s">
        <v>2881</v>
      </c>
      <c r="C84" s="1203" t="s">
        <v>2890</v>
      </c>
      <c r="D84" s="1204">
        <v>180.6</v>
      </c>
      <c r="E84" s="382">
        <f t="shared" si="1"/>
        <v>0</v>
      </c>
      <c r="F84" s="1205" t="s">
        <v>536</v>
      </c>
      <c r="G84" s="1206">
        <f t="shared" si="9"/>
        <v>0</v>
      </c>
      <c r="H84" s="430"/>
      <c r="J84" s="1203" t="s">
        <v>2891</v>
      </c>
    </row>
    <row r="85" spans="1:10" s="428" customFormat="1" ht="20.399999999999999" customHeight="1">
      <c r="A85" s="1201" t="s">
        <v>2892</v>
      </c>
      <c r="B85" s="1212" t="s">
        <v>2881</v>
      </c>
      <c r="C85" s="1203" t="s">
        <v>2893</v>
      </c>
      <c r="D85" s="1204">
        <v>180.6</v>
      </c>
      <c r="E85" s="382">
        <f t="shared" si="1"/>
        <v>0</v>
      </c>
      <c r="F85" s="1205" t="s">
        <v>538</v>
      </c>
      <c r="G85" s="1206">
        <f t="shared" si="9"/>
        <v>0</v>
      </c>
      <c r="H85" s="430"/>
      <c r="J85" s="1203" t="s">
        <v>2894</v>
      </c>
    </row>
    <row r="86" spans="1:10" s="428" customFormat="1" ht="20.399999999999999" customHeight="1">
      <c r="A86" s="1192" t="s">
        <v>281</v>
      </c>
      <c r="B86" s="389" t="s">
        <v>2881</v>
      </c>
      <c r="C86" s="57" t="s">
        <v>2895</v>
      </c>
      <c r="D86" s="1194">
        <v>225.75</v>
      </c>
      <c r="E86" s="382">
        <f t="shared" si="1"/>
        <v>0</v>
      </c>
      <c r="F86" s="383" t="s">
        <v>540</v>
      </c>
      <c r="G86" s="602">
        <f t="shared" si="9"/>
        <v>0</v>
      </c>
      <c r="H86" s="430"/>
      <c r="J86" s="57" t="s">
        <v>2896</v>
      </c>
    </row>
    <row r="87" spans="1:10" s="428" customFormat="1" ht="20.399999999999999" customHeight="1">
      <c r="A87" s="1192" t="s">
        <v>282</v>
      </c>
      <c r="B87" s="389" t="s">
        <v>2881</v>
      </c>
      <c r="C87" s="57" t="s">
        <v>2897</v>
      </c>
      <c r="D87" s="1194"/>
      <c r="E87" s="382">
        <f t="shared" si="1"/>
        <v>0</v>
      </c>
      <c r="F87" s="383" t="s">
        <v>542</v>
      </c>
      <c r="G87" s="602">
        <f t="shared" si="9"/>
        <v>0</v>
      </c>
      <c r="H87" s="430"/>
      <c r="J87" s="57" t="s">
        <v>2898</v>
      </c>
    </row>
    <row r="88" spans="1:10" s="428" customFormat="1" ht="20.399999999999999" customHeight="1">
      <c r="A88" s="1201" t="s">
        <v>2899</v>
      </c>
      <c r="B88" s="1212" t="s">
        <v>2881</v>
      </c>
      <c r="C88" s="1203" t="s">
        <v>2900</v>
      </c>
      <c r="D88" s="1204"/>
      <c r="E88" s="382">
        <f t="shared" si="1"/>
        <v>0</v>
      </c>
      <c r="F88" s="1205" t="s">
        <v>544</v>
      </c>
      <c r="G88" s="1206">
        <f t="shared" si="9"/>
        <v>0</v>
      </c>
      <c r="H88" s="430"/>
      <c r="J88" s="1203" t="s">
        <v>2901</v>
      </c>
    </row>
    <row r="89" spans="1:10" s="428" customFormat="1" ht="20.399999999999999" customHeight="1">
      <c r="A89" s="1201" t="s">
        <v>2902</v>
      </c>
      <c r="B89" s="1212" t="s">
        <v>2881</v>
      </c>
      <c r="C89" s="1203" t="s">
        <v>2903</v>
      </c>
      <c r="D89" s="1204"/>
      <c r="E89" s="382">
        <f t="shared" si="1"/>
        <v>0</v>
      </c>
      <c r="F89" s="1205" t="s">
        <v>546</v>
      </c>
      <c r="G89" s="1206">
        <f t="shared" si="9"/>
        <v>0</v>
      </c>
      <c r="H89" s="430"/>
      <c r="J89" s="1203" t="s">
        <v>2904</v>
      </c>
    </row>
    <row r="90" spans="1:10" s="428" customFormat="1" ht="20.399999999999999" customHeight="1">
      <c r="A90" s="1192" t="s">
        <v>283</v>
      </c>
      <c r="B90" s="378" t="s">
        <v>147</v>
      </c>
      <c r="C90" s="57" t="s">
        <v>54</v>
      </c>
      <c r="D90" s="1194">
        <v>100</v>
      </c>
      <c r="E90" s="382">
        <f t="shared" si="1"/>
        <v>0</v>
      </c>
      <c r="F90" s="383" t="s">
        <v>950</v>
      </c>
      <c r="G90" s="602">
        <f>+Rebusca_t1(F90)</f>
        <v>0</v>
      </c>
      <c r="H90" s="430"/>
      <c r="J90" s="57" t="s">
        <v>2409</v>
      </c>
    </row>
    <row r="91" spans="1:10" s="428" customFormat="1" ht="30" customHeight="1">
      <c r="A91" s="1201" t="s">
        <v>284</v>
      </c>
      <c r="B91" s="1202" t="s">
        <v>147</v>
      </c>
      <c r="C91" s="1203" t="s">
        <v>2905</v>
      </c>
      <c r="D91" s="1204">
        <v>236.87</v>
      </c>
      <c r="E91" s="382">
        <f t="shared" si="1"/>
        <v>0</v>
      </c>
      <c r="F91" s="1205" t="s">
        <v>553</v>
      </c>
      <c r="G91" s="1206">
        <f>+Rebusca_t1(F91)</f>
        <v>0</v>
      </c>
      <c r="H91" s="430"/>
      <c r="J91" s="1203" t="s">
        <v>2906</v>
      </c>
    </row>
    <row r="92" spans="1:10" s="428" customFormat="1" ht="20.399999999999999" customHeight="1">
      <c r="A92" s="1207" t="s">
        <v>1286</v>
      </c>
      <c r="B92" s="378" t="s">
        <v>147</v>
      </c>
      <c r="C92" s="57" t="s">
        <v>2907</v>
      </c>
      <c r="D92" s="1194">
        <v>236.87</v>
      </c>
      <c r="E92" s="382">
        <f t="shared" si="1"/>
        <v>0</v>
      </c>
      <c r="F92" s="383" t="s">
        <v>557</v>
      </c>
      <c r="G92" s="602">
        <f>+Rebusca_t1(F92)</f>
        <v>0</v>
      </c>
      <c r="H92" s="430"/>
      <c r="J92" s="57" t="s">
        <v>2908</v>
      </c>
    </row>
    <row r="93" spans="1:10" s="428" customFormat="1" ht="20.399999999999999" customHeight="1">
      <c r="A93" s="1207" t="s">
        <v>2909</v>
      </c>
      <c r="B93" s="378" t="s">
        <v>147</v>
      </c>
      <c r="C93" s="57" t="s">
        <v>2910</v>
      </c>
      <c r="D93" s="1194">
        <v>236.87</v>
      </c>
      <c r="E93" s="382">
        <f t="shared" si="1"/>
        <v>0</v>
      </c>
      <c r="F93" s="383" t="s">
        <v>2818</v>
      </c>
      <c r="G93" s="602">
        <f t="shared" ref="G93:G94" si="10">+Rebusca_t1(F93)</f>
        <v>0</v>
      </c>
      <c r="H93" s="430"/>
      <c r="J93" s="57" t="s">
        <v>2911</v>
      </c>
    </row>
    <row r="94" spans="1:10" s="428" customFormat="1" ht="30" customHeight="1">
      <c r="A94" s="1207" t="s">
        <v>1287</v>
      </c>
      <c r="B94" s="378" t="s">
        <v>147</v>
      </c>
      <c r="C94" s="57" t="s">
        <v>1290</v>
      </c>
      <c r="D94" s="1194">
        <v>236.87</v>
      </c>
      <c r="E94" s="382">
        <f t="shared" si="1"/>
        <v>0</v>
      </c>
      <c r="F94" s="383" t="s">
        <v>561</v>
      </c>
      <c r="G94" s="602">
        <f t="shared" si="10"/>
        <v>0</v>
      </c>
      <c r="H94" s="430"/>
      <c r="J94" s="57" t="s">
        <v>2290</v>
      </c>
    </row>
    <row r="95" spans="1:10" s="428" customFormat="1" ht="34.950000000000003" customHeight="1">
      <c r="A95" s="1201" t="s">
        <v>285</v>
      </c>
      <c r="B95" s="1202" t="s">
        <v>147</v>
      </c>
      <c r="C95" s="1203" t="s">
        <v>2912</v>
      </c>
      <c r="D95" s="1204">
        <v>316.64</v>
      </c>
      <c r="E95" s="382">
        <f t="shared" si="1"/>
        <v>0</v>
      </c>
      <c r="F95" s="1205" t="s">
        <v>555</v>
      </c>
      <c r="G95" s="1206">
        <f>+Rebusca_t1(F95)</f>
        <v>0</v>
      </c>
      <c r="H95" s="430" t="s">
        <v>2059</v>
      </c>
      <c r="J95" s="1203" t="s">
        <v>2913</v>
      </c>
    </row>
    <row r="96" spans="1:10" s="428" customFormat="1" ht="30" customHeight="1">
      <c r="A96" s="1207" t="s">
        <v>1291</v>
      </c>
      <c r="B96" s="378" t="s">
        <v>147</v>
      </c>
      <c r="C96" s="57" t="s">
        <v>2914</v>
      </c>
      <c r="D96" s="1194">
        <v>317.64</v>
      </c>
      <c r="E96" s="382">
        <f t="shared" si="1"/>
        <v>0</v>
      </c>
      <c r="F96" s="383" t="s">
        <v>559</v>
      </c>
      <c r="G96" s="602">
        <f>+Rebusca_t1(F96)</f>
        <v>0</v>
      </c>
      <c r="H96" s="430"/>
      <c r="J96" s="57" t="s">
        <v>2915</v>
      </c>
    </row>
    <row r="97" spans="1:10" s="428" customFormat="1" ht="30" customHeight="1">
      <c r="A97" s="1207" t="s">
        <v>2916</v>
      </c>
      <c r="B97" s="378" t="s">
        <v>147</v>
      </c>
      <c r="C97" s="57" t="s">
        <v>2917</v>
      </c>
      <c r="D97" s="1194">
        <v>317.64</v>
      </c>
      <c r="E97" s="382">
        <f t="shared" si="1"/>
        <v>0</v>
      </c>
      <c r="F97" s="383" t="s">
        <v>2820</v>
      </c>
      <c r="G97" s="602">
        <f t="shared" ref="G97:G98" si="11">+Rebusca_t1(F97)</f>
        <v>0</v>
      </c>
      <c r="H97" s="430"/>
      <c r="J97" s="57" t="s">
        <v>2918</v>
      </c>
    </row>
    <row r="98" spans="1:10" s="428" customFormat="1" ht="30" customHeight="1">
      <c r="A98" s="1207" t="s">
        <v>1292</v>
      </c>
      <c r="B98" s="378" t="s">
        <v>147</v>
      </c>
      <c r="C98" s="57" t="s">
        <v>1295</v>
      </c>
      <c r="D98" s="1194">
        <v>318.64</v>
      </c>
      <c r="E98" s="382">
        <f t="shared" si="1"/>
        <v>0</v>
      </c>
      <c r="F98" s="383" t="s">
        <v>563</v>
      </c>
      <c r="G98" s="602">
        <f t="shared" si="11"/>
        <v>0</v>
      </c>
      <c r="H98" s="430"/>
      <c r="J98" s="57" t="s">
        <v>2291</v>
      </c>
    </row>
    <row r="99" spans="1:10" s="428" customFormat="1" ht="30" customHeight="1">
      <c r="A99" s="1192" t="s">
        <v>286</v>
      </c>
      <c r="B99" s="378" t="s">
        <v>147</v>
      </c>
      <c r="C99" s="57" t="s">
        <v>69</v>
      </c>
      <c r="D99" s="1194">
        <v>320.42</v>
      </c>
      <c r="E99" s="382">
        <f t="shared" si="1"/>
        <v>179755.62</v>
      </c>
      <c r="F99" s="383" t="s">
        <v>241</v>
      </c>
      <c r="G99" s="602">
        <f>+Rebusca_t1("S1T")</f>
        <v>561</v>
      </c>
      <c r="H99" s="430"/>
      <c r="J99" s="57" t="s">
        <v>2292</v>
      </c>
    </row>
    <row r="100" spans="1:10" s="428" customFormat="1" ht="30" customHeight="1">
      <c r="A100" s="1192" t="s">
        <v>287</v>
      </c>
      <c r="B100" s="378" t="s">
        <v>147</v>
      </c>
      <c r="C100" s="57" t="s">
        <v>70</v>
      </c>
      <c r="D100" s="1194">
        <v>350</v>
      </c>
      <c r="E100" s="382">
        <f t="shared" si="1"/>
        <v>36400</v>
      </c>
      <c r="F100" s="383" t="s">
        <v>465</v>
      </c>
      <c r="G100" s="602">
        <f>+Rebusca_t1("S2T")/2</f>
        <v>104</v>
      </c>
      <c r="H100" s="1224" t="s">
        <v>2060</v>
      </c>
      <c r="J100" s="57" t="s">
        <v>2293</v>
      </c>
    </row>
    <row r="101" spans="1:10" s="428" customFormat="1" ht="30" customHeight="1">
      <c r="A101" s="1192" t="s">
        <v>2919</v>
      </c>
      <c r="B101" s="378" t="s">
        <v>147</v>
      </c>
      <c r="C101" s="57" t="s">
        <v>2920</v>
      </c>
      <c r="D101" s="1194">
        <v>320.42</v>
      </c>
      <c r="E101" s="382">
        <f t="shared" ref="E101:E109" si="12">+G101*D101</f>
        <v>0</v>
      </c>
      <c r="F101" s="383" t="s">
        <v>2823</v>
      </c>
      <c r="G101" s="602">
        <f>+Rebusca_t1("S1W")</f>
        <v>0</v>
      </c>
      <c r="H101" s="430"/>
      <c r="J101" s="57" t="s">
        <v>2921</v>
      </c>
    </row>
    <row r="102" spans="1:10" s="428" customFormat="1" ht="30" customHeight="1">
      <c r="A102" s="1192" t="s">
        <v>2922</v>
      </c>
      <c r="B102" s="378" t="s">
        <v>147</v>
      </c>
      <c r="C102" s="57" t="s">
        <v>2923</v>
      </c>
      <c r="D102" s="1194">
        <v>350</v>
      </c>
      <c r="E102" s="382">
        <f t="shared" si="12"/>
        <v>0</v>
      </c>
      <c r="F102" s="383" t="s">
        <v>2824</v>
      </c>
      <c r="G102" s="602">
        <f>+Rebusca_t1("S2W")/2</f>
        <v>0</v>
      </c>
      <c r="H102" s="1224" t="s">
        <v>2060</v>
      </c>
      <c r="J102" s="57" t="s">
        <v>2921</v>
      </c>
    </row>
    <row r="103" spans="1:10" s="428" customFormat="1" ht="30" customHeight="1">
      <c r="A103" s="1192" t="s">
        <v>3124</v>
      </c>
      <c r="B103" s="378" t="s">
        <v>147</v>
      </c>
      <c r="C103" s="57" t="s">
        <v>3125</v>
      </c>
      <c r="D103" s="1194">
        <v>320.42</v>
      </c>
      <c r="E103" s="382">
        <f t="shared" si="12"/>
        <v>0</v>
      </c>
      <c r="F103" s="383" t="s">
        <v>3075</v>
      </c>
      <c r="G103" s="602">
        <f t="shared" ref="G103:G105" si="13">+Rebusca_t1(F103)</f>
        <v>0</v>
      </c>
      <c r="H103" s="1224"/>
      <c r="J103" s="57" t="s">
        <v>3132</v>
      </c>
    </row>
    <row r="104" spans="1:10" s="428" customFormat="1" ht="30" customHeight="1">
      <c r="A104" s="1192" t="s">
        <v>3126</v>
      </c>
      <c r="B104" s="378" t="s">
        <v>147</v>
      </c>
      <c r="C104" s="57" t="s">
        <v>3127</v>
      </c>
      <c r="D104" s="1194">
        <v>350</v>
      </c>
      <c r="E104" s="382">
        <f t="shared" si="12"/>
        <v>0</v>
      </c>
      <c r="F104" s="383" t="s">
        <v>3077</v>
      </c>
      <c r="G104" s="602">
        <f>+Rebusca_t1(F104)/2</f>
        <v>0</v>
      </c>
      <c r="H104" s="1224" t="s">
        <v>2060</v>
      </c>
      <c r="J104" s="57" t="s">
        <v>3133</v>
      </c>
    </row>
    <row r="105" spans="1:10" s="428" customFormat="1" ht="30" customHeight="1">
      <c r="A105" s="1192" t="s">
        <v>3128</v>
      </c>
      <c r="B105" s="378" t="s">
        <v>147</v>
      </c>
      <c r="C105" s="57" t="s">
        <v>3129</v>
      </c>
      <c r="D105" s="1194">
        <v>320.42</v>
      </c>
      <c r="E105" s="382">
        <f t="shared" si="12"/>
        <v>9292.18</v>
      </c>
      <c r="F105" s="383" t="s">
        <v>2999</v>
      </c>
      <c r="G105" s="602">
        <f t="shared" si="13"/>
        <v>29</v>
      </c>
      <c r="H105" s="1224"/>
      <c r="J105" s="57" t="s">
        <v>3134</v>
      </c>
    </row>
    <row r="106" spans="1:10" s="428" customFormat="1" ht="30" customHeight="1">
      <c r="A106" s="1192" t="s">
        <v>3130</v>
      </c>
      <c r="B106" s="378" t="s">
        <v>147</v>
      </c>
      <c r="C106" s="57" t="s">
        <v>3131</v>
      </c>
      <c r="D106" s="1194">
        <v>350</v>
      </c>
      <c r="E106" s="382">
        <f t="shared" si="12"/>
        <v>0</v>
      </c>
      <c r="F106" s="383" t="s">
        <v>3000</v>
      </c>
      <c r="G106" s="602">
        <f>+Rebusca_t1(F106)/2</f>
        <v>0</v>
      </c>
      <c r="H106" s="1224" t="s">
        <v>2060</v>
      </c>
      <c r="J106" s="57" t="s">
        <v>3135</v>
      </c>
    </row>
    <row r="107" spans="1:10" s="428" customFormat="1" ht="20.399999999999999" customHeight="1">
      <c r="A107" s="1192" t="s">
        <v>288</v>
      </c>
      <c r="B107" s="378" t="s">
        <v>147</v>
      </c>
      <c r="C107" s="57" t="s">
        <v>1224</v>
      </c>
      <c r="D107" s="1194">
        <v>271.44</v>
      </c>
      <c r="E107" s="382">
        <f t="shared" si="12"/>
        <v>0</v>
      </c>
      <c r="F107" s="383" t="s">
        <v>567</v>
      </c>
      <c r="G107" s="602"/>
      <c r="H107" s="430"/>
      <c r="J107" s="57" t="s">
        <v>2294</v>
      </c>
    </row>
    <row r="108" spans="1:10" s="428" customFormat="1" ht="20.399999999999999" customHeight="1">
      <c r="A108" s="1225" t="s">
        <v>1225</v>
      </c>
      <c r="B108" s="409" t="s">
        <v>147</v>
      </c>
      <c r="C108" s="410" t="s">
        <v>1226</v>
      </c>
      <c r="D108" s="1226"/>
      <c r="E108" s="382">
        <f t="shared" si="12"/>
        <v>0</v>
      </c>
      <c r="F108" s="457" t="s">
        <v>1268</v>
      </c>
      <c r="G108" s="606">
        <f>+Rebusca_t1("c-281")+Rebusca_t1("c-282")</f>
        <v>-8</v>
      </c>
      <c r="H108" s="430"/>
      <c r="J108" s="410" t="s">
        <v>2295</v>
      </c>
    </row>
    <row r="109" spans="1:10" s="428" customFormat="1" ht="20.399999999999999" customHeight="1">
      <c r="A109" s="1225" t="s">
        <v>1228</v>
      </c>
      <c r="B109" s="409" t="s">
        <v>147</v>
      </c>
      <c r="C109" s="410" t="s">
        <v>1227</v>
      </c>
      <c r="D109" s="1226"/>
      <c r="E109" s="382">
        <f t="shared" si="12"/>
        <v>0</v>
      </c>
      <c r="F109" s="457" t="s">
        <v>1269</v>
      </c>
      <c r="G109" s="606">
        <f>+Rebusca_t1("c-283")+Rebusca_t1("c-284")</f>
        <v>-8</v>
      </c>
      <c r="H109" s="430"/>
      <c r="J109" s="410" t="s">
        <v>2296</v>
      </c>
    </row>
    <row r="110" spans="1:10" s="428" customFormat="1" ht="21" customHeight="1" thickBot="1">
      <c r="A110" s="1192"/>
      <c r="B110" s="378"/>
      <c r="C110" s="403" t="s">
        <v>289</v>
      </c>
      <c r="D110" s="1198"/>
      <c r="E110" s="386">
        <f>SUM(E37:E107)</f>
        <v>231929.75999999998</v>
      </c>
      <c r="F110" s="385"/>
      <c r="G110" s="604"/>
      <c r="H110" s="430"/>
      <c r="J110" s="403" t="s">
        <v>2297</v>
      </c>
    </row>
    <row r="111" spans="1:10" s="428" customFormat="1" ht="20.399999999999999" customHeight="1">
      <c r="A111" s="1192"/>
      <c r="B111" s="378"/>
      <c r="C111" s="377"/>
      <c r="D111" s="1199"/>
      <c r="E111" s="388"/>
      <c r="F111" s="385"/>
      <c r="G111" s="604"/>
      <c r="H111" s="430"/>
      <c r="J111" s="377"/>
    </row>
    <row r="112" spans="1:10" s="428" customFormat="1" ht="20.399999999999999" hidden="1" customHeight="1">
      <c r="A112" s="1192"/>
      <c r="B112" s="378"/>
      <c r="C112" s="403" t="s">
        <v>451</v>
      </c>
      <c r="D112" s="1199"/>
      <c r="E112" s="388"/>
      <c r="F112" s="385"/>
      <c r="G112" s="604"/>
      <c r="H112" s="430"/>
      <c r="J112" s="403" t="s">
        <v>2924</v>
      </c>
    </row>
    <row r="113" spans="1:10" s="432" customFormat="1" ht="20.399999999999999" hidden="1" customHeight="1">
      <c r="A113" s="1197" t="s">
        <v>290</v>
      </c>
      <c r="B113" s="389" t="s">
        <v>147</v>
      </c>
      <c r="C113" s="404" t="s">
        <v>455</v>
      </c>
      <c r="D113" s="1227">
        <v>146.63999999999999</v>
      </c>
      <c r="E113" s="390" t="e">
        <f>#REF!*D113</f>
        <v>#REF!</v>
      </c>
      <c r="F113" s="383"/>
      <c r="G113" s="602"/>
      <c r="H113" s="1228"/>
      <c r="J113" s="404" t="s">
        <v>2411</v>
      </c>
    </row>
    <row r="114" spans="1:10" s="432" customFormat="1" ht="20.399999999999999" hidden="1" customHeight="1">
      <c r="A114" s="1197" t="s">
        <v>291</v>
      </c>
      <c r="B114" s="389" t="s">
        <v>147</v>
      </c>
      <c r="C114" s="404" t="s">
        <v>456</v>
      </c>
      <c r="D114" s="1227">
        <v>176.49</v>
      </c>
      <c r="E114" s="390" t="e">
        <f>#REF!*D114</f>
        <v>#REF!</v>
      </c>
      <c r="F114" s="383"/>
      <c r="G114" s="602"/>
      <c r="H114" s="1228"/>
      <c r="J114" s="404" t="s">
        <v>2412</v>
      </c>
    </row>
    <row r="115" spans="1:10" s="428" customFormat="1" ht="20.399999999999999" hidden="1" customHeight="1">
      <c r="A115" s="1197" t="s">
        <v>292</v>
      </c>
      <c r="B115" s="389" t="s">
        <v>147</v>
      </c>
      <c r="C115" s="404" t="s">
        <v>425</v>
      </c>
      <c r="D115" s="1194"/>
      <c r="E115" s="391"/>
      <c r="F115" s="383"/>
      <c r="G115" s="602"/>
      <c r="H115" s="430"/>
      <c r="J115" s="404" t="s">
        <v>2413</v>
      </c>
    </row>
    <row r="116" spans="1:10" s="428" customFormat="1" ht="20.399999999999999" hidden="1" customHeight="1">
      <c r="A116" s="1197" t="s">
        <v>293</v>
      </c>
      <c r="B116" s="389" t="s">
        <v>147</v>
      </c>
      <c r="C116" s="404" t="s">
        <v>424</v>
      </c>
      <c r="D116" s="1194"/>
      <c r="E116" s="391"/>
      <c r="F116" s="383"/>
      <c r="G116" s="602"/>
      <c r="H116" s="430"/>
      <c r="J116" s="404" t="s">
        <v>2414</v>
      </c>
    </row>
    <row r="117" spans="1:10" s="432" customFormat="1" ht="20.399999999999999" hidden="1" customHeight="1">
      <c r="A117" s="1197" t="s">
        <v>418</v>
      </c>
      <c r="B117" s="389" t="s">
        <v>147</v>
      </c>
      <c r="C117" s="404" t="s">
        <v>453</v>
      </c>
      <c r="D117" s="1227"/>
      <c r="E117" s="390"/>
      <c r="F117" s="383"/>
      <c r="G117" s="602"/>
      <c r="H117" s="1228"/>
      <c r="J117" s="404" t="s">
        <v>2415</v>
      </c>
    </row>
    <row r="118" spans="1:10" s="428" customFormat="1" ht="20.399999999999999" hidden="1" customHeight="1">
      <c r="A118" s="1197" t="s">
        <v>419</v>
      </c>
      <c r="B118" s="389" t="s">
        <v>147</v>
      </c>
      <c r="C118" s="404" t="s">
        <v>59</v>
      </c>
      <c r="D118" s="1194">
        <v>189.82</v>
      </c>
      <c r="E118" s="391" t="e">
        <f>#REF!*D118</f>
        <v>#REF!</v>
      </c>
      <c r="F118" s="383"/>
      <c r="G118" s="602"/>
      <c r="H118" s="430"/>
      <c r="J118" s="404" t="s">
        <v>2416</v>
      </c>
    </row>
    <row r="119" spans="1:10" s="428" customFormat="1" ht="20.399999999999999" hidden="1" customHeight="1">
      <c r="A119" s="1197" t="s">
        <v>452</v>
      </c>
      <c r="B119" s="389" t="s">
        <v>147</v>
      </c>
      <c r="C119" s="404" t="s">
        <v>71</v>
      </c>
      <c r="D119" s="1200">
        <v>1798.78</v>
      </c>
      <c r="E119" s="391" t="e">
        <f>#REF!*D119</f>
        <v>#REF!</v>
      </c>
      <c r="F119" s="383"/>
      <c r="G119" s="602"/>
      <c r="H119" s="430"/>
      <c r="J119" s="404" t="s">
        <v>71</v>
      </c>
    </row>
    <row r="120" spans="1:10" s="428" customFormat="1" ht="20.399999999999999" hidden="1" customHeight="1">
      <c r="A120" s="1197" t="s">
        <v>420</v>
      </c>
      <c r="B120" s="389" t="s">
        <v>147</v>
      </c>
      <c r="C120" s="404" t="s">
        <v>72</v>
      </c>
      <c r="D120" s="1200">
        <v>2298.88</v>
      </c>
      <c r="E120" s="13" t="e">
        <f>#REF!*D120</f>
        <v>#REF!</v>
      </c>
      <c r="F120" s="383"/>
      <c r="G120" s="602"/>
      <c r="H120" s="430"/>
      <c r="J120" s="404" t="s">
        <v>72</v>
      </c>
    </row>
    <row r="121" spans="1:10" s="428" customFormat="1" ht="20.399999999999999" hidden="1" customHeight="1">
      <c r="A121" s="1192" t="s">
        <v>421</v>
      </c>
      <c r="B121" s="378" t="s">
        <v>147</v>
      </c>
      <c r="C121" s="57" t="s">
        <v>73</v>
      </c>
      <c r="D121" s="1200">
        <v>2298.88</v>
      </c>
      <c r="E121" s="391" t="e">
        <f>#REF!*D121</f>
        <v>#REF!</v>
      </c>
      <c r="F121" s="381"/>
      <c r="G121" s="605"/>
      <c r="H121" s="430"/>
      <c r="J121" s="57" t="s">
        <v>73</v>
      </c>
    </row>
    <row r="122" spans="1:10" s="428" customFormat="1" ht="20.399999999999999" hidden="1" customHeight="1">
      <c r="A122" s="1192" t="s">
        <v>294</v>
      </c>
      <c r="B122" s="378" t="s">
        <v>147</v>
      </c>
      <c r="C122" s="57" t="s">
        <v>74</v>
      </c>
      <c r="D122" s="1200">
        <v>2298.88</v>
      </c>
      <c r="E122" s="13" t="e">
        <f>#REF!*D122</f>
        <v>#REF!</v>
      </c>
      <c r="F122" s="381"/>
      <c r="G122" s="605"/>
      <c r="H122" s="430"/>
      <c r="J122" s="57" t="s">
        <v>74</v>
      </c>
    </row>
    <row r="123" spans="1:10" s="428" customFormat="1" ht="20.399999999999999" hidden="1" customHeight="1">
      <c r="A123" s="1192" t="s">
        <v>295</v>
      </c>
      <c r="B123" s="378" t="s">
        <v>147</v>
      </c>
      <c r="C123" s="57" t="s">
        <v>454</v>
      </c>
      <c r="D123" s="1200"/>
      <c r="E123" s="13"/>
      <c r="F123" s="381"/>
      <c r="G123" s="605"/>
      <c r="H123" s="430"/>
      <c r="J123" s="57" t="s">
        <v>454</v>
      </c>
    </row>
    <row r="124" spans="1:10" s="428" customFormat="1" ht="20.399999999999999" hidden="1" customHeight="1">
      <c r="A124" s="1192" t="s">
        <v>296</v>
      </c>
      <c r="B124" s="378" t="s">
        <v>147</v>
      </c>
      <c r="C124" s="57" t="s">
        <v>464</v>
      </c>
      <c r="D124" s="1200"/>
      <c r="E124" s="13"/>
      <c r="F124" s="381"/>
      <c r="G124" s="605"/>
      <c r="H124" s="430"/>
      <c r="J124" s="57" t="s">
        <v>2417</v>
      </c>
    </row>
    <row r="125" spans="1:10" s="428" customFormat="1" ht="20.399999999999999" hidden="1" customHeight="1">
      <c r="A125" s="1192" t="s">
        <v>297</v>
      </c>
      <c r="B125" s="378" t="s">
        <v>147</v>
      </c>
      <c r="C125" s="57" t="s">
        <v>75</v>
      </c>
      <c r="D125" s="1194">
        <v>421.39</v>
      </c>
      <c r="E125" s="13" t="e">
        <f>#REF!*D125</f>
        <v>#REF!</v>
      </c>
      <c r="F125" s="381"/>
      <c r="G125" s="605"/>
      <c r="H125" s="430"/>
      <c r="J125" s="57" t="s">
        <v>75</v>
      </c>
    </row>
    <row r="126" spans="1:10" s="428" customFormat="1" ht="20.399999999999999" hidden="1" customHeight="1">
      <c r="A126" s="1192" t="s">
        <v>422</v>
      </c>
      <c r="B126" s="378" t="s">
        <v>147</v>
      </c>
      <c r="C126" s="57" t="s">
        <v>76</v>
      </c>
      <c r="D126" s="1194">
        <v>450</v>
      </c>
      <c r="E126" s="13" t="e">
        <f>#REF!*D126</f>
        <v>#REF!</v>
      </c>
      <c r="F126" s="381"/>
      <c r="G126" s="605"/>
      <c r="H126" s="430"/>
      <c r="J126" s="57" t="s">
        <v>76</v>
      </c>
    </row>
    <row r="127" spans="1:10" s="428" customFormat="1" ht="20.399999999999999" hidden="1" customHeight="1">
      <c r="A127" s="1192" t="s">
        <v>423</v>
      </c>
      <c r="B127" s="378" t="s">
        <v>147</v>
      </c>
      <c r="C127" s="57" t="s">
        <v>77</v>
      </c>
      <c r="D127" s="1194">
        <v>238.62</v>
      </c>
      <c r="E127" s="13" t="e">
        <f>#REF!*D127</f>
        <v>#REF!</v>
      </c>
      <c r="F127" s="381"/>
      <c r="G127" s="605"/>
      <c r="H127" s="430"/>
      <c r="J127" s="57" t="s">
        <v>77</v>
      </c>
    </row>
    <row r="128" spans="1:10" s="428" customFormat="1" ht="20.399999999999999" hidden="1" customHeight="1">
      <c r="A128" s="1192" t="s">
        <v>298</v>
      </c>
      <c r="B128" s="378" t="s">
        <v>147</v>
      </c>
      <c r="C128" s="57" t="s">
        <v>78</v>
      </c>
      <c r="D128" s="1194">
        <v>477.24</v>
      </c>
      <c r="E128" s="391" t="e">
        <f>#REF!*D128</f>
        <v>#REF!</v>
      </c>
      <c r="F128" s="381"/>
      <c r="G128" s="605"/>
      <c r="H128" s="430"/>
      <c r="J128" s="57" t="s">
        <v>78</v>
      </c>
    </row>
    <row r="129" spans="1:10" s="428" customFormat="1" ht="20.399999999999999" hidden="1" customHeight="1">
      <c r="A129" s="1192" t="s">
        <v>299</v>
      </c>
      <c r="B129" s="378" t="s">
        <v>147</v>
      </c>
      <c r="C129" s="57" t="s">
        <v>151</v>
      </c>
      <c r="D129" s="1194">
        <v>103.93</v>
      </c>
      <c r="E129" s="13" t="e">
        <f>#REF!*D129</f>
        <v>#REF!</v>
      </c>
      <c r="F129" s="381"/>
      <c r="G129" s="605"/>
      <c r="H129" s="430"/>
      <c r="J129" s="57" t="s">
        <v>151</v>
      </c>
    </row>
    <row r="130" spans="1:10" s="428" customFormat="1" ht="21" hidden="1" customHeight="1" thickBot="1">
      <c r="A130" s="1192" t="s">
        <v>463</v>
      </c>
      <c r="B130" s="378" t="s">
        <v>147</v>
      </c>
      <c r="C130" s="57" t="s">
        <v>152</v>
      </c>
      <c r="D130" s="1194">
        <v>4.8899999999999997</v>
      </c>
      <c r="E130" s="391" t="e">
        <f>#REF!*D130</f>
        <v>#REF!</v>
      </c>
      <c r="F130" s="381"/>
      <c r="G130" s="605"/>
      <c r="H130" s="430"/>
      <c r="J130" s="57" t="s">
        <v>2418</v>
      </c>
    </row>
    <row r="131" spans="1:10" s="428" customFormat="1" ht="21" hidden="1" customHeight="1" thickBot="1">
      <c r="A131" s="1192"/>
      <c r="B131" s="378"/>
      <c r="C131" s="403" t="s">
        <v>300</v>
      </c>
      <c r="D131" s="1198"/>
      <c r="E131" s="392" t="e">
        <f>SUM(E113:E130)</f>
        <v>#REF!</v>
      </c>
      <c r="F131" s="387"/>
      <c r="G131" s="603"/>
      <c r="H131" s="430"/>
      <c r="J131" s="403" t="s">
        <v>300</v>
      </c>
    </row>
    <row r="132" spans="1:10" s="428" customFormat="1" ht="20.399999999999999" hidden="1" customHeight="1">
      <c r="A132" s="1192"/>
      <c r="B132" s="378"/>
      <c r="C132" s="377" t="s">
        <v>301</v>
      </c>
      <c r="D132" s="1199"/>
      <c r="E132" s="388"/>
      <c r="F132" s="385"/>
      <c r="G132" s="604"/>
      <c r="H132" s="430"/>
      <c r="J132" s="377" t="s">
        <v>2419</v>
      </c>
    </row>
    <row r="133" spans="1:10" s="428" customFormat="1" ht="20.399999999999999" customHeight="1">
      <c r="A133" s="1192"/>
      <c r="B133" s="378"/>
      <c r="C133" s="403"/>
      <c r="D133" s="1199"/>
      <c r="E133" s="388"/>
      <c r="F133" s="385"/>
      <c r="G133" s="604"/>
      <c r="H133" s="430"/>
      <c r="J133" s="403"/>
    </row>
    <row r="134" spans="1:10" s="428" customFormat="1" ht="20.399999999999999" customHeight="1">
      <c r="A134" s="1192"/>
      <c r="B134" s="378"/>
      <c r="C134" s="377" t="s">
        <v>302</v>
      </c>
      <c r="D134" s="1199"/>
      <c r="E134" s="388"/>
      <c r="F134" s="385"/>
      <c r="G134" s="604"/>
      <c r="H134" s="430"/>
      <c r="J134" s="377" t="s">
        <v>2298</v>
      </c>
    </row>
    <row r="135" spans="1:10" s="428" customFormat="1" ht="20.399999999999999" customHeight="1">
      <c r="A135" s="1192"/>
      <c r="B135" s="378"/>
      <c r="C135" s="403"/>
      <c r="D135" s="1199"/>
      <c r="E135" s="388"/>
      <c r="F135" s="385"/>
      <c r="G135" s="604"/>
      <c r="H135" s="430"/>
      <c r="J135" s="403"/>
    </row>
    <row r="136" spans="1:10" s="428" customFormat="1" ht="30" customHeight="1">
      <c r="A136" s="1192"/>
      <c r="B136" s="378"/>
      <c r="C136" s="403" t="s">
        <v>303</v>
      </c>
      <c r="D136" s="1199"/>
      <c r="E136" s="388"/>
      <c r="F136" s="385"/>
      <c r="G136" s="604"/>
      <c r="H136" s="430"/>
      <c r="J136" s="403" t="s">
        <v>2299</v>
      </c>
    </row>
    <row r="137" spans="1:10" s="428" customFormat="1" ht="20.399999999999999" customHeight="1">
      <c r="A137" s="1192" t="s">
        <v>304</v>
      </c>
      <c r="B137" s="378" t="s">
        <v>147</v>
      </c>
      <c r="C137" s="57" t="s">
        <v>1229</v>
      </c>
      <c r="D137" s="1194">
        <v>345.48</v>
      </c>
      <c r="E137" s="382">
        <f t="shared" ref="E137:E151" si="14">+G137*D137</f>
        <v>0</v>
      </c>
      <c r="F137" s="383"/>
      <c r="G137" s="602"/>
      <c r="H137" s="430"/>
      <c r="J137" s="57" t="s">
        <v>2300</v>
      </c>
    </row>
    <row r="138" spans="1:10" s="428" customFormat="1" ht="20.399999999999999" customHeight="1">
      <c r="A138" s="1225" t="s">
        <v>1230</v>
      </c>
      <c r="B138" s="409" t="s">
        <v>147</v>
      </c>
      <c r="C138" s="410" t="s">
        <v>1233</v>
      </c>
      <c r="D138" s="1194"/>
      <c r="E138" s="382">
        <f t="shared" si="14"/>
        <v>0</v>
      </c>
      <c r="F138" s="457" t="s">
        <v>575</v>
      </c>
      <c r="G138" s="606">
        <f>+Rebusca_t1("C-301")</f>
        <v>35</v>
      </c>
      <c r="H138" s="430"/>
      <c r="J138" s="410" t="s">
        <v>2301</v>
      </c>
    </row>
    <row r="139" spans="1:10" s="428" customFormat="1" ht="20.399999999999999" customHeight="1">
      <c r="A139" s="1225" t="s">
        <v>1231</v>
      </c>
      <c r="B139" s="409" t="s">
        <v>147</v>
      </c>
      <c r="C139" s="410" t="s">
        <v>746</v>
      </c>
      <c r="D139" s="1194"/>
      <c r="E139" s="382">
        <f t="shared" si="14"/>
        <v>0</v>
      </c>
      <c r="F139" s="457" t="s">
        <v>580</v>
      </c>
      <c r="G139" s="606">
        <f>+Rebusca_t1("C-304")</f>
        <v>355</v>
      </c>
      <c r="H139" s="430"/>
      <c r="J139" s="410" t="s">
        <v>2302</v>
      </c>
    </row>
    <row r="140" spans="1:10" s="428" customFormat="1" ht="20.399999999999999" customHeight="1">
      <c r="A140" s="1225" t="s">
        <v>1232</v>
      </c>
      <c r="B140" s="409" t="s">
        <v>147</v>
      </c>
      <c r="C140" s="410" t="s">
        <v>1234</v>
      </c>
      <c r="D140" s="1194"/>
      <c r="E140" s="382">
        <f t="shared" si="14"/>
        <v>0</v>
      </c>
      <c r="F140" s="457" t="s">
        <v>583</v>
      </c>
      <c r="G140" s="606">
        <f>+Rebusca_t1("C-307")</f>
        <v>0</v>
      </c>
      <c r="H140" s="430"/>
      <c r="J140" s="410" t="s">
        <v>2303</v>
      </c>
    </row>
    <row r="141" spans="1:10" s="428" customFormat="1" ht="32.4" customHeight="1">
      <c r="A141" s="1192" t="s">
        <v>305</v>
      </c>
      <c r="B141" s="378" t="s">
        <v>147</v>
      </c>
      <c r="C141" s="57" t="s">
        <v>1235</v>
      </c>
      <c r="D141" s="1194">
        <v>323.64999999999998</v>
      </c>
      <c r="E141" s="382">
        <f t="shared" si="14"/>
        <v>0</v>
      </c>
      <c r="F141" s="383" t="s">
        <v>1273</v>
      </c>
      <c r="G141" s="602"/>
      <c r="H141" s="430"/>
      <c r="J141" s="57" t="s">
        <v>2304</v>
      </c>
    </row>
    <row r="142" spans="1:10" s="428" customFormat="1" ht="20.399999999999999" customHeight="1">
      <c r="A142" s="1225" t="s">
        <v>1239</v>
      </c>
      <c r="B142" s="409" t="s">
        <v>147</v>
      </c>
      <c r="C142" s="410" t="s">
        <v>1236</v>
      </c>
      <c r="D142" s="1194"/>
      <c r="E142" s="382">
        <f t="shared" si="14"/>
        <v>0</v>
      </c>
      <c r="F142" s="457" t="s">
        <v>577</v>
      </c>
      <c r="G142" s="606">
        <f>+Rebusca_t1(F142)</f>
        <v>39</v>
      </c>
      <c r="H142" s="430"/>
      <c r="J142" s="410" t="s">
        <v>2305</v>
      </c>
    </row>
    <row r="143" spans="1:10" s="428" customFormat="1" ht="20.399999999999999" customHeight="1">
      <c r="A143" s="1225" t="s">
        <v>1240</v>
      </c>
      <c r="B143" s="409" t="s">
        <v>147</v>
      </c>
      <c r="C143" s="410" t="s">
        <v>748</v>
      </c>
      <c r="D143" s="1194"/>
      <c r="E143" s="382">
        <f t="shared" si="14"/>
        <v>0</v>
      </c>
      <c r="F143" s="457" t="s">
        <v>581</v>
      </c>
      <c r="G143" s="606">
        <f t="shared" ref="G143:G144" si="15">+Rebusca_t1(F143)</f>
        <v>351</v>
      </c>
      <c r="H143" s="430"/>
      <c r="J143" s="410" t="s">
        <v>2306</v>
      </c>
    </row>
    <row r="144" spans="1:10" s="428" customFormat="1" ht="20.399999999999999" customHeight="1">
      <c r="A144" s="1225" t="s">
        <v>1241</v>
      </c>
      <c r="B144" s="409" t="s">
        <v>147</v>
      </c>
      <c r="C144" s="410" t="s">
        <v>1237</v>
      </c>
      <c r="D144" s="1194"/>
      <c r="E144" s="382">
        <f t="shared" si="14"/>
        <v>0</v>
      </c>
      <c r="F144" s="457" t="s">
        <v>1238</v>
      </c>
      <c r="G144" s="606">
        <f t="shared" si="15"/>
        <v>0</v>
      </c>
      <c r="H144" s="430"/>
      <c r="J144" s="410" t="s">
        <v>2307</v>
      </c>
    </row>
    <row r="145" spans="1:10" s="428" customFormat="1" ht="20.399999999999999" customHeight="1">
      <c r="A145" s="1192" t="s">
        <v>306</v>
      </c>
      <c r="B145" s="378" t="s">
        <v>147</v>
      </c>
      <c r="C145" s="57" t="s">
        <v>102</v>
      </c>
      <c r="D145" s="1194">
        <v>317.44</v>
      </c>
      <c r="E145" s="382">
        <f t="shared" si="14"/>
        <v>0</v>
      </c>
      <c r="F145" s="383" t="s">
        <v>1174</v>
      </c>
      <c r="G145" s="602"/>
      <c r="H145" s="430"/>
      <c r="J145" s="57" t="s">
        <v>2308</v>
      </c>
    </row>
    <row r="146" spans="1:10" s="428" customFormat="1" ht="20.399999999999999" customHeight="1">
      <c r="A146" s="1225" t="s">
        <v>1242</v>
      </c>
      <c r="B146" s="409" t="s">
        <v>147</v>
      </c>
      <c r="C146" s="410" t="s">
        <v>1245</v>
      </c>
      <c r="D146" s="1194"/>
      <c r="E146" s="382">
        <f t="shared" si="14"/>
        <v>0</v>
      </c>
      <c r="F146" s="457" t="s">
        <v>578</v>
      </c>
      <c r="G146" s="606">
        <f t="shared" ref="G146:G148" si="16">+Rebusca_t1(F146)</f>
        <v>10</v>
      </c>
      <c r="H146" s="430"/>
      <c r="J146" s="410" t="s">
        <v>2309</v>
      </c>
    </row>
    <row r="147" spans="1:10" s="428" customFormat="1" ht="20.399999999999999" customHeight="1">
      <c r="A147" s="1225" t="s">
        <v>1243</v>
      </c>
      <c r="B147" s="409" t="s">
        <v>147</v>
      </c>
      <c r="C147" s="410" t="s">
        <v>1246</v>
      </c>
      <c r="D147" s="1194"/>
      <c r="E147" s="382">
        <f t="shared" si="14"/>
        <v>0</v>
      </c>
      <c r="F147" s="457" t="s">
        <v>582</v>
      </c>
      <c r="G147" s="606">
        <f t="shared" si="16"/>
        <v>90</v>
      </c>
      <c r="H147" s="430"/>
      <c r="J147" s="410" t="s">
        <v>2310</v>
      </c>
    </row>
    <row r="148" spans="1:10" s="428" customFormat="1" ht="20.399999999999999" customHeight="1">
      <c r="A148" s="1225" t="s">
        <v>1244</v>
      </c>
      <c r="B148" s="409" t="s">
        <v>147</v>
      </c>
      <c r="C148" s="410" t="s">
        <v>1247</v>
      </c>
      <c r="D148" s="1194"/>
      <c r="E148" s="382">
        <f t="shared" si="14"/>
        <v>0</v>
      </c>
      <c r="F148" s="457" t="s">
        <v>586</v>
      </c>
      <c r="G148" s="606">
        <f t="shared" si="16"/>
        <v>0</v>
      </c>
      <c r="H148" s="430"/>
      <c r="J148" s="410" t="s">
        <v>2311</v>
      </c>
    </row>
    <row r="149" spans="1:10" s="428" customFormat="1" ht="30" customHeight="1">
      <c r="A149" s="1192" t="s">
        <v>307</v>
      </c>
      <c r="B149" s="378" t="s">
        <v>147</v>
      </c>
      <c r="C149" s="57" t="s">
        <v>64</v>
      </c>
      <c r="D149" s="1194"/>
      <c r="E149" s="382">
        <f t="shared" si="14"/>
        <v>0</v>
      </c>
      <c r="F149" s="383" t="s">
        <v>587</v>
      </c>
      <c r="G149" s="602">
        <f>+Rebusca_t1("C-310")</f>
        <v>10</v>
      </c>
      <c r="H149" s="430"/>
      <c r="J149" s="57" t="s">
        <v>2420</v>
      </c>
    </row>
    <row r="150" spans="1:10" s="428" customFormat="1" ht="30" customHeight="1">
      <c r="A150" s="1192" t="s">
        <v>308</v>
      </c>
      <c r="B150" s="378" t="s">
        <v>147</v>
      </c>
      <c r="C150" s="57" t="s">
        <v>65</v>
      </c>
      <c r="D150" s="1194">
        <v>220.92</v>
      </c>
      <c r="E150" s="382">
        <f t="shared" si="14"/>
        <v>0</v>
      </c>
      <c r="F150" s="383" t="s">
        <v>588</v>
      </c>
      <c r="G150" s="602"/>
      <c r="H150" s="430"/>
      <c r="J150" s="57" t="s">
        <v>2312</v>
      </c>
    </row>
    <row r="151" spans="1:10" s="428" customFormat="1" ht="21" customHeight="1" thickBot="1">
      <c r="A151" s="1192" t="s">
        <v>426</v>
      </c>
      <c r="B151" s="378" t="s">
        <v>147</v>
      </c>
      <c r="C151" s="57" t="s">
        <v>240</v>
      </c>
      <c r="D151" s="1226"/>
      <c r="E151" s="382">
        <f t="shared" si="14"/>
        <v>0</v>
      </c>
      <c r="F151" s="383" t="s">
        <v>950</v>
      </c>
      <c r="G151" s="602">
        <f>+Rebusca_t1(F151)</f>
        <v>0</v>
      </c>
      <c r="H151" s="430"/>
      <c r="J151" s="57" t="s">
        <v>2313</v>
      </c>
    </row>
    <row r="152" spans="1:10" s="428" customFormat="1" ht="21" customHeight="1" thickBot="1">
      <c r="A152" s="1192"/>
      <c r="B152" s="378"/>
      <c r="C152" s="403" t="s">
        <v>309</v>
      </c>
      <c r="D152" s="1198"/>
      <c r="E152" s="392">
        <f>SUM(E137:E150)</f>
        <v>0</v>
      </c>
      <c r="F152" s="383"/>
      <c r="G152" s="602"/>
      <c r="H152" s="430"/>
      <c r="J152" s="403" t="s">
        <v>2314</v>
      </c>
    </row>
    <row r="153" spans="1:10" s="428" customFormat="1" ht="20.399999999999999" hidden="1" customHeight="1">
      <c r="A153" s="1192"/>
      <c r="B153" s="378"/>
      <c r="C153" s="377"/>
      <c r="D153" s="1199"/>
      <c r="E153" s="388"/>
      <c r="F153" s="387"/>
      <c r="G153" s="603"/>
      <c r="H153" s="430"/>
      <c r="J153" s="377"/>
    </row>
    <row r="154" spans="1:10" s="428" customFormat="1" ht="30" hidden="1" customHeight="1">
      <c r="A154" s="1192"/>
      <c r="B154" s="378"/>
      <c r="C154" s="403" t="s">
        <v>310</v>
      </c>
      <c r="D154" s="1199"/>
      <c r="E154" s="388"/>
      <c r="F154" s="385"/>
      <c r="G154" s="604"/>
      <c r="H154" s="430"/>
      <c r="J154" s="403" t="s">
        <v>310</v>
      </c>
    </row>
    <row r="155" spans="1:10" s="428" customFormat="1" ht="20.399999999999999" hidden="1" customHeight="1">
      <c r="A155" s="1192" t="s">
        <v>311</v>
      </c>
      <c r="B155" s="378" t="s">
        <v>147</v>
      </c>
      <c r="C155" s="57" t="s">
        <v>153</v>
      </c>
      <c r="D155" s="1194">
        <v>140.08000000000001</v>
      </c>
      <c r="E155" s="382" t="e">
        <f>#REF!*D155</f>
        <v>#REF!</v>
      </c>
      <c r="F155" s="381"/>
      <c r="G155" s="605"/>
      <c r="H155" s="430"/>
      <c r="J155" s="57" t="s">
        <v>153</v>
      </c>
    </row>
    <row r="156" spans="1:10" s="428" customFormat="1" ht="20.399999999999999" hidden="1" customHeight="1">
      <c r="A156" s="1192" t="s">
        <v>312</v>
      </c>
      <c r="B156" s="378" t="s">
        <v>147</v>
      </c>
      <c r="C156" s="57" t="s">
        <v>154</v>
      </c>
      <c r="D156" s="1194">
        <v>286.39</v>
      </c>
      <c r="E156" s="382" t="e">
        <f>#REF!*D156</f>
        <v>#REF!</v>
      </c>
      <c r="F156" s="381"/>
      <c r="G156" s="605"/>
      <c r="H156" s="430"/>
      <c r="J156" s="57" t="s">
        <v>154</v>
      </c>
    </row>
    <row r="157" spans="1:10" s="428" customFormat="1" ht="20.399999999999999" hidden="1" customHeight="1">
      <c r="A157" s="1192" t="s">
        <v>313</v>
      </c>
      <c r="B157" s="378" t="s">
        <v>147</v>
      </c>
      <c r="C157" s="57" t="s">
        <v>155</v>
      </c>
      <c r="D157" s="1194">
        <v>378.57</v>
      </c>
      <c r="E157" s="382" t="e">
        <f>#REF!*D157</f>
        <v>#REF!</v>
      </c>
      <c r="F157" s="381"/>
      <c r="G157" s="605"/>
      <c r="H157" s="430"/>
      <c r="J157" s="57" t="s">
        <v>155</v>
      </c>
    </row>
    <row r="158" spans="1:10" s="428" customFormat="1" ht="20.399999999999999" hidden="1" customHeight="1">
      <c r="A158" s="1192" t="s">
        <v>314</v>
      </c>
      <c r="B158" s="378" t="s">
        <v>147</v>
      </c>
      <c r="C158" s="57" t="s">
        <v>156</v>
      </c>
      <c r="D158" s="1194">
        <v>186.36</v>
      </c>
      <c r="E158" s="382" t="e">
        <f>#REF!*D158</f>
        <v>#REF!</v>
      </c>
      <c r="F158" s="381"/>
      <c r="G158" s="605"/>
      <c r="H158" s="430"/>
      <c r="J158" s="57" t="s">
        <v>156</v>
      </c>
    </row>
    <row r="159" spans="1:10" s="428" customFormat="1" ht="42" hidden="1" customHeight="1">
      <c r="A159" s="1192" t="s">
        <v>315</v>
      </c>
      <c r="B159" s="378" t="s">
        <v>147</v>
      </c>
      <c r="C159" s="57" t="s">
        <v>157</v>
      </c>
      <c r="D159" s="1194">
        <v>368.7</v>
      </c>
      <c r="E159" s="382" t="e">
        <f>#REF!*D159</f>
        <v>#REF!</v>
      </c>
      <c r="F159" s="381"/>
      <c r="G159" s="605"/>
      <c r="H159" s="430"/>
      <c r="J159" s="57" t="s">
        <v>157</v>
      </c>
    </row>
    <row r="160" spans="1:10" s="428" customFormat="1" ht="21" hidden="1" customHeight="1" thickBot="1">
      <c r="A160" s="1192" t="s">
        <v>427</v>
      </c>
      <c r="B160" s="378" t="s">
        <v>147</v>
      </c>
      <c r="C160" s="57" t="s">
        <v>428</v>
      </c>
      <c r="D160" s="1226"/>
      <c r="E160" s="384"/>
      <c r="F160" s="381"/>
      <c r="G160" s="605"/>
      <c r="H160" s="430"/>
      <c r="J160" s="57" t="s">
        <v>428</v>
      </c>
    </row>
    <row r="161" spans="1:10" s="428" customFormat="1" ht="21" hidden="1" customHeight="1" thickBot="1">
      <c r="A161" s="1192"/>
      <c r="B161" s="378"/>
      <c r="C161" s="403" t="s">
        <v>316</v>
      </c>
      <c r="D161" s="1198"/>
      <c r="E161" s="392" t="e">
        <f>SUM(E155:E159)</f>
        <v>#REF!</v>
      </c>
      <c r="F161" s="385"/>
      <c r="G161" s="604"/>
      <c r="H161" s="430"/>
      <c r="J161" s="403" t="s">
        <v>316</v>
      </c>
    </row>
    <row r="162" spans="1:10" s="428" customFormat="1" ht="20.399999999999999" hidden="1" customHeight="1">
      <c r="A162" s="1192"/>
      <c r="B162" s="378"/>
      <c r="C162" s="377" t="s">
        <v>317</v>
      </c>
      <c r="D162" s="1194"/>
      <c r="E162" s="12"/>
      <c r="F162" s="381"/>
      <c r="G162" s="605"/>
      <c r="H162" s="430"/>
      <c r="J162" s="377" t="s">
        <v>317</v>
      </c>
    </row>
    <row r="163" spans="1:10" s="428" customFormat="1" ht="20.399999999999999" customHeight="1">
      <c r="A163" s="1192"/>
      <c r="B163" s="378"/>
      <c r="C163" s="377"/>
      <c r="D163" s="1194"/>
      <c r="E163" s="12"/>
      <c r="F163" s="381"/>
      <c r="G163" s="605"/>
      <c r="H163" s="430"/>
      <c r="J163" s="377"/>
    </row>
    <row r="164" spans="1:10" s="428" customFormat="1" ht="20.399999999999999" customHeight="1">
      <c r="A164" s="1192"/>
      <c r="B164" s="378"/>
      <c r="C164" s="377" t="s">
        <v>318</v>
      </c>
      <c r="D164" s="1194"/>
      <c r="E164" s="12"/>
      <c r="F164" s="381"/>
      <c r="G164" s="605"/>
      <c r="H164" s="430"/>
      <c r="J164" s="377" t="s">
        <v>2315</v>
      </c>
    </row>
    <row r="165" spans="1:10" s="428" customFormat="1" ht="20.399999999999999" customHeight="1">
      <c r="A165" s="1192"/>
      <c r="B165" s="378"/>
      <c r="C165" s="403"/>
      <c r="D165" s="1194"/>
      <c r="E165" s="12"/>
      <c r="F165" s="381"/>
      <c r="G165" s="605"/>
      <c r="H165" s="430"/>
      <c r="J165" s="403"/>
    </row>
    <row r="166" spans="1:10" s="428" customFormat="1" ht="20.399999999999999" customHeight="1">
      <c r="A166" s="1192"/>
      <c r="B166" s="378"/>
      <c r="C166" s="403" t="s">
        <v>319</v>
      </c>
      <c r="D166" s="1199"/>
      <c r="E166" s="388"/>
      <c r="F166" s="385"/>
      <c r="G166" s="604"/>
      <c r="H166" s="430"/>
      <c r="J166" s="403" t="s">
        <v>2316</v>
      </c>
    </row>
    <row r="167" spans="1:10" s="428" customFormat="1" ht="20.399999999999999" customHeight="1">
      <c r="A167" s="1192" t="s">
        <v>320</v>
      </c>
      <c r="B167" s="378" t="s">
        <v>158</v>
      </c>
      <c r="C167" s="57" t="s">
        <v>79</v>
      </c>
      <c r="D167" s="1200">
        <v>11530.49</v>
      </c>
      <c r="E167" s="382">
        <f t="shared" ref="E167:E179" si="17">+G167*D167</f>
        <v>516421.82087500003</v>
      </c>
      <c r="F167" s="411" t="s">
        <v>589</v>
      </c>
      <c r="G167" s="607">
        <f>+Rebusca_t1(F167)</f>
        <v>44.787500000000001</v>
      </c>
      <c r="H167" s="430"/>
      <c r="J167" s="57" t="s">
        <v>2317</v>
      </c>
    </row>
    <row r="168" spans="1:10" s="428" customFormat="1" ht="20.399999999999999" customHeight="1">
      <c r="A168" s="1192" t="s">
        <v>321</v>
      </c>
      <c r="B168" s="378" t="s">
        <v>147</v>
      </c>
      <c r="C168" s="57" t="s">
        <v>80</v>
      </c>
      <c r="D168" s="1194">
        <v>11.76</v>
      </c>
      <c r="E168" s="382">
        <f t="shared" si="17"/>
        <v>55401.36</v>
      </c>
      <c r="F168" s="383" t="s">
        <v>590</v>
      </c>
      <c r="G168" s="602">
        <f t="shared" ref="G168:G177" si="18">+Rebusca_t1(F168)</f>
        <v>4711</v>
      </c>
      <c r="H168" s="430"/>
      <c r="J168" s="57" t="s">
        <v>2318</v>
      </c>
    </row>
    <row r="169" spans="1:10" s="428" customFormat="1" ht="20.399999999999999" customHeight="1">
      <c r="A169" s="1192" t="s">
        <v>322</v>
      </c>
      <c r="B169" s="378" t="s">
        <v>147</v>
      </c>
      <c r="C169" s="57" t="s">
        <v>81</v>
      </c>
      <c r="D169" s="1194">
        <v>11.54</v>
      </c>
      <c r="E169" s="382">
        <f t="shared" si="17"/>
        <v>18002.399999999998</v>
      </c>
      <c r="F169" s="383" t="s">
        <v>591</v>
      </c>
      <c r="G169" s="602">
        <f t="shared" si="18"/>
        <v>1560</v>
      </c>
      <c r="H169" s="430"/>
      <c r="J169" s="57" t="s">
        <v>2319</v>
      </c>
    </row>
    <row r="170" spans="1:10" s="428" customFormat="1" ht="20.399999999999999" customHeight="1">
      <c r="A170" s="1229" t="s">
        <v>323</v>
      </c>
      <c r="B170" s="395" t="s">
        <v>147</v>
      </c>
      <c r="C170" s="405" t="s">
        <v>82</v>
      </c>
      <c r="D170" s="1230">
        <v>61.32</v>
      </c>
      <c r="E170" s="382">
        <f t="shared" si="17"/>
        <v>47829.599999999999</v>
      </c>
      <c r="F170" s="383" t="s">
        <v>592</v>
      </c>
      <c r="G170" s="602">
        <f t="shared" si="18"/>
        <v>780</v>
      </c>
      <c r="H170" s="430"/>
      <c r="J170" s="405" t="s">
        <v>2157</v>
      </c>
    </row>
    <row r="171" spans="1:10" s="428" customFormat="1" ht="20.399999999999999" customHeight="1">
      <c r="A171" s="1192" t="s">
        <v>324</v>
      </c>
      <c r="B171" s="378" t="s">
        <v>147</v>
      </c>
      <c r="C171" s="57" t="s">
        <v>159</v>
      </c>
      <c r="D171" s="1200">
        <v>3487.1</v>
      </c>
      <c r="E171" s="382">
        <f t="shared" si="17"/>
        <v>0</v>
      </c>
      <c r="F171" s="383" t="s">
        <v>593</v>
      </c>
      <c r="G171" s="602">
        <f t="shared" si="18"/>
        <v>0</v>
      </c>
      <c r="H171" s="430"/>
      <c r="J171" s="57" t="s">
        <v>2320</v>
      </c>
    </row>
    <row r="172" spans="1:10" s="428" customFormat="1" ht="20.399999999999999" customHeight="1">
      <c r="A172" s="1192" t="s">
        <v>325</v>
      </c>
      <c r="B172" s="378" t="s">
        <v>147</v>
      </c>
      <c r="C172" s="57" t="s">
        <v>160</v>
      </c>
      <c r="D172" s="1194">
        <v>775.29</v>
      </c>
      <c r="E172" s="382">
        <f t="shared" si="17"/>
        <v>0</v>
      </c>
      <c r="F172" s="383" t="s">
        <v>594</v>
      </c>
      <c r="G172" s="602">
        <f t="shared" si="18"/>
        <v>0</v>
      </c>
      <c r="H172" s="430"/>
      <c r="J172" s="57" t="s">
        <v>2321</v>
      </c>
    </row>
    <row r="173" spans="1:10" s="428" customFormat="1" ht="20.399999999999999" customHeight="1">
      <c r="A173" s="1192" t="s">
        <v>326</v>
      </c>
      <c r="B173" s="378" t="s">
        <v>147</v>
      </c>
      <c r="C173" s="57" t="s">
        <v>161</v>
      </c>
      <c r="D173" s="1194">
        <v>751.22</v>
      </c>
      <c r="E173" s="382">
        <f t="shared" si="17"/>
        <v>1502.44</v>
      </c>
      <c r="F173" s="383" t="s">
        <v>596</v>
      </c>
      <c r="G173" s="602">
        <f t="shared" si="18"/>
        <v>2</v>
      </c>
      <c r="H173" s="430"/>
      <c r="J173" s="57" t="s">
        <v>2322</v>
      </c>
    </row>
    <row r="174" spans="1:10" s="428" customFormat="1" ht="20.399999999999999" customHeight="1">
      <c r="A174" s="1192" t="s">
        <v>327</v>
      </c>
      <c r="B174" s="378" t="s">
        <v>147</v>
      </c>
      <c r="C174" s="57" t="s">
        <v>108</v>
      </c>
      <c r="D174" s="1200">
        <v>4695.59</v>
      </c>
      <c r="E174" s="382">
        <f t="shared" si="17"/>
        <v>328691.3</v>
      </c>
      <c r="F174" s="383" t="s">
        <v>597</v>
      </c>
      <c r="G174" s="602">
        <f t="shared" si="18"/>
        <v>70</v>
      </c>
      <c r="H174" s="430"/>
      <c r="J174" s="57" t="s">
        <v>2323</v>
      </c>
    </row>
    <row r="175" spans="1:10" s="428" customFormat="1" ht="20.399999999999999" customHeight="1">
      <c r="A175" s="1192" t="s">
        <v>328</v>
      </c>
      <c r="B175" s="378" t="s">
        <v>147</v>
      </c>
      <c r="C175" s="57" t="s">
        <v>109</v>
      </c>
      <c r="D175" s="1194">
        <v>851.5</v>
      </c>
      <c r="E175" s="382">
        <f t="shared" si="17"/>
        <v>3406</v>
      </c>
      <c r="F175" s="383" t="s">
        <v>598</v>
      </c>
      <c r="G175" s="602">
        <f t="shared" si="18"/>
        <v>4</v>
      </c>
      <c r="H175" s="430"/>
      <c r="J175" s="57" t="s">
        <v>2324</v>
      </c>
    </row>
    <row r="176" spans="1:10" s="428" customFormat="1" ht="20.399999999999999" customHeight="1">
      <c r="A176" s="1192" t="s">
        <v>329</v>
      </c>
      <c r="B176" s="378" t="s">
        <v>147</v>
      </c>
      <c r="C176" s="57" t="s">
        <v>162</v>
      </c>
      <c r="D176" s="1194">
        <v>863.12</v>
      </c>
      <c r="E176" s="382">
        <f t="shared" si="17"/>
        <v>39703.519999999997</v>
      </c>
      <c r="F176" s="383" t="s">
        <v>599</v>
      </c>
      <c r="G176" s="602">
        <f t="shared" si="18"/>
        <v>46</v>
      </c>
      <c r="H176" s="430"/>
      <c r="J176" s="57" t="s">
        <v>2325</v>
      </c>
    </row>
    <row r="177" spans="1:10" s="428" customFormat="1" ht="42" customHeight="1">
      <c r="A177" s="1192" t="s">
        <v>330</v>
      </c>
      <c r="B177" s="378" t="s">
        <v>147</v>
      </c>
      <c r="C177" s="57" t="s">
        <v>2925</v>
      </c>
      <c r="D177" s="1200">
        <v>4432.2700000000004</v>
      </c>
      <c r="E177" s="382">
        <f t="shared" si="17"/>
        <v>70916.320000000007</v>
      </c>
      <c r="F177" s="383" t="s">
        <v>601</v>
      </c>
      <c r="G177" s="602">
        <f t="shared" si="18"/>
        <v>16</v>
      </c>
      <c r="H177" s="430"/>
      <c r="J177" s="57" t="s">
        <v>2926</v>
      </c>
    </row>
    <row r="178" spans="1:10" s="428" customFormat="1" ht="42" customHeight="1">
      <c r="A178" s="1192" t="s">
        <v>2927</v>
      </c>
      <c r="B178" s="378" t="s">
        <v>147</v>
      </c>
      <c r="C178" s="57" t="s">
        <v>2928</v>
      </c>
      <c r="D178" s="1200">
        <v>4432.2700000000004</v>
      </c>
      <c r="E178" s="382">
        <f t="shared" si="17"/>
        <v>0</v>
      </c>
      <c r="F178" s="383" t="s">
        <v>2829</v>
      </c>
      <c r="G178" s="602">
        <f t="shared" ref="G178" si="19">+Rebusca_t1(F178)</f>
        <v>0</v>
      </c>
      <c r="H178" s="430"/>
      <c r="J178" s="57" t="s">
        <v>2929</v>
      </c>
    </row>
    <row r="179" spans="1:10" s="428" customFormat="1" ht="42.6" customHeight="1" thickBot="1">
      <c r="A179" s="1192" t="s">
        <v>2930</v>
      </c>
      <c r="B179" s="378" t="s">
        <v>147</v>
      </c>
      <c r="C179" s="57" t="s">
        <v>2931</v>
      </c>
      <c r="D179" s="1200">
        <v>4432.2700000000004</v>
      </c>
      <c r="E179" s="382">
        <f t="shared" si="17"/>
        <v>53187.240000000005</v>
      </c>
      <c r="F179" s="383" t="s">
        <v>2832</v>
      </c>
      <c r="G179" s="602">
        <f t="shared" ref="G179" si="20">+Rebusca_t1(F179)</f>
        <v>12</v>
      </c>
      <c r="H179" s="430"/>
      <c r="J179" s="57" t="s">
        <v>2932</v>
      </c>
    </row>
    <row r="180" spans="1:10" s="428" customFormat="1" ht="21" customHeight="1" thickBot="1">
      <c r="A180" s="1192"/>
      <c r="B180" s="378"/>
      <c r="C180" s="403" t="s">
        <v>331</v>
      </c>
      <c r="D180" s="1226"/>
      <c r="E180" s="392">
        <f>SUM(E167:E177)</f>
        <v>1081874.7608750002</v>
      </c>
      <c r="F180" s="381"/>
      <c r="G180" s="605"/>
      <c r="H180" s="430"/>
      <c r="J180" s="403" t="s">
        <v>2327</v>
      </c>
    </row>
    <row r="181" spans="1:10" s="428" customFormat="1" ht="20.399999999999999" customHeight="1">
      <c r="A181" s="1192"/>
      <c r="B181" s="378"/>
      <c r="C181" s="57"/>
      <c r="D181" s="1194"/>
      <c r="E181" s="12"/>
      <c r="F181" s="381"/>
      <c r="G181" s="605"/>
      <c r="H181" s="430"/>
      <c r="J181" s="57"/>
    </row>
    <row r="182" spans="1:10" s="428" customFormat="1" ht="20.399999999999999" hidden="1" customHeight="1">
      <c r="A182" s="1192"/>
      <c r="B182" s="378"/>
      <c r="C182" s="403" t="s">
        <v>332</v>
      </c>
      <c r="D182" s="1194"/>
      <c r="E182" s="12"/>
      <c r="F182" s="381"/>
      <c r="G182" s="605"/>
      <c r="H182" s="430"/>
      <c r="J182" s="403" t="s">
        <v>332</v>
      </c>
    </row>
    <row r="183" spans="1:10" s="428" customFormat="1" ht="30" hidden="1" customHeight="1">
      <c r="A183" s="1192" t="s">
        <v>333</v>
      </c>
      <c r="B183" s="378" t="s">
        <v>158</v>
      </c>
      <c r="C183" s="57" t="s">
        <v>83</v>
      </c>
      <c r="D183" s="1200">
        <v>13635.93</v>
      </c>
      <c r="E183" s="382" t="e">
        <f>D183*#REF!</f>
        <v>#REF!</v>
      </c>
      <c r="F183" s="393"/>
      <c r="G183" s="608"/>
      <c r="H183" s="430"/>
      <c r="J183" s="57" t="s">
        <v>83</v>
      </c>
    </row>
    <row r="184" spans="1:10" s="428" customFormat="1" ht="30" hidden="1" customHeight="1">
      <c r="A184" s="1192" t="s">
        <v>334</v>
      </c>
      <c r="B184" s="378" t="s">
        <v>158</v>
      </c>
      <c r="C184" s="57" t="s">
        <v>84</v>
      </c>
      <c r="D184" s="1200">
        <v>14642.12</v>
      </c>
      <c r="E184" s="382" t="e">
        <f>D184*#REF!</f>
        <v>#REF!</v>
      </c>
      <c r="F184" s="381"/>
      <c r="G184" s="605"/>
      <c r="H184" s="430"/>
      <c r="J184" s="57" t="s">
        <v>84</v>
      </c>
    </row>
    <row r="185" spans="1:10" s="428" customFormat="1" ht="42" hidden="1" customHeight="1">
      <c r="A185" s="1192" t="s">
        <v>335</v>
      </c>
      <c r="B185" s="378" t="s">
        <v>158</v>
      </c>
      <c r="C185" s="57" t="s">
        <v>164</v>
      </c>
      <c r="D185" s="1200">
        <v>2298.96</v>
      </c>
      <c r="E185" s="382" t="e">
        <f>D185*#REF!</f>
        <v>#REF!</v>
      </c>
      <c r="F185" s="381"/>
      <c r="G185" s="605"/>
      <c r="H185" s="430"/>
      <c r="J185" s="57" t="s">
        <v>164</v>
      </c>
    </row>
    <row r="186" spans="1:10" s="428" customFormat="1" ht="20.399999999999999" hidden="1" customHeight="1">
      <c r="A186" s="1192" t="s">
        <v>336</v>
      </c>
      <c r="B186" s="378" t="s">
        <v>147</v>
      </c>
      <c r="C186" s="57" t="s">
        <v>165</v>
      </c>
      <c r="D186" s="1194">
        <v>234.92</v>
      </c>
      <c r="E186" s="382" t="e">
        <f>D186*#REF!</f>
        <v>#REF!</v>
      </c>
      <c r="F186" s="394"/>
      <c r="G186" s="609"/>
      <c r="H186" s="430"/>
      <c r="J186" s="57" t="s">
        <v>165</v>
      </c>
    </row>
    <row r="187" spans="1:10" s="428" customFormat="1" ht="20.399999999999999" hidden="1" customHeight="1">
      <c r="A187" s="1192" t="s">
        <v>337</v>
      </c>
      <c r="B187" s="378" t="s">
        <v>147</v>
      </c>
      <c r="C187" s="57" t="s">
        <v>166</v>
      </c>
      <c r="D187" s="1194">
        <v>715.86</v>
      </c>
      <c r="E187" s="382" t="e">
        <f>D187*#REF!</f>
        <v>#REF!</v>
      </c>
      <c r="F187" s="394"/>
      <c r="G187" s="609"/>
      <c r="H187" s="430"/>
      <c r="J187" s="57" t="s">
        <v>166</v>
      </c>
    </row>
    <row r="188" spans="1:10" s="428" customFormat="1" ht="30" hidden="1" customHeight="1">
      <c r="A188" s="1192" t="s">
        <v>338</v>
      </c>
      <c r="B188" s="378" t="s">
        <v>147</v>
      </c>
      <c r="C188" s="57" t="s">
        <v>167</v>
      </c>
      <c r="D188" s="1194">
        <v>548.64</v>
      </c>
      <c r="E188" s="382" t="e">
        <f>D188*#REF!</f>
        <v>#REF!</v>
      </c>
      <c r="F188" s="394"/>
      <c r="G188" s="609"/>
      <c r="H188" s="430"/>
      <c r="J188" s="57" t="s">
        <v>167</v>
      </c>
    </row>
    <row r="189" spans="1:10" s="428" customFormat="1" ht="30" hidden="1" customHeight="1">
      <c r="A189" s="1192" t="s">
        <v>339</v>
      </c>
      <c r="B189" s="378" t="s">
        <v>147</v>
      </c>
      <c r="C189" s="57" t="s">
        <v>168</v>
      </c>
      <c r="D189" s="1200">
        <v>2512.15</v>
      </c>
      <c r="E189" s="382" t="e">
        <f>D189*#REF!</f>
        <v>#REF!</v>
      </c>
      <c r="F189" s="394"/>
      <c r="G189" s="609"/>
      <c r="H189" s="430"/>
      <c r="J189" s="57" t="s">
        <v>168</v>
      </c>
    </row>
    <row r="190" spans="1:10" s="428" customFormat="1" ht="30.6" hidden="1" customHeight="1" thickBot="1">
      <c r="A190" s="1192" t="s">
        <v>340</v>
      </c>
      <c r="B190" s="378" t="s">
        <v>147</v>
      </c>
      <c r="C190" s="57" t="s">
        <v>169</v>
      </c>
      <c r="D190" s="1200">
        <v>1252.42</v>
      </c>
      <c r="E190" s="391" t="e">
        <f>D190*#REF!</f>
        <v>#REF!</v>
      </c>
      <c r="F190" s="381"/>
      <c r="G190" s="605"/>
      <c r="H190" s="430"/>
      <c r="J190" s="57" t="s">
        <v>169</v>
      </c>
    </row>
    <row r="191" spans="1:10" s="428" customFormat="1" ht="21" hidden="1" customHeight="1" thickBot="1">
      <c r="A191" s="1192"/>
      <c r="B191" s="378"/>
      <c r="C191" s="403" t="s">
        <v>341</v>
      </c>
      <c r="D191" s="1226"/>
      <c r="E191" s="392" t="e">
        <f>SUM(E183:E190)</f>
        <v>#REF!</v>
      </c>
      <c r="F191" s="381"/>
      <c r="G191" s="605"/>
      <c r="H191" s="430"/>
      <c r="J191" s="403" t="s">
        <v>341</v>
      </c>
    </row>
    <row r="192" spans="1:10" s="428" customFormat="1" ht="20.399999999999999" hidden="1" customHeight="1">
      <c r="A192" s="1192"/>
      <c r="B192" s="378"/>
      <c r="C192" s="377" t="s">
        <v>342</v>
      </c>
      <c r="D192" s="1194"/>
      <c r="E192" s="12"/>
      <c r="F192" s="381"/>
      <c r="G192" s="605"/>
      <c r="H192" s="430"/>
      <c r="J192" s="377" t="s">
        <v>342</v>
      </c>
    </row>
    <row r="193" spans="1:10" s="428" customFormat="1" ht="20.399999999999999" customHeight="1">
      <c r="A193" s="1192"/>
      <c r="B193" s="378"/>
      <c r="C193" s="377"/>
      <c r="D193" s="1194"/>
      <c r="E193" s="12"/>
      <c r="F193" s="381"/>
      <c r="G193" s="605"/>
      <c r="H193" s="430"/>
      <c r="J193" s="377"/>
    </row>
    <row r="194" spans="1:10" s="428" customFormat="1" ht="20.399999999999999" customHeight="1">
      <c r="A194" s="1192"/>
      <c r="B194" s="378"/>
      <c r="C194" s="377" t="s">
        <v>343</v>
      </c>
      <c r="D194" s="1194"/>
      <c r="E194" s="12"/>
      <c r="F194" s="381"/>
      <c r="G194" s="605"/>
      <c r="H194" s="430"/>
      <c r="J194" s="377" t="s">
        <v>2328</v>
      </c>
    </row>
    <row r="195" spans="1:10" s="428" customFormat="1" ht="20.399999999999999" customHeight="1">
      <c r="A195" s="1192"/>
      <c r="B195" s="378"/>
      <c r="C195" s="403"/>
      <c r="D195" s="1194"/>
      <c r="E195" s="12"/>
      <c r="F195" s="381"/>
      <c r="G195" s="605"/>
      <c r="H195" s="430"/>
      <c r="J195" s="403"/>
    </row>
    <row r="196" spans="1:10" s="428" customFormat="1" ht="30" customHeight="1">
      <c r="A196" s="1192"/>
      <c r="B196" s="378"/>
      <c r="C196" s="403" t="s">
        <v>344</v>
      </c>
      <c r="D196" s="1194"/>
      <c r="E196" s="12"/>
      <c r="F196" s="381"/>
      <c r="G196" s="605"/>
      <c r="H196" s="430"/>
      <c r="J196" s="403" t="s">
        <v>2329</v>
      </c>
    </row>
    <row r="197" spans="1:10" s="428" customFormat="1" ht="20.399999999999999" customHeight="1">
      <c r="A197" s="1192" t="s">
        <v>345</v>
      </c>
      <c r="B197" s="378" t="s">
        <v>158</v>
      </c>
      <c r="C197" s="57" t="s">
        <v>400</v>
      </c>
      <c r="D197" s="1200">
        <v>2415.0300000000002</v>
      </c>
      <c r="E197" s="382">
        <f t="shared" ref="E197:E221" si="21">+G197*D197</f>
        <v>120268.49400000001</v>
      </c>
      <c r="F197" s="383" t="s">
        <v>603</v>
      </c>
      <c r="G197" s="602">
        <f t="shared" ref="G197:G200" si="22">+Rebusca_t1(F197)</f>
        <v>49.8</v>
      </c>
      <c r="H197" s="430"/>
      <c r="J197" s="57" t="s">
        <v>2330</v>
      </c>
    </row>
    <row r="198" spans="1:10" s="428" customFormat="1" ht="20.399999999999999" customHeight="1">
      <c r="A198" s="1231" t="s">
        <v>346</v>
      </c>
      <c r="B198" s="409" t="s">
        <v>158</v>
      </c>
      <c r="C198" s="410" t="s">
        <v>401</v>
      </c>
      <c r="D198" s="1232">
        <v>2415.0300000000002</v>
      </c>
      <c r="E198" s="382">
        <f t="shared" si="21"/>
        <v>0</v>
      </c>
      <c r="F198" s="458"/>
      <c r="G198" s="610"/>
      <c r="H198" s="430"/>
      <c r="J198" s="410" t="s">
        <v>2331</v>
      </c>
    </row>
    <row r="199" spans="1:10" s="428" customFormat="1" ht="20.399999999999999" customHeight="1">
      <c r="A199" s="1192" t="s">
        <v>347</v>
      </c>
      <c r="B199" s="378" t="s">
        <v>158</v>
      </c>
      <c r="C199" s="57" t="s">
        <v>415</v>
      </c>
      <c r="D199" s="1200">
        <v>7833.97</v>
      </c>
      <c r="E199" s="382">
        <f t="shared" si="21"/>
        <v>0</v>
      </c>
      <c r="F199" s="394" t="s">
        <v>605</v>
      </c>
      <c r="G199" s="602">
        <f t="shared" si="22"/>
        <v>0</v>
      </c>
      <c r="H199" s="430"/>
      <c r="J199" s="57" t="s">
        <v>2332</v>
      </c>
    </row>
    <row r="200" spans="1:10" s="428" customFormat="1" ht="30" customHeight="1">
      <c r="A200" s="1192" t="s">
        <v>348</v>
      </c>
      <c r="B200" s="378" t="s">
        <v>158</v>
      </c>
      <c r="C200" s="57" t="s">
        <v>417</v>
      </c>
      <c r="D200" s="1200">
        <v>27862.42</v>
      </c>
      <c r="E200" s="382">
        <f t="shared" si="21"/>
        <v>0</v>
      </c>
      <c r="F200" s="396" t="s">
        <v>786</v>
      </c>
      <c r="G200" s="602">
        <f t="shared" si="22"/>
        <v>0</v>
      </c>
      <c r="H200" s="430"/>
      <c r="J200" s="57" t="s">
        <v>2442</v>
      </c>
    </row>
    <row r="201" spans="1:10" s="428" customFormat="1" ht="20.399999999999999" customHeight="1">
      <c r="A201" s="1192" t="s">
        <v>349</v>
      </c>
      <c r="B201" s="378" t="s">
        <v>147</v>
      </c>
      <c r="C201" s="57" t="s">
        <v>402</v>
      </c>
      <c r="D201" s="1194">
        <v>132.35</v>
      </c>
      <c r="E201" s="382">
        <f t="shared" si="21"/>
        <v>0</v>
      </c>
      <c r="F201" s="383" t="s">
        <v>632</v>
      </c>
      <c r="G201" s="602">
        <f t="shared" ref="G201:G203" si="23">+Rebusca_t1(F201)</f>
        <v>0</v>
      </c>
      <c r="H201" s="430"/>
      <c r="J201" s="57" t="s">
        <v>2333</v>
      </c>
    </row>
    <row r="202" spans="1:10" s="428" customFormat="1" ht="20.399999999999999" customHeight="1">
      <c r="A202" s="1192" t="s">
        <v>350</v>
      </c>
      <c r="B202" s="378" t="s">
        <v>147</v>
      </c>
      <c r="C202" s="57" t="s">
        <v>403</v>
      </c>
      <c r="D202" s="1194">
        <v>150</v>
      </c>
      <c r="E202" s="382">
        <f t="shared" si="21"/>
        <v>0</v>
      </c>
      <c r="F202" s="462"/>
      <c r="G202" s="609"/>
      <c r="H202" s="430"/>
      <c r="J202" s="57" t="s">
        <v>2334</v>
      </c>
    </row>
    <row r="203" spans="1:10" s="428" customFormat="1" ht="20.399999999999999" customHeight="1">
      <c r="A203" s="1192" t="s">
        <v>351</v>
      </c>
      <c r="B203" s="378" t="s">
        <v>147</v>
      </c>
      <c r="C203" s="57" t="s">
        <v>404</v>
      </c>
      <c r="D203" s="1194">
        <v>132.35</v>
      </c>
      <c r="E203" s="382">
        <f t="shared" si="21"/>
        <v>0</v>
      </c>
      <c r="F203" s="394" t="s">
        <v>611</v>
      </c>
      <c r="G203" s="602">
        <f t="shared" si="23"/>
        <v>0</v>
      </c>
      <c r="H203" s="430"/>
      <c r="J203" s="57" t="s">
        <v>2335</v>
      </c>
    </row>
    <row r="204" spans="1:10" s="428" customFormat="1" ht="20.399999999999999" customHeight="1">
      <c r="A204" s="1192" t="s">
        <v>352</v>
      </c>
      <c r="B204" s="378" t="s">
        <v>147</v>
      </c>
      <c r="C204" s="57" t="s">
        <v>416</v>
      </c>
      <c r="D204" s="1194">
        <v>141.87</v>
      </c>
      <c r="E204" s="382">
        <f t="shared" si="21"/>
        <v>0</v>
      </c>
      <c r="F204" s="394" t="s">
        <v>612</v>
      </c>
      <c r="G204" s="602">
        <f t="shared" ref="G204" si="24">+Rebusca_t1(F204)</f>
        <v>0</v>
      </c>
      <c r="H204" s="430"/>
      <c r="J204" s="57" t="s">
        <v>2336</v>
      </c>
    </row>
    <row r="205" spans="1:10" s="428" customFormat="1" ht="20.399999999999999" customHeight="1">
      <c r="A205" s="1192" t="s">
        <v>353</v>
      </c>
      <c r="B205" s="389" t="s">
        <v>147</v>
      </c>
      <c r="C205" s="404" t="s">
        <v>405</v>
      </c>
      <c r="D205" s="1194">
        <v>75.069999999999993</v>
      </c>
      <c r="E205" s="382">
        <f t="shared" si="21"/>
        <v>5405.0399999999991</v>
      </c>
      <c r="F205" s="383" t="s">
        <v>634</v>
      </c>
      <c r="G205" s="602">
        <f t="shared" ref="G205" si="25">+Rebusca_t1(F205)</f>
        <v>72</v>
      </c>
      <c r="H205" s="430"/>
      <c r="J205" s="404" t="s">
        <v>2337</v>
      </c>
    </row>
    <row r="206" spans="1:10" s="428" customFormat="1" ht="20.399999999999999" customHeight="1">
      <c r="A206" s="1192" t="s">
        <v>354</v>
      </c>
      <c r="B206" s="397" t="s">
        <v>147</v>
      </c>
      <c r="C206" s="406" t="s">
        <v>406</v>
      </c>
      <c r="D206" s="1194">
        <v>100</v>
      </c>
      <c r="E206" s="382">
        <f t="shared" si="21"/>
        <v>0</v>
      </c>
      <c r="F206" s="462"/>
      <c r="G206" s="609"/>
      <c r="H206" s="430"/>
      <c r="J206" s="406" t="s">
        <v>2338</v>
      </c>
    </row>
    <row r="207" spans="1:10" s="428" customFormat="1" ht="20.399999999999999" customHeight="1">
      <c r="A207" s="1192" t="s">
        <v>355</v>
      </c>
      <c r="B207" s="398" t="s">
        <v>147</v>
      </c>
      <c r="C207" s="407" t="s">
        <v>85</v>
      </c>
      <c r="D207" s="1230">
        <v>291.33999999999997</v>
      </c>
      <c r="E207" s="382">
        <f t="shared" si="21"/>
        <v>0</v>
      </c>
      <c r="F207" s="394" t="s">
        <v>625</v>
      </c>
      <c r="G207" s="602">
        <f t="shared" ref="G207" si="26">+Rebusca_t1(F207)</f>
        <v>0</v>
      </c>
      <c r="H207" s="430"/>
      <c r="J207" s="407" t="s">
        <v>2339</v>
      </c>
    </row>
    <row r="208" spans="1:10" s="428" customFormat="1" ht="20.399999999999999" customHeight="1">
      <c r="A208" s="1192" t="s">
        <v>356</v>
      </c>
      <c r="B208" s="378" t="s">
        <v>147</v>
      </c>
      <c r="C208" s="57" t="s">
        <v>407</v>
      </c>
      <c r="D208" s="1194">
        <v>7.89</v>
      </c>
      <c r="E208" s="382">
        <f t="shared" si="21"/>
        <v>678.54</v>
      </c>
      <c r="F208" s="383" t="s">
        <v>631</v>
      </c>
      <c r="G208" s="602">
        <f t="shared" ref="G208" si="27">+Rebusca_t1(F208)</f>
        <v>86</v>
      </c>
      <c r="H208" s="430"/>
      <c r="J208" s="57" t="s">
        <v>2421</v>
      </c>
    </row>
    <row r="209" spans="1:10" s="428" customFormat="1" ht="20.399999999999999" customHeight="1">
      <c r="A209" s="1192" t="s">
        <v>357</v>
      </c>
      <c r="B209" s="378" t="s">
        <v>147</v>
      </c>
      <c r="C209" s="57" t="s">
        <v>408</v>
      </c>
      <c r="D209" s="1194">
        <v>10</v>
      </c>
      <c r="E209" s="382">
        <f t="shared" si="21"/>
        <v>0</v>
      </c>
      <c r="F209" s="394"/>
      <c r="G209" s="609"/>
      <c r="H209" s="430"/>
      <c r="J209" s="57" t="s">
        <v>2422</v>
      </c>
    </row>
    <row r="210" spans="1:10" s="428" customFormat="1" ht="20.399999999999999" customHeight="1">
      <c r="A210" s="1192" t="s">
        <v>358</v>
      </c>
      <c r="B210" s="378" t="s">
        <v>147</v>
      </c>
      <c r="C210" s="57" t="s">
        <v>2535</v>
      </c>
      <c r="D210" s="1194">
        <v>7.89</v>
      </c>
      <c r="E210" s="382">
        <f t="shared" si="21"/>
        <v>2035.62</v>
      </c>
      <c r="F210" s="383" t="s">
        <v>633</v>
      </c>
      <c r="G210" s="602">
        <f>+Rebusca_t1(F210)</f>
        <v>258</v>
      </c>
      <c r="H210" s="430"/>
      <c r="J210" s="57" t="s">
        <v>2534</v>
      </c>
    </row>
    <row r="211" spans="1:10" s="428" customFormat="1" ht="20.399999999999999" customHeight="1">
      <c r="A211" s="1231" t="s">
        <v>2537</v>
      </c>
      <c r="B211" s="409" t="s">
        <v>147</v>
      </c>
      <c r="C211" s="410" t="s">
        <v>2536</v>
      </c>
      <c r="D211" s="1232">
        <v>7.89</v>
      </c>
      <c r="E211" s="382">
        <f t="shared" si="21"/>
        <v>5238.96</v>
      </c>
      <c r="F211" s="458" t="s">
        <v>2529</v>
      </c>
      <c r="G211" s="610">
        <f>+Rebusca_t1(F211)</f>
        <v>664</v>
      </c>
      <c r="H211" s="430"/>
      <c r="J211" s="410" t="s">
        <v>2538</v>
      </c>
    </row>
    <row r="212" spans="1:10" s="428" customFormat="1" ht="20.399999999999999" customHeight="1">
      <c r="A212" s="1192" t="s">
        <v>359</v>
      </c>
      <c r="B212" s="378" t="s">
        <v>147</v>
      </c>
      <c r="C212" s="57" t="s">
        <v>409</v>
      </c>
      <c r="D212" s="1194">
        <v>10</v>
      </c>
      <c r="E212" s="382">
        <f t="shared" si="21"/>
        <v>0</v>
      </c>
      <c r="F212" s="462"/>
      <c r="G212" s="609"/>
      <c r="H212" s="430"/>
      <c r="J212" s="57" t="s">
        <v>2340</v>
      </c>
    </row>
    <row r="213" spans="1:10" s="428" customFormat="1" ht="20.399999999999999" customHeight="1">
      <c r="A213" s="1192" t="s">
        <v>360</v>
      </c>
      <c r="B213" s="378" t="s">
        <v>147</v>
      </c>
      <c r="C213" s="57" t="s">
        <v>86</v>
      </c>
      <c r="D213" s="1196">
        <v>187.18</v>
      </c>
      <c r="E213" s="382">
        <f t="shared" si="21"/>
        <v>0</v>
      </c>
      <c r="F213" s="383" t="s">
        <v>613</v>
      </c>
      <c r="G213" s="602">
        <f t="shared" ref="G213" si="28">+Rebusca_t1(F213)</f>
        <v>0</v>
      </c>
      <c r="H213" s="430"/>
      <c r="J213" s="57" t="s">
        <v>2178</v>
      </c>
    </row>
    <row r="214" spans="1:10" s="428" customFormat="1" ht="20.399999999999999" customHeight="1">
      <c r="A214" s="1192" t="s">
        <v>361</v>
      </c>
      <c r="B214" s="378" t="s">
        <v>147</v>
      </c>
      <c r="C214" s="57" t="s">
        <v>87</v>
      </c>
      <c r="D214" s="1230">
        <v>57.22</v>
      </c>
      <c r="E214" s="382">
        <f t="shared" si="21"/>
        <v>0</v>
      </c>
      <c r="F214" s="383" t="s">
        <v>609</v>
      </c>
      <c r="G214" s="602">
        <f t="shared" ref="G214" si="29">+Rebusca_t1(F214)</f>
        <v>0</v>
      </c>
      <c r="H214" s="430"/>
      <c r="J214" s="57" t="s">
        <v>2173</v>
      </c>
    </row>
    <row r="215" spans="1:10" s="428" customFormat="1" ht="20.399999999999999" customHeight="1">
      <c r="A215" s="1192" t="s">
        <v>362</v>
      </c>
      <c r="B215" s="378" t="s">
        <v>147</v>
      </c>
      <c r="C215" s="57" t="s">
        <v>88</v>
      </c>
      <c r="D215" s="1194">
        <v>70.69</v>
      </c>
      <c r="E215" s="382">
        <f t="shared" si="21"/>
        <v>0</v>
      </c>
      <c r="F215" s="383" t="s">
        <v>1095</v>
      </c>
      <c r="G215" s="602">
        <f t="shared" ref="G215:G218" si="30">+Rebusca_t1(F215)</f>
        <v>0</v>
      </c>
      <c r="H215" s="430"/>
      <c r="J215" s="57" t="s">
        <v>2174</v>
      </c>
    </row>
    <row r="216" spans="1:10" s="428" customFormat="1" ht="20.399999999999999" customHeight="1">
      <c r="A216" s="1192" t="s">
        <v>363</v>
      </c>
      <c r="B216" s="378" t="s">
        <v>147</v>
      </c>
      <c r="C216" s="57" t="s">
        <v>1284</v>
      </c>
      <c r="D216" s="1194">
        <v>145.71</v>
      </c>
      <c r="E216" s="382">
        <f t="shared" si="21"/>
        <v>0</v>
      </c>
      <c r="F216" s="383" t="s">
        <v>617</v>
      </c>
      <c r="G216" s="602">
        <f t="shared" si="30"/>
        <v>0</v>
      </c>
      <c r="H216" s="430"/>
      <c r="J216" s="57" t="s">
        <v>2341</v>
      </c>
    </row>
    <row r="217" spans="1:10" s="428" customFormat="1" ht="20.399999999999999" customHeight="1">
      <c r="A217" s="1231" t="s">
        <v>1283</v>
      </c>
      <c r="B217" s="409" t="s">
        <v>147</v>
      </c>
      <c r="C217" s="410" t="s">
        <v>1285</v>
      </c>
      <c r="D217" s="1232">
        <v>145.71</v>
      </c>
      <c r="E217" s="382">
        <f t="shared" si="21"/>
        <v>0</v>
      </c>
      <c r="F217" s="458" t="s">
        <v>619</v>
      </c>
      <c r="G217" s="610">
        <f t="shared" si="30"/>
        <v>0</v>
      </c>
      <c r="H217" s="430"/>
      <c r="J217" s="410" t="s">
        <v>2184</v>
      </c>
    </row>
    <row r="218" spans="1:10" s="428" customFormat="1" ht="20.399999999999999" customHeight="1">
      <c r="A218" s="1192" t="s">
        <v>364</v>
      </c>
      <c r="B218" s="378" t="s">
        <v>147</v>
      </c>
      <c r="C218" s="57" t="s">
        <v>410</v>
      </c>
      <c r="D218" s="1194">
        <v>58.55</v>
      </c>
      <c r="E218" s="382">
        <f t="shared" si="21"/>
        <v>0</v>
      </c>
      <c r="F218" s="383" t="s">
        <v>606</v>
      </c>
      <c r="G218" s="602">
        <f t="shared" si="30"/>
        <v>0</v>
      </c>
      <c r="H218" s="430"/>
      <c r="J218" s="57" t="s">
        <v>2176</v>
      </c>
    </row>
    <row r="219" spans="1:10" s="428" customFormat="1" ht="20.399999999999999" customHeight="1">
      <c r="A219" s="1192" t="s">
        <v>365</v>
      </c>
      <c r="B219" s="395" t="s">
        <v>147</v>
      </c>
      <c r="C219" s="405" t="s">
        <v>103</v>
      </c>
      <c r="D219" s="1230">
        <v>97.45</v>
      </c>
      <c r="E219" s="382">
        <f t="shared" si="21"/>
        <v>0</v>
      </c>
      <c r="F219" s="383" t="s">
        <v>608</v>
      </c>
      <c r="G219" s="602">
        <f t="shared" ref="G219" si="31">+Rebusca_t1(F219)</f>
        <v>0</v>
      </c>
      <c r="H219" s="430"/>
      <c r="J219" s="405" t="s">
        <v>2175</v>
      </c>
    </row>
    <row r="220" spans="1:10" s="428" customFormat="1" ht="20.399999999999999" customHeight="1">
      <c r="A220" s="1192" t="s">
        <v>366</v>
      </c>
      <c r="B220" s="395" t="s">
        <v>147</v>
      </c>
      <c r="C220" s="405" t="s">
        <v>89</v>
      </c>
      <c r="D220" s="1230">
        <v>67.989999999999995</v>
      </c>
      <c r="E220" s="382">
        <f t="shared" si="21"/>
        <v>0</v>
      </c>
      <c r="F220" s="383" t="s">
        <v>610</v>
      </c>
      <c r="G220" s="602">
        <f t="shared" ref="G220" si="32">+Rebusca_t1(F220)</f>
        <v>0</v>
      </c>
      <c r="H220" s="430"/>
      <c r="J220" s="405" t="s">
        <v>2177</v>
      </c>
    </row>
    <row r="221" spans="1:10" s="428" customFormat="1" ht="21" customHeight="1" thickBot="1">
      <c r="A221" s="1192" t="s">
        <v>367</v>
      </c>
      <c r="B221" s="378" t="s">
        <v>147</v>
      </c>
      <c r="C221" s="57" t="s">
        <v>90</v>
      </c>
      <c r="D221" s="1194">
        <v>19.46</v>
      </c>
      <c r="E221" s="382">
        <f t="shared" si="21"/>
        <v>0</v>
      </c>
      <c r="F221" s="383" t="s">
        <v>805</v>
      </c>
      <c r="G221" s="602">
        <f t="shared" ref="G221" si="33">+Rebusca_t1(F221)</f>
        <v>0</v>
      </c>
      <c r="H221" s="430"/>
      <c r="J221" s="57" t="s">
        <v>2197</v>
      </c>
    </row>
    <row r="222" spans="1:10" s="428" customFormat="1" ht="21" customHeight="1" thickBot="1">
      <c r="A222" s="1192"/>
      <c r="B222" s="378"/>
      <c r="C222" s="403" t="s">
        <v>368</v>
      </c>
      <c r="D222" s="1198"/>
      <c r="E222" s="392">
        <f>SUM(E197:E221)</f>
        <v>133626.65399999998</v>
      </c>
      <c r="F222" s="394"/>
      <c r="G222" s="609"/>
      <c r="H222" s="430"/>
      <c r="J222" s="403" t="s">
        <v>2342</v>
      </c>
    </row>
    <row r="223" spans="1:10" s="428" customFormat="1" ht="20.399999999999999" customHeight="1">
      <c r="A223" s="1192"/>
      <c r="B223" s="378"/>
      <c r="C223" s="57"/>
      <c r="D223" s="1194"/>
      <c r="E223" s="12"/>
      <c r="F223" s="394"/>
      <c r="G223" s="609"/>
      <c r="H223" s="430"/>
      <c r="J223" s="57"/>
    </row>
    <row r="224" spans="1:10" s="428" customFormat="1" ht="20.399999999999999" hidden="1" customHeight="1">
      <c r="A224" s="1197"/>
      <c r="B224" s="401"/>
      <c r="C224" s="408" t="s">
        <v>369</v>
      </c>
      <c r="D224" s="1233"/>
      <c r="E224" s="464"/>
      <c r="F224" s="465"/>
      <c r="G224" s="611"/>
      <c r="H224" s="430"/>
      <c r="J224" s="408" t="s">
        <v>369</v>
      </c>
    </row>
    <row r="225" spans="1:10" s="428" customFormat="1" ht="30" hidden="1" customHeight="1">
      <c r="A225" s="1197" t="s">
        <v>429</v>
      </c>
      <c r="B225" s="401" t="s">
        <v>158</v>
      </c>
      <c r="C225" s="466" t="s">
        <v>430</v>
      </c>
      <c r="D225" s="1234">
        <v>2357.79</v>
      </c>
      <c r="E225" s="468" t="e">
        <f>#REF!*D225</f>
        <v>#REF!</v>
      </c>
      <c r="F225" s="469"/>
      <c r="G225" s="612"/>
      <c r="H225" s="430"/>
      <c r="J225" s="466" t="s">
        <v>2423</v>
      </c>
    </row>
    <row r="226" spans="1:10" s="428" customFormat="1" ht="30" hidden="1" customHeight="1">
      <c r="A226" s="1197" t="s">
        <v>370</v>
      </c>
      <c r="B226" s="401" t="s">
        <v>158</v>
      </c>
      <c r="C226" s="466" t="s">
        <v>411</v>
      </c>
      <c r="D226" s="1234"/>
      <c r="E226" s="468"/>
      <c r="F226" s="469"/>
      <c r="G226" s="612"/>
      <c r="H226" s="430"/>
      <c r="J226" s="466" t="s">
        <v>2424</v>
      </c>
    </row>
    <row r="227" spans="1:10" s="428" customFormat="1" ht="30" hidden="1" customHeight="1">
      <c r="A227" s="1197" t="s">
        <v>371</v>
      </c>
      <c r="B227" s="401" t="s">
        <v>158</v>
      </c>
      <c r="C227" s="466" t="s">
        <v>412</v>
      </c>
      <c r="D227" s="1234"/>
      <c r="E227" s="468"/>
      <c r="F227" s="469"/>
      <c r="G227" s="612"/>
      <c r="H227" s="430"/>
      <c r="J227" s="466" t="s">
        <v>412</v>
      </c>
    </row>
    <row r="228" spans="1:10" s="428" customFormat="1" ht="30" hidden="1" customHeight="1">
      <c r="A228" s="1197" t="s">
        <v>372</v>
      </c>
      <c r="B228" s="401" t="s">
        <v>158</v>
      </c>
      <c r="C228" s="466" t="s">
        <v>413</v>
      </c>
      <c r="D228" s="1234">
        <v>3000</v>
      </c>
      <c r="E228" s="468" t="e">
        <f>#REF!*D228</f>
        <v>#REF!</v>
      </c>
      <c r="F228" s="469"/>
      <c r="G228" s="612"/>
      <c r="H228" s="430"/>
      <c r="J228" s="466" t="s">
        <v>413</v>
      </c>
    </row>
    <row r="229" spans="1:10" s="428" customFormat="1" ht="30" hidden="1" customHeight="1">
      <c r="A229" s="1197" t="s">
        <v>373</v>
      </c>
      <c r="B229" s="401" t="s">
        <v>158</v>
      </c>
      <c r="C229" s="466" t="s">
        <v>91</v>
      </c>
      <c r="D229" s="1234">
        <v>3987.37</v>
      </c>
      <c r="E229" s="468" t="e">
        <f>#REF!*D229</f>
        <v>#REF!</v>
      </c>
      <c r="F229" s="465"/>
      <c r="G229" s="611"/>
      <c r="H229" s="430"/>
      <c r="J229" s="466" t="s">
        <v>2425</v>
      </c>
    </row>
    <row r="230" spans="1:10" s="428" customFormat="1" ht="30" hidden="1" customHeight="1">
      <c r="A230" s="1197" t="s">
        <v>384</v>
      </c>
      <c r="B230" s="401" t="s">
        <v>158</v>
      </c>
      <c r="C230" s="466" t="s">
        <v>385</v>
      </c>
      <c r="D230" s="1234">
        <v>5000</v>
      </c>
      <c r="E230" s="468" t="e">
        <f>#REF!*D230</f>
        <v>#REF!</v>
      </c>
      <c r="F230" s="465"/>
      <c r="G230" s="611"/>
      <c r="H230" s="430"/>
      <c r="J230" s="466" t="s">
        <v>385</v>
      </c>
    </row>
    <row r="231" spans="1:10" s="428" customFormat="1" ht="30" hidden="1" customHeight="1">
      <c r="A231" s="1197" t="s">
        <v>386</v>
      </c>
      <c r="B231" s="401" t="s">
        <v>158</v>
      </c>
      <c r="C231" s="466" t="s">
        <v>387</v>
      </c>
      <c r="D231" s="1234">
        <v>3300.19</v>
      </c>
      <c r="E231" s="464"/>
      <c r="F231" s="465"/>
      <c r="G231" s="611"/>
      <c r="H231" s="430"/>
      <c r="J231" s="466" t="s">
        <v>387</v>
      </c>
    </row>
    <row r="232" spans="1:10" s="428" customFormat="1" ht="30" hidden="1" customHeight="1">
      <c r="A232" s="1197" t="s">
        <v>388</v>
      </c>
      <c r="B232" s="401" t="s">
        <v>158</v>
      </c>
      <c r="C232" s="466" t="s">
        <v>389</v>
      </c>
      <c r="D232" s="1234">
        <v>32469.5</v>
      </c>
      <c r="E232" s="468" t="e">
        <f>#REF!*D232</f>
        <v>#REF!</v>
      </c>
      <c r="F232" s="465"/>
      <c r="G232" s="611"/>
      <c r="H232" s="430"/>
      <c r="J232" s="466" t="s">
        <v>389</v>
      </c>
    </row>
    <row r="233" spans="1:10" s="428" customFormat="1" ht="54" hidden="1" customHeight="1">
      <c r="A233" s="1197" t="s">
        <v>374</v>
      </c>
      <c r="B233" s="401" t="s">
        <v>147</v>
      </c>
      <c r="C233" s="466" t="s">
        <v>414</v>
      </c>
      <c r="D233" s="1234">
        <v>4737.7700000000004</v>
      </c>
      <c r="E233" s="468" t="e">
        <f>#REF!*D233</f>
        <v>#REF!</v>
      </c>
      <c r="F233" s="465"/>
      <c r="G233" s="611"/>
      <c r="H233" s="430"/>
      <c r="J233" s="466" t="s">
        <v>414</v>
      </c>
    </row>
    <row r="234" spans="1:10" s="428" customFormat="1" ht="20.399999999999999" hidden="1" customHeight="1">
      <c r="A234" s="1197" t="s">
        <v>375</v>
      </c>
      <c r="B234" s="401" t="s">
        <v>147</v>
      </c>
      <c r="C234" s="466" t="s">
        <v>170</v>
      </c>
      <c r="D234" s="1233">
        <v>17.100000000000001</v>
      </c>
      <c r="E234" s="468" t="e">
        <f>#REF!*D234</f>
        <v>#REF!</v>
      </c>
      <c r="F234" s="465"/>
      <c r="G234" s="611"/>
      <c r="H234" s="430"/>
      <c r="J234" s="466" t="s">
        <v>170</v>
      </c>
    </row>
    <row r="235" spans="1:10" s="428" customFormat="1" ht="20.399999999999999" hidden="1" customHeight="1">
      <c r="A235" s="1197" t="s">
        <v>376</v>
      </c>
      <c r="B235" s="401" t="s">
        <v>147</v>
      </c>
      <c r="C235" s="466" t="s">
        <v>92</v>
      </c>
      <c r="D235" s="1233">
        <v>24.43</v>
      </c>
      <c r="E235" s="464"/>
      <c r="F235" s="465"/>
      <c r="G235" s="611"/>
      <c r="H235" s="430"/>
      <c r="J235" s="466" t="s">
        <v>92</v>
      </c>
    </row>
    <row r="236" spans="1:10" s="428" customFormat="1" ht="20.399999999999999" hidden="1" customHeight="1">
      <c r="A236" s="1197"/>
      <c r="B236" s="401"/>
      <c r="C236" s="408" t="s">
        <v>377</v>
      </c>
      <c r="D236" s="1235"/>
      <c r="E236" s="471" t="e">
        <f>SUM(E225:E235)</f>
        <v>#REF!</v>
      </c>
      <c r="F236" s="465"/>
      <c r="G236" s="611"/>
      <c r="H236" s="430"/>
      <c r="J236" s="408" t="s">
        <v>377</v>
      </c>
    </row>
    <row r="237" spans="1:10" s="428" customFormat="1" ht="20.399999999999999" hidden="1" customHeight="1">
      <c r="A237" s="1197"/>
      <c r="B237" s="401"/>
      <c r="C237" s="472" t="s">
        <v>378</v>
      </c>
      <c r="D237" s="1233"/>
      <c r="E237" s="464"/>
      <c r="F237" s="465"/>
      <c r="G237" s="611"/>
      <c r="H237" s="430"/>
      <c r="J237" s="472" t="s">
        <v>378</v>
      </c>
    </row>
    <row r="238" spans="1:10" s="428" customFormat="1" ht="20.399999999999999" customHeight="1">
      <c r="A238" s="1197"/>
      <c r="B238" s="401"/>
      <c r="C238" s="472"/>
      <c r="D238" s="1233"/>
      <c r="E238" s="464"/>
      <c r="F238" s="465"/>
      <c r="G238" s="611"/>
      <c r="H238" s="430"/>
      <c r="J238" s="472"/>
    </row>
    <row r="239" spans="1:10" s="428" customFormat="1" ht="30" customHeight="1">
      <c r="A239" s="1197"/>
      <c r="B239" s="401"/>
      <c r="C239" s="472" t="s">
        <v>379</v>
      </c>
      <c r="D239" s="1233"/>
      <c r="E239" s="464"/>
      <c r="F239" s="465"/>
      <c r="G239" s="611"/>
      <c r="H239" s="430"/>
      <c r="J239" s="472" t="s">
        <v>2343</v>
      </c>
    </row>
    <row r="240" spans="1:10" s="428" customFormat="1" ht="20.399999999999999" customHeight="1">
      <c r="A240" s="1236"/>
      <c r="B240" s="397"/>
      <c r="C240" s="403"/>
      <c r="D240" s="1194"/>
      <c r="E240" s="12"/>
      <c r="F240" s="394"/>
      <c r="G240" s="609"/>
      <c r="H240" s="430"/>
      <c r="J240" s="403"/>
    </row>
    <row r="241" spans="1:10" s="428" customFormat="1" ht="30" customHeight="1">
      <c r="A241" s="1237"/>
      <c r="B241" s="400"/>
      <c r="C241" s="403" t="s">
        <v>380</v>
      </c>
      <c r="D241" s="1194"/>
      <c r="E241" s="12"/>
      <c r="F241" s="394"/>
      <c r="G241" s="609"/>
      <c r="H241" s="430"/>
      <c r="J241" s="403" t="s">
        <v>2344</v>
      </c>
    </row>
    <row r="242" spans="1:10" s="428" customFormat="1" ht="20.399999999999999" customHeight="1">
      <c r="A242" s="1197" t="s">
        <v>381</v>
      </c>
      <c r="B242" s="401" t="s">
        <v>172</v>
      </c>
      <c r="C242" s="57" t="s">
        <v>93</v>
      </c>
      <c r="D242" s="1194"/>
      <c r="E242" s="382"/>
      <c r="F242" s="383"/>
      <c r="G242" s="602"/>
      <c r="H242" s="430"/>
      <c r="J242" s="57" t="s">
        <v>2345</v>
      </c>
    </row>
    <row r="243" spans="1:10" s="428" customFormat="1" ht="20.399999999999999" customHeight="1">
      <c r="A243" s="1197" t="s">
        <v>0</v>
      </c>
      <c r="B243" s="378" t="s">
        <v>147</v>
      </c>
      <c r="C243" s="57" t="s">
        <v>1250</v>
      </c>
      <c r="D243" s="1194">
        <v>12.58</v>
      </c>
      <c r="E243" s="382">
        <f t="shared" ref="E243:E265" si="34">+G243*D243</f>
        <v>1107.04</v>
      </c>
      <c r="F243" s="383" t="s">
        <v>635</v>
      </c>
      <c r="G243" s="602">
        <f>+Rebusca_t1(F243)</f>
        <v>88</v>
      </c>
      <c r="H243" s="430"/>
      <c r="J243" s="57" t="s">
        <v>2346</v>
      </c>
    </row>
    <row r="244" spans="1:10" s="428" customFormat="1" ht="20.399999999999999" customHeight="1">
      <c r="A244" s="1225" t="s">
        <v>1248</v>
      </c>
      <c r="B244" s="409" t="s">
        <v>147</v>
      </c>
      <c r="C244" s="410" t="s">
        <v>1251</v>
      </c>
      <c r="D244" s="1238"/>
      <c r="E244" s="382">
        <f t="shared" si="34"/>
        <v>0</v>
      </c>
      <c r="F244" s="474" t="s">
        <v>636</v>
      </c>
      <c r="G244" s="606">
        <f t="shared" ref="G244:G245" si="35">+Rebusca_t1(F244)</f>
        <v>28</v>
      </c>
      <c r="H244" s="430"/>
      <c r="J244" s="410" t="s">
        <v>2200</v>
      </c>
    </row>
    <row r="245" spans="1:10" s="428" customFormat="1" ht="20.399999999999999" customHeight="1">
      <c r="A245" s="1225" t="s">
        <v>1249</v>
      </c>
      <c r="B245" s="409" t="s">
        <v>147</v>
      </c>
      <c r="C245" s="410" t="s">
        <v>1252</v>
      </c>
      <c r="D245" s="1238"/>
      <c r="E245" s="382">
        <f t="shared" si="34"/>
        <v>0</v>
      </c>
      <c r="F245" s="474" t="s">
        <v>637</v>
      </c>
      <c r="G245" s="606">
        <f t="shared" si="35"/>
        <v>0</v>
      </c>
      <c r="H245" s="430"/>
      <c r="J245" s="410" t="s">
        <v>2198</v>
      </c>
    </row>
    <row r="246" spans="1:10" s="428" customFormat="1" ht="20.399999999999999" customHeight="1">
      <c r="A246" s="1197" t="s">
        <v>1</v>
      </c>
      <c r="B246" s="395" t="s">
        <v>147</v>
      </c>
      <c r="C246" s="405" t="s">
        <v>94</v>
      </c>
      <c r="D246" s="1230">
        <v>20.260000000000002</v>
      </c>
      <c r="E246" s="382">
        <f t="shared" si="34"/>
        <v>0</v>
      </c>
      <c r="F246" s="383" t="s">
        <v>811</v>
      </c>
      <c r="G246" s="602">
        <f t="shared" ref="G246:G261" si="36">+Rebusca_t1(F246)</f>
        <v>0</v>
      </c>
      <c r="H246" s="430"/>
      <c r="J246" s="405" t="s">
        <v>2203</v>
      </c>
    </row>
    <row r="247" spans="1:10" s="428" customFormat="1" ht="20.399999999999999" customHeight="1">
      <c r="A247" s="1197" t="s">
        <v>2</v>
      </c>
      <c r="B247" s="378" t="s">
        <v>147</v>
      </c>
      <c r="C247" s="57" t="s">
        <v>95</v>
      </c>
      <c r="D247" s="1194">
        <v>76.650000000000006</v>
      </c>
      <c r="E247" s="382">
        <f t="shared" si="34"/>
        <v>2146.2000000000003</v>
      </c>
      <c r="F247" s="383" t="s">
        <v>639</v>
      </c>
      <c r="G247" s="602">
        <f t="shared" si="36"/>
        <v>28</v>
      </c>
      <c r="H247" s="430"/>
      <c r="J247" s="57" t="s">
        <v>2204</v>
      </c>
    </row>
    <row r="248" spans="1:10" s="428" customFormat="1" ht="20.399999999999999" customHeight="1">
      <c r="A248" s="1197" t="s">
        <v>431</v>
      </c>
      <c r="B248" s="378" t="s">
        <v>147</v>
      </c>
      <c r="C248" s="57" t="s">
        <v>432</v>
      </c>
      <c r="D248" s="1194">
        <v>51.06</v>
      </c>
      <c r="E248" s="382">
        <f t="shared" si="34"/>
        <v>1429.68</v>
      </c>
      <c r="F248" s="383" t="s">
        <v>640</v>
      </c>
      <c r="G248" s="602">
        <f t="shared" si="36"/>
        <v>28</v>
      </c>
      <c r="H248" s="430"/>
      <c r="J248" s="57" t="s">
        <v>2205</v>
      </c>
    </row>
    <row r="249" spans="1:10" s="428" customFormat="1" ht="30" customHeight="1">
      <c r="A249" s="1197" t="s">
        <v>3</v>
      </c>
      <c r="B249" s="395" t="s">
        <v>147</v>
      </c>
      <c r="C249" s="405" t="s">
        <v>96</v>
      </c>
      <c r="D249" s="1239">
        <v>1794.9</v>
      </c>
      <c r="E249" s="382">
        <f t="shared" si="34"/>
        <v>7179.6</v>
      </c>
      <c r="F249" s="383" t="s">
        <v>642</v>
      </c>
      <c r="G249" s="602">
        <f t="shared" si="36"/>
        <v>4</v>
      </c>
      <c r="H249" s="430"/>
      <c r="J249" s="405" t="s">
        <v>2213</v>
      </c>
    </row>
    <row r="250" spans="1:10" s="428" customFormat="1" ht="30" customHeight="1">
      <c r="A250" s="1197" t="s">
        <v>4</v>
      </c>
      <c r="B250" s="378" t="s">
        <v>147</v>
      </c>
      <c r="C250" s="57" t="s">
        <v>173</v>
      </c>
      <c r="D250" s="1200">
        <v>2786.17</v>
      </c>
      <c r="E250" s="382">
        <f t="shared" si="34"/>
        <v>13930.85</v>
      </c>
      <c r="F250" s="383" t="s">
        <v>649</v>
      </c>
      <c r="G250" s="602">
        <f>+Rebusca_t1(F250)</f>
        <v>5</v>
      </c>
      <c r="H250" s="430"/>
      <c r="J250" s="57" t="s">
        <v>2546</v>
      </c>
    </row>
    <row r="251" spans="1:10" s="428" customFormat="1" ht="32.4" customHeight="1">
      <c r="A251" s="1322" t="s">
        <v>1253</v>
      </c>
      <c r="B251" s="1323" t="s">
        <v>147</v>
      </c>
      <c r="C251" s="1324" t="s">
        <v>1255</v>
      </c>
      <c r="D251" s="1325"/>
      <c r="E251" s="1326">
        <f>+G251*D251</f>
        <v>0</v>
      </c>
      <c r="F251" s="1327" t="s">
        <v>727</v>
      </c>
      <c r="G251" s="1328"/>
      <c r="H251" s="430"/>
      <c r="J251" s="412" t="s">
        <v>2547</v>
      </c>
    </row>
    <row r="252" spans="1:10" s="428" customFormat="1" ht="20.399999999999999" customHeight="1">
      <c r="A252" s="1240" t="s">
        <v>1254</v>
      </c>
      <c r="B252" s="409" t="s">
        <v>147</v>
      </c>
      <c r="C252" s="412" t="s">
        <v>819</v>
      </c>
      <c r="D252" s="1200"/>
      <c r="E252" s="382">
        <f t="shared" si="34"/>
        <v>0</v>
      </c>
      <c r="F252" s="457" t="s">
        <v>823</v>
      </c>
      <c r="G252" s="606">
        <f>+Rebusca_t1(F252)</f>
        <v>8</v>
      </c>
      <c r="H252" s="430"/>
      <c r="J252" s="412" t="s">
        <v>2548</v>
      </c>
    </row>
    <row r="253" spans="1:10" s="428" customFormat="1" ht="45.6" customHeight="1">
      <c r="A253" s="1240" t="s">
        <v>2545</v>
      </c>
      <c r="B253" s="409" t="s">
        <v>147</v>
      </c>
      <c r="C253" s="412" t="s">
        <v>2941</v>
      </c>
      <c r="D253" s="1200"/>
      <c r="E253" s="382">
        <f t="shared" si="34"/>
        <v>0</v>
      </c>
      <c r="F253" s="457" t="s">
        <v>2937</v>
      </c>
      <c r="G253" s="606">
        <f>+Rebusca_t1(F253)</f>
        <v>8</v>
      </c>
      <c r="H253" s="430"/>
      <c r="J253" s="412" t="s">
        <v>3108</v>
      </c>
    </row>
    <row r="254" spans="1:10" s="428" customFormat="1" ht="45.6" customHeight="1">
      <c r="A254" s="1240" t="s">
        <v>2940</v>
      </c>
      <c r="B254" s="409" t="s">
        <v>147</v>
      </c>
      <c r="C254" s="412" t="s">
        <v>2942</v>
      </c>
      <c r="D254" s="1200"/>
      <c r="E254" s="382">
        <f t="shared" ref="E254" si="37">+G254*D254</f>
        <v>0</v>
      </c>
      <c r="F254" s="457" t="s">
        <v>2938</v>
      </c>
      <c r="G254" s="606">
        <f t="shared" ref="G254:G259" si="38">+Rebusca_t1(F254)</f>
        <v>0</v>
      </c>
      <c r="H254" s="430"/>
      <c r="J254" s="412" t="s">
        <v>2549</v>
      </c>
    </row>
    <row r="255" spans="1:10" s="428" customFormat="1" ht="45.6" customHeight="1">
      <c r="A255" s="1312" t="s">
        <v>3102</v>
      </c>
      <c r="B255" s="409" t="s">
        <v>147</v>
      </c>
      <c r="C255" s="412" t="s">
        <v>3104</v>
      </c>
      <c r="D255" s="1200"/>
      <c r="E255" s="382"/>
      <c r="F255" s="457" t="s">
        <v>3094</v>
      </c>
      <c r="G255" s="606">
        <f t="shared" si="38"/>
        <v>0</v>
      </c>
      <c r="H255" s="430"/>
      <c r="J255" s="412" t="s">
        <v>3109</v>
      </c>
    </row>
    <row r="256" spans="1:10" s="428" customFormat="1" ht="30" customHeight="1">
      <c r="A256" s="1313" t="s">
        <v>3103</v>
      </c>
      <c r="B256" s="409" t="s">
        <v>147</v>
      </c>
      <c r="C256" s="412" t="s">
        <v>174</v>
      </c>
      <c r="D256" s="1200">
        <v>5118.66</v>
      </c>
      <c r="E256" s="382">
        <f t="shared" si="34"/>
        <v>0</v>
      </c>
      <c r="F256" s="457" t="s">
        <v>652</v>
      </c>
      <c r="G256" s="606">
        <f t="shared" si="38"/>
        <v>0</v>
      </c>
      <c r="H256" s="430"/>
      <c r="J256" s="412" t="s">
        <v>3110</v>
      </c>
    </row>
    <row r="257" spans="1:10" s="428" customFormat="1" ht="30" customHeight="1">
      <c r="A257" s="1312" t="s">
        <v>5</v>
      </c>
      <c r="B257" s="409" t="s">
        <v>147</v>
      </c>
      <c r="C257" s="412" t="s">
        <v>3106</v>
      </c>
      <c r="D257" s="1200"/>
      <c r="E257" s="382"/>
      <c r="F257" s="457" t="s">
        <v>3097</v>
      </c>
      <c r="G257" s="606">
        <f t="shared" si="38"/>
        <v>0</v>
      </c>
      <c r="H257" s="430"/>
      <c r="J257" s="412" t="s">
        <v>3111</v>
      </c>
    </row>
    <row r="258" spans="1:10" s="428" customFormat="1" ht="32.4" customHeight="1">
      <c r="A258" s="1240" t="s">
        <v>2933</v>
      </c>
      <c r="B258" s="409" t="s">
        <v>147</v>
      </c>
      <c r="C258" s="412" t="s">
        <v>2934</v>
      </c>
      <c r="D258" s="1200"/>
      <c r="E258" s="382">
        <f>+G258*D258</f>
        <v>0</v>
      </c>
      <c r="F258" s="457" t="s">
        <v>654</v>
      </c>
      <c r="G258" s="606">
        <f t="shared" si="38"/>
        <v>13</v>
      </c>
      <c r="H258" s="430"/>
      <c r="J258" s="412" t="s">
        <v>2935</v>
      </c>
    </row>
    <row r="259" spans="1:10" s="428" customFormat="1" ht="32.4" customHeight="1">
      <c r="A259" s="1312" t="s">
        <v>3105</v>
      </c>
      <c r="B259" s="409" t="s">
        <v>147</v>
      </c>
      <c r="C259" s="412" t="s">
        <v>3107</v>
      </c>
      <c r="D259" s="1200"/>
      <c r="E259" s="382"/>
      <c r="F259" s="457" t="s">
        <v>3113</v>
      </c>
      <c r="G259" s="606">
        <f t="shared" si="38"/>
        <v>0</v>
      </c>
      <c r="H259" s="430"/>
      <c r="J259" s="412" t="s">
        <v>3112</v>
      </c>
    </row>
    <row r="260" spans="1:10" s="428" customFormat="1" ht="30" customHeight="1">
      <c r="A260" s="1241" t="s">
        <v>6</v>
      </c>
      <c r="B260" s="378" t="s">
        <v>147</v>
      </c>
      <c r="C260" s="57" t="s">
        <v>97</v>
      </c>
      <c r="D260" s="1200">
        <v>3000</v>
      </c>
      <c r="E260" s="382">
        <f t="shared" si="34"/>
        <v>0</v>
      </c>
      <c r="F260" s="383" t="s">
        <v>653</v>
      </c>
      <c r="G260" s="602">
        <f t="shared" si="36"/>
        <v>0</v>
      </c>
      <c r="H260" s="430"/>
      <c r="J260" s="57" t="s">
        <v>2550</v>
      </c>
    </row>
    <row r="261" spans="1:10" s="428" customFormat="1" ht="30" customHeight="1">
      <c r="A261" s="1241" t="s">
        <v>390</v>
      </c>
      <c r="B261" s="378" t="s">
        <v>147</v>
      </c>
      <c r="C261" s="57" t="s">
        <v>1270</v>
      </c>
      <c r="D261" s="1200"/>
      <c r="E261" s="382">
        <f t="shared" si="34"/>
        <v>0</v>
      </c>
      <c r="F261" s="383" t="s">
        <v>825</v>
      </c>
      <c r="G261" s="602">
        <f t="shared" si="36"/>
        <v>0</v>
      </c>
      <c r="H261" s="430"/>
      <c r="J261" s="57" t="s">
        <v>2444</v>
      </c>
    </row>
    <row r="262" spans="1:10" s="428" customFormat="1" ht="30" customHeight="1">
      <c r="A262" s="1241" t="s">
        <v>391</v>
      </c>
      <c r="B262" s="378" t="s">
        <v>147</v>
      </c>
      <c r="C262" s="57" t="s">
        <v>2446</v>
      </c>
      <c r="D262" s="1200"/>
      <c r="E262" s="382">
        <f t="shared" si="34"/>
        <v>0</v>
      </c>
      <c r="F262" s="383" t="s">
        <v>830</v>
      </c>
      <c r="G262" s="602">
        <f>+Rebusca_t1("C-633")</f>
        <v>0</v>
      </c>
      <c r="H262" s="430"/>
      <c r="J262" s="57" t="s">
        <v>2445</v>
      </c>
    </row>
    <row r="263" spans="1:10" s="428" customFormat="1" ht="20.399999999999999" customHeight="1">
      <c r="A263" s="1241" t="s">
        <v>392</v>
      </c>
      <c r="B263" s="378" t="s">
        <v>147</v>
      </c>
      <c r="C263" s="57" t="s">
        <v>1271</v>
      </c>
      <c r="D263" s="1200"/>
      <c r="E263" s="382">
        <f t="shared" si="34"/>
        <v>0</v>
      </c>
      <c r="F263" s="383" t="s">
        <v>827</v>
      </c>
      <c r="G263" s="602">
        <f>+Rebusca_t1(F263)</f>
        <v>0</v>
      </c>
      <c r="H263" s="430"/>
      <c r="J263" s="57" t="s">
        <v>2447</v>
      </c>
    </row>
    <row r="264" spans="1:10" s="428" customFormat="1" ht="20.399999999999999" customHeight="1">
      <c r="A264" s="1241" t="s">
        <v>1256</v>
      </c>
      <c r="B264" s="409" t="s">
        <v>147</v>
      </c>
      <c r="C264" s="410" t="s">
        <v>1272</v>
      </c>
      <c r="D264" s="1200"/>
      <c r="E264" s="382">
        <f t="shared" si="34"/>
        <v>0</v>
      </c>
      <c r="F264" s="457" t="s">
        <v>833</v>
      </c>
      <c r="G264" s="606">
        <f t="shared" ref="G264:G268" si="39">+Rebusca_t1(F264)</f>
        <v>0</v>
      </c>
      <c r="H264" s="430"/>
      <c r="J264" s="410" t="s">
        <v>2448</v>
      </c>
    </row>
    <row r="265" spans="1:10" s="428" customFormat="1" ht="30" customHeight="1">
      <c r="A265" s="1197" t="s">
        <v>7</v>
      </c>
      <c r="B265" s="378" t="s">
        <v>150</v>
      </c>
      <c r="C265" s="57" t="s">
        <v>98</v>
      </c>
      <c r="D265" s="1194">
        <v>3.05</v>
      </c>
      <c r="E265" s="382">
        <f t="shared" si="34"/>
        <v>0</v>
      </c>
      <c r="F265" s="462"/>
      <c r="G265" s="609"/>
      <c r="H265" s="430"/>
      <c r="J265" s="57" t="s">
        <v>2347</v>
      </c>
    </row>
    <row r="266" spans="1:10" s="428" customFormat="1" ht="21" customHeight="1">
      <c r="A266" s="1192" t="s">
        <v>435</v>
      </c>
      <c r="B266" s="378" t="s">
        <v>436</v>
      </c>
      <c r="C266" s="57" t="s">
        <v>437</v>
      </c>
      <c r="D266" s="1226"/>
      <c r="E266" s="384"/>
      <c r="F266" s="383" t="s">
        <v>847</v>
      </c>
      <c r="G266" s="602">
        <f t="shared" si="39"/>
        <v>4</v>
      </c>
      <c r="H266" s="430"/>
      <c r="J266" s="57" t="s">
        <v>2348</v>
      </c>
    </row>
    <row r="267" spans="1:10" s="428" customFormat="1" ht="21" customHeight="1">
      <c r="A267" s="1192" t="s">
        <v>3081</v>
      </c>
      <c r="B267" s="378" t="s">
        <v>436</v>
      </c>
      <c r="C267" s="57" t="s">
        <v>3082</v>
      </c>
      <c r="D267" s="1226"/>
      <c r="E267" s="384"/>
      <c r="F267" s="462"/>
      <c r="G267" s="605"/>
      <c r="H267" s="430"/>
      <c r="J267" s="57" t="s">
        <v>3085</v>
      </c>
    </row>
    <row r="268" spans="1:10" s="428" customFormat="1" ht="21" customHeight="1" thickBot="1">
      <c r="A268" s="1192" t="s">
        <v>3083</v>
      </c>
      <c r="B268" s="378" t="s">
        <v>436</v>
      </c>
      <c r="C268" s="57" t="s">
        <v>3084</v>
      </c>
      <c r="D268" s="1226"/>
      <c r="E268" s="384"/>
      <c r="F268" s="383" t="s">
        <v>3080</v>
      </c>
      <c r="G268" s="602">
        <f t="shared" si="39"/>
        <v>0</v>
      </c>
      <c r="H268" s="430"/>
      <c r="J268" s="57" t="s">
        <v>3053</v>
      </c>
    </row>
    <row r="269" spans="1:10" s="428" customFormat="1" ht="21" customHeight="1" thickBot="1">
      <c r="A269" s="1192"/>
      <c r="B269" s="378"/>
      <c r="C269" s="403" t="s">
        <v>8</v>
      </c>
      <c r="D269" s="1226"/>
      <c r="E269" s="392">
        <f>SUM(E243:E265)</f>
        <v>25793.370000000003</v>
      </c>
      <c r="F269" s="394"/>
      <c r="G269" s="609"/>
      <c r="H269" s="430"/>
      <c r="J269" s="403" t="s">
        <v>2349</v>
      </c>
    </row>
    <row r="270" spans="1:10" s="428" customFormat="1" ht="20.399999999999999" hidden="1" customHeight="1">
      <c r="A270" s="1192"/>
      <c r="B270" s="378"/>
      <c r="C270" s="377"/>
      <c r="D270" s="1194"/>
      <c r="E270" s="12"/>
      <c r="F270" s="394"/>
      <c r="G270" s="609"/>
      <c r="H270" s="430"/>
      <c r="J270" s="377"/>
    </row>
    <row r="271" spans="1:10" s="428" customFormat="1" ht="30" hidden="1" customHeight="1">
      <c r="A271" s="1192"/>
      <c r="B271" s="378"/>
      <c r="C271" s="403" t="s">
        <v>9</v>
      </c>
      <c r="D271" s="1194"/>
      <c r="E271" s="12"/>
      <c r="F271" s="394"/>
      <c r="G271" s="609"/>
      <c r="H271" s="430"/>
      <c r="J271" s="403" t="s">
        <v>9</v>
      </c>
    </row>
    <row r="272" spans="1:10" s="428" customFormat="1" ht="30" hidden="1" customHeight="1">
      <c r="A272" s="1192" t="s">
        <v>393</v>
      </c>
      <c r="B272" s="378" t="s">
        <v>172</v>
      </c>
      <c r="C272" s="57" t="s">
        <v>394</v>
      </c>
      <c r="D272" s="1194">
        <v>4.8899999999999997</v>
      </c>
      <c r="E272" s="382" t="e">
        <f>#REF!*D272</f>
        <v>#REF!</v>
      </c>
      <c r="F272" s="394"/>
      <c r="G272" s="609"/>
      <c r="H272" s="430"/>
      <c r="J272" s="57" t="s">
        <v>394</v>
      </c>
    </row>
    <row r="273" spans="1:10" s="428" customFormat="1" ht="30" hidden="1" customHeight="1">
      <c r="A273" s="1192" t="s">
        <v>395</v>
      </c>
      <c r="B273" s="378" t="s">
        <v>172</v>
      </c>
      <c r="C273" s="57" t="s">
        <v>396</v>
      </c>
      <c r="D273" s="1194"/>
      <c r="E273" s="382"/>
      <c r="F273" s="394"/>
      <c r="G273" s="609"/>
      <c r="H273" s="430"/>
      <c r="J273" s="57" t="s">
        <v>396</v>
      </c>
    </row>
    <row r="274" spans="1:10" s="428" customFormat="1" ht="20.399999999999999" hidden="1" customHeight="1">
      <c r="A274" s="1192" t="s">
        <v>10</v>
      </c>
      <c r="B274" s="378" t="s">
        <v>147</v>
      </c>
      <c r="C274" s="57" t="s">
        <v>99</v>
      </c>
      <c r="D274" s="1194">
        <v>179.12</v>
      </c>
      <c r="E274" s="382" t="e">
        <f>#REF!*D274</f>
        <v>#REF!</v>
      </c>
      <c r="F274" s="394"/>
      <c r="G274" s="609"/>
      <c r="H274" s="430"/>
      <c r="J274" s="57" t="s">
        <v>99</v>
      </c>
    </row>
    <row r="275" spans="1:10" s="428" customFormat="1" ht="30" hidden="1" customHeight="1">
      <c r="A275" s="1192" t="s">
        <v>11</v>
      </c>
      <c r="B275" s="378" t="s">
        <v>147</v>
      </c>
      <c r="C275" s="57" t="s">
        <v>175</v>
      </c>
      <c r="D275" s="1194">
        <v>210.9</v>
      </c>
      <c r="E275" s="382" t="e">
        <f>#REF!*D275</f>
        <v>#REF!</v>
      </c>
      <c r="F275" s="394"/>
      <c r="G275" s="609"/>
      <c r="H275" s="430"/>
      <c r="J275" s="57" t="s">
        <v>175</v>
      </c>
    </row>
    <row r="276" spans="1:10" s="428" customFormat="1" ht="20.399999999999999" hidden="1" customHeight="1">
      <c r="A276" s="1192" t="s">
        <v>12</v>
      </c>
      <c r="B276" s="378" t="s">
        <v>147</v>
      </c>
      <c r="C276" s="57" t="s">
        <v>176</v>
      </c>
      <c r="D276" s="1194">
        <v>949.06</v>
      </c>
      <c r="E276" s="382" t="e">
        <f>#REF!*D276</f>
        <v>#REF!</v>
      </c>
      <c r="F276" s="394"/>
      <c r="G276" s="609"/>
      <c r="H276" s="430"/>
      <c r="J276" s="57" t="s">
        <v>176</v>
      </c>
    </row>
    <row r="277" spans="1:10" s="428" customFormat="1" ht="20.399999999999999" hidden="1" customHeight="1">
      <c r="A277" s="1192" t="s">
        <v>13</v>
      </c>
      <c r="B277" s="378" t="s">
        <v>147</v>
      </c>
      <c r="C277" s="57" t="s">
        <v>177</v>
      </c>
      <c r="D277" s="1200">
        <v>1265.4100000000001</v>
      </c>
      <c r="E277" s="382" t="e">
        <f>#REF!*D277</f>
        <v>#REF!</v>
      </c>
      <c r="F277" s="394"/>
      <c r="G277" s="609"/>
      <c r="H277" s="430"/>
      <c r="J277" s="57" t="s">
        <v>177</v>
      </c>
    </row>
    <row r="278" spans="1:10" s="428" customFormat="1" ht="30" hidden="1" customHeight="1">
      <c r="A278" s="1192" t="s">
        <v>397</v>
      </c>
      <c r="B278" s="378" t="s">
        <v>147</v>
      </c>
      <c r="C278" s="57" t="s">
        <v>433</v>
      </c>
      <c r="D278" s="1200">
        <v>20000</v>
      </c>
      <c r="E278" s="382" t="e">
        <f>#REF!*D278</f>
        <v>#REF!</v>
      </c>
      <c r="F278" s="394"/>
      <c r="G278" s="609"/>
      <c r="H278" s="430"/>
      <c r="J278" s="57" t="s">
        <v>2426</v>
      </c>
    </row>
    <row r="279" spans="1:10" s="428" customFormat="1" ht="30" hidden="1" customHeight="1">
      <c r="A279" s="1192" t="s">
        <v>398</v>
      </c>
      <c r="B279" s="378" t="s">
        <v>147</v>
      </c>
      <c r="C279" s="57" t="s">
        <v>434</v>
      </c>
      <c r="D279" s="1200"/>
      <c r="E279" s="391"/>
      <c r="F279" s="394"/>
      <c r="G279" s="609"/>
      <c r="H279" s="430"/>
      <c r="J279" s="57" t="s">
        <v>2427</v>
      </c>
    </row>
    <row r="280" spans="1:10" s="428" customFormat="1" ht="30" hidden="1" customHeight="1">
      <c r="A280" s="1192" t="s">
        <v>399</v>
      </c>
      <c r="B280" s="378" t="s">
        <v>147</v>
      </c>
      <c r="C280" s="57" t="s">
        <v>440</v>
      </c>
      <c r="D280" s="1200"/>
      <c r="E280" s="391"/>
      <c r="F280" s="394"/>
      <c r="G280" s="609"/>
      <c r="H280" s="430"/>
      <c r="J280" s="57" t="s">
        <v>440</v>
      </c>
    </row>
    <row r="281" spans="1:10" s="428" customFormat="1" ht="42" hidden="1" customHeight="1">
      <c r="A281" s="1192" t="s">
        <v>14</v>
      </c>
      <c r="B281" s="378" t="s">
        <v>150</v>
      </c>
      <c r="C281" s="57" t="s">
        <v>100</v>
      </c>
      <c r="D281" s="1194">
        <v>4.53</v>
      </c>
      <c r="E281" s="391" t="e">
        <f>#REF!*D281</f>
        <v>#REF!</v>
      </c>
      <c r="F281" s="394"/>
      <c r="G281" s="609"/>
      <c r="H281" s="430"/>
      <c r="J281" s="57" t="s">
        <v>100</v>
      </c>
    </row>
    <row r="282" spans="1:10" s="428" customFormat="1" ht="21" hidden="1" customHeight="1" thickBot="1">
      <c r="A282" s="1192" t="s">
        <v>438</v>
      </c>
      <c r="B282" s="378" t="s">
        <v>436</v>
      </c>
      <c r="C282" s="57" t="s">
        <v>439</v>
      </c>
      <c r="D282" s="1226"/>
      <c r="E282" s="384"/>
      <c r="F282" s="394"/>
      <c r="G282" s="609"/>
      <c r="H282" s="430"/>
      <c r="J282" s="57" t="s">
        <v>439</v>
      </c>
    </row>
    <row r="283" spans="1:10" s="428" customFormat="1" ht="21" hidden="1" customHeight="1" thickBot="1">
      <c r="A283" s="1192"/>
      <c r="B283" s="378"/>
      <c r="C283" s="403" t="s">
        <v>15</v>
      </c>
      <c r="D283" s="1226"/>
      <c r="E283" s="392" t="e">
        <f>SUM(E272:E281)</f>
        <v>#REF!</v>
      </c>
      <c r="F283" s="394"/>
      <c r="G283" s="609"/>
      <c r="H283" s="430"/>
      <c r="J283" s="403" t="s">
        <v>15</v>
      </c>
    </row>
    <row r="284" spans="1:10" s="428" customFormat="1" ht="30" hidden="1" customHeight="1">
      <c r="A284" s="1192"/>
      <c r="B284" s="378"/>
      <c r="C284" s="377" t="s">
        <v>16</v>
      </c>
      <c r="D284" s="1194"/>
      <c r="E284" s="12"/>
      <c r="F284" s="394"/>
      <c r="G284" s="609"/>
      <c r="H284" s="430"/>
      <c r="J284" s="377" t="s">
        <v>16</v>
      </c>
    </row>
    <row r="285" spans="1:10" s="428" customFormat="1" ht="20.399999999999999" customHeight="1">
      <c r="A285" s="1192"/>
      <c r="B285" s="378"/>
      <c r="C285" s="377"/>
      <c r="D285" s="1194"/>
      <c r="E285" s="12"/>
      <c r="F285" s="394"/>
      <c r="G285" s="609"/>
      <c r="H285" s="430"/>
      <c r="J285" s="377"/>
    </row>
    <row r="286" spans="1:10" s="428" customFormat="1" ht="20.399999999999999" customHeight="1">
      <c r="A286" s="1192"/>
      <c r="B286" s="378"/>
      <c r="C286" s="377" t="s">
        <v>17</v>
      </c>
      <c r="D286" s="1194"/>
      <c r="E286" s="12"/>
      <c r="F286" s="394"/>
      <c r="G286" s="609"/>
      <c r="H286" s="430"/>
      <c r="J286" s="377" t="s">
        <v>2350</v>
      </c>
    </row>
    <row r="287" spans="1:10" s="428" customFormat="1" ht="20.399999999999999" customHeight="1">
      <c r="A287" s="1192"/>
      <c r="B287" s="378"/>
      <c r="C287" s="403"/>
      <c r="D287" s="1194"/>
      <c r="E287" s="12"/>
      <c r="F287" s="394"/>
      <c r="G287" s="609"/>
      <c r="H287" s="430"/>
      <c r="J287" s="403"/>
    </row>
    <row r="288" spans="1:10" s="428" customFormat="1" ht="20.399999999999999" customHeight="1">
      <c r="A288" s="1192"/>
      <c r="B288" s="378"/>
      <c r="C288" s="403" t="s">
        <v>18</v>
      </c>
      <c r="D288" s="1194"/>
      <c r="E288" s="12"/>
      <c r="F288" s="394"/>
      <c r="G288" s="609"/>
      <c r="H288" s="430"/>
      <c r="J288" s="403" t="s">
        <v>2351</v>
      </c>
    </row>
    <row r="289" spans="1:10" s="428" customFormat="1" ht="20.399999999999999" customHeight="1">
      <c r="A289" s="1192" t="s">
        <v>19</v>
      </c>
      <c r="B289" s="395" t="s">
        <v>158</v>
      </c>
      <c r="C289" s="405" t="s">
        <v>1175</v>
      </c>
      <c r="D289" s="1239">
        <v>2590.86</v>
      </c>
      <c r="E289" s="382">
        <f t="shared" ref="E289:E314" si="40">+G289*D289</f>
        <v>0</v>
      </c>
      <c r="F289" s="383" t="s">
        <v>627</v>
      </c>
      <c r="G289" s="602">
        <f t="shared" ref="G289" si="41">+Rebusca_t1(F289)</f>
        <v>0</v>
      </c>
      <c r="H289" s="430"/>
      <c r="J289" s="405" t="s">
        <v>2188</v>
      </c>
    </row>
    <row r="290" spans="1:10" s="428" customFormat="1" ht="20.399999999999999" customHeight="1">
      <c r="A290" s="1192" t="s">
        <v>20</v>
      </c>
      <c r="B290" s="378" t="s">
        <v>147</v>
      </c>
      <c r="C290" s="57" t="s">
        <v>1176</v>
      </c>
      <c r="D290" s="1194">
        <v>16.329999999999998</v>
      </c>
      <c r="E290" s="382">
        <f t="shared" si="40"/>
        <v>947.13999999999987</v>
      </c>
      <c r="F290" s="383" t="s">
        <v>868</v>
      </c>
      <c r="G290" s="602">
        <f>+Rebusca_t1("C-712")</f>
        <v>58</v>
      </c>
      <c r="H290" s="430"/>
      <c r="J290" s="57" t="s">
        <v>2428</v>
      </c>
    </row>
    <row r="291" spans="1:10" s="428" customFormat="1" ht="20.399999999999999" customHeight="1">
      <c r="A291" s="1192" t="s">
        <v>21</v>
      </c>
      <c r="B291" s="378" t="s">
        <v>147</v>
      </c>
      <c r="C291" s="57" t="s">
        <v>101</v>
      </c>
      <c r="D291" s="1194">
        <v>50</v>
      </c>
      <c r="E291" s="382">
        <f t="shared" si="40"/>
        <v>0</v>
      </c>
      <c r="F291" s="383" t="s">
        <v>871</v>
      </c>
      <c r="G291" s="602">
        <f t="shared" ref="G291:G304" si="42">+Rebusca_t1(F291)</f>
        <v>0</v>
      </c>
      <c r="H291" s="430"/>
      <c r="J291" s="57" t="s">
        <v>2429</v>
      </c>
    </row>
    <row r="292" spans="1:10" s="428" customFormat="1" ht="20.399999999999999" customHeight="1">
      <c r="A292" s="1192" t="s">
        <v>22</v>
      </c>
      <c r="B292" s="378" t="s">
        <v>147</v>
      </c>
      <c r="C292" s="57" t="s">
        <v>178</v>
      </c>
      <c r="D292" s="1194">
        <v>40.36</v>
      </c>
      <c r="E292" s="382">
        <f t="shared" si="40"/>
        <v>0</v>
      </c>
      <c r="F292" s="383" t="s">
        <v>870</v>
      </c>
      <c r="G292" s="602">
        <f t="shared" si="42"/>
        <v>0</v>
      </c>
      <c r="H292" s="430"/>
      <c r="J292" s="57" t="s">
        <v>2449</v>
      </c>
    </row>
    <row r="293" spans="1:10" s="428" customFormat="1" ht="20.399999999999999" customHeight="1">
      <c r="A293" s="1192" t="s">
        <v>23</v>
      </c>
      <c r="B293" s="378" t="s">
        <v>147</v>
      </c>
      <c r="C293" s="57" t="s">
        <v>112</v>
      </c>
      <c r="D293" s="1194">
        <v>81.349999999999994</v>
      </c>
      <c r="E293" s="382">
        <f t="shared" si="40"/>
        <v>4311.5499999999993</v>
      </c>
      <c r="F293" s="383" t="s">
        <v>850</v>
      </c>
      <c r="G293" s="602">
        <f>+Rebusca_t1(F293)</f>
        <v>53</v>
      </c>
      <c r="H293" s="430"/>
      <c r="J293" s="57" t="s">
        <v>2352</v>
      </c>
    </row>
    <row r="294" spans="1:10" s="428" customFormat="1" ht="20.399999999999999" customHeight="1">
      <c r="A294" s="1192" t="s">
        <v>24</v>
      </c>
      <c r="B294" s="378" t="s">
        <v>147</v>
      </c>
      <c r="C294" s="57" t="s">
        <v>113</v>
      </c>
      <c r="D294" s="1194">
        <v>39.06</v>
      </c>
      <c r="E294" s="382">
        <f t="shared" si="40"/>
        <v>8280.7200000000012</v>
      </c>
      <c r="F294" s="383" t="s">
        <v>852</v>
      </c>
      <c r="G294" s="602">
        <f t="shared" si="42"/>
        <v>212</v>
      </c>
      <c r="H294" s="430"/>
      <c r="J294" s="57" t="s">
        <v>2430</v>
      </c>
    </row>
    <row r="295" spans="1:10" s="428" customFormat="1" ht="20.399999999999999" customHeight="1">
      <c r="A295" s="1192" t="s">
        <v>25</v>
      </c>
      <c r="B295" s="378" t="s">
        <v>147</v>
      </c>
      <c r="C295" s="57" t="s">
        <v>171</v>
      </c>
      <c r="D295" s="1194">
        <v>29.02</v>
      </c>
      <c r="E295" s="382">
        <f t="shared" si="40"/>
        <v>19298.3</v>
      </c>
      <c r="F295" s="383" t="s">
        <v>854</v>
      </c>
      <c r="G295" s="602">
        <f>+Rebusca_t1(F295)</f>
        <v>665</v>
      </c>
      <c r="H295" s="430"/>
      <c r="J295" s="57" t="s">
        <v>2353</v>
      </c>
    </row>
    <row r="296" spans="1:10" s="428" customFormat="1" ht="20.399999999999999" customHeight="1">
      <c r="A296" s="1242" t="s">
        <v>1257</v>
      </c>
      <c r="B296" s="409" t="s">
        <v>147</v>
      </c>
      <c r="C296" s="410" t="s">
        <v>1261</v>
      </c>
      <c r="D296" s="1194"/>
      <c r="E296" s="382">
        <f t="shared" si="40"/>
        <v>0</v>
      </c>
      <c r="F296" s="457" t="s">
        <v>855</v>
      </c>
      <c r="G296" s="606">
        <f t="shared" ref="G296:G299" si="43">+Rebusca_t1(F296)</f>
        <v>70</v>
      </c>
      <c r="H296" s="430"/>
      <c r="J296" s="410" t="s">
        <v>2354</v>
      </c>
    </row>
    <row r="297" spans="1:10" s="428" customFormat="1" ht="20.399999999999999" customHeight="1">
      <c r="A297" s="1242" t="s">
        <v>1258</v>
      </c>
      <c r="B297" s="409" t="s">
        <v>147</v>
      </c>
      <c r="C297" s="410" t="s">
        <v>1262</v>
      </c>
      <c r="D297" s="1194"/>
      <c r="E297" s="382">
        <f t="shared" si="40"/>
        <v>0</v>
      </c>
      <c r="F297" s="457" t="s">
        <v>856</v>
      </c>
      <c r="G297" s="606">
        <f t="shared" si="43"/>
        <v>4</v>
      </c>
      <c r="H297" s="430"/>
      <c r="J297" s="410" t="s">
        <v>2355</v>
      </c>
    </row>
    <row r="298" spans="1:10" s="428" customFormat="1" ht="20.399999999999999" customHeight="1">
      <c r="A298" s="1242" t="s">
        <v>1259</v>
      </c>
      <c r="B298" s="409" t="s">
        <v>147</v>
      </c>
      <c r="C298" s="410" t="s">
        <v>1263</v>
      </c>
      <c r="D298" s="1194"/>
      <c r="E298" s="382">
        <f t="shared" si="40"/>
        <v>0</v>
      </c>
      <c r="F298" s="457" t="s">
        <v>857</v>
      </c>
      <c r="G298" s="606">
        <f t="shared" si="43"/>
        <v>46</v>
      </c>
      <c r="H298" s="430"/>
      <c r="J298" s="410" t="s">
        <v>2356</v>
      </c>
    </row>
    <row r="299" spans="1:10" s="428" customFormat="1" ht="20.399999999999999" customHeight="1">
      <c r="A299" s="1242" t="s">
        <v>1260</v>
      </c>
      <c r="B299" s="409" t="s">
        <v>147</v>
      </c>
      <c r="C299" s="410" t="s">
        <v>1264</v>
      </c>
      <c r="D299" s="1194"/>
      <c r="E299" s="382">
        <f t="shared" si="40"/>
        <v>0</v>
      </c>
      <c r="F299" s="457" t="s">
        <v>858</v>
      </c>
      <c r="G299" s="606">
        <f t="shared" si="43"/>
        <v>665</v>
      </c>
      <c r="H299" s="430"/>
      <c r="J299" s="410" t="s">
        <v>2357</v>
      </c>
    </row>
    <row r="300" spans="1:10" s="428" customFormat="1" ht="20.399999999999999" customHeight="1">
      <c r="A300" s="1192" t="s">
        <v>26</v>
      </c>
      <c r="B300" s="378" t="s">
        <v>147</v>
      </c>
      <c r="C300" s="57" t="s">
        <v>107</v>
      </c>
      <c r="D300" s="1194">
        <v>29.02</v>
      </c>
      <c r="E300" s="382">
        <f t="shared" si="40"/>
        <v>0</v>
      </c>
      <c r="F300" s="462"/>
      <c r="G300" s="609"/>
      <c r="H300" s="430"/>
      <c r="J300" s="57" t="s">
        <v>2358</v>
      </c>
    </row>
    <row r="301" spans="1:10" s="428" customFormat="1" ht="20.399999999999999" customHeight="1">
      <c r="A301" s="1192" t="s">
        <v>27</v>
      </c>
      <c r="B301" s="378" t="s">
        <v>147</v>
      </c>
      <c r="C301" s="57" t="s">
        <v>114</v>
      </c>
      <c r="D301" s="1194">
        <v>139.91</v>
      </c>
      <c r="E301" s="382">
        <f t="shared" si="40"/>
        <v>2798.2</v>
      </c>
      <c r="F301" s="383" t="s">
        <v>860</v>
      </c>
      <c r="G301" s="602">
        <f t="shared" si="42"/>
        <v>20</v>
      </c>
      <c r="H301" s="430"/>
      <c r="J301" s="57" t="s">
        <v>2359</v>
      </c>
    </row>
    <row r="302" spans="1:10" s="428" customFormat="1" ht="20.399999999999999" customHeight="1">
      <c r="A302" s="1192" t="s">
        <v>28</v>
      </c>
      <c r="B302" s="378" t="s">
        <v>147</v>
      </c>
      <c r="C302" s="57" t="s">
        <v>116</v>
      </c>
      <c r="D302" s="1194">
        <v>15.22</v>
      </c>
      <c r="E302" s="382">
        <f t="shared" si="40"/>
        <v>882.76</v>
      </c>
      <c r="F302" s="383" t="s">
        <v>861</v>
      </c>
      <c r="G302" s="602">
        <f t="shared" si="42"/>
        <v>58</v>
      </c>
      <c r="H302" s="430"/>
      <c r="J302" s="57" t="s">
        <v>2431</v>
      </c>
    </row>
    <row r="303" spans="1:10" s="428" customFormat="1" ht="20.399999999999999" customHeight="1">
      <c r="A303" s="1192" t="s">
        <v>29</v>
      </c>
      <c r="B303" s="378" t="s">
        <v>147</v>
      </c>
      <c r="C303" s="57" t="s">
        <v>179</v>
      </c>
      <c r="D303" s="1194">
        <v>118</v>
      </c>
      <c r="E303" s="382">
        <f t="shared" si="40"/>
        <v>944</v>
      </c>
      <c r="F303" s="383" t="s">
        <v>863</v>
      </c>
      <c r="G303" s="602">
        <f t="shared" si="42"/>
        <v>8</v>
      </c>
      <c r="H303" s="430"/>
      <c r="J303" s="57" t="s">
        <v>2360</v>
      </c>
    </row>
    <row r="304" spans="1:10" s="428" customFormat="1" ht="20.399999999999999" customHeight="1">
      <c r="A304" s="1192" t="s">
        <v>30</v>
      </c>
      <c r="B304" s="378" t="s">
        <v>147</v>
      </c>
      <c r="C304" s="57" t="s">
        <v>118</v>
      </c>
      <c r="D304" s="1194">
        <v>19.21</v>
      </c>
      <c r="E304" s="382">
        <f t="shared" si="40"/>
        <v>0</v>
      </c>
      <c r="F304" s="383" t="s">
        <v>864</v>
      </c>
      <c r="G304" s="602">
        <f t="shared" si="42"/>
        <v>0</v>
      </c>
      <c r="H304" s="430"/>
      <c r="J304" s="57" t="s">
        <v>2361</v>
      </c>
    </row>
    <row r="305" spans="1:10" s="428" customFormat="1" ht="20.399999999999999" customHeight="1">
      <c r="A305" s="1192" t="s">
        <v>31</v>
      </c>
      <c r="B305" s="378" t="s">
        <v>147</v>
      </c>
      <c r="C305" s="57" t="s">
        <v>180</v>
      </c>
      <c r="D305" s="1194">
        <v>35.29</v>
      </c>
      <c r="E305" s="382">
        <f t="shared" si="40"/>
        <v>1199.8599999999999</v>
      </c>
      <c r="F305" s="383" t="s">
        <v>840</v>
      </c>
      <c r="G305" s="602">
        <f>+Rebusca_t1(F305)</f>
        <v>34</v>
      </c>
      <c r="H305" s="430"/>
      <c r="J305" s="57" t="s">
        <v>2432</v>
      </c>
    </row>
    <row r="306" spans="1:10" s="428" customFormat="1" ht="20.399999999999999" customHeight="1">
      <c r="A306" s="1192" t="s">
        <v>32</v>
      </c>
      <c r="B306" s="378" t="s">
        <v>147</v>
      </c>
      <c r="C306" s="57" t="s">
        <v>1265</v>
      </c>
      <c r="D306" s="1194">
        <v>287.72000000000003</v>
      </c>
      <c r="E306" s="382">
        <f t="shared" si="40"/>
        <v>0</v>
      </c>
      <c r="F306" s="383" t="s">
        <v>842</v>
      </c>
      <c r="G306" s="602">
        <f>+Rebusca_t1(F306)</f>
        <v>0</v>
      </c>
      <c r="H306" s="430"/>
      <c r="J306" s="57" t="s">
        <v>2362</v>
      </c>
    </row>
    <row r="307" spans="1:10" s="428" customFormat="1" ht="20.399999999999999" customHeight="1">
      <c r="A307" s="1242" t="s">
        <v>1266</v>
      </c>
      <c r="B307" s="409" t="s">
        <v>147</v>
      </c>
      <c r="C307" s="410" t="s">
        <v>1267</v>
      </c>
      <c r="D307" s="1194"/>
      <c r="E307" s="382">
        <f t="shared" si="40"/>
        <v>0</v>
      </c>
      <c r="F307" s="457" t="s">
        <v>844</v>
      </c>
      <c r="G307" s="606">
        <f t="shared" ref="G307:G314" si="44">+Rebusca_t1(F307)</f>
        <v>0</v>
      </c>
      <c r="H307" s="430"/>
      <c r="J307" s="410" t="s">
        <v>2363</v>
      </c>
    </row>
    <row r="308" spans="1:10" s="428" customFormat="1" ht="20.399999999999999" customHeight="1">
      <c r="A308" s="1192" t="s">
        <v>1178</v>
      </c>
      <c r="B308" s="378" t="s">
        <v>147</v>
      </c>
      <c r="C308" s="57" t="s">
        <v>181</v>
      </c>
      <c r="D308" s="1194">
        <v>177.35</v>
      </c>
      <c r="E308" s="382">
        <f t="shared" si="40"/>
        <v>0</v>
      </c>
      <c r="F308" s="383" t="s">
        <v>846</v>
      </c>
      <c r="G308" s="602">
        <f>+Rebusca_t1(F308)</f>
        <v>0</v>
      </c>
      <c r="H308" s="430"/>
      <c r="J308" s="57" t="s">
        <v>2433</v>
      </c>
    </row>
    <row r="309" spans="1:10" s="428" customFormat="1" ht="30" customHeight="1">
      <c r="A309" s="1192" t="s">
        <v>1179</v>
      </c>
      <c r="B309" s="378" t="s">
        <v>150</v>
      </c>
      <c r="C309" s="57" t="s">
        <v>182</v>
      </c>
      <c r="D309" s="1194">
        <v>11.37</v>
      </c>
      <c r="E309" s="382">
        <f t="shared" si="40"/>
        <v>0</v>
      </c>
      <c r="F309" s="394" t="s">
        <v>1296</v>
      </c>
      <c r="G309" s="602">
        <f t="shared" si="44"/>
        <v>0</v>
      </c>
      <c r="H309" s="430"/>
      <c r="J309" s="57" t="s">
        <v>2364</v>
      </c>
    </row>
    <row r="310" spans="1:10" s="428" customFormat="1" ht="20.399999999999999" customHeight="1">
      <c r="A310" s="1231" t="s">
        <v>1297</v>
      </c>
      <c r="B310" s="409" t="s">
        <v>147</v>
      </c>
      <c r="C310" s="410" t="s">
        <v>873</v>
      </c>
      <c r="D310" s="1243"/>
      <c r="E310" s="382">
        <f t="shared" si="40"/>
        <v>0</v>
      </c>
      <c r="F310" s="458" t="s">
        <v>872</v>
      </c>
      <c r="G310" s="606">
        <f t="shared" si="44"/>
        <v>0</v>
      </c>
      <c r="H310" s="430"/>
      <c r="J310" s="410" t="s">
        <v>2365</v>
      </c>
    </row>
    <row r="311" spans="1:10" s="428" customFormat="1" ht="20.399999999999999" customHeight="1">
      <c r="A311" s="1231" t="s">
        <v>1298</v>
      </c>
      <c r="B311" s="409" t="s">
        <v>147</v>
      </c>
      <c r="C311" s="410" t="s">
        <v>875</v>
      </c>
      <c r="D311" s="1243"/>
      <c r="E311" s="382">
        <f t="shared" si="40"/>
        <v>0</v>
      </c>
      <c r="F311" s="458" t="s">
        <v>874</v>
      </c>
      <c r="G311" s="606">
        <f t="shared" si="44"/>
        <v>0</v>
      </c>
      <c r="H311" s="430"/>
      <c r="J311" s="410" t="s">
        <v>2366</v>
      </c>
    </row>
    <row r="312" spans="1:10" s="428" customFormat="1" ht="20.399999999999999" customHeight="1">
      <c r="A312" s="1231" t="s">
        <v>1299</v>
      </c>
      <c r="B312" s="409" t="s">
        <v>147</v>
      </c>
      <c r="C312" s="410" t="s">
        <v>877</v>
      </c>
      <c r="D312" s="1243"/>
      <c r="E312" s="382">
        <f t="shared" si="40"/>
        <v>0</v>
      </c>
      <c r="F312" s="458" t="s">
        <v>876</v>
      </c>
      <c r="G312" s="606">
        <f t="shared" si="44"/>
        <v>0</v>
      </c>
      <c r="H312" s="430"/>
      <c r="J312" s="410" t="s">
        <v>2434</v>
      </c>
    </row>
    <row r="313" spans="1:10" s="428" customFormat="1" ht="20.399999999999999" customHeight="1">
      <c r="A313" s="1231" t="s">
        <v>1300</v>
      </c>
      <c r="B313" s="409" t="s">
        <v>147</v>
      </c>
      <c r="C313" s="410" t="s">
        <v>879</v>
      </c>
      <c r="D313" s="1243"/>
      <c r="E313" s="382">
        <f t="shared" si="40"/>
        <v>0</v>
      </c>
      <c r="F313" s="458" t="s">
        <v>878</v>
      </c>
      <c r="G313" s="606">
        <f t="shared" si="44"/>
        <v>0</v>
      </c>
      <c r="H313" s="430"/>
      <c r="J313" s="410" t="s">
        <v>2367</v>
      </c>
    </row>
    <row r="314" spans="1:10" s="428" customFormat="1" ht="21" customHeight="1" thickBot="1">
      <c r="A314" s="1231" t="s">
        <v>1301</v>
      </c>
      <c r="B314" s="409" t="s">
        <v>147</v>
      </c>
      <c r="C314" s="410" t="s">
        <v>1302</v>
      </c>
      <c r="D314" s="1243"/>
      <c r="E314" s="382">
        <f t="shared" si="40"/>
        <v>0</v>
      </c>
      <c r="F314" s="458" t="s">
        <v>880</v>
      </c>
      <c r="G314" s="606">
        <f t="shared" si="44"/>
        <v>0</v>
      </c>
      <c r="H314" s="430"/>
      <c r="J314" s="410" t="s">
        <v>2368</v>
      </c>
    </row>
    <row r="315" spans="1:10" s="428" customFormat="1" ht="21" customHeight="1" thickBot="1">
      <c r="A315" s="1192"/>
      <c r="B315" s="378"/>
      <c r="C315" s="403" t="s">
        <v>33</v>
      </c>
      <c r="D315" s="1198"/>
      <c r="E315" s="392">
        <f>SUM(E289:E309)</f>
        <v>38662.53</v>
      </c>
      <c r="F315" s="394"/>
      <c r="G315" s="609"/>
      <c r="H315" s="430"/>
      <c r="J315" s="403" t="s">
        <v>2369</v>
      </c>
    </row>
    <row r="316" spans="1:10" s="428" customFormat="1" ht="20.399999999999999" customHeight="1">
      <c r="A316" s="1192"/>
      <c r="B316" s="378"/>
      <c r="C316" s="57"/>
      <c r="D316" s="57"/>
      <c r="E316" s="57"/>
      <c r="F316" s="57"/>
      <c r="G316" s="57"/>
      <c r="H316" s="430"/>
      <c r="J316" s="57"/>
    </row>
    <row r="317" spans="1:10" s="428" customFormat="1" ht="20.399999999999999" hidden="1" customHeight="1">
      <c r="A317" s="1192"/>
      <c r="B317" s="378"/>
      <c r="C317" s="403" t="s">
        <v>34</v>
      </c>
      <c r="D317" s="1194"/>
      <c r="E317" s="12"/>
      <c r="F317" s="394"/>
      <c r="G317" s="609"/>
      <c r="H317" s="430"/>
      <c r="J317" s="403" t="s">
        <v>34</v>
      </c>
    </row>
    <row r="318" spans="1:10" s="428" customFormat="1" ht="20.399999999999999" hidden="1" customHeight="1">
      <c r="A318" s="1192" t="s">
        <v>35</v>
      </c>
      <c r="B318" s="378" t="s">
        <v>158</v>
      </c>
      <c r="C318" s="57" t="s">
        <v>183</v>
      </c>
      <c r="D318" s="1200">
        <v>5041.3900000000003</v>
      </c>
      <c r="E318" s="382" t="e">
        <f>D318*#REF!</f>
        <v>#REF!</v>
      </c>
      <c r="F318" s="394"/>
      <c r="G318" s="609"/>
      <c r="H318" s="430"/>
      <c r="J318" s="57" t="s">
        <v>183</v>
      </c>
    </row>
    <row r="319" spans="1:10" s="428" customFormat="1" ht="20.399999999999999" hidden="1" customHeight="1">
      <c r="A319" s="1192" t="s">
        <v>36</v>
      </c>
      <c r="B319" s="378" t="s">
        <v>147</v>
      </c>
      <c r="C319" s="57" t="s">
        <v>184</v>
      </c>
      <c r="D319" s="1194">
        <v>98.01</v>
      </c>
      <c r="E319" s="382" t="e">
        <f>D319*#REF!</f>
        <v>#REF!</v>
      </c>
      <c r="F319" s="394"/>
      <c r="G319" s="609"/>
      <c r="H319" s="430"/>
      <c r="J319" s="57" t="s">
        <v>184</v>
      </c>
    </row>
    <row r="320" spans="1:10" s="428" customFormat="1" ht="20.399999999999999" hidden="1" customHeight="1">
      <c r="A320" s="1192" t="s">
        <v>37</v>
      </c>
      <c r="B320" s="378" t="s">
        <v>147</v>
      </c>
      <c r="C320" s="57" t="s">
        <v>185</v>
      </c>
      <c r="D320" s="1194">
        <v>44.72</v>
      </c>
      <c r="E320" s="382" t="e">
        <f>D320*#REF!</f>
        <v>#REF!</v>
      </c>
      <c r="F320" s="394"/>
      <c r="G320" s="609"/>
      <c r="H320" s="430"/>
      <c r="J320" s="57" t="s">
        <v>185</v>
      </c>
    </row>
    <row r="321" spans="1:10" s="428" customFormat="1" ht="20.399999999999999" hidden="1" customHeight="1">
      <c r="A321" s="1192" t="s">
        <v>38</v>
      </c>
      <c r="B321" s="378" t="s">
        <v>147</v>
      </c>
      <c r="C321" s="57" t="s">
        <v>186</v>
      </c>
      <c r="D321" s="1194">
        <v>447.75</v>
      </c>
      <c r="E321" s="382" t="e">
        <f>D321*#REF!</f>
        <v>#REF!</v>
      </c>
      <c r="F321" s="394"/>
      <c r="G321" s="609"/>
      <c r="H321" s="430"/>
      <c r="J321" s="57" t="s">
        <v>186</v>
      </c>
    </row>
    <row r="322" spans="1:10" s="428" customFormat="1" ht="20.399999999999999" hidden="1" customHeight="1">
      <c r="A322" s="1192" t="s">
        <v>39</v>
      </c>
      <c r="B322" s="378" t="s">
        <v>147</v>
      </c>
      <c r="C322" s="57" t="s">
        <v>187</v>
      </c>
      <c r="D322" s="1194">
        <v>113.17</v>
      </c>
      <c r="E322" s="382" t="e">
        <f>D322*#REF!</f>
        <v>#REF!</v>
      </c>
      <c r="F322" s="394"/>
      <c r="G322" s="609"/>
      <c r="H322" s="430"/>
      <c r="J322" s="57" t="s">
        <v>2435</v>
      </c>
    </row>
    <row r="323" spans="1:10" s="428" customFormat="1" ht="20.399999999999999" hidden="1" customHeight="1">
      <c r="A323" s="1192" t="s">
        <v>40</v>
      </c>
      <c r="B323" s="378" t="s">
        <v>147</v>
      </c>
      <c r="C323" s="57" t="s">
        <v>188</v>
      </c>
      <c r="D323" s="1194">
        <v>335.83</v>
      </c>
      <c r="E323" s="382" t="e">
        <f>D323*#REF!</f>
        <v>#REF!</v>
      </c>
      <c r="F323" s="394"/>
      <c r="G323" s="609"/>
      <c r="H323" s="430"/>
      <c r="J323" s="57" t="s">
        <v>188</v>
      </c>
    </row>
    <row r="324" spans="1:10" s="428" customFormat="1" ht="20.399999999999999" hidden="1" customHeight="1">
      <c r="A324" s="1192" t="s">
        <v>41</v>
      </c>
      <c r="B324" s="378" t="s">
        <v>147</v>
      </c>
      <c r="C324" s="57" t="s">
        <v>189</v>
      </c>
      <c r="D324" s="1194">
        <v>42.69</v>
      </c>
      <c r="E324" s="382" t="e">
        <f>D324*#REF!</f>
        <v>#REF!</v>
      </c>
      <c r="F324" s="394"/>
      <c r="G324" s="609"/>
      <c r="H324" s="430"/>
      <c r="J324" s="57" t="s">
        <v>189</v>
      </c>
    </row>
    <row r="325" spans="1:10" s="428" customFormat="1" ht="20.399999999999999" hidden="1" customHeight="1">
      <c r="A325" s="1192" t="s">
        <v>42</v>
      </c>
      <c r="B325" s="378" t="s">
        <v>147</v>
      </c>
      <c r="C325" s="57" t="s">
        <v>190</v>
      </c>
      <c r="D325" s="1194">
        <v>98.01</v>
      </c>
      <c r="E325" s="382" t="e">
        <f>D325*#REF!</f>
        <v>#REF!</v>
      </c>
      <c r="F325" s="394"/>
      <c r="G325" s="609"/>
      <c r="H325" s="430"/>
      <c r="J325" s="57" t="s">
        <v>2436</v>
      </c>
    </row>
    <row r="326" spans="1:10" s="428" customFormat="1" ht="20.399999999999999" hidden="1" customHeight="1">
      <c r="A326" s="1192" t="s">
        <v>43</v>
      </c>
      <c r="B326" s="378" t="s">
        <v>147</v>
      </c>
      <c r="C326" s="57" t="s">
        <v>191</v>
      </c>
      <c r="D326" s="1194">
        <v>420.96</v>
      </c>
      <c r="E326" s="382" t="e">
        <f>D326*#REF!</f>
        <v>#REF!</v>
      </c>
      <c r="F326" s="394"/>
      <c r="G326" s="609"/>
      <c r="H326" s="430"/>
      <c r="J326" s="57" t="s">
        <v>191</v>
      </c>
    </row>
    <row r="327" spans="1:10" s="428" customFormat="1" ht="20.399999999999999" hidden="1" customHeight="1">
      <c r="A327" s="1192" t="s">
        <v>44</v>
      </c>
      <c r="B327" s="378" t="s">
        <v>147</v>
      </c>
      <c r="C327" s="57" t="s">
        <v>192</v>
      </c>
      <c r="D327" s="1194">
        <v>98.01</v>
      </c>
      <c r="E327" s="382" t="e">
        <f>D327*#REF!</f>
        <v>#REF!</v>
      </c>
      <c r="F327" s="394"/>
      <c r="G327" s="609"/>
      <c r="H327" s="430"/>
      <c r="J327" s="57" t="s">
        <v>192</v>
      </c>
    </row>
    <row r="328" spans="1:10" s="428" customFormat="1" ht="20.399999999999999" hidden="1" customHeight="1">
      <c r="A328" s="1192" t="s">
        <v>45</v>
      </c>
      <c r="B328" s="378" t="s">
        <v>147</v>
      </c>
      <c r="C328" s="57" t="s">
        <v>193</v>
      </c>
      <c r="D328" s="1194">
        <v>946.19</v>
      </c>
      <c r="E328" s="382" t="e">
        <f>D328*#REF!</f>
        <v>#REF!</v>
      </c>
      <c r="F328" s="394"/>
      <c r="G328" s="609"/>
      <c r="H328" s="430"/>
      <c r="J328" s="57" t="s">
        <v>2437</v>
      </c>
    </row>
    <row r="329" spans="1:10" s="428" customFormat="1" ht="20.399999999999999" hidden="1" customHeight="1">
      <c r="A329" s="1192" t="s">
        <v>46</v>
      </c>
      <c r="B329" s="378" t="s">
        <v>147</v>
      </c>
      <c r="C329" s="57" t="s">
        <v>194</v>
      </c>
      <c r="D329" s="1200">
        <v>5677.09</v>
      </c>
      <c r="E329" s="382" t="e">
        <f>D329*#REF!</f>
        <v>#REF!</v>
      </c>
      <c r="F329" s="394"/>
      <c r="G329" s="609"/>
      <c r="H329" s="430"/>
      <c r="J329" s="57" t="s">
        <v>194</v>
      </c>
    </row>
    <row r="330" spans="1:10" s="428" customFormat="1" ht="20.399999999999999" hidden="1" customHeight="1">
      <c r="A330" s="1192" t="s">
        <v>47</v>
      </c>
      <c r="B330" s="378" t="s">
        <v>147</v>
      </c>
      <c r="C330" s="57" t="s">
        <v>195</v>
      </c>
      <c r="D330" s="1194">
        <v>228.91</v>
      </c>
      <c r="E330" s="382" t="e">
        <f>D330*#REF!</f>
        <v>#REF!</v>
      </c>
      <c r="F330" s="394"/>
      <c r="G330" s="609"/>
      <c r="H330" s="430"/>
      <c r="J330" s="57" t="s">
        <v>195</v>
      </c>
    </row>
    <row r="331" spans="1:10" s="428" customFormat="1" ht="30" hidden="1" customHeight="1">
      <c r="A331" s="1192" t="s">
        <v>48</v>
      </c>
      <c r="B331" s="378" t="s">
        <v>150</v>
      </c>
      <c r="C331" s="57" t="s">
        <v>196</v>
      </c>
      <c r="D331" s="1194">
        <v>42.75</v>
      </c>
      <c r="E331" s="382" t="e">
        <f>D331*#REF!</f>
        <v>#REF!</v>
      </c>
      <c r="F331" s="394"/>
      <c r="G331" s="609"/>
      <c r="H331" s="430"/>
      <c r="J331" s="57" t="s">
        <v>196</v>
      </c>
    </row>
    <row r="332" spans="1:10" s="428" customFormat="1" ht="30" hidden="1" customHeight="1">
      <c r="A332" s="1192" t="s">
        <v>49</v>
      </c>
      <c r="B332" s="378" t="s">
        <v>147</v>
      </c>
      <c r="C332" s="57" t="s">
        <v>197</v>
      </c>
      <c r="D332" s="1200">
        <v>3847.73</v>
      </c>
      <c r="E332" s="382" t="e">
        <f>D332*#REF!</f>
        <v>#REF!</v>
      </c>
      <c r="F332" s="394"/>
      <c r="G332" s="609"/>
      <c r="H332" s="430"/>
      <c r="J332" s="57" t="s">
        <v>197</v>
      </c>
    </row>
    <row r="333" spans="1:10" s="428" customFormat="1" ht="42.6" hidden="1" customHeight="1" thickBot="1">
      <c r="A333" s="1192" t="s">
        <v>50</v>
      </c>
      <c r="B333" s="378" t="s">
        <v>147</v>
      </c>
      <c r="C333" s="57" t="s">
        <v>198</v>
      </c>
      <c r="D333" s="1200">
        <v>5142.5200000000004</v>
      </c>
      <c r="E333" s="382" t="e">
        <f>D333*#REF!</f>
        <v>#REF!</v>
      </c>
      <c r="F333" s="394"/>
      <c r="G333" s="609"/>
      <c r="H333" s="430"/>
      <c r="J333" s="57" t="s">
        <v>198</v>
      </c>
    </row>
    <row r="334" spans="1:10" s="428" customFormat="1" ht="21" hidden="1" customHeight="1" thickBot="1">
      <c r="A334" s="1192"/>
      <c r="B334" s="378"/>
      <c r="C334" s="403" t="s">
        <v>51</v>
      </c>
      <c r="D334" s="1198"/>
      <c r="E334" s="392" t="e">
        <f>SUM(E318:E333)</f>
        <v>#REF!</v>
      </c>
      <c r="F334" s="394"/>
      <c r="G334" s="609"/>
      <c r="H334" s="430"/>
      <c r="J334" s="403" t="s">
        <v>51</v>
      </c>
    </row>
    <row r="335" spans="1:10" s="428" customFormat="1" ht="20.399999999999999" hidden="1" customHeight="1">
      <c r="A335" s="1192"/>
      <c r="B335" s="378"/>
      <c r="C335" s="377" t="s">
        <v>52</v>
      </c>
      <c r="D335" s="1194"/>
      <c r="E335" s="12"/>
      <c r="F335" s="394"/>
      <c r="G335" s="609"/>
      <c r="H335" s="430"/>
      <c r="J335" s="377" t="s">
        <v>52</v>
      </c>
    </row>
    <row r="336" spans="1:10" s="428" customFormat="1" ht="21" hidden="1" customHeight="1" thickBot="1">
      <c r="A336" s="1192"/>
      <c r="B336" s="378"/>
      <c r="C336" s="403"/>
      <c r="D336" s="1194"/>
      <c r="E336" s="399"/>
      <c r="F336" s="394"/>
      <c r="G336" s="609"/>
      <c r="H336" s="430"/>
      <c r="J336" s="403"/>
    </row>
    <row r="337" spans="1:10" s="428" customFormat="1" ht="21" hidden="1" customHeight="1" thickBot="1">
      <c r="A337" s="1192"/>
      <c r="B337" s="378"/>
      <c r="C337" s="403" t="s">
        <v>53</v>
      </c>
      <c r="D337" s="1198"/>
      <c r="E337" s="1244" t="e">
        <f>E334+E315+E283+E269+E236+E222+E191+E180+E161+E152+E131+E110+E31+E16</f>
        <v>#REF!</v>
      </c>
      <c r="F337" s="394"/>
      <c r="G337" s="609"/>
      <c r="H337" s="430"/>
      <c r="J337" s="403" t="s">
        <v>2370</v>
      </c>
    </row>
    <row r="338" spans="1:10" s="428" customFormat="1" ht="20.399999999999999" customHeight="1">
      <c r="A338" s="1245"/>
      <c r="B338" s="431"/>
      <c r="C338" s="437"/>
      <c r="D338" s="488"/>
      <c r="F338" s="431"/>
      <c r="G338" s="596"/>
      <c r="H338" s="430"/>
      <c r="J338" s="437"/>
    </row>
    <row r="339" spans="1:10" s="428" customFormat="1" ht="20.399999999999999" customHeight="1">
      <c r="A339" s="1245"/>
      <c r="B339" s="431"/>
      <c r="C339" s="437"/>
      <c r="D339" s="488"/>
      <c r="F339" s="431"/>
      <c r="G339" s="596"/>
      <c r="H339" s="430"/>
      <c r="J339" s="437"/>
    </row>
    <row r="340" spans="1:10" s="428" customFormat="1" ht="20.399999999999999" customHeight="1">
      <c r="A340" s="1245"/>
      <c r="B340" s="431"/>
      <c r="C340" s="437"/>
      <c r="D340" s="488"/>
      <c r="F340" s="431"/>
      <c r="G340" s="596"/>
      <c r="H340" s="430"/>
      <c r="J340" s="437"/>
    </row>
    <row r="341" spans="1:10" s="428" customFormat="1" ht="20.399999999999999" customHeight="1">
      <c r="A341" s="1245"/>
      <c r="B341" s="431"/>
      <c r="C341" s="437"/>
      <c r="D341" s="488"/>
      <c r="F341" s="431"/>
      <c r="G341" s="596"/>
      <c r="H341" s="430"/>
      <c r="J341" s="437"/>
    </row>
    <row r="342" spans="1:10" s="428" customFormat="1" ht="20.399999999999999" customHeight="1">
      <c r="A342" s="1245"/>
      <c r="B342" s="431"/>
      <c r="C342" s="437"/>
      <c r="D342" s="488"/>
      <c r="F342" s="431"/>
      <c r="G342" s="596"/>
      <c r="H342" s="430"/>
      <c r="J342" s="437"/>
    </row>
    <row r="343" spans="1:10" s="428" customFormat="1" ht="20.399999999999999" customHeight="1">
      <c r="A343" s="1245"/>
      <c r="B343" s="431"/>
      <c r="C343" s="437"/>
      <c r="D343" s="488"/>
      <c r="F343" s="431"/>
      <c r="G343" s="596"/>
      <c r="H343" s="430"/>
      <c r="J343" s="437"/>
    </row>
    <row r="344" spans="1:10" s="428" customFormat="1" ht="20.399999999999999" customHeight="1">
      <c r="A344" s="1245"/>
      <c r="B344" s="431"/>
      <c r="C344" s="437"/>
      <c r="D344" s="488"/>
      <c r="F344" s="431"/>
      <c r="G344" s="596"/>
      <c r="H344" s="430"/>
      <c r="J344" s="437"/>
    </row>
    <row r="345" spans="1:10" s="428" customFormat="1" ht="20.399999999999999" customHeight="1">
      <c r="A345" s="1245"/>
      <c r="B345" s="431"/>
      <c r="C345" s="437"/>
      <c r="D345" s="488"/>
      <c r="F345" s="431"/>
      <c r="G345" s="596"/>
      <c r="H345" s="430"/>
      <c r="J345" s="437"/>
    </row>
    <row r="346" spans="1:10" s="428" customFormat="1" ht="20.399999999999999" customHeight="1">
      <c r="A346" s="1245"/>
      <c r="B346" s="431"/>
      <c r="C346" s="437"/>
      <c r="D346" s="488"/>
      <c r="F346" s="431"/>
      <c r="G346" s="596"/>
      <c r="H346" s="430"/>
      <c r="J346" s="437"/>
    </row>
    <row r="347" spans="1:10" s="428" customFormat="1" ht="20.399999999999999" customHeight="1">
      <c r="A347" s="1245"/>
      <c r="B347" s="431"/>
      <c r="C347" s="437"/>
      <c r="D347" s="488"/>
      <c r="F347" s="431"/>
      <c r="G347" s="596"/>
      <c r="H347" s="430"/>
      <c r="J347" s="437"/>
    </row>
    <row r="348" spans="1:10" s="428" customFormat="1" ht="20.399999999999999" customHeight="1">
      <c r="A348" s="1245"/>
      <c r="B348" s="431"/>
      <c r="C348" s="437"/>
      <c r="D348" s="488"/>
      <c r="F348" s="431"/>
      <c r="G348" s="596"/>
      <c r="H348" s="430"/>
      <c r="J348" s="437"/>
    </row>
    <row r="349" spans="1:10" s="428" customFormat="1" ht="20.399999999999999" customHeight="1">
      <c r="A349" s="1245"/>
      <c r="B349" s="431"/>
      <c r="C349" s="437"/>
      <c r="D349" s="488"/>
      <c r="F349" s="431"/>
      <c r="G349" s="596"/>
      <c r="H349" s="430"/>
      <c r="J349" s="437"/>
    </row>
    <row r="350" spans="1:10" s="428" customFormat="1" ht="20.399999999999999" customHeight="1">
      <c r="A350" s="1245"/>
      <c r="B350" s="431"/>
      <c r="C350" s="437"/>
      <c r="D350" s="488"/>
      <c r="F350" s="431"/>
      <c r="G350" s="596"/>
      <c r="H350" s="430"/>
      <c r="J350" s="437"/>
    </row>
    <row r="351" spans="1:10" s="428" customFormat="1" ht="20.399999999999999" customHeight="1">
      <c r="A351" s="1245"/>
      <c r="B351" s="431"/>
      <c r="C351" s="437"/>
      <c r="D351" s="488"/>
      <c r="F351" s="431"/>
      <c r="G351" s="596"/>
      <c r="H351" s="430"/>
      <c r="J351" s="437"/>
    </row>
    <row r="352" spans="1:10" s="428" customFormat="1" ht="20.399999999999999" customHeight="1">
      <c r="A352" s="1245"/>
      <c r="B352" s="431"/>
      <c r="C352" s="437"/>
      <c r="D352" s="488"/>
      <c r="F352" s="431"/>
      <c r="G352" s="596"/>
      <c r="H352" s="430"/>
      <c r="J352" s="437"/>
    </row>
    <row r="353" spans="1:10" s="428" customFormat="1" ht="20.399999999999999" customHeight="1">
      <c r="A353" s="1245"/>
      <c r="B353" s="431"/>
      <c r="C353" s="437"/>
      <c r="D353" s="488"/>
      <c r="F353" s="431"/>
      <c r="G353" s="596"/>
      <c r="H353" s="430"/>
      <c r="J353" s="437"/>
    </row>
    <row r="354" spans="1:10" s="428" customFormat="1" ht="20.399999999999999" customHeight="1">
      <c r="A354" s="1245"/>
      <c r="B354" s="431"/>
      <c r="C354" s="437"/>
      <c r="D354" s="488"/>
      <c r="F354" s="431"/>
      <c r="G354" s="596"/>
      <c r="H354" s="430"/>
      <c r="J354" s="437"/>
    </row>
    <row r="355" spans="1:10" s="428" customFormat="1" ht="20.399999999999999" customHeight="1">
      <c r="A355" s="1245"/>
      <c r="B355" s="431"/>
      <c r="C355" s="437"/>
      <c r="D355" s="488"/>
      <c r="F355" s="431"/>
      <c r="G355" s="596"/>
      <c r="H355" s="430"/>
      <c r="J355" s="437"/>
    </row>
    <row r="356" spans="1:10" s="428" customFormat="1" ht="20.399999999999999" customHeight="1">
      <c r="A356" s="1245"/>
      <c r="B356" s="431"/>
      <c r="C356" s="437"/>
      <c r="D356" s="488"/>
      <c r="F356" s="431"/>
      <c r="G356" s="596"/>
      <c r="H356" s="430"/>
      <c r="J356" s="437"/>
    </row>
    <row r="357" spans="1:10" s="428" customFormat="1" ht="20.399999999999999" customHeight="1">
      <c r="A357" s="1245"/>
      <c r="B357" s="431"/>
      <c r="C357" s="437"/>
      <c r="D357" s="488"/>
      <c r="F357" s="431"/>
      <c r="G357" s="596"/>
      <c r="H357" s="430"/>
      <c r="J357" s="437"/>
    </row>
    <row r="358" spans="1:10" s="428" customFormat="1" ht="20.399999999999999" customHeight="1">
      <c r="A358" s="1245"/>
      <c r="B358" s="431"/>
      <c r="C358" s="437"/>
      <c r="D358" s="488"/>
      <c r="F358" s="431"/>
      <c r="G358" s="596"/>
      <c r="H358" s="430"/>
      <c r="J358" s="437"/>
    </row>
    <row r="359" spans="1:10" s="428" customFormat="1" ht="20.399999999999999" customHeight="1">
      <c r="A359" s="1245"/>
      <c r="B359" s="431"/>
      <c r="C359" s="437"/>
      <c r="D359" s="488"/>
      <c r="F359" s="431"/>
      <c r="G359" s="596"/>
      <c r="H359" s="430"/>
      <c r="J359" s="437"/>
    </row>
    <row r="360" spans="1:10" s="428" customFormat="1" ht="20.399999999999999" customHeight="1">
      <c r="A360" s="1245"/>
      <c r="B360" s="431"/>
      <c r="C360" s="437"/>
      <c r="D360" s="488"/>
      <c r="F360" s="431"/>
      <c r="G360" s="596"/>
      <c r="H360" s="430"/>
      <c r="J360" s="437"/>
    </row>
    <row r="361" spans="1:10" s="428" customFormat="1" ht="20.399999999999999" customHeight="1">
      <c r="A361" s="1245"/>
      <c r="B361" s="431"/>
      <c r="C361" s="437"/>
      <c r="D361" s="488"/>
      <c r="F361" s="431"/>
      <c r="G361" s="596"/>
      <c r="H361" s="430"/>
      <c r="J361" s="437"/>
    </row>
    <row r="362" spans="1:10" s="428" customFormat="1" ht="20.399999999999999" customHeight="1">
      <c r="A362" s="1245"/>
      <c r="B362" s="431"/>
      <c r="C362" s="437"/>
      <c r="D362" s="488"/>
      <c r="F362" s="431"/>
      <c r="G362" s="596"/>
      <c r="H362" s="430"/>
      <c r="J362" s="437"/>
    </row>
    <row r="363" spans="1:10" s="428" customFormat="1" ht="20.399999999999999" customHeight="1">
      <c r="A363" s="1245"/>
      <c r="B363" s="431"/>
      <c r="C363" s="437"/>
      <c r="D363" s="488"/>
      <c r="F363" s="431"/>
      <c r="G363" s="596"/>
      <c r="H363" s="430"/>
      <c r="J363" s="437"/>
    </row>
    <row r="364" spans="1:10" s="428" customFormat="1" ht="20.399999999999999" customHeight="1">
      <c r="A364" s="1245"/>
      <c r="B364" s="431"/>
      <c r="C364" s="437"/>
      <c r="D364" s="488"/>
      <c r="F364" s="431"/>
      <c r="G364" s="596"/>
      <c r="H364" s="430"/>
      <c r="J364" s="437"/>
    </row>
    <row r="365" spans="1:10" s="428" customFormat="1" ht="20.399999999999999" customHeight="1">
      <c r="A365" s="1245"/>
      <c r="B365" s="431"/>
      <c r="C365" s="437"/>
      <c r="D365" s="488"/>
      <c r="F365" s="431"/>
      <c r="G365" s="596"/>
      <c r="H365" s="430"/>
      <c r="J365" s="437"/>
    </row>
    <row r="366" spans="1:10" s="428" customFormat="1" ht="20.399999999999999" customHeight="1">
      <c r="A366" s="1245"/>
      <c r="B366" s="431"/>
      <c r="C366" s="437"/>
      <c r="D366" s="488"/>
      <c r="F366" s="431"/>
      <c r="G366" s="596"/>
      <c r="H366" s="430"/>
      <c r="J366" s="437"/>
    </row>
    <row r="367" spans="1:10" s="428" customFormat="1" ht="20.399999999999999" customHeight="1">
      <c r="A367" s="1245"/>
      <c r="B367" s="431"/>
      <c r="C367" s="437"/>
      <c r="D367" s="488"/>
      <c r="F367" s="431"/>
      <c r="G367" s="596"/>
      <c r="H367" s="430"/>
      <c r="J367" s="437"/>
    </row>
    <row r="368" spans="1:10" s="428" customFormat="1" ht="20.399999999999999" customHeight="1">
      <c r="A368" s="1245"/>
      <c r="B368" s="431"/>
      <c r="C368" s="437"/>
      <c r="D368" s="488"/>
      <c r="F368" s="431"/>
      <c r="G368" s="596"/>
      <c r="H368" s="430"/>
      <c r="J368" s="437"/>
    </row>
    <row r="369" spans="1:10" s="428" customFormat="1" ht="20.399999999999999" customHeight="1">
      <c r="A369" s="1245"/>
      <c r="B369" s="431"/>
      <c r="C369" s="437"/>
      <c r="D369" s="488"/>
      <c r="F369" s="431"/>
      <c r="G369" s="596"/>
      <c r="H369" s="430"/>
      <c r="J369" s="437"/>
    </row>
    <row r="370" spans="1:10" s="428" customFormat="1" ht="20.399999999999999" customHeight="1">
      <c r="A370" s="1245"/>
      <c r="B370" s="431"/>
      <c r="C370" s="437"/>
      <c r="D370" s="488"/>
      <c r="F370" s="431"/>
      <c r="G370" s="596"/>
      <c r="H370" s="430"/>
      <c r="J370" s="437"/>
    </row>
    <row r="371" spans="1:10" s="428" customFormat="1" ht="20.399999999999999" customHeight="1">
      <c r="A371" s="1245"/>
      <c r="B371" s="431"/>
      <c r="C371" s="437"/>
      <c r="D371" s="488"/>
      <c r="F371" s="431"/>
      <c r="G371" s="596"/>
      <c r="H371" s="430"/>
      <c r="J371" s="437"/>
    </row>
    <row r="372" spans="1:10" s="428" customFormat="1" ht="20.399999999999999" customHeight="1">
      <c r="A372" s="1245"/>
      <c r="B372" s="431"/>
      <c r="C372" s="437"/>
      <c r="D372" s="488"/>
      <c r="F372" s="431"/>
      <c r="G372" s="596"/>
      <c r="H372" s="430"/>
      <c r="J372" s="437"/>
    </row>
    <row r="373" spans="1:10" s="428" customFormat="1" ht="20.399999999999999" customHeight="1">
      <c r="A373" s="1245"/>
      <c r="B373" s="431"/>
      <c r="C373" s="437"/>
      <c r="D373" s="488"/>
      <c r="F373" s="431"/>
      <c r="G373" s="596"/>
      <c r="H373" s="430"/>
      <c r="J373" s="437"/>
    </row>
    <row r="374" spans="1:10" s="428" customFormat="1" ht="20.399999999999999" customHeight="1">
      <c r="A374" s="1245"/>
      <c r="B374" s="431"/>
      <c r="C374" s="437"/>
      <c r="D374" s="488"/>
      <c r="F374" s="431"/>
      <c r="G374" s="596"/>
      <c r="H374" s="430"/>
      <c r="J374" s="437"/>
    </row>
    <row r="375" spans="1:10" s="428" customFormat="1" ht="20.399999999999999" customHeight="1">
      <c r="A375" s="1245"/>
      <c r="B375" s="431"/>
      <c r="C375" s="437"/>
      <c r="D375" s="488"/>
      <c r="F375" s="431"/>
      <c r="G375" s="596"/>
      <c r="H375" s="430"/>
      <c r="J375" s="437"/>
    </row>
    <row r="376" spans="1:10" s="428" customFormat="1" ht="20.399999999999999" customHeight="1">
      <c r="A376" s="1245"/>
      <c r="B376" s="431"/>
      <c r="C376" s="437"/>
      <c r="D376" s="488"/>
      <c r="F376" s="431"/>
      <c r="G376" s="596"/>
      <c r="H376" s="430"/>
      <c r="J376" s="437"/>
    </row>
    <row r="377" spans="1:10" s="428" customFormat="1" ht="20.399999999999999" customHeight="1">
      <c r="A377" s="1245"/>
      <c r="B377" s="431"/>
      <c r="C377" s="437"/>
      <c r="D377" s="488"/>
      <c r="F377" s="431"/>
      <c r="G377" s="596"/>
      <c r="H377" s="430"/>
      <c r="J377" s="437"/>
    </row>
    <row r="378" spans="1:10" s="428" customFormat="1" ht="20.399999999999999" customHeight="1">
      <c r="A378" s="1245"/>
      <c r="B378" s="431"/>
      <c r="C378" s="437"/>
      <c r="D378" s="488"/>
      <c r="F378" s="431"/>
      <c r="G378" s="596"/>
      <c r="H378" s="430"/>
      <c r="J378" s="437"/>
    </row>
    <row r="379" spans="1:10" s="428" customFormat="1" ht="20.399999999999999" customHeight="1">
      <c r="A379" s="1245"/>
      <c r="B379" s="431"/>
      <c r="C379" s="437"/>
      <c r="D379" s="488"/>
      <c r="F379" s="431"/>
      <c r="G379" s="596"/>
      <c r="H379" s="430"/>
      <c r="J379" s="437"/>
    </row>
    <row r="380" spans="1:10" s="428" customFormat="1" ht="20.399999999999999" customHeight="1">
      <c r="A380" s="1245"/>
      <c r="B380" s="431"/>
      <c r="C380" s="437"/>
      <c r="D380" s="488"/>
      <c r="F380" s="431"/>
      <c r="G380" s="596"/>
      <c r="H380" s="430"/>
      <c r="J380" s="437"/>
    </row>
    <row r="381" spans="1:10" s="428" customFormat="1" ht="20.399999999999999" customHeight="1">
      <c r="A381" s="1245"/>
      <c r="B381" s="431"/>
      <c r="C381" s="437"/>
      <c r="D381" s="488"/>
      <c r="F381" s="431"/>
      <c r="G381" s="596"/>
      <c r="H381" s="430"/>
      <c r="J381" s="437"/>
    </row>
    <row r="382" spans="1:10" s="428" customFormat="1" ht="20.399999999999999" customHeight="1">
      <c r="A382" s="1245"/>
      <c r="B382" s="431"/>
      <c r="C382" s="437"/>
      <c r="D382" s="488"/>
      <c r="F382" s="431"/>
      <c r="G382" s="596"/>
      <c r="H382" s="430"/>
      <c r="J382" s="437"/>
    </row>
    <row r="383" spans="1:10" s="428" customFormat="1" ht="20.399999999999999" customHeight="1">
      <c r="A383" s="1245"/>
      <c r="B383" s="431"/>
      <c r="C383" s="437"/>
      <c r="D383" s="488"/>
      <c r="F383" s="431"/>
      <c r="G383" s="596"/>
      <c r="H383" s="430"/>
      <c r="J383" s="437"/>
    </row>
    <row r="384" spans="1:10" s="428" customFormat="1" ht="20.399999999999999" customHeight="1">
      <c r="A384" s="1245"/>
      <c r="B384" s="431"/>
      <c r="C384" s="437"/>
      <c r="D384" s="488"/>
      <c r="F384" s="431"/>
      <c r="G384" s="596"/>
      <c r="H384" s="430"/>
      <c r="J384" s="437"/>
    </row>
    <row r="385" spans="1:10" s="428" customFormat="1" ht="20.399999999999999" customHeight="1">
      <c r="A385" s="1245"/>
      <c r="B385" s="431"/>
      <c r="C385" s="437"/>
      <c r="D385" s="488"/>
      <c r="F385" s="431"/>
      <c r="G385" s="596"/>
      <c r="H385" s="430"/>
      <c r="J385" s="437"/>
    </row>
    <row r="386" spans="1:10" s="428" customFormat="1" ht="20.399999999999999" customHeight="1">
      <c r="A386" s="1245"/>
      <c r="B386" s="431"/>
      <c r="C386" s="437"/>
      <c r="D386" s="488"/>
      <c r="F386" s="431"/>
      <c r="G386" s="596"/>
      <c r="H386" s="430"/>
      <c r="J386" s="437"/>
    </row>
    <row r="387" spans="1:10" s="428" customFormat="1" ht="20.399999999999999" customHeight="1">
      <c r="A387" s="1245"/>
      <c r="B387" s="431"/>
      <c r="C387" s="437"/>
      <c r="D387" s="488"/>
      <c r="F387" s="431"/>
      <c r="G387" s="596"/>
      <c r="H387" s="430"/>
      <c r="J387" s="437"/>
    </row>
    <row r="388" spans="1:10" s="428" customFormat="1" ht="20.399999999999999" customHeight="1">
      <c r="A388" s="1245"/>
      <c r="B388" s="431"/>
      <c r="C388" s="437"/>
      <c r="D388" s="488"/>
      <c r="F388" s="431"/>
      <c r="G388" s="596"/>
      <c r="H388" s="430"/>
      <c r="J388" s="437"/>
    </row>
    <row r="389" spans="1:10" s="428" customFormat="1" ht="20.399999999999999" customHeight="1">
      <c r="A389" s="1245"/>
      <c r="B389" s="431"/>
      <c r="C389" s="437"/>
      <c r="D389" s="488"/>
      <c r="F389" s="431"/>
      <c r="G389" s="596"/>
      <c r="H389" s="430"/>
      <c r="J389" s="437"/>
    </row>
    <row r="390" spans="1:10" s="428" customFormat="1" ht="20.399999999999999" customHeight="1">
      <c r="A390" s="1245"/>
      <c r="B390" s="431"/>
      <c r="C390" s="437"/>
      <c r="D390" s="488"/>
      <c r="F390" s="431"/>
      <c r="G390" s="596"/>
      <c r="H390" s="430"/>
      <c r="J390" s="437"/>
    </row>
    <row r="391" spans="1:10" s="428" customFormat="1" ht="20.399999999999999" customHeight="1">
      <c r="A391" s="1245"/>
      <c r="B391" s="431"/>
      <c r="C391" s="437"/>
      <c r="D391" s="488"/>
      <c r="F391" s="431"/>
      <c r="G391" s="596"/>
      <c r="H391" s="430"/>
      <c r="J391" s="437"/>
    </row>
    <row r="392" spans="1:10" s="428" customFormat="1" ht="20.399999999999999" customHeight="1">
      <c r="A392" s="1245"/>
      <c r="B392" s="431"/>
      <c r="C392" s="437"/>
      <c r="D392" s="488"/>
      <c r="F392" s="431"/>
      <c r="G392" s="596"/>
      <c r="H392" s="430"/>
      <c r="J392" s="437"/>
    </row>
    <row r="393" spans="1:10" s="428" customFormat="1" ht="20.399999999999999" customHeight="1">
      <c r="A393" s="1245"/>
      <c r="B393" s="431"/>
      <c r="C393" s="437"/>
      <c r="D393" s="488"/>
      <c r="F393" s="431"/>
      <c r="G393" s="596"/>
      <c r="H393" s="430"/>
      <c r="J393" s="437"/>
    </row>
    <row r="394" spans="1:10" s="428" customFormat="1" ht="20.399999999999999" customHeight="1">
      <c r="A394" s="1245"/>
      <c r="B394" s="431"/>
      <c r="C394" s="437"/>
      <c r="D394" s="488"/>
      <c r="F394" s="431"/>
      <c r="G394" s="596"/>
      <c r="H394" s="430"/>
      <c r="J394" s="437"/>
    </row>
    <row r="395" spans="1:10" s="428" customFormat="1" ht="20.399999999999999" customHeight="1">
      <c r="A395" s="1245"/>
      <c r="B395" s="431"/>
      <c r="C395" s="437"/>
      <c r="D395" s="488"/>
      <c r="F395" s="431"/>
      <c r="G395" s="596"/>
      <c r="H395" s="430"/>
      <c r="J395" s="437"/>
    </row>
    <row r="396" spans="1:10" s="428" customFormat="1" ht="20.399999999999999" customHeight="1">
      <c r="A396" s="1245"/>
      <c r="B396" s="431"/>
      <c r="C396" s="437"/>
      <c r="D396" s="488"/>
      <c r="F396" s="431"/>
      <c r="G396" s="596"/>
      <c r="H396" s="430"/>
      <c r="J396" s="437"/>
    </row>
    <row r="397" spans="1:10" s="428" customFormat="1" ht="20.399999999999999" customHeight="1">
      <c r="A397" s="1245"/>
      <c r="B397" s="431"/>
      <c r="C397" s="437"/>
      <c r="D397" s="488"/>
      <c r="F397" s="431"/>
      <c r="G397" s="596"/>
      <c r="H397" s="430"/>
      <c r="J397" s="437"/>
    </row>
    <row r="398" spans="1:10" s="428" customFormat="1" ht="20.399999999999999" customHeight="1">
      <c r="A398" s="1245"/>
      <c r="B398" s="431"/>
      <c r="C398" s="437"/>
      <c r="D398" s="488"/>
      <c r="F398" s="431"/>
      <c r="G398" s="596"/>
      <c r="H398" s="430"/>
      <c r="J398" s="437"/>
    </row>
    <row r="399" spans="1:10" s="428" customFormat="1" ht="20.399999999999999" customHeight="1">
      <c r="A399" s="1245"/>
      <c r="B399" s="431"/>
      <c r="C399" s="437"/>
      <c r="D399" s="488"/>
      <c r="F399" s="431"/>
      <c r="G399" s="596"/>
      <c r="H399" s="430"/>
      <c r="J399" s="437"/>
    </row>
    <row r="400" spans="1:10" s="428" customFormat="1" ht="20.399999999999999" customHeight="1">
      <c r="A400" s="1245"/>
      <c r="B400" s="431"/>
      <c r="C400" s="437"/>
      <c r="D400" s="488"/>
      <c r="F400" s="431"/>
      <c r="G400" s="596"/>
      <c r="H400" s="430"/>
      <c r="J400" s="437"/>
    </row>
    <row r="401" spans="1:10" s="428" customFormat="1" ht="20.399999999999999" customHeight="1">
      <c r="A401" s="1245"/>
      <c r="B401" s="431"/>
      <c r="C401" s="437"/>
      <c r="D401" s="488"/>
      <c r="F401" s="431"/>
      <c r="G401" s="596"/>
      <c r="H401" s="430"/>
      <c r="J401" s="437"/>
    </row>
    <row r="402" spans="1:10" s="428" customFormat="1" ht="20.399999999999999" customHeight="1">
      <c r="A402" s="1245"/>
      <c r="B402" s="431"/>
      <c r="C402" s="437"/>
      <c r="D402" s="488"/>
      <c r="F402" s="431"/>
      <c r="G402" s="596"/>
      <c r="H402" s="430"/>
      <c r="J402" s="437"/>
    </row>
    <row r="403" spans="1:10" s="428" customFormat="1" ht="20.399999999999999" customHeight="1">
      <c r="A403" s="1245"/>
      <c r="B403" s="431"/>
      <c r="C403" s="437"/>
      <c r="D403" s="488"/>
      <c r="F403" s="431"/>
      <c r="G403" s="596"/>
      <c r="H403" s="430"/>
      <c r="J403" s="437"/>
    </row>
    <row r="404" spans="1:10" s="428" customFormat="1" ht="20.399999999999999" customHeight="1">
      <c r="A404" s="1245"/>
      <c r="B404" s="431"/>
      <c r="C404" s="437"/>
      <c r="D404" s="488"/>
      <c r="F404" s="431"/>
      <c r="G404" s="596"/>
      <c r="H404" s="430"/>
      <c r="J404" s="437"/>
    </row>
    <row r="405" spans="1:10" s="428" customFormat="1" ht="20.399999999999999" customHeight="1">
      <c r="A405" s="1245"/>
      <c r="B405" s="431"/>
      <c r="C405" s="437"/>
      <c r="D405" s="488"/>
      <c r="F405" s="431"/>
      <c r="G405" s="596"/>
      <c r="H405" s="430"/>
      <c r="J405" s="437"/>
    </row>
    <row r="406" spans="1:10" s="428" customFormat="1" ht="20.399999999999999" customHeight="1">
      <c r="A406" s="1245"/>
      <c r="B406" s="431"/>
      <c r="C406" s="437"/>
      <c r="D406" s="488"/>
      <c r="F406" s="431"/>
      <c r="G406" s="596"/>
      <c r="H406" s="430"/>
      <c r="J406" s="437"/>
    </row>
    <row r="407" spans="1:10" s="428" customFormat="1" ht="20.399999999999999" customHeight="1">
      <c r="A407" s="1245"/>
      <c r="B407" s="431"/>
      <c r="C407" s="437"/>
      <c r="D407" s="488"/>
      <c r="F407" s="431"/>
      <c r="G407" s="596"/>
      <c r="H407" s="430"/>
      <c r="J407" s="437"/>
    </row>
    <row r="408" spans="1:10" s="428" customFormat="1" ht="20.399999999999999" customHeight="1">
      <c r="A408" s="1245"/>
      <c r="B408" s="431"/>
      <c r="C408" s="437"/>
      <c r="D408" s="488"/>
      <c r="F408" s="431"/>
      <c r="G408" s="596"/>
      <c r="H408" s="430"/>
      <c r="J408" s="437"/>
    </row>
    <row r="409" spans="1:10" s="428" customFormat="1" ht="20.399999999999999" customHeight="1">
      <c r="A409" s="1245"/>
      <c r="B409" s="431"/>
      <c r="C409" s="437"/>
      <c r="D409" s="488"/>
      <c r="F409" s="431"/>
      <c r="G409" s="596"/>
      <c r="H409" s="430"/>
      <c r="J409" s="437"/>
    </row>
    <row r="410" spans="1:10" s="428" customFormat="1" ht="20.399999999999999" customHeight="1">
      <c r="A410" s="1245"/>
      <c r="B410" s="431"/>
      <c r="C410" s="437"/>
      <c r="D410" s="488"/>
      <c r="F410" s="431"/>
      <c r="G410" s="596"/>
      <c r="H410" s="430"/>
      <c r="J410" s="437"/>
    </row>
    <row r="411" spans="1:10" s="428" customFormat="1" ht="20.399999999999999" customHeight="1">
      <c r="A411" s="1245"/>
      <c r="B411" s="431"/>
      <c r="C411" s="437"/>
      <c r="D411" s="488"/>
      <c r="F411" s="431"/>
      <c r="G411" s="596"/>
      <c r="H411" s="430"/>
      <c r="J411" s="437"/>
    </row>
    <row r="412" spans="1:10" s="428" customFormat="1" ht="20.399999999999999" customHeight="1">
      <c r="A412" s="1245"/>
      <c r="B412" s="431"/>
      <c r="C412" s="437"/>
      <c r="D412" s="488"/>
      <c r="F412" s="431"/>
      <c r="G412" s="596"/>
      <c r="H412" s="430"/>
      <c r="J412" s="437"/>
    </row>
    <row r="413" spans="1:10" s="428" customFormat="1" ht="20.399999999999999" customHeight="1">
      <c r="A413" s="1245"/>
      <c r="B413" s="431"/>
      <c r="C413" s="437"/>
      <c r="D413" s="488"/>
      <c r="F413" s="431"/>
      <c r="G413" s="596"/>
      <c r="H413" s="430"/>
      <c r="J413" s="437"/>
    </row>
    <row r="414" spans="1:10" s="428" customFormat="1" ht="20.399999999999999" customHeight="1">
      <c r="A414" s="1245"/>
      <c r="B414" s="431"/>
      <c r="C414" s="437"/>
      <c r="D414" s="488"/>
      <c r="F414" s="431"/>
      <c r="G414" s="596"/>
      <c r="H414" s="430"/>
      <c r="J414" s="437"/>
    </row>
    <row r="415" spans="1:10" s="428" customFormat="1" ht="20.399999999999999" customHeight="1">
      <c r="A415" s="1245"/>
      <c r="B415" s="431"/>
      <c r="C415" s="437"/>
      <c r="D415" s="488"/>
      <c r="F415" s="431"/>
      <c r="G415" s="596"/>
      <c r="H415" s="430"/>
      <c r="J415" s="437"/>
    </row>
    <row r="416" spans="1:10" s="428" customFormat="1" ht="20.399999999999999" customHeight="1">
      <c r="A416" s="1245"/>
      <c r="B416" s="431"/>
      <c r="C416" s="437"/>
      <c r="D416" s="488"/>
      <c r="F416" s="431"/>
      <c r="G416" s="596"/>
      <c r="H416" s="430"/>
      <c r="J416" s="437"/>
    </row>
    <row r="417" spans="1:10" s="428" customFormat="1" ht="20.399999999999999" customHeight="1">
      <c r="A417" s="1245"/>
      <c r="B417" s="431"/>
      <c r="C417" s="437"/>
      <c r="D417" s="488"/>
      <c r="F417" s="431"/>
      <c r="G417" s="596"/>
      <c r="H417" s="430"/>
      <c r="J417" s="437"/>
    </row>
    <row r="418" spans="1:10" s="428" customFormat="1" ht="20.399999999999999" customHeight="1">
      <c r="A418" s="1245"/>
      <c r="B418" s="431"/>
      <c r="C418" s="437"/>
      <c r="D418" s="488"/>
      <c r="F418" s="431"/>
      <c r="G418" s="596"/>
      <c r="H418" s="430"/>
      <c r="J418" s="437"/>
    </row>
    <row r="419" spans="1:10" s="428" customFormat="1" ht="20.399999999999999" customHeight="1">
      <c r="A419" s="1245"/>
      <c r="B419" s="431"/>
      <c r="C419" s="437"/>
      <c r="D419" s="488"/>
      <c r="F419" s="431"/>
      <c r="G419" s="596"/>
      <c r="H419" s="430"/>
      <c r="J419" s="437"/>
    </row>
    <row r="420" spans="1:10" s="428" customFormat="1" ht="20.399999999999999" customHeight="1">
      <c r="A420" s="1245"/>
      <c r="B420" s="431"/>
      <c r="C420" s="437"/>
      <c r="D420" s="488"/>
      <c r="F420" s="431"/>
      <c r="G420" s="596"/>
      <c r="H420" s="430"/>
      <c r="J420" s="437"/>
    </row>
    <row r="421" spans="1:10" s="428" customFormat="1" ht="20.399999999999999" customHeight="1">
      <c r="A421" s="1245"/>
      <c r="B421" s="431"/>
      <c r="C421" s="437"/>
      <c r="D421" s="488"/>
      <c r="F421" s="431"/>
      <c r="G421" s="596"/>
      <c r="H421" s="430"/>
      <c r="J421" s="437"/>
    </row>
    <row r="422" spans="1:10" s="428" customFormat="1" ht="20.399999999999999" customHeight="1">
      <c r="A422" s="1245"/>
      <c r="B422" s="431"/>
      <c r="C422" s="437"/>
      <c r="D422" s="488"/>
      <c r="F422" s="431"/>
      <c r="G422" s="596"/>
      <c r="H422" s="430"/>
      <c r="J422" s="437"/>
    </row>
    <row r="423" spans="1:10" s="428" customFormat="1" ht="20.399999999999999" customHeight="1">
      <c r="A423" s="1245"/>
      <c r="B423" s="431"/>
      <c r="C423" s="437"/>
      <c r="D423" s="488"/>
      <c r="F423" s="431"/>
      <c r="G423" s="596"/>
      <c r="H423" s="430"/>
      <c r="J423" s="437"/>
    </row>
    <row r="424" spans="1:10" s="428" customFormat="1" ht="20.399999999999999" customHeight="1">
      <c r="A424" s="1245"/>
      <c r="B424" s="431"/>
      <c r="C424" s="437"/>
      <c r="D424" s="488"/>
      <c r="F424" s="431"/>
      <c r="G424" s="596"/>
      <c r="H424" s="430"/>
      <c r="J424" s="437"/>
    </row>
    <row r="425" spans="1:10" s="428" customFormat="1" ht="20.399999999999999" customHeight="1">
      <c r="A425" s="1245"/>
      <c r="B425" s="431"/>
      <c r="C425" s="437"/>
      <c r="D425" s="488"/>
      <c r="F425" s="431"/>
      <c r="G425" s="596"/>
      <c r="H425" s="430"/>
      <c r="J425" s="437"/>
    </row>
    <row r="426" spans="1:10" s="428" customFormat="1" ht="20.399999999999999" customHeight="1">
      <c r="A426" s="1245"/>
      <c r="B426" s="431"/>
      <c r="C426" s="437"/>
      <c r="D426" s="488"/>
      <c r="F426" s="431"/>
      <c r="G426" s="596"/>
      <c r="H426" s="430"/>
      <c r="J426" s="437"/>
    </row>
    <row r="427" spans="1:10" s="428" customFormat="1" ht="20.399999999999999" customHeight="1">
      <c r="A427" s="1245"/>
      <c r="B427" s="431"/>
      <c r="C427" s="437"/>
      <c r="D427" s="488"/>
      <c r="F427" s="431"/>
      <c r="G427" s="596"/>
      <c r="H427" s="430"/>
      <c r="J427" s="437"/>
    </row>
    <row r="428" spans="1:10" s="428" customFormat="1" ht="20.399999999999999" customHeight="1">
      <c r="A428" s="1245"/>
      <c r="B428" s="431"/>
      <c r="C428" s="437"/>
      <c r="D428" s="488"/>
      <c r="F428" s="431"/>
      <c r="G428" s="596"/>
      <c r="H428" s="430"/>
      <c r="J428" s="437"/>
    </row>
    <row r="429" spans="1:10" s="428" customFormat="1" ht="20.399999999999999" customHeight="1">
      <c r="A429" s="1245"/>
      <c r="B429" s="431"/>
      <c r="C429" s="437"/>
      <c r="D429" s="488"/>
      <c r="F429" s="431"/>
      <c r="G429" s="596"/>
      <c r="H429" s="430"/>
      <c r="J429" s="437"/>
    </row>
    <row r="430" spans="1:10" s="428" customFormat="1" ht="20.399999999999999" customHeight="1">
      <c r="A430" s="1245"/>
      <c r="B430" s="431"/>
      <c r="C430" s="437"/>
      <c r="D430" s="488"/>
      <c r="F430" s="431"/>
      <c r="G430" s="596"/>
      <c r="H430" s="430"/>
      <c r="J430" s="437"/>
    </row>
    <row r="431" spans="1:10" s="428" customFormat="1" ht="20.399999999999999" customHeight="1">
      <c r="A431" s="1245"/>
      <c r="B431" s="431"/>
      <c r="C431" s="437"/>
      <c r="D431" s="488"/>
      <c r="F431" s="431"/>
      <c r="G431" s="596"/>
      <c r="H431" s="430"/>
      <c r="J431" s="437"/>
    </row>
    <row r="432" spans="1:10" s="428" customFormat="1" ht="20.399999999999999" customHeight="1">
      <c r="A432" s="1245"/>
      <c r="B432" s="431"/>
      <c r="C432" s="437"/>
      <c r="D432" s="488"/>
      <c r="F432" s="431"/>
      <c r="G432" s="596"/>
      <c r="H432" s="430"/>
      <c r="J432" s="437"/>
    </row>
    <row r="433" spans="1:10" s="428" customFormat="1" ht="20.399999999999999" customHeight="1">
      <c r="A433" s="1245"/>
      <c r="B433" s="431"/>
      <c r="C433" s="437"/>
      <c r="D433" s="488"/>
      <c r="F433" s="431"/>
      <c r="G433" s="596"/>
      <c r="H433" s="430"/>
      <c r="J433" s="437"/>
    </row>
    <row r="434" spans="1:10" s="428" customFormat="1" ht="20.399999999999999" customHeight="1">
      <c r="A434" s="1245"/>
      <c r="B434" s="431"/>
      <c r="C434" s="437"/>
      <c r="D434" s="488"/>
      <c r="F434" s="431"/>
      <c r="G434" s="596"/>
      <c r="H434" s="430"/>
      <c r="J434" s="437"/>
    </row>
    <row r="435" spans="1:10" s="428" customFormat="1" ht="20.399999999999999" customHeight="1">
      <c r="A435" s="1245"/>
      <c r="B435" s="431"/>
      <c r="C435" s="437"/>
      <c r="D435" s="488"/>
      <c r="F435" s="431"/>
      <c r="G435" s="596"/>
      <c r="H435" s="430"/>
      <c r="J435" s="437"/>
    </row>
    <row r="436" spans="1:10" s="428" customFormat="1" ht="20.399999999999999" customHeight="1">
      <c r="A436" s="1245"/>
      <c r="B436" s="431"/>
      <c r="C436" s="437"/>
      <c r="D436" s="488"/>
      <c r="F436" s="431"/>
      <c r="G436" s="596"/>
      <c r="H436" s="430"/>
      <c r="J436" s="437"/>
    </row>
    <row r="437" spans="1:10" s="428" customFormat="1" ht="20.399999999999999" customHeight="1">
      <c r="A437" s="1245"/>
      <c r="B437" s="431"/>
      <c r="C437" s="437"/>
      <c r="D437" s="488"/>
      <c r="F437" s="431"/>
      <c r="G437" s="596"/>
      <c r="H437" s="430"/>
      <c r="J437" s="437"/>
    </row>
    <row r="438" spans="1:10" s="428" customFormat="1" ht="20.399999999999999" customHeight="1">
      <c r="A438" s="1245"/>
      <c r="B438" s="431"/>
      <c r="C438" s="437"/>
      <c r="D438" s="488"/>
      <c r="F438" s="431"/>
      <c r="G438" s="596"/>
      <c r="H438" s="430"/>
      <c r="J438" s="437"/>
    </row>
    <row r="439" spans="1:10" s="428" customFormat="1" ht="20.399999999999999" customHeight="1">
      <c r="A439" s="1245"/>
      <c r="B439" s="431"/>
      <c r="C439" s="437"/>
      <c r="D439" s="488"/>
      <c r="F439" s="431"/>
      <c r="G439" s="596"/>
      <c r="H439" s="430"/>
      <c r="J439" s="437"/>
    </row>
    <row r="440" spans="1:10" s="428" customFormat="1" ht="20.399999999999999" customHeight="1">
      <c r="A440" s="1245"/>
      <c r="B440" s="431"/>
      <c r="C440" s="437"/>
      <c r="D440" s="488"/>
      <c r="F440" s="431"/>
      <c r="G440" s="596"/>
      <c r="H440" s="430"/>
      <c r="J440" s="437"/>
    </row>
    <row r="441" spans="1:10" s="428" customFormat="1" ht="20.399999999999999" customHeight="1">
      <c r="A441" s="1245"/>
      <c r="B441" s="431"/>
      <c r="C441" s="437"/>
      <c r="D441" s="488"/>
      <c r="F441" s="431"/>
      <c r="G441" s="596"/>
      <c r="H441" s="430"/>
      <c r="J441" s="437"/>
    </row>
    <row r="442" spans="1:10" s="428" customFormat="1" ht="20.399999999999999" customHeight="1">
      <c r="A442" s="1245"/>
      <c r="B442" s="431"/>
      <c r="C442" s="437"/>
      <c r="D442" s="488"/>
      <c r="F442" s="431"/>
      <c r="G442" s="596"/>
      <c r="H442" s="430"/>
      <c r="J442" s="437"/>
    </row>
    <row r="443" spans="1:10" s="428" customFormat="1" ht="20.399999999999999" customHeight="1">
      <c r="A443" s="1245"/>
      <c r="B443" s="431"/>
      <c r="C443" s="437"/>
      <c r="D443" s="488"/>
      <c r="F443" s="431"/>
      <c r="G443" s="596"/>
      <c r="H443" s="430"/>
      <c r="J443" s="437"/>
    </row>
    <row r="444" spans="1:10" s="428" customFormat="1" ht="20.399999999999999" customHeight="1">
      <c r="A444" s="1245"/>
      <c r="B444" s="431"/>
      <c r="C444" s="437"/>
      <c r="D444" s="488"/>
      <c r="F444" s="431"/>
      <c r="G444" s="596"/>
      <c r="H444" s="430"/>
      <c r="J444" s="437"/>
    </row>
    <row r="445" spans="1:10" s="428" customFormat="1" ht="20.399999999999999" customHeight="1">
      <c r="A445" s="1245"/>
      <c r="B445" s="431"/>
      <c r="C445" s="437"/>
      <c r="D445" s="488"/>
      <c r="F445" s="431"/>
      <c r="G445" s="596"/>
      <c r="H445" s="430"/>
      <c r="J445" s="437"/>
    </row>
    <row r="446" spans="1:10" s="428" customFormat="1" ht="20.399999999999999" customHeight="1">
      <c r="A446" s="1245"/>
      <c r="B446" s="431"/>
      <c r="C446" s="437"/>
      <c r="D446" s="488"/>
      <c r="F446" s="431"/>
      <c r="G446" s="596"/>
      <c r="H446" s="430"/>
      <c r="J446" s="437"/>
    </row>
    <row r="447" spans="1:10" s="428" customFormat="1" ht="20.399999999999999" customHeight="1">
      <c r="A447" s="1245"/>
      <c r="B447" s="431"/>
      <c r="C447" s="437"/>
      <c r="D447" s="488"/>
      <c r="F447" s="431"/>
      <c r="G447" s="596"/>
      <c r="H447" s="430"/>
      <c r="J447" s="437"/>
    </row>
    <row r="448" spans="1:10" s="428" customFormat="1" ht="20.399999999999999" customHeight="1">
      <c r="A448" s="1245"/>
      <c r="B448" s="431"/>
      <c r="C448" s="437"/>
      <c r="D448" s="488"/>
      <c r="F448" s="431"/>
      <c r="G448" s="596"/>
      <c r="H448" s="430"/>
      <c r="J448" s="437"/>
    </row>
    <row r="449" spans="1:10" s="428" customFormat="1" ht="20.399999999999999" customHeight="1">
      <c r="A449" s="1245"/>
      <c r="B449" s="431"/>
      <c r="C449" s="437"/>
      <c r="D449" s="488"/>
      <c r="F449" s="431"/>
      <c r="G449" s="596"/>
      <c r="H449" s="430"/>
      <c r="J449" s="437"/>
    </row>
    <row r="450" spans="1:10" s="428" customFormat="1" ht="20.399999999999999" customHeight="1">
      <c r="A450" s="1245"/>
      <c r="B450" s="431"/>
      <c r="C450" s="437"/>
      <c r="D450" s="488"/>
      <c r="F450" s="431"/>
      <c r="G450" s="596"/>
      <c r="H450" s="430"/>
      <c r="J450" s="437"/>
    </row>
    <row r="451" spans="1:10" s="428" customFormat="1" ht="20.399999999999999" customHeight="1">
      <c r="A451" s="1245"/>
      <c r="B451" s="431"/>
      <c r="C451" s="437"/>
      <c r="D451" s="488"/>
      <c r="F451" s="431"/>
      <c r="G451" s="596"/>
      <c r="H451" s="430"/>
      <c r="J451" s="437"/>
    </row>
    <row r="452" spans="1:10" s="428" customFormat="1" ht="20.399999999999999" customHeight="1">
      <c r="A452" s="1245"/>
      <c r="B452" s="431"/>
      <c r="C452" s="437"/>
      <c r="D452" s="488"/>
      <c r="F452" s="431"/>
      <c r="G452" s="596"/>
      <c r="H452" s="430"/>
      <c r="J452" s="437"/>
    </row>
    <row r="453" spans="1:10" s="428" customFormat="1" ht="20.399999999999999" customHeight="1">
      <c r="A453" s="1245"/>
      <c r="B453" s="431"/>
      <c r="C453" s="437"/>
      <c r="D453" s="488"/>
      <c r="F453" s="431"/>
      <c r="G453" s="596"/>
      <c r="H453" s="430"/>
      <c r="J453" s="437"/>
    </row>
    <row r="454" spans="1:10" s="428" customFormat="1" ht="20.399999999999999" customHeight="1">
      <c r="A454" s="1245"/>
      <c r="B454" s="431"/>
      <c r="C454" s="437"/>
      <c r="D454" s="488"/>
      <c r="F454" s="431"/>
      <c r="G454" s="596"/>
      <c r="H454" s="430"/>
      <c r="J454" s="437"/>
    </row>
    <row r="455" spans="1:10" s="428" customFormat="1" ht="20.399999999999999" customHeight="1">
      <c r="A455" s="1245"/>
      <c r="B455" s="431"/>
      <c r="C455" s="437"/>
      <c r="D455" s="488"/>
      <c r="F455" s="431"/>
      <c r="G455" s="596"/>
      <c r="H455" s="430"/>
      <c r="J455" s="437"/>
    </row>
    <row r="456" spans="1:10" s="428" customFormat="1" ht="20.399999999999999" customHeight="1">
      <c r="A456" s="1245"/>
      <c r="B456" s="431"/>
      <c r="C456" s="437"/>
      <c r="D456" s="488"/>
      <c r="F456" s="431"/>
      <c r="G456" s="596"/>
      <c r="H456" s="430"/>
      <c r="J456" s="437"/>
    </row>
    <row r="457" spans="1:10" s="428" customFormat="1" ht="20.399999999999999" customHeight="1">
      <c r="A457" s="1245"/>
      <c r="B457" s="431"/>
      <c r="C457" s="437"/>
      <c r="D457" s="488"/>
      <c r="F457" s="431"/>
      <c r="G457" s="596"/>
      <c r="H457" s="430"/>
      <c r="J457" s="437"/>
    </row>
    <row r="458" spans="1:10" s="428" customFormat="1" ht="20.399999999999999" customHeight="1">
      <c r="A458" s="1245"/>
      <c r="B458" s="431"/>
      <c r="C458" s="437"/>
      <c r="D458" s="488"/>
      <c r="F458" s="431"/>
      <c r="G458" s="596"/>
      <c r="H458" s="430"/>
      <c r="J458" s="437"/>
    </row>
    <row r="459" spans="1:10" s="428" customFormat="1" ht="20.399999999999999" customHeight="1">
      <c r="A459" s="1245"/>
      <c r="B459" s="431"/>
      <c r="C459" s="437"/>
      <c r="D459" s="488"/>
      <c r="F459" s="431"/>
      <c r="G459" s="596"/>
      <c r="H459" s="430"/>
      <c r="J459" s="437"/>
    </row>
    <row r="460" spans="1:10" s="428" customFormat="1" ht="20.399999999999999" customHeight="1">
      <c r="A460" s="1245"/>
      <c r="B460" s="431"/>
      <c r="C460" s="437"/>
      <c r="D460" s="488"/>
      <c r="F460" s="431"/>
      <c r="G460" s="596"/>
      <c r="H460" s="430"/>
      <c r="J460" s="437"/>
    </row>
    <row r="461" spans="1:10" s="428" customFormat="1" ht="20.399999999999999" customHeight="1">
      <c r="A461" s="1245"/>
      <c r="B461" s="431"/>
      <c r="C461" s="437"/>
      <c r="D461" s="488"/>
      <c r="F461" s="431"/>
      <c r="G461" s="596"/>
      <c r="H461" s="430"/>
      <c r="J461" s="437"/>
    </row>
    <row r="462" spans="1:10" s="428" customFormat="1" ht="20.399999999999999" customHeight="1">
      <c r="A462" s="1245"/>
      <c r="B462" s="431"/>
      <c r="C462" s="437"/>
      <c r="D462" s="488"/>
      <c r="F462" s="431"/>
      <c r="G462" s="596"/>
      <c r="H462" s="430"/>
      <c r="J462" s="437"/>
    </row>
    <row r="463" spans="1:10" s="428" customFormat="1" ht="20.399999999999999" customHeight="1">
      <c r="A463" s="1245"/>
      <c r="B463" s="431"/>
      <c r="C463" s="437"/>
      <c r="D463" s="488"/>
      <c r="F463" s="431"/>
      <c r="G463" s="596"/>
      <c r="H463" s="430"/>
      <c r="J463" s="437"/>
    </row>
    <row r="464" spans="1:10" s="428" customFormat="1" ht="20.399999999999999" customHeight="1">
      <c r="A464" s="1245"/>
      <c r="B464" s="431"/>
      <c r="C464" s="437"/>
      <c r="D464" s="488"/>
      <c r="F464" s="431"/>
      <c r="G464" s="596"/>
      <c r="H464" s="430"/>
      <c r="J464" s="437"/>
    </row>
    <row r="465" spans="1:10" s="428" customFormat="1" ht="20.399999999999999" customHeight="1">
      <c r="A465" s="1245"/>
      <c r="B465" s="431"/>
      <c r="C465" s="437"/>
      <c r="D465" s="488"/>
      <c r="F465" s="431"/>
      <c r="G465" s="596"/>
      <c r="H465" s="430"/>
      <c r="J465" s="437"/>
    </row>
    <row r="466" spans="1:10" s="428" customFormat="1" ht="20.399999999999999" customHeight="1">
      <c r="A466" s="1245"/>
      <c r="B466" s="431"/>
      <c r="C466" s="437"/>
      <c r="D466" s="488"/>
      <c r="F466" s="431"/>
      <c r="G466" s="596"/>
      <c r="H466" s="430"/>
      <c r="J466" s="437"/>
    </row>
    <row r="467" spans="1:10" s="428" customFormat="1" ht="20.399999999999999" customHeight="1">
      <c r="A467" s="1245"/>
      <c r="B467" s="431"/>
      <c r="C467" s="437"/>
      <c r="D467" s="488"/>
      <c r="F467" s="431"/>
      <c r="G467" s="596"/>
      <c r="H467" s="430"/>
      <c r="J467" s="437"/>
    </row>
    <row r="468" spans="1:10" s="428" customFormat="1" ht="20.399999999999999" customHeight="1">
      <c r="A468" s="1245"/>
      <c r="B468" s="431"/>
      <c r="C468" s="437"/>
      <c r="D468" s="488"/>
      <c r="F468" s="431"/>
      <c r="G468" s="596"/>
      <c r="H468" s="430"/>
      <c r="J468" s="437"/>
    </row>
    <row r="469" spans="1:10" s="428" customFormat="1" ht="20.399999999999999" customHeight="1">
      <c r="A469" s="1245"/>
      <c r="B469" s="431"/>
      <c r="C469" s="437"/>
      <c r="D469" s="488"/>
      <c r="F469" s="431"/>
      <c r="G469" s="596"/>
      <c r="H469" s="430"/>
      <c r="J469" s="437"/>
    </row>
    <row r="470" spans="1:10" s="428" customFormat="1" ht="20.399999999999999" customHeight="1">
      <c r="A470" s="1245"/>
      <c r="B470" s="431"/>
      <c r="C470" s="437"/>
      <c r="D470" s="488"/>
      <c r="F470" s="431"/>
      <c r="G470" s="596"/>
      <c r="H470" s="430"/>
      <c r="J470" s="437"/>
    </row>
    <row r="471" spans="1:10" s="428" customFormat="1" ht="20.399999999999999" customHeight="1">
      <c r="A471" s="1245"/>
      <c r="B471" s="431"/>
      <c r="C471" s="437"/>
      <c r="D471" s="488"/>
      <c r="F471" s="431"/>
      <c r="G471" s="596"/>
      <c r="H471" s="430"/>
      <c r="J471" s="437"/>
    </row>
    <row r="472" spans="1:10" s="428" customFormat="1" ht="20.399999999999999" customHeight="1">
      <c r="A472" s="1245"/>
      <c r="B472" s="431"/>
      <c r="C472" s="437"/>
      <c r="D472" s="488"/>
      <c r="F472" s="431"/>
      <c r="G472" s="596"/>
      <c r="H472" s="430"/>
      <c r="J472" s="437"/>
    </row>
    <row r="473" spans="1:10" s="428" customFormat="1" ht="20.399999999999999" customHeight="1">
      <c r="A473" s="1245"/>
      <c r="B473" s="431"/>
      <c r="C473" s="437"/>
      <c r="D473" s="488"/>
      <c r="F473" s="431"/>
      <c r="G473" s="596"/>
      <c r="H473" s="430"/>
      <c r="J473" s="437"/>
    </row>
    <row r="474" spans="1:10" s="428" customFormat="1" ht="20.399999999999999" customHeight="1">
      <c r="A474" s="1245"/>
      <c r="B474" s="431"/>
      <c r="C474" s="437"/>
      <c r="D474" s="488"/>
      <c r="F474" s="431"/>
      <c r="G474" s="596"/>
      <c r="H474" s="430"/>
      <c r="J474" s="437"/>
    </row>
    <row r="475" spans="1:10" s="428" customFormat="1" ht="20.399999999999999" customHeight="1">
      <c r="A475" s="1245"/>
      <c r="B475" s="431"/>
      <c r="C475" s="437"/>
      <c r="D475" s="488"/>
      <c r="F475" s="431"/>
      <c r="G475" s="596"/>
      <c r="H475" s="430"/>
      <c r="J475" s="437"/>
    </row>
    <row r="476" spans="1:10" s="428" customFormat="1" ht="20.399999999999999" customHeight="1">
      <c r="A476" s="1245"/>
      <c r="B476" s="431"/>
      <c r="C476" s="437"/>
      <c r="D476" s="488"/>
      <c r="F476" s="431"/>
      <c r="G476" s="596"/>
      <c r="H476" s="430"/>
      <c r="J476" s="437"/>
    </row>
    <row r="477" spans="1:10" s="428" customFormat="1" ht="20.399999999999999" customHeight="1">
      <c r="A477" s="1245"/>
      <c r="B477" s="431"/>
      <c r="C477" s="437"/>
      <c r="D477" s="488"/>
      <c r="F477" s="431"/>
      <c r="G477" s="596"/>
      <c r="H477" s="430"/>
      <c r="J477" s="437"/>
    </row>
    <row r="478" spans="1:10" s="428" customFormat="1" ht="20.399999999999999" customHeight="1">
      <c r="A478" s="1245"/>
      <c r="B478" s="431"/>
      <c r="C478" s="437"/>
      <c r="D478" s="488"/>
      <c r="F478" s="431"/>
      <c r="G478" s="596"/>
      <c r="H478" s="430"/>
      <c r="J478" s="437"/>
    </row>
    <row r="479" spans="1:10" s="428" customFormat="1" ht="20.399999999999999" customHeight="1">
      <c r="A479" s="1245"/>
      <c r="B479" s="431"/>
      <c r="C479" s="437"/>
      <c r="D479" s="488"/>
      <c r="F479" s="431"/>
      <c r="G479" s="596"/>
      <c r="H479" s="430"/>
      <c r="J479" s="437"/>
    </row>
    <row r="480" spans="1:10" s="428" customFormat="1" ht="20.399999999999999" customHeight="1">
      <c r="A480" s="1245"/>
      <c r="B480" s="431"/>
      <c r="C480" s="437"/>
      <c r="D480" s="488"/>
      <c r="F480" s="431"/>
      <c r="G480" s="596"/>
      <c r="H480" s="430"/>
      <c r="J480" s="437"/>
    </row>
    <row r="481" spans="1:10" s="428" customFormat="1" ht="20.399999999999999" customHeight="1">
      <c r="A481" s="1245"/>
      <c r="B481" s="431"/>
      <c r="C481" s="437"/>
      <c r="D481" s="488"/>
      <c r="F481" s="431"/>
      <c r="G481" s="596"/>
      <c r="H481" s="430"/>
      <c r="J481" s="437"/>
    </row>
    <row r="482" spans="1:10" s="428" customFormat="1" ht="20.399999999999999" customHeight="1">
      <c r="A482" s="1245"/>
      <c r="B482" s="431"/>
      <c r="C482" s="437"/>
      <c r="D482" s="488"/>
      <c r="F482" s="431"/>
      <c r="G482" s="596"/>
      <c r="H482" s="430"/>
      <c r="J482" s="437"/>
    </row>
    <row r="483" spans="1:10" s="428" customFormat="1" ht="20.399999999999999" customHeight="1">
      <c r="A483" s="1245"/>
      <c r="B483" s="431"/>
      <c r="C483" s="437"/>
      <c r="D483" s="488"/>
      <c r="F483" s="431"/>
      <c r="G483" s="596"/>
      <c r="H483" s="430"/>
      <c r="J483" s="437"/>
    </row>
    <row r="484" spans="1:10" s="428" customFormat="1" ht="20.399999999999999" customHeight="1">
      <c r="A484" s="1245"/>
      <c r="B484" s="431"/>
      <c r="C484" s="437"/>
      <c r="D484" s="488"/>
      <c r="F484" s="431"/>
      <c r="G484" s="596"/>
      <c r="H484" s="430"/>
      <c r="J484" s="437"/>
    </row>
    <row r="485" spans="1:10" s="428" customFormat="1" ht="20.399999999999999" customHeight="1">
      <c r="A485" s="1245"/>
      <c r="B485" s="431"/>
      <c r="C485" s="437"/>
      <c r="D485" s="488"/>
      <c r="F485" s="431"/>
      <c r="G485" s="596"/>
      <c r="H485" s="430"/>
      <c r="J485" s="437"/>
    </row>
    <row r="486" spans="1:10" s="428" customFormat="1" ht="20.399999999999999" customHeight="1">
      <c r="A486" s="1245"/>
      <c r="B486" s="431"/>
      <c r="C486" s="437"/>
      <c r="D486" s="488"/>
      <c r="F486" s="431"/>
      <c r="G486" s="596"/>
      <c r="H486" s="430"/>
      <c r="J486" s="437"/>
    </row>
    <row r="487" spans="1:10" s="428" customFormat="1" ht="20.399999999999999" customHeight="1">
      <c r="A487" s="1245"/>
      <c r="B487" s="431"/>
      <c r="C487" s="437"/>
      <c r="D487" s="488"/>
      <c r="F487" s="431"/>
      <c r="G487" s="596"/>
      <c r="H487" s="430"/>
      <c r="J487" s="437"/>
    </row>
    <row r="488" spans="1:10" s="428" customFormat="1" ht="20.399999999999999" customHeight="1">
      <c r="A488" s="1245"/>
      <c r="B488" s="431"/>
      <c r="C488" s="437"/>
      <c r="D488" s="488"/>
      <c r="F488" s="431"/>
      <c r="G488" s="596"/>
      <c r="H488" s="430"/>
      <c r="J488" s="437"/>
    </row>
    <row r="489" spans="1:10" s="428" customFormat="1" ht="20.399999999999999" customHeight="1">
      <c r="A489" s="1245"/>
      <c r="B489" s="431"/>
      <c r="C489" s="437"/>
      <c r="D489" s="488"/>
      <c r="F489" s="431"/>
      <c r="G489" s="596"/>
      <c r="H489" s="430"/>
      <c r="J489" s="437"/>
    </row>
    <row r="490" spans="1:10" s="428" customFormat="1" ht="20.399999999999999" customHeight="1">
      <c r="A490" s="1245"/>
      <c r="B490" s="431"/>
      <c r="C490" s="437"/>
      <c r="D490" s="488"/>
      <c r="F490" s="431"/>
      <c r="G490" s="596"/>
      <c r="H490" s="430"/>
      <c r="J490" s="437"/>
    </row>
    <row r="491" spans="1:10" s="428" customFormat="1" ht="20.399999999999999" customHeight="1">
      <c r="A491" s="1245"/>
      <c r="B491" s="431"/>
      <c r="C491" s="437"/>
      <c r="D491" s="488"/>
      <c r="F491" s="431"/>
      <c r="G491" s="596"/>
      <c r="H491" s="430"/>
      <c r="J491" s="437"/>
    </row>
    <row r="492" spans="1:10" s="428" customFormat="1" ht="20.399999999999999" customHeight="1">
      <c r="A492" s="1245"/>
      <c r="B492" s="431"/>
      <c r="C492" s="437"/>
      <c r="D492" s="488"/>
      <c r="F492" s="431"/>
      <c r="G492" s="596"/>
      <c r="H492" s="430"/>
      <c r="J492" s="437"/>
    </row>
    <row r="493" spans="1:10" s="428" customFormat="1" ht="20.399999999999999" customHeight="1">
      <c r="A493" s="1245"/>
      <c r="B493" s="431"/>
      <c r="C493" s="437"/>
      <c r="D493" s="488"/>
      <c r="F493" s="431"/>
      <c r="G493" s="596"/>
      <c r="H493" s="430"/>
      <c r="J493" s="437"/>
    </row>
    <row r="494" spans="1:10" s="428" customFormat="1" ht="20.399999999999999" customHeight="1">
      <c r="A494" s="1245"/>
      <c r="B494" s="431"/>
      <c r="C494" s="437"/>
      <c r="D494" s="488"/>
      <c r="F494" s="431"/>
      <c r="G494" s="596"/>
      <c r="H494" s="430"/>
      <c r="J494" s="437"/>
    </row>
    <row r="495" spans="1:10" s="428" customFormat="1" ht="20.399999999999999" customHeight="1">
      <c r="A495" s="1245"/>
      <c r="B495" s="431"/>
      <c r="C495" s="437"/>
      <c r="D495" s="488"/>
      <c r="F495" s="431"/>
      <c r="G495" s="596"/>
      <c r="H495" s="430"/>
      <c r="J495" s="437"/>
    </row>
    <row r="496" spans="1:10" s="428" customFormat="1" ht="20.399999999999999" customHeight="1">
      <c r="A496" s="1245"/>
      <c r="B496" s="431"/>
      <c r="C496" s="437"/>
      <c r="D496" s="488"/>
      <c r="F496" s="431"/>
      <c r="G496" s="596"/>
      <c r="H496" s="430"/>
      <c r="J496" s="437"/>
    </row>
    <row r="497" spans="1:10" s="428" customFormat="1" ht="20.399999999999999" customHeight="1">
      <c r="A497" s="1245"/>
      <c r="B497" s="431"/>
      <c r="C497" s="437"/>
      <c r="D497" s="488"/>
      <c r="F497" s="431"/>
      <c r="G497" s="596"/>
      <c r="H497" s="430"/>
      <c r="J497" s="437"/>
    </row>
    <row r="498" spans="1:10" s="428" customFormat="1" ht="20.399999999999999" customHeight="1">
      <c r="A498" s="1245"/>
      <c r="B498" s="431"/>
      <c r="C498" s="437"/>
      <c r="D498" s="488"/>
      <c r="F498" s="431"/>
      <c r="G498" s="596"/>
      <c r="H498" s="430"/>
      <c r="J498" s="437"/>
    </row>
    <row r="499" spans="1:10" s="428" customFormat="1" ht="20.399999999999999" customHeight="1">
      <c r="A499" s="1245"/>
      <c r="B499" s="431"/>
      <c r="C499" s="437"/>
      <c r="D499" s="488"/>
      <c r="F499" s="431"/>
      <c r="G499" s="596"/>
      <c r="H499" s="430"/>
      <c r="J499" s="437"/>
    </row>
    <row r="500" spans="1:10" s="428" customFormat="1" ht="20.399999999999999" customHeight="1">
      <c r="A500" s="1245"/>
      <c r="B500" s="431"/>
      <c r="C500" s="437"/>
      <c r="D500" s="488"/>
      <c r="F500" s="431"/>
      <c r="G500" s="596"/>
      <c r="H500" s="430"/>
      <c r="J500" s="437"/>
    </row>
    <row r="501" spans="1:10" s="428" customFormat="1" ht="20.399999999999999" customHeight="1">
      <c r="A501" s="1245"/>
      <c r="B501" s="431"/>
      <c r="C501" s="437"/>
      <c r="D501" s="488"/>
      <c r="F501" s="431"/>
      <c r="G501" s="596"/>
      <c r="H501" s="430"/>
      <c r="J501" s="437"/>
    </row>
    <row r="502" spans="1:10" s="428" customFormat="1" ht="20.399999999999999" customHeight="1">
      <c r="A502" s="1245"/>
      <c r="B502" s="431"/>
      <c r="C502" s="437"/>
      <c r="D502" s="488"/>
      <c r="F502" s="431"/>
      <c r="G502" s="596"/>
      <c r="H502" s="430"/>
      <c r="J502" s="437"/>
    </row>
    <row r="503" spans="1:10" s="428" customFormat="1" ht="20.399999999999999" customHeight="1">
      <c r="A503" s="1245"/>
      <c r="B503" s="431"/>
      <c r="C503" s="437"/>
      <c r="D503" s="488"/>
      <c r="F503" s="431"/>
      <c r="G503" s="596"/>
      <c r="H503" s="430"/>
      <c r="J503" s="437"/>
    </row>
    <row r="504" spans="1:10" s="428" customFormat="1" ht="20.399999999999999" customHeight="1">
      <c r="A504" s="1245"/>
      <c r="B504" s="431"/>
      <c r="C504" s="437"/>
      <c r="D504" s="488"/>
      <c r="F504" s="431"/>
      <c r="G504" s="596"/>
      <c r="H504" s="430"/>
      <c r="J504" s="437"/>
    </row>
    <row r="505" spans="1:10" s="428" customFormat="1" ht="20.399999999999999" customHeight="1">
      <c r="A505" s="1245"/>
      <c r="B505" s="431"/>
      <c r="C505" s="437"/>
      <c r="D505" s="488"/>
      <c r="F505" s="431"/>
      <c r="G505" s="596"/>
      <c r="H505" s="430"/>
      <c r="J505" s="437"/>
    </row>
    <row r="506" spans="1:10" s="428" customFormat="1" ht="20.399999999999999" customHeight="1">
      <c r="A506" s="1245"/>
      <c r="B506" s="431"/>
      <c r="C506" s="437"/>
      <c r="D506" s="488"/>
      <c r="F506" s="431"/>
      <c r="G506" s="596"/>
      <c r="H506" s="430"/>
      <c r="J506" s="437"/>
    </row>
    <row r="507" spans="1:10" s="428" customFormat="1" ht="20.399999999999999" customHeight="1">
      <c r="A507" s="1245"/>
      <c r="B507" s="431"/>
      <c r="C507" s="437"/>
      <c r="D507" s="488"/>
      <c r="F507" s="431"/>
      <c r="G507" s="596"/>
      <c r="H507" s="430"/>
      <c r="J507" s="437"/>
    </row>
    <row r="508" spans="1:10" s="428" customFormat="1" ht="20.399999999999999" customHeight="1">
      <c r="A508" s="1245"/>
      <c r="B508" s="431"/>
      <c r="C508" s="437"/>
      <c r="D508" s="488"/>
      <c r="F508" s="431"/>
      <c r="G508" s="596"/>
      <c r="H508" s="430"/>
      <c r="J508" s="437"/>
    </row>
    <row r="509" spans="1:10" s="428" customFormat="1" ht="20.399999999999999" customHeight="1">
      <c r="A509" s="1245"/>
      <c r="B509" s="431"/>
      <c r="C509" s="437"/>
      <c r="D509" s="488"/>
      <c r="F509" s="431"/>
      <c r="G509" s="596"/>
      <c r="H509" s="430"/>
      <c r="J509" s="437"/>
    </row>
    <row r="510" spans="1:10" s="428" customFormat="1" ht="20.399999999999999" customHeight="1">
      <c r="A510" s="1245"/>
      <c r="B510" s="431"/>
      <c r="C510" s="437"/>
      <c r="D510" s="488"/>
      <c r="F510" s="431"/>
      <c r="G510" s="596"/>
      <c r="H510" s="430"/>
      <c r="J510" s="437"/>
    </row>
    <row r="511" spans="1:10" s="428" customFormat="1" ht="20.399999999999999" customHeight="1">
      <c r="A511" s="1245"/>
      <c r="B511" s="431"/>
      <c r="C511" s="437"/>
      <c r="D511" s="488"/>
      <c r="F511" s="431"/>
      <c r="G511" s="596"/>
      <c r="H511" s="430"/>
      <c r="J511" s="437"/>
    </row>
    <row r="512" spans="1:10" s="428" customFormat="1" ht="20.399999999999999" customHeight="1">
      <c r="A512" s="1245"/>
      <c r="B512" s="431"/>
      <c r="C512" s="437"/>
      <c r="D512" s="488"/>
      <c r="F512" s="431"/>
      <c r="G512" s="596"/>
      <c r="H512" s="430"/>
      <c r="J512" s="437"/>
    </row>
    <row r="513" spans="1:10" s="428" customFormat="1" ht="20.399999999999999" customHeight="1">
      <c r="A513" s="1245"/>
      <c r="B513" s="431"/>
      <c r="C513" s="437"/>
      <c r="D513" s="488"/>
      <c r="F513" s="431"/>
      <c r="G513" s="596"/>
      <c r="H513" s="430"/>
      <c r="J513" s="437"/>
    </row>
    <row r="514" spans="1:10" s="428" customFormat="1" ht="20.399999999999999" customHeight="1">
      <c r="A514" s="1245"/>
      <c r="B514" s="431"/>
      <c r="C514" s="437"/>
      <c r="D514" s="488"/>
      <c r="F514" s="431"/>
      <c r="G514" s="596"/>
      <c r="H514" s="430"/>
      <c r="J514" s="437"/>
    </row>
    <row r="515" spans="1:10" s="428" customFormat="1" ht="20.399999999999999" customHeight="1">
      <c r="A515" s="1245"/>
      <c r="B515" s="431"/>
      <c r="C515" s="437"/>
      <c r="D515" s="488"/>
      <c r="F515" s="431"/>
      <c r="G515" s="596"/>
      <c r="H515" s="430"/>
      <c r="J515" s="437"/>
    </row>
    <row r="516" spans="1:10" s="428" customFormat="1" ht="20.399999999999999" customHeight="1">
      <c r="A516" s="1245"/>
      <c r="B516" s="431"/>
      <c r="C516" s="437"/>
      <c r="D516" s="488"/>
      <c r="F516" s="431"/>
      <c r="G516" s="596"/>
      <c r="H516" s="430"/>
      <c r="J516" s="437"/>
    </row>
    <row r="517" spans="1:10" s="428" customFormat="1" ht="20.399999999999999" customHeight="1">
      <c r="A517" s="1245"/>
      <c r="B517" s="431"/>
      <c r="C517" s="437"/>
      <c r="D517" s="488"/>
      <c r="F517" s="431"/>
      <c r="G517" s="596"/>
      <c r="H517" s="430"/>
      <c r="J517" s="437"/>
    </row>
    <row r="518" spans="1:10" s="428" customFormat="1" ht="20.399999999999999" customHeight="1">
      <c r="A518" s="1245"/>
      <c r="B518" s="431"/>
      <c r="C518" s="437"/>
      <c r="D518" s="488"/>
      <c r="F518" s="431"/>
      <c r="G518" s="596"/>
      <c r="H518" s="430"/>
      <c r="J518" s="437"/>
    </row>
    <row r="519" spans="1:10" s="428" customFormat="1" ht="20.399999999999999" customHeight="1">
      <c r="A519" s="1245"/>
      <c r="B519" s="431"/>
      <c r="C519" s="437"/>
      <c r="D519" s="488"/>
      <c r="F519" s="431"/>
      <c r="G519" s="596"/>
      <c r="H519" s="430"/>
      <c r="J519" s="437"/>
    </row>
    <row r="520" spans="1:10" s="428" customFormat="1" ht="20.399999999999999" customHeight="1">
      <c r="A520" s="1245"/>
      <c r="B520" s="431"/>
      <c r="C520" s="437"/>
      <c r="D520" s="488"/>
      <c r="F520" s="431"/>
      <c r="G520" s="596"/>
      <c r="H520" s="430"/>
      <c r="J520" s="437"/>
    </row>
    <row r="521" spans="1:10" s="428" customFormat="1" ht="20.399999999999999" customHeight="1">
      <c r="A521" s="1245"/>
      <c r="B521" s="431"/>
      <c r="C521" s="437"/>
      <c r="D521" s="488"/>
      <c r="F521" s="431"/>
      <c r="G521" s="596"/>
      <c r="H521" s="430"/>
      <c r="J521" s="437"/>
    </row>
    <row r="522" spans="1:10" s="428" customFormat="1" ht="20.399999999999999" customHeight="1">
      <c r="A522" s="1245"/>
      <c r="B522" s="431"/>
      <c r="C522" s="437"/>
      <c r="D522" s="488"/>
      <c r="F522" s="431"/>
      <c r="G522" s="596"/>
      <c r="H522" s="430"/>
      <c r="J522" s="437"/>
    </row>
    <row r="523" spans="1:10" s="428" customFormat="1" ht="20.399999999999999" customHeight="1">
      <c r="A523" s="1245"/>
      <c r="B523" s="431"/>
      <c r="C523" s="437"/>
      <c r="D523" s="488"/>
      <c r="F523" s="431"/>
      <c r="G523" s="596"/>
      <c r="H523" s="430"/>
      <c r="J523" s="437"/>
    </row>
    <row r="524" spans="1:10" s="428" customFormat="1" ht="20.399999999999999" customHeight="1">
      <c r="A524" s="1245"/>
      <c r="B524" s="431"/>
      <c r="C524" s="437"/>
      <c r="D524" s="488"/>
      <c r="F524" s="431"/>
      <c r="G524" s="596"/>
      <c r="H524" s="430"/>
      <c r="J524" s="437"/>
    </row>
    <row r="525" spans="1:10" s="428" customFormat="1" ht="20.399999999999999" customHeight="1">
      <c r="A525" s="1245"/>
      <c r="B525" s="431"/>
      <c r="C525" s="437"/>
      <c r="D525" s="488"/>
      <c r="F525" s="431"/>
      <c r="G525" s="596"/>
      <c r="H525" s="430"/>
      <c r="J525" s="437"/>
    </row>
    <row r="526" spans="1:10" s="428" customFormat="1" ht="20.399999999999999" customHeight="1">
      <c r="A526" s="1245"/>
      <c r="B526" s="431"/>
      <c r="C526" s="437"/>
      <c r="D526" s="488"/>
      <c r="F526" s="431"/>
      <c r="G526" s="596"/>
      <c r="H526" s="430"/>
      <c r="J526" s="437"/>
    </row>
    <row r="527" spans="1:10" s="428" customFormat="1" ht="20.399999999999999" customHeight="1">
      <c r="A527" s="1245"/>
      <c r="B527" s="431"/>
      <c r="C527" s="437"/>
      <c r="D527" s="488"/>
      <c r="F527" s="431"/>
      <c r="G527" s="596"/>
      <c r="H527" s="430"/>
      <c r="J527" s="437"/>
    </row>
    <row r="528" spans="1:10" s="428" customFormat="1" ht="20.399999999999999" customHeight="1">
      <c r="A528" s="1245"/>
      <c r="B528" s="431"/>
      <c r="C528" s="437"/>
      <c r="D528" s="488"/>
      <c r="F528" s="431"/>
      <c r="G528" s="596"/>
      <c r="H528" s="430"/>
      <c r="J528" s="437"/>
    </row>
    <row r="529" spans="1:10" s="428" customFormat="1" ht="20.399999999999999" customHeight="1">
      <c r="A529" s="1245"/>
      <c r="B529" s="431"/>
      <c r="C529" s="437"/>
      <c r="D529" s="488"/>
      <c r="F529" s="431"/>
      <c r="G529" s="596"/>
      <c r="H529" s="430"/>
      <c r="J529" s="437"/>
    </row>
    <row r="530" spans="1:10" s="428" customFormat="1" ht="20.399999999999999" customHeight="1">
      <c r="A530" s="1245"/>
      <c r="B530" s="431"/>
      <c r="C530" s="437"/>
      <c r="D530" s="488"/>
      <c r="F530" s="431"/>
      <c r="G530" s="596"/>
      <c r="H530" s="430"/>
      <c r="J530" s="437"/>
    </row>
    <row r="531" spans="1:10" s="428" customFormat="1" ht="20.399999999999999" customHeight="1">
      <c r="A531" s="1245"/>
      <c r="B531" s="431"/>
      <c r="C531" s="437"/>
      <c r="D531" s="488"/>
      <c r="F531" s="431"/>
      <c r="G531" s="596"/>
      <c r="H531" s="430"/>
      <c r="J531" s="437"/>
    </row>
    <row r="532" spans="1:10" s="428" customFormat="1" ht="20.399999999999999" customHeight="1">
      <c r="A532" s="1245"/>
      <c r="B532" s="431"/>
      <c r="C532" s="437"/>
      <c r="D532" s="488"/>
      <c r="F532" s="431"/>
      <c r="G532" s="596"/>
      <c r="H532" s="430"/>
      <c r="J532" s="437"/>
    </row>
    <row r="533" spans="1:10" s="428" customFormat="1" ht="20.399999999999999" customHeight="1">
      <c r="A533" s="1245"/>
      <c r="B533" s="431"/>
      <c r="C533" s="437"/>
      <c r="D533" s="488"/>
      <c r="F533" s="431"/>
      <c r="G533" s="596"/>
      <c r="H533" s="430"/>
      <c r="J533" s="437"/>
    </row>
    <row r="534" spans="1:10" s="428" customFormat="1" ht="20.399999999999999" customHeight="1">
      <c r="A534" s="1245"/>
      <c r="B534" s="431"/>
      <c r="C534" s="437"/>
      <c r="D534" s="488"/>
      <c r="F534" s="431"/>
      <c r="G534" s="596"/>
      <c r="H534" s="430"/>
      <c r="J534" s="437"/>
    </row>
    <row r="535" spans="1:10" s="428" customFormat="1" ht="20.399999999999999" customHeight="1">
      <c r="A535" s="1245"/>
      <c r="B535" s="431"/>
      <c r="C535" s="437"/>
      <c r="D535" s="488"/>
      <c r="F535" s="431"/>
      <c r="G535" s="596"/>
      <c r="H535" s="430"/>
      <c r="J535" s="437"/>
    </row>
    <row r="536" spans="1:10" s="428" customFormat="1" ht="20.399999999999999" customHeight="1">
      <c r="A536" s="1245"/>
      <c r="B536" s="431"/>
      <c r="C536" s="437"/>
      <c r="D536" s="488"/>
      <c r="F536" s="431"/>
      <c r="G536" s="596"/>
      <c r="H536" s="430"/>
      <c r="J536" s="437"/>
    </row>
    <row r="537" spans="1:10" s="428" customFormat="1" ht="20.399999999999999" customHeight="1">
      <c r="A537" s="1245"/>
      <c r="B537" s="431"/>
      <c r="C537" s="437"/>
      <c r="D537" s="488"/>
      <c r="F537" s="431"/>
      <c r="G537" s="596"/>
      <c r="H537" s="430"/>
      <c r="J537" s="437"/>
    </row>
    <row r="538" spans="1:10" s="428" customFormat="1" ht="20.399999999999999" customHeight="1">
      <c r="A538" s="1245"/>
      <c r="B538" s="431"/>
      <c r="C538" s="437"/>
      <c r="D538" s="488"/>
      <c r="F538" s="431"/>
      <c r="G538" s="596"/>
      <c r="H538" s="430"/>
      <c r="J538" s="437"/>
    </row>
    <row r="539" spans="1:10" s="428" customFormat="1" ht="20.399999999999999" customHeight="1">
      <c r="A539" s="1245"/>
      <c r="B539" s="431"/>
      <c r="C539" s="437"/>
      <c r="D539" s="488"/>
      <c r="F539" s="431"/>
      <c r="G539" s="596"/>
      <c r="H539" s="430"/>
      <c r="J539" s="437"/>
    </row>
    <row r="540" spans="1:10" s="428" customFormat="1" ht="20.399999999999999" customHeight="1">
      <c r="A540" s="1245"/>
      <c r="B540" s="431"/>
      <c r="C540" s="437"/>
      <c r="D540" s="488"/>
      <c r="F540" s="431"/>
      <c r="G540" s="596"/>
      <c r="H540" s="430"/>
      <c r="J540" s="437"/>
    </row>
    <row r="541" spans="1:10" s="428" customFormat="1" ht="20.399999999999999" customHeight="1">
      <c r="A541" s="1245"/>
      <c r="B541" s="431"/>
      <c r="C541" s="437"/>
      <c r="D541" s="488"/>
      <c r="F541" s="431"/>
      <c r="G541" s="596"/>
      <c r="H541" s="430"/>
      <c r="J541" s="437"/>
    </row>
    <row r="542" spans="1:10" s="428" customFormat="1" ht="20.399999999999999" customHeight="1">
      <c r="A542" s="1245"/>
      <c r="B542" s="431"/>
      <c r="C542" s="437"/>
      <c r="D542" s="488"/>
      <c r="F542" s="431"/>
      <c r="G542" s="596"/>
      <c r="H542" s="430"/>
      <c r="J542" s="437"/>
    </row>
    <row r="543" spans="1:10" s="428" customFormat="1" ht="20.399999999999999" customHeight="1">
      <c r="A543" s="1245"/>
      <c r="B543" s="431"/>
      <c r="C543" s="437"/>
      <c r="D543" s="488"/>
      <c r="F543" s="431"/>
      <c r="G543" s="596"/>
      <c r="H543" s="430"/>
      <c r="J543" s="437"/>
    </row>
    <row r="544" spans="1:10" s="428" customFormat="1" ht="20.399999999999999" customHeight="1">
      <c r="A544" s="1245"/>
      <c r="B544" s="431"/>
      <c r="C544" s="437"/>
      <c r="D544" s="488"/>
      <c r="F544" s="431"/>
      <c r="G544" s="596"/>
      <c r="H544" s="430"/>
      <c r="J544" s="437"/>
    </row>
    <row r="545" spans="1:10" s="428" customFormat="1" ht="20.399999999999999" customHeight="1">
      <c r="A545" s="1245"/>
      <c r="B545" s="431"/>
      <c r="C545" s="437"/>
      <c r="D545" s="488"/>
      <c r="F545" s="431"/>
      <c r="G545" s="596"/>
      <c r="H545" s="430"/>
      <c r="J545" s="437"/>
    </row>
    <row r="546" spans="1:10" s="428" customFormat="1" ht="20.399999999999999" customHeight="1">
      <c r="A546" s="1245"/>
      <c r="B546" s="431"/>
      <c r="C546" s="437"/>
      <c r="D546" s="488"/>
      <c r="F546" s="431"/>
      <c r="G546" s="596"/>
      <c r="H546" s="430"/>
      <c r="J546" s="437"/>
    </row>
    <row r="547" spans="1:10" s="428" customFormat="1" ht="20.399999999999999" customHeight="1">
      <c r="A547" s="1245"/>
      <c r="B547" s="431"/>
      <c r="C547" s="437"/>
      <c r="D547" s="488"/>
      <c r="F547" s="431"/>
      <c r="G547" s="596"/>
      <c r="H547" s="430"/>
      <c r="J547" s="437"/>
    </row>
    <row r="548" spans="1:10" s="428" customFormat="1" ht="20.399999999999999" customHeight="1">
      <c r="A548" s="1245"/>
      <c r="B548" s="431"/>
      <c r="C548" s="437"/>
      <c r="D548" s="488"/>
      <c r="F548" s="431"/>
      <c r="G548" s="596"/>
      <c r="H548" s="430"/>
      <c r="J548" s="437"/>
    </row>
    <row r="549" spans="1:10" s="428" customFormat="1" ht="20.399999999999999" customHeight="1">
      <c r="A549" s="1245"/>
      <c r="B549" s="431"/>
      <c r="C549" s="437"/>
      <c r="D549" s="488"/>
      <c r="F549" s="431"/>
      <c r="G549" s="596"/>
      <c r="H549" s="430"/>
      <c r="J549" s="437"/>
    </row>
    <row r="550" spans="1:10" s="428" customFormat="1" ht="20.399999999999999" customHeight="1">
      <c r="A550" s="1245"/>
      <c r="B550" s="431"/>
      <c r="C550" s="437"/>
      <c r="D550" s="488"/>
      <c r="F550" s="431"/>
      <c r="G550" s="596"/>
      <c r="H550" s="430"/>
      <c r="J550" s="437"/>
    </row>
    <row r="551" spans="1:10" s="428" customFormat="1" ht="20.399999999999999" customHeight="1">
      <c r="A551" s="1245"/>
      <c r="B551" s="431"/>
      <c r="C551" s="437"/>
      <c r="D551" s="488"/>
      <c r="F551" s="431"/>
      <c r="G551" s="596"/>
      <c r="H551" s="430"/>
      <c r="J551" s="437"/>
    </row>
    <row r="552" spans="1:10" s="428" customFormat="1" ht="20.399999999999999" customHeight="1">
      <c r="A552" s="1245"/>
      <c r="B552" s="431"/>
      <c r="C552" s="437"/>
      <c r="D552" s="488"/>
      <c r="F552" s="431"/>
      <c r="G552" s="596"/>
      <c r="H552" s="430"/>
      <c r="J552" s="437"/>
    </row>
    <row r="553" spans="1:10" s="428" customFormat="1" ht="20.399999999999999" customHeight="1">
      <c r="A553" s="1245"/>
      <c r="B553" s="431"/>
      <c r="C553" s="437"/>
      <c r="D553" s="488"/>
      <c r="F553" s="431"/>
      <c r="G553" s="596"/>
      <c r="H553" s="430"/>
      <c r="J553" s="437"/>
    </row>
    <row r="554" spans="1:10" s="428" customFormat="1" ht="20.399999999999999" customHeight="1">
      <c r="A554" s="1245"/>
      <c r="B554" s="431"/>
      <c r="C554" s="437"/>
      <c r="D554" s="488"/>
      <c r="F554" s="431"/>
      <c r="G554" s="596"/>
      <c r="H554" s="430"/>
      <c r="J554" s="437"/>
    </row>
    <row r="555" spans="1:10" s="428" customFormat="1" ht="20.399999999999999" customHeight="1">
      <c r="A555" s="1245"/>
      <c r="B555" s="431"/>
      <c r="C555" s="437"/>
      <c r="D555" s="488"/>
      <c r="F555" s="431"/>
      <c r="G555" s="596"/>
      <c r="H555" s="430"/>
      <c r="J555" s="437"/>
    </row>
    <row r="556" spans="1:10" s="428" customFormat="1" ht="20.399999999999999" customHeight="1">
      <c r="A556" s="1245"/>
      <c r="B556" s="431"/>
      <c r="C556" s="437"/>
      <c r="D556" s="488"/>
      <c r="F556" s="431"/>
      <c r="G556" s="596"/>
      <c r="H556" s="430"/>
      <c r="J556" s="437"/>
    </row>
    <row r="557" spans="1:10" s="428" customFormat="1" ht="20.399999999999999" customHeight="1">
      <c r="A557" s="1245"/>
      <c r="B557" s="431"/>
      <c r="C557" s="437"/>
      <c r="D557" s="488"/>
      <c r="F557" s="431"/>
      <c r="G557" s="596"/>
      <c r="H557" s="430"/>
      <c r="J557" s="437"/>
    </row>
    <row r="558" spans="1:10" s="428" customFormat="1" ht="20.399999999999999" customHeight="1">
      <c r="A558" s="1245"/>
      <c r="B558" s="431"/>
      <c r="C558" s="437"/>
      <c r="D558" s="488"/>
      <c r="F558" s="431"/>
      <c r="G558" s="596"/>
      <c r="H558" s="430"/>
      <c r="J558" s="437"/>
    </row>
    <row r="559" spans="1:10" s="428" customFormat="1" ht="20.399999999999999" customHeight="1">
      <c r="A559" s="1245"/>
      <c r="B559" s="431"/>
      <c r="C559" s="437"/>
      <c r="D559" s="488"/>
      <c r="F559" s="431"/>
      <c r="G559" s="596"/>
      <c r="H559" s="430"/>
      <c r="J559" s="437"/>
    </row>
    <row r="560" spans="1:10" s="428" customFormat="1" ht="20.399999999999999" customHeight="1">
      <c r="A560" s="1245"/>
      <c r="B560" s="431"/>
      <c r="C560" s="437"/>
      <c r="D560" s="488"/>
      <c r="F560" s="431"/>
      <c r="G560" s="596"/>
      <c r="H560" s="430"/>
      <c r="J560" s="437"/>
    </row>
    <row r="561" spans="1:10" s="428" customFormat="1" ht="20.399999999999999" customHeight="1">
      <c r="A561" s="1245"/>
      <c r="B561" s="431"/>
      <c r="C561" s="437"/>
      <c r="D561" s="488"/>
      <c r="F561" s="431"/>
      <c r="G561" s="596"/>
      <c r="H561" s="430"/>
      <c r="J561" s="437"/>
    </row>
    <row r="562" spans="1:10" s="428" customFormat="1" ht="20.399999999999999" customHeight="1">
      <c r="A562" s="1245"/>
      <c r="B562" s="431"/>
      <c r="C562" s="437"/>
      <c r="D562" s="488"/>
      <c r="F562" s="431"/>
      <c r="G562" s="596"/>
      <c r="H562" s="430"/>
      <c r="J562" s="437"/>
    </row>
    <row r="563" spans="1:10" s="428" customFormat="1" ht="20.399999999999999" customHeight="1">
      <c r="A563" s="1245"/>
      <c r="B563" s="431"/>
      <c r="C563" s="437"/>
      <c r="D563" s="488"/>
      <c r="F563" s="431"/>
      <c r="G563" s="596"/>
      <c r="H563" s="430"/>
      <c r="J563" s="437"/>
    </row>
    <row r="564" spans="1:10" s="428" customFormat="1" ht="20.399999999999999" customHeight="1">
      <c r="A564" s="1245"/>
      <c r="B564" s="431"/>
      <c r="C564" s="437"/>
      <c r="D564" s="488"/>
      <c r="F564" s="431"/>
      <c r="G564" s="596"/>
      <c r="H564" s="430"/>
      <c r="J564" s="437"/>
    </row>
    <row r="565" spans="1:10" s="428" customFormat="1" ht="20.399999999999999" customHeight="1">
      <c r="A565" s="1245"/>
      <c r="B565" s="431"/>
      <c r="C565" s="437"/>
      <c r="D565" s="488"/>
      <c r="F565" s="431"/>
      <c r="G565" s="596"/>
      <c r="H565" s="430"/>
      <c r="J565" s="437"/>
    </row>
    <row r="566" spans="1:10" s="428" customFormat="1" ht="20.399999999999999" customHeight="1">
      <c r="A566" s="1245"/>
      <c r="B566" s="431"/>
      <c r="C566" s="437"/>
      <c r="D566" s="488"/>
      <c r="F566" s="431"/>
      <c r="G566" s="596"/>
      <c r="H566" s="430"/>
      <c r="J566" s="437"/>
    </row>
    <row r="567" spans="1:10" s="428" customFormat="1" ht="20.399999999999999" customHeight="1">
      <c r="A567" s="1245"/>
      <c r="B567" s="431"/>
      <c r="C567" s="437"/>
      <c r="D567" s="488"/>
      <c r="F567" s="431"/>
      <c r="G567" s="596"/>
      <c r="H567" s="430"/>
      <c r="J567" s="437"/>
    </row>
    <row r="568" spans="1:10" s="428" customFormat="1" ht="20.399999999999999" customHeight="1">
      <c r="A568" s="1245"/>
      <c r="B568" s="431"/>
      <c r="C568" s="437"/>
      <c r="D568" s="488"/>
      <c r="F568" s="431"/>
      <c r="G568" s="596"/>
      <c r="H568" s="430"/>
      <c r="J568" s="437"/>
    </row>
    <row r="569" spans="1:10" s="428" customFormat="1" ht="20.399999999999999" customHeight="1">
      <c r="A569" s="1245"/>
      <c r="B569" s="431"/>
      <c r="C569" s="437"/>
      <c r="D569" s="488"/>
      <c r="F569" s="431"/>
      <c r="G569" s="596"/>
      <c r="H569" s="430"/>
      <c r="J569" s="437"/>
    </row>
    <row r="570" spans="1:10" s="428" customFormat="1" ht="20.399999999999999" customHeight="1">
      <c r="A570" s="1245"/>
      <c r="B570" s="431"/>
      <c r="C570" s="437"/>
      <c r="D570" s="488"/>
      <c r="F570" s="431"/>
      <c r="G570" s="596"/>
      <c r="H570" s="430"/>
      <c r="J570" s="437"/>
    </row>
    <row r="571" spans="1:10" s="428" customFormat="1" ht="20.399999999999999" customHeight="1">
      <c r="A571" s="1245"/>
      <c r="B571" s="431"/>
      <c r="C571" s="437"/>
      <c r="D571" s="488"/>
      <c r="F571" s="431"/>
      <c r="G571" s="596"/>
      <c r="H571" s="430"/>
      <c r="J571" s="437"/>
    </row>
    <row r="572" spans="1:10" s="428" customFormat="1" ht="20.399999999999999" customHeight="1">
      <c r="A572" s="1245"/>
      <c r="B572" s="431"/>
      <c r="C572" s="437"/>
      <c r="D572" s="488"/>
      <c r="F572" s="431"/>
      <c r="G572" s="596"/>
      <c r="H572" s="430"/>
      <c r="J572" s="437"/>
    </row>
    <row r="573" spans="1:10" s="428" customFormat="1" ht="20.399999999999999" customHeight="1">
      <c r="A573" s="1245"/>
      <c r="B573" s="431"/>
      <c r="C573" s="437"/>
      <c r="D573" s="488"/>
      <c r="F573" s="431"/>
      <c r="G573" s="596"/>
      <c r="H573" s="430"/>
      <c r="J573" s="437"/>
    </row>
    <row r="574" spans="1:10" s="428" customFormat="1" ht="20.399999999999999" customHeight="1">
      <c r="A574" s="1245"/>
      <c r="B574" s="431"/>
      <c r="C574" s="437"/>
      <c r="D574" s="488"/>
      <c r="F574" s="431"/>
      <c r="G574" s="596"/>
      <c r="H574" s="430"/>
      <c r="J574" s="437"/>
    </row>
    <row r="575" spans="1:10" s="428" customFormat="1" ht="20.399999999999999" customHeight="1">
      <c r="A575" s="1245"/>
      <c r="B575" s="431"/>
      <c r="C575" s="437"/>
      <c r="D575" s="488"/>
      <c r="F575" s="431"/>
      <c r="G575" s="596"/>
      <c r="H575" s="430"/>
      <c r="J575" s="437"/>
    </row>
    <row r="576" spans="1:10" s="428" customFormat="1" ht="20.399999999999999" customHeight="1">
      <c r="A576" s="1245"/>
      <c r="B576" s="431"/>
      <c r="C576" s="437"/>
      <c r="D576" s="488"/>
      <c r="F576" s="431"/>
      <c r="G576" s="596"/>
      <c r="H576" s="430"/>
      <c r="J576" s="437"/>
    </row>
    <row r="577" spans="1:10" s="428" customFormat="1" ht="20.399999999999999" customHeight="1">
      <c r="A577" s="1245"/>
      <c r="B577" s="431"/>
      <c r="C577" s="437"/>
      <c r="D577" s="488"/>
      <c r="F577" s="431"/>
      <c r="G577" s="596"/>
      <c r="H577" s="430"/>
      <c r="J577" s="437"/>
    </row>
    <row r="578" spans="1:10" s="428" customFormat="1" ht="20.399999999999999" customHeight="1">
      <c r="A578" s="1245"/>
      <c r="B578" s="431"/>
      <c r="C578" s="437"/>
      <c r="D578" s="488"/>
      <c r="F578" s="431"/>
      <c r="G578" s="596"/>
      <c r="H578" s="430"/>
      <c r="J578" s="437"/>
    </row>
    <row r="579" spans="1:10" s="428" customFormat="1" ht="20.399999999999999" customHeight="1">
      <c r="A579" s="1245"/>
      <c r="B579" s="431"/>
      <c r="C579" s="437"/>
      <c r="D579" s="488"/>
      <c r="F579" s="431"/>
      <c r="G579" s="596"/>
      <c r="H579" s="430"/>
      <c r="J579" s="437"/>
    </row>
    <row r="580" spans="1:10" s="428" customFormat="1" ht="20.399999999999999" customHeight="1">
      <c r="A580" s="1245"/>
      <c r="B580" s="431"/>
      <c r="C580" s="437"/>
      <c r="D580" s="488"/>
      <c r="F580" s="431"/>
      <c r="G580" s="596"/>
      <c r="H580" s="430"/>
      <c r="J580" s="437"/>
    </row>
    <row r="581" spans="1:10" s="428" customFormat="1" ht="20.399999999999999" customHeight="1">
      <c r="A581" s="1245"/>
      <c r="B581" s="431"/>
      <c r="C581" s="437"/>
      <c r="D581" s="488"/>
      <c r="F581" s="431"/>
      <c r="G581" s="596"/>
      <c r="H581" s="430"/>
      <c r="J581" s="437"/>
    </row>
    <row r="582" spans="1:10" s="428" customFormat="1" ht="20.399999999999999" customHeight="1">
      <c r="A582" s="1245"/>
      <c r="B582" s="431"/>
      <c r="C582" s="437"/>
      <c r="D582" s="488"/>
      <c r="F582" s="431"/>
      <c r="G582" s="596"/>
      <c r="H582" s="430"/>
      <c r="J582" s="437"/>
    </row>
    <row r="583" spans="1:10" s="428" customFormat="1" ht="20.399999999999999" customHeight="1">
      <c r="A583" s="1245"/>
      <c r="B583" s="431"/>
      <c r="C583" s="437"/>
      <c r="D583" s="488"/>
      <c r="F583" s="431"/>
      <c r="G583" s="596"/>
      <c r="H583" s="430"/>
      <c r="J583" s="437"/>
    </row>
    <row r="584" spans="1:10" s="428" customFormat="1" ht="20.399999999999999" customHeight="1">
      <c r="A584" s="1245"/>
      <c r="B584" s="431"/>
      <c r="C584" s="437"/>
      <c r="D584" s="488"/>
      <c r="F584" s="431"/>
      <c r="G584" s="596"/>
      <c r="H584" s="430"/>
      <c r="J584" s="437"/>
    </row>
    <row r="585" spans="1:10" s="428" customFormat="1" ht="20.399999999999999" customHeight="1">
      <c r="A585" s="1245"/>
      <c r="B585" s="431"/>
      <c r="C585" s="437"/>
      <c r="D585" s="488"/>
      <c r="F585" s="431"/>
      <c r="G585" s="596"/>
      <c r="H585" s="430"/>
      <c r="J585" s="437"/>
    </row>
    <row r="586" spans="1:10" s="428" customFormat="1" ht="20.399999999999999" customHeight="1">
      <c r="A586" s="1245"/>
      <c r="B586" s="431"/>
      <c r="C586" s="437"/>
      <c r="D586" s="488"/>
      <c r="F586" s="431"/>
      <c r="G586" s="596"/>
      <c r="H586" s="430"/>
      <c r="J586" s="437"/>
    </row>
    <row r="587" spans="1:10" s="428" customFormat="1" ht="20.399999999999999" customHeight="1">
      <c r="A587" s="1245"/>
      <c r="B587" s="431"/>
      <c r="C587" s="437"/>
      <c r="D587" s="488"/>
      <c r="F587" s="431"/>
      <c r="G587" s="596"/>
      <c r="H587" s="430"/>
      <c r="J587" s="437"/>
    </row>
    <row r="588" spans="1:10" s="428" customFormat="1" ht="20.399999999999999" customHeight="1">
      <c r="A588" s="1245"/>
      <c r="B588" s="431"/>
      <c r="C588" s="437"/>
      <c r="D588" s="488"/>
      <c r="F588" s="431"/>
      <c r="G588" s="596"/>
      <c r="H588" s="430"/>
      <c r="J588" s="437"/>
    </row>
    <row r="589" spans="1:10" s="428" customFormat="1" ht="20.399999999999999" customHeight="1">
      <c r="A589" s="1245"/>
      <c r="B589" s="431"/>
      <c r="C589" s="437"/>
      <c r="D589" s="488"/>
      <c r="F589" s="431"/>
      <c r="G589" s="596"/>
      <c r="H589" s="430"/>
      <c r="J589" s="437"/>
    </row>
    <row r="590" spans="1:10" s="428" customFormat="1" ht="20.399999999999999" customHeight="1">
      <c r="A590" s="1245"/>
      <c r="B590" s="431"/>
      <c r="C590" s="437"/>
      <c r="D590" s="488"/>
      <c r="F590" s="431"/>
      <c r="G590" s="596"/>
      <c r="H590" s="430"/>
      <c r="J590" s="437"/>
    </row>
    <row r="591" spans="1:10" s="428" customFormat="1" ht="20.399999999999999" customHeight="1">
      <c r="A591" s="1245"/>
      <c r="B591" s="431"/>
      <c r="C591" s="437"/>
      <c r="D591" s="488"/>
      <c r="F591" s="431"/>
      <c r="G591" s="596"/>
      <c r="H591" s="430"/>
      <c r="J591" s="437"/>
    </row>
    <row r="592" spans="1:10" s="428" customFormat="1" ht="20.399999999999999" customHeight="1">
      <c r="A592" s="1245"/>
      <c r="B592" s="431"/>
      <c r="C592" s="437"/>
      <c r="D592" s="488"/>
      <c r="F592" s="431"/>
      <c r="G592" s="596"/>
      <c r="H592" s="430"/>
      <c r="J592" s="437"/>
    </row>
    <row r="593" spans="1:10" s="428" customFormat="1" ht="20.399999999999999" customHeight="1">
      <c r="A593" s="1245"/>
      <c r="B593" s="431"/>
      <c r="C593" s="437"/>
      <c r="D593" s="488"/>
      <c r="F593" s="431"/>
      <c r="G593" s="596"/>
      <c r="H593" s="430"/>
      <c r="J593" s="437"/>
    </row>
    <row r="594" spans="1:10" s="428" customFormat="1" ht="20.399999999999999" customHeight="1">
      <c r="A594" s="1245"/>
      <c r="B594" s="431"/>
      <c r="C594" s="437"/>
      <c r="D594" s="488"/>
      <c r="F594" s="431"/>
      <c r="G594" s="596"/>
      <c r="H594" s="430"/>
      <c r="J594" s="437"/>
    </row>
    <row r="595" spans="1:10" s="428" customFormat="1" ht="20.399999999999999" customHeight="1">
      <c r="A595" s="1245"/>
      <c r="B595" s="431"/>
      <c r="C595" s="437"/>
      <c r="D595" s="488"/>
      <c r="F595" s="431"/>
      <c r="G595" s="596"/>
      <c r="H595" s="430"/>
      <c r="J595" s="437"/>
    </row>
    <row r="596" spans="1:10" s="428" customFormat="1" ht="20.399999999999999" customHeight="1">
      <c r="A596" s="1245"/>
      <c r="B596" s="431"/>
      <c r="C596" s="437"/>
      <c r="D596" s="488"/>
      <c r="F596" s="431"/>
      <c r="G596" s="596"/>
      <c r="H596" s="430"/>
      <c r="J596" s="437"/>
    </row>
    <row r="597" spans="1:10" s="428" customFormat="1" ht="20.399999999999999" customHeight="1">
      <c r="A597" s="1245"/>
      <c r="B597" s="431"/>
      <c r="C597" s="437"/>
      <c r="D597" s="488"/>
      <c r="F597" s="431"/>
      <c r="G597" s="596"/>
      <c r="H597" s="430"/>
      <c r="J597" s="437"/>
    </row>
    <row r="598" spans="1:10" s="428" customFormat="1" ht="20.399999999999999" customHeight="1">
      <c r="A598" s="1245"/>
      <c r="B598" s="431"/>
      <c r="C598" s="437"/>
      <c r="D598" s="488"/>
      <c r="F598" s="431"/>
      <c r="G598" s="596"/>
      <c r="H598" s="430"/>
      <c r="J598" s="437"/>
    </row>
    <row r="599" spans="1:10" s="428" customFormat="1" ht="20.399999999999999" customHeight="1">
      <c r="A599" s="1245"/>
      <c r="B599" s="431"/>
      <c r="C599" s="437"/>
      <c r="D599" s="488"/>
      <c r="F599" s="431"/>
      <c r="G599" s="596"/>
      <c r="H599" s="430"/>
      <c r="J599" s="437"/>
    </row>
    <row r="600" spans="1:10" s="428" customFormat="1" ht="20.399999999999999" customHeight="1">
      <c r="A600" s="1245"/>
      <c r="B600" s="431"/>
      <c r="C600" s="437"/>
      <c r="D600" s="488"/>
      <c r="F600" s="431"/>
      <c r="G600" s="596"/>
      <c r="H600" s="430"/>
      <c r="J600" s="437"/>
    </row>
    <row r="601" spans="1:10" s="428" customFormat="1" ht="20.399999999999999" customHeight="1">
      <c r="A601" s="1245"/>
      <c r="B601" s="431"/>
      <c r="C601" s="437"/>
      <c r="D601" s="488"/>
      <c r="F601" s="431"/>
      <c r="G601" s="596"/>
      <c r="H601" s="430"/>
      <c r="J601" s="437"/>
    </row>
    <row r="602" spans="1:10" s="428" customFormat="1" ht="20.399999999999999" customHeight="1">
      <c r="A602" s="1245"/>
      <c r="B602" s="431"/>
      <c r="C602" s="437"/>
      <c r="D602" s="488"/>
      <c r="F602" s="431"/>
      <c r="G602" s="596"/>
      <c r="H602" s="430"/>
      <c r="J602" s="437"/>
    </row>
    <row r="603" spans="1:10" s="428" customFormat="1" ht="20.399999999999999" customHeight="1">
      <c r="A603" s="1245"/>
      <c r="B603" s="431"/>
      <c r="C603" s="437"/>
      <c r="D603" s="488"/>
      <c r="F603" s="431"/>
      <c r="G603" s="596"/>
      <c r="H603" s="430"/>
      <c r="J603" s="437"/>
    </row>
    <row r="604" spans="1:10" s="428" customFormat="1" ht="20.399999999999999" customHeight="1">
      <c r="A604" s="1245"/>
      <c r="B604" s="431"/>
      <c r="C604" s="437"/>
      <c r="D604" s="488"/>
      <c r="F604" s="431"/>
      <c r="G604" s="596"/>
      <c r="H604" s="430"/>
      <c r="J604" s="437"/>
    </row>
    <row r="605" spans="1:10" s="428" customFormat="1" ht="20.399999999999999" customHeight="1">
      <c r="A605" s="1245"/>
      <c r="B605" s="431"/>
      <c r="C605" s="437"/>
      <c r="D605" s="488"/>
      <c r="F605" s="431"/>
      <c r="G605" s="596"/>
      <c r="H605" s="430"/>
      <c r="J605" s="437"/>
    </row>
    <row r="606" spans="1:10" s="428" customFormat="1" ht="20.399999999999999" customHeight="1">
      <c r="A606" s="1245"/>
      <c r="B606" s="431"/>
      <c r="C606" s="437"/>
      <c r="D606" s="488"/>
      <c r="F606" s="431"/>
      <c r="G606" s="596"/>
      <c r="H606" s="430"/>
      <c r="J606" s="437"/>
    </row>
    <row r="607" spans="1:10" s="428" customFormat="1" ht="20.399999999999999" customHeight="1">
      <c r="A607" s="1245"/>
      <c r="B607" s="431"/>
      <c r="C607" s="437"/>
      <c r="D607" s="488"/>
      <c r="F607" s="431"/>
      <c r="G607" s="596"/>
      <c r="H607" s="430"/>
      <c r="J607" s="437"/>
    </row>
    <row r="608" spans="1:10" s="428" customFormat="1" ht="20.399999999999999" customHeight="1">
      <c r="A608" s="1245"/>
      <c r="B608" s="431"/>
      <c r="C608" s="437"/>
      <c r="D608" s="488"/>
      <c r="F608" s="431"/>
      <c r="G608" s="596"/>
      <c r="H608" s="430"/>
      <c r="J608" s="437"/>
    </row>
    <row r="609" spans="1:10" s="428" customFormat="1" ht="20.399999999999999" customHeight="1">
      <c r="A609" s="1245"/>
      <c r="B609" s="431"/>
      <c r="C609" s="437"/>
      <c r="D609" s="488"/>
      <c r="F609" s="431"/>
      <c r="G609" s="596"/>
      <c r="H609" s="430"/>
      <c r="J609" s="437"/>
    </row>
    <row r="610" spans="1:10" s="428" customFormat="1" ht="20.399999999999999" customHeight="1">
      <c r="A610" s="1245"/>
      <c r="B610" s="431"/>
      <c r="C610" s="437"/>
      <c r="D610" s="488"/>
      <c r="F610" s="431"/>
      <c r="G610" s="596"/>
      <c r="H610" s="430"/>
      <c r="J610" s="437"/>
    </row>
    <row r="611" spans="1:10" s="428" customFormat="1" ht="20.399999999999999" customHeight="1">
      <c r="A611" s="1245"/>
      <c r="B611" s="431"/>
      <c r="C611" s="437"/>
      <c r="D611" s="488"/>
      <c r="F611" s="431"/>
      <c r="G611" s="596"/>
      <c r="H611" s="430"/>
      <c r="J611" s="437"/>
    </row>
    <row r="612" spans="1:10" s="428" customFormat="1" ht="20.399999999999999" customHeight="1">
      <c r="A612" s="1245"/>
      <c r="B612" s="431"/>
      <c r="C612" s="437"/>
      <c r="D612" s="488"/>
      <c r="F612" s="431"/>
      <c r="G612" s="596"/>
      <c r="H612" s="430"/>
      <c r="J612" s="437"/>
    </row>
    <row r="613" spans="1:10" s="428" customFormat="1" ht="20.399999999999999" customHeight="1">
      <c r="A613" s="1245"/>
      <c r="B613" s="431"/>
      <c r="C613" s="437"/>
      <c r="D613" s="488"/>
      <c r="F613" s="431"/>
      <c r="G613" s="596"/>
      <c r="H613" s="430"/>
      <c r="J613" s="437"/>
    </row>
    <row r="614" spans="1:10" s="428" customFormat="1" ht="20.399999999999999" customHeight="1">
      <c r="A614" s="1245"/>
      <c r="B614" s="431"/>
      <c r="C614" s="437"/>
      <c r="D614" s="488"/>
      <c r="F614" s="431"/>
      <c r="G614" s="596"/>
      <c r="H614" s="430"/>
      <c r="J614" s="437"/>
    </row>
    <row r="615" spans="1:10" s="428" customFormat="1" ht="20.399999999999999" customHeight="1">
      <c r="A615" s="1245"/>
      <c r="B615" s="431"/>
      <c r="C615" s="437"/>
      <c r="D615" s="488"/>
      <c r="F615" s="431"/>
      <c r="G615" s="596"/>
      <c r="H615" s="430"/>
      <c r="J615" s="437"/>
    </row>
    <row r="616" spans="1:10" s="428" customFormat="1" ht="20.399999999999999" customHeight="1">
      <c r="A616" s="1245"/>
      <c r="B616" s="431"/>
      <c r="C616" s="437"/>
      <c r="D616" s="488"/>
      <c r="F616" s="431"/>
      <c r="G616" s="596"/>
      <c r="H616" s="430"/>
      <c r="J616" s="437"/>
    </row>
    <row r="617" spans="1:10" s="428" customFormat="1" ht="20.399999999999999" customHeight="1">
      <c r="A617" s="1245"/>
      <c r="B617" s="431"/>
      <c r="C617" s="437"/>
      <c r="D617" s="488"/>
      <c r="F617" s="431"/>
      <c r="G617" s="596"/>
      <c r="H617" s="430"/>
      <c r="J617" s="437"/>
    </row>
    <row r="618" spans="1:10" s="428" customFormat="1" ht="20.399999999999999" customHeight="1">
      <c r="A618" s="1245"/>
      <c r="B618" s="431"/>
      <c r="C618" s="437"/>
      <c r="D618" s="488"/>
      <c r="F618" s="431"/>
      <c r="G618" s="596"/>
      <c r="H618" s="430"/>
      <c r="J618" s="437"/>
    </row>
    <row r="619" spans="1:10" s="428" customFormat="1" ht="20.399999999999999" customHeight="1">
      <c r="A619" s="1245"/>
      <c r="B619" s="431"/>
      <c r="C619" s="437"/>
      <c r="D619" s="488"/>
      <c r="F619" s="431"/>
      <c r="G619" s="596"/>
      <c r="H619" s="430"/>
      <c r="J619" s="437"/>
    </row>
    <row r="620" spans="1:10" s="428" customFormat="1" ht="20.399999999999999" customHeight="1">
      <c r="A620" s="1245"/>
      <c r="B620" s="431"/>
      <c r="C620" s="437"/>
      <c r="D620" s="488"/>
      <c r="F620" s="431"/>
      <c r="G620" s="596"/>
      <c r="H620" s="430"/>
      <c r="J620" s="437"/>
    </row>
    <row r="621" spans="1:10" s="428" customFormat="1" ht="20.399999999999999" customHeight="1">
      <c r="A621" s="1245"/>
      <c r="B621" s="431"/>
      <c r="C621" s="437"/>
      <c r="D621" s="488"/>
      <c r="F621" s="431"/>
      <c r="G621" s="596"/>
      <c r="H621" s="430"/>
      <c r="J621" s="437"/>
    </row>
    <row r="622" spans="1:10" s="428" customFormat="1" ht="20.399999999999999" customHeight="1">
      <c r="A622" s="1245"/>
      <c r="B622" s="431"/>
      <c r="C622" s="437"/>
      <c r="D622" s="488"/>
      <c r="F622" s="431"/>
      <c r="G622" s="596"/>
      <c r="H622" s="430"/>
      <c r="J622" s="437"/>
    </row>
    <row r="623" spans="1:10" s="428" customFormat="1" ht="20.399999999999999" customHeight="1">
      <c r="A623" s="1245"/>
      <c r="B623" s="431"/>
      <c r="C623" s="437"/>
      <c r="D623" s="488"/>
      <c r="F623" s="431"/>
      <c r="G623" s="596"/>
      <c r="H623" s="430"/>
      <c r="J623" s="437"/>
    </row>
    <row r="624" spans="1:10" s="428" customFormat="1" ht="20.399999999999999" customHeight="1">
      <c r="A624" s="1245"/>
      <c r="B624" s="431"/>
      <c r="C624" s="437"/>
      <c r="D624" s="488"/>
      <c r="F624" s="431"/>
      <c r="G624" s="596"/>
      <c r="H624" s="430"/>
      <c r="J624" s="437"/>
    </row>
    <row r="625" spans="1:10" s="428" customFormat="1" ht="20.399999999999999" customHeight="1">
      <c r="A625" s="1245"/>
      <c r="B625" s="431"/>
      <c r="C625" s="437"/>
      <c r="D625" s="488"/>
      <c r="F625" s="431"/>
      <c r="G625" s="596"/>
      <c r="H625" s="430"/>
      <c r="J625" s="437"/>
    </row>
    <row r="626" spans="1:10" s="428" customFormat="1" ht="20.399999999999999" customHeight="1">
      <c r="A626" s="1245"/>
      <c r="B626" s="431"/>
      <c r="C626" s="437"/>
      <c r="D626" s="488"/>
      <c r="F626" s="431"/>
      <c r="G626" s="596"/>
      <c r="H626" s="430"/>
      <c r="J626" s="437"/>
    </row>
    <row r="627" spans="1:10" s="428" customFormat="1" ht="20.399999999999999" customHeight="1">
      <c r="A627" s="1245"/>
      <c r="B627" s="431"/>
      <c r="C627" s="437"/>
      <c r="D627" s="488"/>
      <c r="F627" s="431"/>
      <c r="G627" s="596"/>
      <c r="H627" s="430"/>
      <c r="J627" s="437"/>
    </row>
    <row r="628" spans="1:10" s="428" customFormat="1" ht="20.399999999999999" customHeight="1">
      <c r="A628" s="1245"/>
      <c r="B628" s="431"/>
      <c r="C628" s="437"/>
      <c r="D628" s="488"/>
      <c r="F628" s="431"/>
      <c r="G628" s="596"/>
      <c r="H628" s="430"/>
      <c r="J628" s="437"/>
    </row>
    <row r="629" spans="1:10" s="428" customFormat="1" ht="20.399999999999999" customHeight="1">
      <c r="A629" s="1245"/>
      <c r="B629" s="431"/>
      <c r="C629" s="437"/>
      <c r="D629" s="488"/>
      <c r="F629" s="431"/>
      <c r="G629" s="596"/>
      <c r="H629" s="430"/>
      <c r="J629" s="437"/>
    </row>
    <row r="630" spans="1:10" s="428" customFormat="1" ht="20.399999999999999" customHeight="1">
      <c r="A630" s="1245"/>
      <c r="B630" s="431"/>
      <c r="C630" s="437"/>
      <c r="D630" s="488"/>
      <c r="F630" s="431"/>
      <c r="G630" s="596"/>
      <c r="H630" s="430"/>
      <c r="J630" s="437"/>
    </row>
    <row r="631" spans="1:10" s="428" customFormat="1" ht="20.399999999999999" customHeight="1">
      <c r="A631" s="1245"/>
      <c r="B631" s="431"/>
      <c r="C631" s="437"/>
      <c r="D631" s="488"/>
      <c r="F631" s="431"/>
      <c r="G631" s="596"/>
      <c r="H631" s="430"/>
      <c r="J631" s="437"/>
    </row>
    <row r="632" spans="1:10" s="428" customFormat="1" ht="20.399999999999999" customHeight="1">
      <c r="A632" s="1245"/>
      <c r="B632" s="431"/>
      <c r="C632" s="437"/>
      <c r="D632" s="488"/>
      <c r="F632" s="431"/>
      <c r="G632" s="596"/>
      <c r="H632" s="430"/>
      <c r="J632" s="437"/>
    </row>
    <row r="633" spans="1:10" s="428" customFormat="1" ht="20.399999999999999" customHeight="1">
      <c r="A633" s="1245"/>
      <c r="B633" s="431"/>
      <c r="C633" s="437"/>
      <c r="D633" s="488"/>
      <c r="F633" s="431"/>
      <c r="G633" s="596"/>
      <c r="H633" s="430"/>
      <c r="J633" s="437"/>
    </row>
    <row r="634" spans="1:10" s="428" customFormat="1" ht="20.399999999999999" customHeight="1">
      <c r="A634" s="1245"/>
      <c r="B634" s="431"/>
      <c r="C634" s="437"/>
      <c r="D634" s="488"/>
      <c r="F634" s="431"/>
      <c r="G634" s="596"/>
      <c r="H634" s="430"/>
      <c r="J634" s="437"/>
    </row>
    <row r="635" spans="1:10" s="428" customFormat="1" ht="20.399999999999999" customHeight="1">
      <c r="A635" s="1245"/>
      <c r="B635" s="431"/>
      <c r="C635" s="437"/>
      <c r="D635" s="488"/>
      <c r="F635" s="431"/>
      <c r="G635" s="596"/>
      <c r="H635" s="430"/>
      <c r="J635" s="437"/>
    </row>
    <row r="636" spans="1:10" s="428" customFormat="1" ht="20.399999999999999" customHeight="1">
      <c r="A636" s="1245"/>
      <c r="B636" s="431"/>
      <c r="C636" s="437"/>
      <c r="D636" s="488"/>
      <c r="F636" s="431"/>
      <c r="G636" s="596"/>
      <c r="H636" s="430"/>
      <c r="J636" s="437"/>
    </row>
    <row r="637" spans="1:10" s="428" customFormat="1" ht="20.399999999999999" customHeight="1">
      <c r="A637" s="1245"/>
      <c r="B637" s="431"/>
      <c r="C637" s="437"/>
      <c r="D637" s="488"/>
      <c r="F637" s="431"/>
      <c r="G637" s="596"/>
      <c r="H637" s="430"/>
      <c r="J637" s="437"/>
    </row>
    <row r="638" spans="1:10" s="428" customFormat="1" ht="20.399999999999999" customHeight="1">
      <c r="A638" s="1245"/>
      <c r="B638" s="431"/>
      <c r="C638" s="437"/>
      <c r="D638" s="488"/>
      <c r="F638" s="431"/>
      <c r="G638" s="596"/>
      <c r="H638" s="430"/>
      <c r="J638" s="437"/>
    </row>
    <row r="639" spans="1:10" s="428" customFormat="1" ht="20.399999999999999" customHeight="1">
      <c r="A639" s="1245"/>
      <c r="B639" s="431"/>
      <c r="C639" s="437"/>
      <c r="D639" s="488"/>
      <c r="F639" s="431"/>
      <c r="G639" s="596"/>
      <c r="H639" s="430"/>
      <c r="J639" s="437"/>
    </row>
    <row r="640" spans="1:10" s="428" customFormat="1" ht="20.399999999999999" customHeight="1">
      <c r="A640" s="1245"/>
      <c r="B640" s="431"/>
      <c r="C640" s="437"/>
      <c r="D640" s="488"/>
      <c r="F640" s="431"/>
      <c r="G640" s="596"/>
      <c r="H640" s="430"/>
      <c r="J640" s="437"/>
    </row>
    <row r="641" spans="1:10" s="428" customFormat="1" ht="20.399999999999999" customHeight="1">
      <c r="A641" s="1245"/>
      <c r="B641" s="431"/>
      <c r="C641" s="437"/>
      <c r="D641" s="488"/>
      <c r="F641" s="431"/>
      <c r="G641" s="596"/>
      <c r="H641" s="430"/>
      <c r="J641" s="437"/>
    </row>
    <row r="642" spans="1:10" s="428" customFormat="1" ht="20.399999999999999" customHeight="1">
      <c r="A642" s="1245"/>
      <c r="B642" s="431"/>
      <c r="C642" s="437"/>
      <c r="D642" s="488"/>
      <c r="F642" s="431"/>
      <c r="G642" s="596"/>
      <c r="H642" s="430"/>
      <c r="J642" s="437"/>
    </row>
    <row r="643" spans="1:10" s="428" customFormat="1" ht="20.399999999999999" customHeight="1">
      <c r="A643" s="1245"/>
      <c r="B643" s="431"/>
      <c r="C643" s="437"/>
      <c r="D643" s="488"/>
      <c r="F643" s="431"/>
      <c r="G643" s="596"/>
      <c r="H643" s="430"/>
      <c r="J643" s="437"/>
    </row>
    <row r="644" spans="1:10" s="428" customFormat="1" ht="20.399999999999999" customHeight="1">
      <c r="A644" s="1245"/>
      <c r="B644" s="431"/>
      <c r="C644" s="437"/>
      <c r="D644" s="488"/>
      <c r="F644" s="431"/>
      <c r="G644" s="596"/>
      <c r="H644" s="430"/>
      <c r="J644" s="437"/>
    </row>
    <row r="645" spans="1:10" s="428" customFormat="1" ht="20.399999999999999" customHeight="1">
      <c r="A645" s="1245"/>
      <c r="B645" s="431"/>
      <c r="C645" s="437"/>
      <c r="D645" s="488"/>
      <c r="F645" s="431"/>
      <c r="G645" s="596"/>
      <c r="H645" s="430"/>
      <c r="J645" s="437"/>
    </row>
    <row r="646" spans="1:10" s="428" customFormat="1" ht="20.399999999999999" customHeight="1">
      <c r="A646" s="1245"/>
      <c r="B646" s="431"/>
      <c r="C646" s="437"/>
      <c r="D646" s="488"/>
      <c r="F646" s="431"/>
      <c r="G646" s="596"/>
      <c r="H646" s="430"/>
      <c r="J646" s="437"/>
    </row>
    <row r="647" spans="1:10" s="428" customFormat="1" ht="20.399999999999999" customHeight="1">
      <c r="A647" s="1245"/>
      <c r="B647" s="431"/>
      <c r="C647" s="437"/>
      <c r="D647" s="488"/>
      <c r="F647" s="431"/>
      <c r="G647" s="596"/>
      <c r="H647" s="430"/>
      <c r="J647" s="437"/>
    </row>
    <row r="648" spans="1:10" s="428" customFormat="1" ht="20.399999999999999" customHeight="1">
      <c r="A648" s="1245"/>
      <c r="B648" s="431"/>
      <c r="C648" s="437"/>
      <c r="D648" s="488"/>
      <c r="F648" s="431"/>
      <c r="G648" s="596"/>
      <c r="H648" s="430"/>
      <c r="J648" s="437"/>
    </row>
    <row r="649" spans="1:10" s="428" customFormat="1" ht="20.399999999999999" customHeight="1">
      <c r="A649" s="1245"/>
      <c r="B649" s="431"/>
      <c r="C649" s="437"/>
      <c r="D649" s="488"/>
      <c r="F649" s="431"/>
      <c r="G649" s="596"/>
      <c r="H649" s="430"/>
      <c r="J649" s="437"/>
    </row>
    <row r="650" spans="1:10" s="428" customFormat="1" ht="20.399999999999999" customHeight="1">
      <c r="A650" s="1245"/>
      <c r="B650" s="431"/>
      <c r="C650" s="437"/>
      <c r="D650" s="488"/>
      <c r="F650" s="431"/>
      <c r="G650" s="596"/>
      <c r="H650" s="430"/>
      <c r="J650" s="437"/>
    </row>
    <row r="651" spans="1:10" s="428" customFormat="1" ht="20.399999999999999" customHeight="1">
      <c r="A651" s="1245"/>
      <c r="B651" s="431"/>
      <c r="C651" s="437"/>
      <c r="D651" s="488"/>
      <c r="F651" s="431"/>
      <c r="G651" s="596"/>
      <c r="H651" s="430"/>
      <c r="J651" s="437"/>
    </row>
    <row r="652" spans="1:10" s="428" customFormat="1" ht="20.399999999999999" customHeight="1">
      <c r="A652" s="1245"/>
      <c r="B652" s="431"/>
      <c r="C652" s="437"/>
      <c r="D652" s="488"/>
      <c r="F652" s="431"/>
      <c r="G652" s="596"/>
      <c r="H652" s="430"/>
      <c r="J652" s="437"/>
    </row>
    <row r="653" spans="1:10" s="428" customFormat="1" ht="20.399999999999999" customHeight="1">
      <c r="A653" s="1245"/>
      <c r="B653" s="431"/>
      <c r="C653" s="437"/>
      <c r="D653" s="488"/>
      <c r="F653" s="431"/>
      <c r="G653" s="596"/>
      <c r="H653" s="430"/>
      <c r="J653" s="437"/>
    </row>
    <row r="654" spans="1:10" s="428" customFormat="1" ht="20.399999999999999" customHeight="1">
      <c r="A654" s="1245"/>
      <c r="B654" s="431"/>
      <c r="C654" s="437"/>
      <c r="D654" s="488"/>
      <c r="F654" s="431"/>
      <c r="G654" s="596"/>
      <c r="H654" s="430"/>
      <c r="J654" s="437"/>
    </row>
    <row r="655" spans="1:10" s="428" customFormat="1" ht="20.399999999999999" customHeight="1">
      <c r="A655" s="1245"/>
      <c r="B655" s="431"/>
      <c r="C655" s="437"/>
      <c r="D655" s="488"/>
      <c r="F655" s="431"/>
      <c r="G655" s="596"/>
      <c r="H655" s="430"/>
      <c r="J655" s="437"/>
    </row>
    <row r="656" spans="1:10" s="428" customFormat="1" ht="20.399999999999999" customHeight="1">
      <c r="A656" s="1245"/>
      <c r="B656" s="431"/>
      <c r="C656" s="437"/>
      <c r="D656" s="488"/>
      <c r="F656" s="431"/>
      <c r="G656" s="596"/>
      <c r="H656" s="430"/>
      <c r="J656" s="437"/>
    </row>
    <row r="657" spans="1:10" s="428" customFormat="1" ht="20.399999999999999" customHeight="1">
      <c r="A657" s="1245"/>
      <c r="B657" s="431"/>
      <c r="C657" s="437"/>
      <c r="D657" s="488"/>
      <c r="F657" s="431"/>
      <c r="G657" s="596"/>
      <c r="H657" s="430"/>
      <c r="J657" s="437"/>
    </row>
    <row r="658" spans="1:10" s="428" customFormat="1" ht="20.399999999999999" customHeight="1">
      <c r="A658" s="1245"/>
      <c r="B658" s="431"/>
      <c r="C658" s="437"/>
      <c r="D658" s="488"/>
      <c r="F658" s="431"/>
      <c r="G658" s="596"/>
      <c r="H658" s="430"/>
      <c r="J658" s="437"/>
    </row>
    <row r="659" spans="1:10" s="428" customFormat="1" ht="20.399999999999999" customHeight="1">
      <c r="A659" s="1245"/>
      <c r="B659" s="431"/>
      <c r="C659" s="437"/>
      <c r="D659" s="488"/>
      <c r="F659" s="431"/>
      <c r="G659" s="596"/>
      <c r="H659" s="430"/>
      <c r="J659" s="437"/>
    </row>
    <row r="660" spans="1:10" s="428" customFormat="1" ht="20.399999999999999" customHeight="1">
      <c r="A660" s="1245"/>
      <c r="B660" s="431"/>
      <c r="C660" s="437"/>
      <c r="D660" s="488"/>
      <c r="F660" s="431"/>
      <c r="G660" s="596"/>
      <c r="H660" s="430"/>
      <c r="J660" s="437"/>
    </row>
    <row r="661" spans="1:10" s="428" customFormat="1" ht="20.399999999999999" customHeight="1">
      <c r="A661" s="1245"/>
      <c r="B661" s="431"/>
      <c r="C661" s="437"/>
      <c r="D661" s="488"/>
      <c r="F661" s="431"/>
      <c r="G661" s="596"/>
      <c r="H661" s="430"/>
      <c r="J661" s="437"/>
    </row>
    <row r="662" spans="1:10" s="428" customFormat="1" ht="20.399999999999999" customHeight="1">
      <c r="A662" s="1245"/>
      <c r="B662" s="431"/>
      <c r="C662" s="437"/>
      <c r="D662" s="488"/>
      <c r="F662" s="431"/>
      <c r="G662" s="596"/>
      <c r="H662" s="430"/>
      <c r="J662" s="437"/>
    </row>
    <row r="663" spans="1:10" s="428" customFormat="1" ht="20.399999999999999" customHeight="1">
      <c r="A663" s="1245"/>
      <c r="B663" s="431"/>
      <c r="C663" s="437"/>
      <c r="D663" s="488"/>
      <c r="F663" s="431"/>
      <c r="G663" s="596"/>
      <c r="H663" s="430"/>
      <c r="J663" s="437"/>
    </row>
    <row r="664" spans="1:10" s="428" customFormat="1" ht="20.399999999999999" customHeight="1">
      <c r="A664" s="1245"/>
      <c r="B664" s="431"/>
      <c r="C664" s="437"/>
      <c r="D664" s="488"/>
      <c r="F664" s="431"/>
      <c r="G664" s="596"/>
      <c r="H664" s="430"/>
      <c r="J664" s="437"/>
    </row>
    <row r="665" spans="1:10" s="428" customFormat="1" ht="20.399999999999999" customHeight="1">
      <c r="A665" s="1245"/>
      <c r="B665" s="431"/>
      <c r="C665" s="437"/>
      <c r="D665" s="488"/>
      <c r="F665" s="431"/>
      <c r="G665" s="596"/>
      <c r="H665" s="430"/>
      <c r="J665" s="437"/>
    </row>
    <row r="666" spans="1:10" s="428" customFormat="1" ht="20.399999999999999" customHeight="1">
      <c r="A666" s="1245"/>
      <c r="B666" s="431"/>
      <c r="C666" s="437"/>
      <c r="D666" s="488"/>
      <c r="F666" s="431"/>
      <c r="G666" s="596"/>
      <c r="H666" s="430"/>
      <c r="J666" s="437"/>
    </row>
    <row r="667" spans="1:10" s="428" customFormat="1" ht="20.399999999999999" customHeight="1">
      <c r="A667" s="1245"/>
      <c r="B667" s="431"/>
      <c r="C667" s="437"/>
      <c r="D667" s="488"/>
      <c r="F667" s="431"/>
      <c r="G667" s="596"/>
      <c r="H667" s="430"/>
      <c r="J667" s="437"/>
    </row>
    <row r="668" spans="1:10" s="428" customFormat="1" ht="20.399999999999999" customHeight="1">
      <c r="A668" s="1245"/>
      <c r="B668" s="431"/>
      <c r="C668" s="437"/>
      <c r="D668" s="488"/>
      <c r="F668" s="431"/>
      <c r="G668" s="596"/>
      <c r="H668" s="430"/>
      <c r="J668" s="437"/>
    </row>
    <row r="669" spans="1:10" s="428" customFormat="1" ht="20.399999999999999" customHeight="1">
      <c r="A669" s="1245"/>
      <c r="B669" s="431"/>
      <c r="C669" s="437"/>
      <c r="D669" s="488"/>
      <c r="F669" s="431"/>
      <c r="G669" s="596"/>
      <c r="H669" s="430"/>
      <c r="J669" s="437"/>
    </row>
    <row r="670" spans="1:10" s="428" customFormat="1" ht="20.399999999999999" customHeight="1">
      <c r="A670" s="1245"/>
      <c r="B670" s="431"/>
      <c r="C670" s="437"/>
      <c r="D670" s="488"/>
      <c r="F670" s="431"/>
      <c r="G670" s="596"/>
      <c r="H670" s="430"/>
      <c r="J670" s="437"/>
    </row>
    <row r="671" spans="1:10" s="428" customFormat="1" ht="20.399999999999999" customHeight="1">
      <c r="A671" s="1245"/>
      <c r="B671" s="431"/>
      <c r="C671" s="437"/>
      <c r="D671" s="488"/>
      <c r="F671" s="431"/>
      <c r="G671" s="596"/>
      <c r="H671" s="430"/>
      <c r="J671" s="437"/>
    </row>
    <row r="672" spans="1:10" s="428" customFormat="1" ht="20.399999999999999" customHeight="1">
      <c r="A672" s="1245"/>
      <c r="B672" s="431"/>
      <c r="C672" s="437"/>
      <c r="D672" s="488"/>
      <c r="F672" s="431"/>
      <c r="G672" s="596"/>
      <c r="H672" s="430"/>
      <c r="J672" s="437"/>
    </row>
    <row r="673" spans="1:10" s="428" customFormat="1" ht="20.399999999999999" customHeight="1">
      <c r="A673" s="1245"/>
      <c r="B673" s="431"/>
      <c r="C673" s="437"/>
      <c r="D673" s="488"/>
      <c r="F673" s="431"/>
      <c r="G673" s="596"/>
      <c r="H673" s="430"/>
      <c r="J673" s="437"/>
    </row>
    <row r="674" spans="1:10" s="428" customFormat="1" ht="20.399999999999999" customHeight="1">
      <c r="A674" s="1245"/>
      <c r="B674" s="431"/>
      <c r="C674" s="437"/>
      <c r="D674" s="488"/>
      <c r="F674" s="431"/>
      <c r="G674" s="596"/>
      <c r="H674" s="430"/>
      <c r="J674" s="437"/>
    </row>
    <row r="675" spans="1:10" s="428" customFormat="1" ht="20.399999999999999" customHeight="1">
      <c r="A675" s="1245"/>
      <c r="B675" s="431"/>
      <c r="C675" s="437"/>
      <c r="D675" s="488"/>
      <c r="F675" s="431"/>
      <c r="G675" s="596"/>
      <c r="H675" s="430"/>
      <c r="J675" s="437"/>
    </row>
    <row r="676" spans="1:10" s="428" customFormat="1" ht="20.399999999999999" customHeight="1">
      <c r="A676" s="1245"/>
      <c r="B676" s="431"/>
      <c r="C676" s="437"/>
      <c r="D676" s="488"/>
      <c r="F676" s="431"/>
      <c r="G676" s="596"/>
      <c r="H676" s="430"/>
      <c r="J676" s="437"/>
    </row>
    <row r="677" spans="1:10" s="428" customFormat="1" ht="20.399999999999999" customHeight="1">
      <c r="A677" s="1245"/>
      <c r="B677" s="431"/>
      <c r="C677" s="437"/>
      <c r="D677" s="488"/>
      <c r="F677" s="431"/>
      <c r="G677" s="596"/>
      <c r="H677" s="430"/>
      <c r="J677" s="437"/>
    </row>
    <row r="678" spans="1:10" s="428" customFormat="1" ht="20.399999999999999" customHeight="1">
      <c r="A678" s="1245"/>
      <c r="B678" s="431"/>
      <c r="C678" s="437"/>
      <c r="D678" s="488"/>
      <c r="F678" s="431"/>
      <c r="G678" s="596"/>
      <c r="H678" s="430"/>
      <c r="J678" s="437"/>
    </row>
    <row r="679" spans="1:10" s="428" customFormat="1" ht="20.399999999999999" customHeight="1">
      <c r="A679" s="1245"/>
      <c r="B679" s="431"/>
      <c r="C679" s="437"/>
      <c r="D679" s="488"/>
      <c r="F679" s="431"/>
      <c r="G679" s="596"/>
      <c r="H679" s="430"/>
      <c r="J679" s="437"/>
    </row>
    <row r="680" spans="1:10" s="428" customFormat="1" ht="20.399999999999999" customHeight="1">
      <c r="A680" s="1245"/>
      <c r="B680" s="431"/>
      <c r="C680" s="437"/>
      <c r="D680" s="488"/>
      <c r="F680" s="431"/>
      <c r="G680" s="596"/>
      <c r="H680" s="430"/>
      <c r="J680" s="437"/>
    </row>
    <row r="681" spans="1:10" s="428" customFormat="1" ht="20.399999999999999" customHeight="1">
      <c r="A681" s="1245"/>
      <c r="B681" s="431"/>
      <c r="C681" s="437"/>
      <c r="D681" s="488"/>
      <c r="F681" s="431"/>
      <c r="G681" s="596"/>
      <c r="H681" s="430"/>
      <c r="J681" s="437"/>
    </row>
    <row r="682" spans="1:10" s="428" customFormat="1" ht="20.399999999999999" customHeight="1">
      <c r="A682" s="1245"/>
      <c r="B682" s="431"/>
      <c r="C682" s="437"/>
      <c r="D682" s="488"/>
      <c r="F682" s="431"/>
      <c r="G682" s="596"/>
      <c r="H682" s="430"/>
      <c r="J682" s="437"/>
    </row>
    <row r="683" spans="1:10" s="428" customFormat="1" ht="20.399999999999999" customHeight="1">
      <c r="A683" s="1245"/>
      <c r="B683" s="431"/>
      <c r="C683" s="437"/>
      <c r="D683" s="488"/>
      <c r="F683" s="431"/>
      <c r="G683" s="596"/>
      <c r="H683" s="430"/>
      <c r="J683" s="437"/>
    </row>
    <row r="684" spans="1:10" s="428" customFormat="1" ht="20.399999999999999" customHeight="1">
      <c r="A684" s="1245"/>
      <c r="B684" s="431"/>
      <c r="C684" s="437"/>
      <c r="D684" s="488"/>
      <c r="F684" s="431"/>
      <c r="G684" s="596"/>
      <c r="H684" s="430"/>
      <c r="J684" s="437"/>
    </row>
    <row r="685" spans="1:10" s="428" customFormat="1" ht="20.399999999999999" customHeight="1">
      <c r="A685" s="1245"/>
      <c r="B685" s="431"/>
      <c r="C685" s="437"/>
      <c r="D685" s="488"/>
      <c r="F685" s="431"/>
      <c r="G685" s="596"/>
      <c r="H685" s="430"/>
      <c r="J685" s="437"/>
    </row>
    <row r="686" spans="1:10" s="428" customFormat="1" ht="20.399999999999999" customHeight="1">
      <c r="A686" s="1245"/>
      <c r="B686" s="431"/>
      <c r="C686" s="437"/>
      <c r="D686" s="488"/>
      <c r="F686" s="431"/>
      <c r="G686" s="596"/>
      <c r="H686" s="430"/>
      <c r="J686" s="437"/>
    </row>
    <row r="687" spans="1:10" s="428" customFormat="1" ht="20.399999999999999" customHeight="1">
      <c r="A687" s="1245"/>
      <c r="B687" s="431"/>
      <c r="C687" s="437"/>
      <c r="D687" s="488"/>
      <c r="F687" s="431"/>
      <c r="G687" s="596"/>
      <c r="H687" s="430"/>
      <c r="J687" s="437"/>
    </row>
    <row r="688" spans="1:10" s="428" customFormat="1" ht="20.399999999999999" customHeight="1">
      <c r="A688" s="1245"/>
      <c r="B688" s="431"/>
      <c r="C688" s="437"/>
      <c r="D688" s="488"/>
      <c r="F688" s="431"/>
      <c r="G688" s="596"/>
      <c r="H688" s="430"/>
      <c r="J688" s="437"/>
    </row>
    <row r="689" spans="1:10" s="428" customFormat="1" ht="20.399999999999999" customHeight="1">
      <c r="A689" s="1245"/>
      <c r="B689" s="431"/>
      <c r="C689" s="437"/>
      <c r="D689" s="488"/>
      <c r="F689" s="431"/>
      <c r="G689" s="596"/>
      <c r="H689" s="430"/>
      <c r="J689" s="437"/>
    </row>
    <row r="690" spans="1:10" s="428" customFormat="1" ht="20.399999999999999" customHeight="1">
      <c r="A690" s="1245"/>
      <c r="B690" s="431"/>
      <c r="C690" s="437"/>
      <c r="D690" s="488"/>
      <c r="F690" s="431"/>
      <c r="G690" s="596"/>
      <c r="H690" s="430"/>
      <c r="J690" s="437"/>
    </row>
    <row r="691" spans="1:10" s="428" customFormat="1" ht="20.399999999999999" customHeight="1">
      <c r="A691" s="1245"/>
      <c r="B691" s="431"/>
      <c r="C691" s="437"/>
      <c r="D691" s="488"/>
      <c r="F691" s="431"/>
      <c r="G691" s="596"/>
      <c r="H691" s="430"/>
      <c r="J691" s="437"/>
    </row>
    <row r="692" spans="1:10" s="428" customFormat="1" ht="20.399999999999999" customHeight="1">
      <c r="A692" s="1245"/>
      <c r="B692" s="431"/>
      <c r="C692" s="437"/>
      <c r="D692" s="488"/>
      <c r="F692" s="431"/>
      <c r="G692" s="596"/>
      <c r="H692" s="430"/>
      <c r="J692" s="437"/>
    </row>
    <row r="693" spans="1:10" s="428" customFormat="1" ht="20.399999999999999" customHeight="1">
      <c r="A693" s="1245"/>
      <c r="B693" s="431"/>
      <c r="C693" s="437"/>
      <c r="D693" s="488"/>
      <c r="F693" s="431"/>
      <c r="G693" s="596"/>
      <c r="H693" s="430"/>
      <c r="J693" s="437"/>
    </row>
    <row r="694" spans="1:10" s="428" customFormat="1" ht="20.399999999999999" customHeight="1">
      <c r="A694" s="1245"/>
      <c r="B694" s="431"/>
      <c r="C694" s="437"/>
      <c r="D694" s="488"/>
      <c r="F694" s="431"/>
      <c r="G694" s="596"/>
      <c r="H694" s="430"/>
      <c r="J694" s="437"/>
    </row>
    <row r="695" spans="1:10" s="428" customFormat="1" ht="20.399999999999999" customHeight="1">
      <c r="A695" s="1245"/>
      <c r="B695" s="431"/>
      <c r="C695" s="437"/>
      <c r="D695" s="488"/>
      <c r="F695" s="431"/>
      <c r="G695" s="596"/>
      <c r="H695" s="430"/>
      <c r="J695" s="437"/>
    </row>
    <row r="696" spans="1:10" s="428" customFormat="1" ht="20.399999999999999" customHeight="1">
      <c r="A696" s="1245"/>
      <c r="B696" s="431"/>
      <c r="C696" s="437"/>
      <c r="D696" s="488"/>
      <c r="F696" s="431"/>
      <c r="G696" s="596"/>
      <c r="H696" s="430"/>
      <c r="J696" s="437"/>
    </row>
    <row r="697" spans="1:10" s="428" customFormat="1" ht="20.399999999999999" customHeight="1">
      <c r="A697" s="1245"/>
      <c r="B697" s="431"/>
      <c r="C697" s="437"/>
      <c r="D697" s="488"/>
      <c r="F697" s="431"/>
      <c r="G697" s="596"/>
      <c r="H697" s="430"/>
      <c r="J697" s="437"/>
    </row>
    <row r="698" spans="1:10" s="428" customFormat="1" ht="20.399999999999999" customHeight="1">
      <c r="A698" s="1245"/>
      <c r="B698" s="431"/>
      <c r="C698" s="437"/>
      <c r="D698" s="488"/>
      <c r="F698" s="431"/>
      <c r="G698" s="596"/>
      <c r="H698" s="430"/>
      <c r="J698" s="437"/>
    </row>
    <row r="699" spans="1:10" s="428" customFormat="1" ht="20.399999999999999" customHeight="1">
      <c r="A699" s="1245"/>
      <c r="B699" s="431"/>
      <c r="C699" s="437"/>
      <c r="D699" s="488"/>
      <c r="F699" s="431"/>
      <c r="G699" s="596"/>
      <c r="H699" s="430"/>
      <c r="J699" s="437"/>
    </row>
    <row r="700" spans="1:10" s="428" customFormat="1" ht="20.399999999999999" customHeight="1">
      <c r="A700" s="1245"/>
      <c r="B700" s="431"/>
      <c r="C700" s="437"/>
      <c r="D700" s="488"/>
      <c r="F700" s="431"/>
      <c r="G700" s="596"/>
      <c r="H700" s="430"/>
      <c r="J700" s="437"/>
    </row>
    <row r="701" spans="1:10" s="428" customFormat="1" ht="20.399999999999999" customHeight="1">
      <c r="A701" s="1245"/>
      <c r="B701" s="431"/>
      <c r="C701" s="437"/>
      <c r="D701" s="488"/>
      <c r="F701" s="431"/>
      <c r="G701" s="596"/>
      <c r="H701" s="430"/>
      <c r="J701" s="437"/>
    </row>
    <row r="702" spans="1:10" s="428" customFormat="1" ht="20.399999999999999" customHeight="1">
      <c r="A702" s="1245"/>
      <c r="B702" s="431"/>
      <c r="C702" s="437"/>
      <c r="D702" s="488"/>
      <c r="F702" s="431"/>
      <c r="G702" s="596"/>
      <c r="H702" s="430"/>
      <c r="J702" s="437"/>
    </row>
    <row r="703" spans="1:10" s="428" customFormat="1" ht="20.399999999999999" customHeight="1">
      <c r="A703" s="1245"/>
      <c r="B703" s="431"/>
      <c r="C703" s="437"/>
      <c r="D703" s="488"/>
      <c r="F703" s="431"/>
      <c r="G703" s="596"/>
      <c r="H703" s="430"/>
      <c r="J703" s="437"/>
    </row>
    <row r="704" spans="1:10" s="428" customFormat="1" ht="20.399999999999999" customHeight="1">
      <c r="A704" s="1245"/>
      <c r="B704" s="431"/>
      <c r="C704" s="437"/>
      <c r="D704" s="488"/>
      <c r="F704" s="431"/>
      <c r="G704" s="596"/>
      <c r="H704" s="430"/>
      <c r="J704" s="437"/>
    </row>
    <row r="705" spans="1:10" s="428" customFormat="1" ht="20.399999999999999" customHeight="1">
      <c r="A705" s="1245"/>
      <c r="B705" s="431"/>
      <c r="C705" s="437"/>
      <c r="D705" s="488"/>
      <c r="F705" s="431"/>
      <c r="G705" s="596"/>
      <c r="H705" s="430"/>
      <c r="J705" s="437"/>
    </row>
    <row r="706" spans="1:10" s="428" customFormat="1" ht="20.399999999999999" customHeight="1">
      <c r="A706" s="1245"/>
      <c r="B706" s="431"/>
      <c r="C706" s="437"/>
      <c r="D706" s="488"/>
      <c r="F706" s="431"/>
      <c r="G706" s="596"/>
      <c r="H706" s="430"/>
      <c r="J706" s="437"/>
    </row>
    <row r="707" spans="1:10" s="428" customFormat="1" ht="20.399999999999999" customHeight="1">
      <c r="A707" s="1245"/>
      <c r="B707" s="431"/>
      <c r="C707" s="437"/>
      <c r="D707" s="488"/>
      <c r="F707" s="431"/>
      <c r="G707" s="596"/>
      <c r="H707" s="430"/>
      <c r="J707" s="437"/>
    </row>
    <row r="708" spans="1:10" s="428" customFormat="1" ht="20.399999999999999" customHeight="1">
      <c r="A708" s="1245"/>
      <c r="B708" s="431"/>
      <c r="C708" s="437"/>
      <c r="D708" s="488"/>
      <c r="F708" s="431"/>
      <c r="G708" s="596"/>
      <c r="H708" s="430"/>
      <c r="J708" s="437"/>
    </row>
    <row r="709" spans="1:10" s="428" customFormat="1" ht="20.399999999999999" customHeight="1">
      <c r="A709" s="1245"/>
      <c r="B709" s="431"/>
      <c r="C709" s="437"/>
      <c r="D709" s="488"/>
      <c r="F709" s="431"/>
      <c r="G709" s="596"/>
      <c r="H709" s="430"/>
      <c r="J709" s="437"/>
    </row>
    <row r="710" spans="1:10" s="428" customFormat="1" ht="20.399999999999999" customHeight="1">
      <c r="A710" s="1245"/>
      <c r="B710" s="431"/>
      <c r="C710" s="437"/>
      <c r="D710" s="488"/>
      <c r="F710" s="431"/>
      <c r="G710" s="596"/>
      <c r="H710" s="430"/>
      <c r="J710" s="437"/>
    </row>
    <row r="711" spans="1:10" s="428" customFormat="1" ht="20.399999999999999" customHeight="1">
      <c r="A711" s="1245"/>
      <c r="B711" s="431"/>
      <c r="C711" s="437"/>
      <c r="D711" s="488"/>
      <c r="F711" s="431"/>
      <c r="G711" s="596"/>
      <c r="H711" s="430"/>
      <c r="J711" s="437"/>
    </row>
    <row r="712" spans="1:10" s="428" customFormat="1" ht="20.399999999999999" customHeight="1">
      <c r="A712" s="1245"/>
      <c r="B712" s="431"/>
      <c r="C712" s="437"/>
      <c r="D712" s="488"/>
      <c r="F712" s="431"/>
      <c r="G712" s="596"/>
      <c r="H712" s="430"/>
      <c r="J712" s="437"/>
    </row>
    <row r="713" spans="1:10" s="428" customFormat="1" ht="20.399999999999999" customHeight="1">
      <c r="A713" s="1245"/>
      <c r="B713" s="431"/>
      <c r="C713" s="437"/>
      <c r="D713" s="488"/>
      <c r="F713" s="431"/>
      <c r="G713" s="596"/>
      <c r="H713" s="430"/>
      <c r="J713" s="437"/>
    </row>
    <row r="714" spans="1:10" s="428" customFormat="1" ht="20.399999999999999" customHeight="1">
      <c r="A714" s="1245"/>
      <c r="B714" s="431"/>
      <c r="C714" s="437"/>
      <c r="D714" s="488"/>
      <c r="F714" s="431"/>
      <c r="G714" s="596"/>
      <c r="H714" s="430"/>
      <c r="J714" s="437"/>
    </row>
    <row r="715" spans="1:10" s="428" customFormat="1" ht="20.399999999999999" customHeight="1">
      <c r="A715" s="1245"/>
      <c r="B715" s="431"/>
      <c r="C715" s="437"/>
      <c r="D715" s="488"/>
      <c r="F715" s="431"/>
      <c r="G715" s="596"/>
      <c r="H715" s="430"/>
      <c r="J715" s="437"/>
    </row>
    <row r="716" spans="1:10" s="428" customFormat="1" ht="20.399999999999999" customHeight="1">
      <c r="A716" s="1245"/>
      <c r="B716" s="431"/>
      <c r="C716" s="437"/>
      <c r="D716" s="488"/>
      <c r="F716" s="431"/>
      <c r="G716" s="596"/>
      <c r="H716" s="430"/>
      <c r="J716" s="437"/>
    </row>
    <row r="717" spans="1:10" s="428" customFormat="1" ht="20.399999999999999" customHeight="1">
      <c r="A717" s="1245"/>
      <c r="B717" s="431"/>
      <c r="C717" s="437"/>
      <c r="D717" s="488"/>
      <c r="F717" s="431"/>
      <c r="G717" s="596"/>
      <c r="H717" s="430"/>
      <c r="J717" s="437"/>
    </row>
    <row r="718" spans="1:10" s="428" customFormat="1" ht="20.399999999999999" customHeight="1">
      <c r="A718" s="1245"/>
      <c r="B718" s="431"/>
      <c r="C718" s="437"/>
      <c r="D718" s="488"/>
      <c r="F718" s="431"/>
      <c r="G718" s="596"/>
      <c r="H718" s="430"/>
      <c r="J718" s="437"/>
    </row>
    <row r="719" spans="1:10" s="428" customFormat="1" ht="20.399999999999999" customHeight="1">
      <c r="A719" s="1245"/>
      <c r="B719" s="431"/>
      <c r="C719" s="437"/>
      <c r="D719" s="488"/>
      <c r="F719" s="431"/>
      <c r="G719" s="596"/>
      <c r="H719" s="430"/>
      <c r="J719" s="437"/>
    </row>
    <row r="720" spans="1:10" s="428" customFormat="1" ht="20.399999999999999" customHeight="1">
      <c r="A720" s="1245"/>
      <c r="B720" s="431"/>
      <c r="C720" s="437"/>
      <c r="D720" s="488"/>
      <c r="F720" s="431"/>
      <c r="G720" s="596"/>
      <c r="H720" s="430"/>
      <c r="J720" s="437"/>
    </row>
    <row r="721" spans="1:10" s="428" customFormat="1" ht="20.399999999999999" customHeight="1">
      <c r="A721" s="1245"/>
      <c r="B721" s="431"/>
      <c r="C721" s="437"/>
      <c r="D721" s="488"/>
      <c r="F721" s="431"/>
      <c r="G721" s="596"/>
      <c r="H721" s="430"/>
      <c r="J721" s="437"/>
    </row>
    <row r="722" spans="1:10" s="428" customFormat="1" ht="20.399999999999999" customHeight="1">
      <c r="A722" s="1245"/>
      <c r="B722" s="431"/>
      <c r="C722" s="437"/>
      <c r="D722" s="488"/>
      <c r="F722" s="431"/>
      <c r="G722" s="596"/>
      <c r="H722" s="430"/>
      <c r="J722" s="437"/>
    </row>
    <row r="723" spans="1:10" s="428" customFormat="1" ht="20.399999999999999" customHeight="1">
      <c r="A723" s="1245"/>
      <c r="B723" s="431"/>
      <c r="C723" s="437"/>
      <c r="D723" s="488"/>
      <c r="F723" s="431"/>
      <c r="G723" s="596"/>
      <c r="H723" s="430"/>
      <c r="J723" s="437"/>
    </row>
    <row r="724" spans="1:10" s="428" customFormat="1" ht="20.399999999999999" customHeight="1">
      <c r="A724" s="1245"/>
      <c r="B724" s="431"/>
      <c r="C724" s="437"/>
      <c r="D724" s="488"/>
      <c r="F724" s="431"/>
      <c r="G724" s="596"/>
      <c r="H724" s="430"/>
      <c r="J724" s="437"/>
    </row>
    <row r="725" spans="1:10" s="428" customFormat="1" ht="20.399999999999999" customHeight="1">
      <c r="A725" s="1245"/>
      <c r="B725" s="431"/>
      <c r="C725" s="437"/>
      <c r="D725" s="488"/>
      <c r="F725" s="431"/>
      <c r="G725" s="596"/>
      <c r="H725" s="430"/>
      <c r="J725" s="437"/>
    </row>
    <row r="726" spans="1:10" s="428" customFormat="1" ht="20.399999999999999" customHeight="1">
      <c r="A726" s="1245"/>
      <c r="B726" s="431"/>
      <c r="C726" s="437"/>
      <c r="D726" s="488"/>
      <c r="F726" s="431"/>
      <c r="G726" s="596"/>
      <c r="H726" s="430"/>
      <c r="J726" s="437"/>
    </row>
    <row r="727" spans="1:10" s="428" customFormat="1" ht="20.399999999999999" customHeight="1">
      <c r="A727" s="1245"/>
      <c r="B727" s="431"/>
      <c r="C727" s="437"/>
      <c r="D727" s="488"/>
      <c r="F727" s="431"/>
      <c r="G727" s="596"/>
      <c r="H727" s="430"/>
      <c r="J727" s="437"/>
    </row>
    <row r="728" spans="1:10" s="428" customFormat="1" ht="20.399999999999999" customHeight="1">
      <c r="A728" s="1245"/>
      <c r="B728" s="431"/>
      <c r="C728" s="437"/>
      <c r="D728" s="488"/>
      <c r="F728" s="431"/>
      <c r="G728" s="596"/>
      <c r="H728" s="430"/>
      <c r="J728" s="437"/>
    </row>
    <row r="729" spans="1:10" s="428" customFormat="1" ht="20.399999999999999" customHeight="1">
      <c r="A729" s="1245"/>
      <c r="B729" s="431"/>
      <c r="C729" s="437"/>
      <c r="D729" s="488"/>
      <c r="F729" s="431"/>
      <c r="G729" s="596"/>
      <c r="H729" s="430"/>
      <c r="J729" s="437"/>
    </row>
    <row r="730" spans="1:10" s="428" customFormat="1" ht="20.399999999999999" customHeight="1">
      <c r="A730" s="1245"/>
      <c r="B730" s="431"/>
      <c r="C730" s="437"/>
      <c r="D730" s="488"/>
      <c r="F730" s="431"/>
      <c r="G730" s="596"/>
      <c r="H730" s="430"/>
      <c r="J730" s="437"/>
    </row>
    <row r="731" spans="1:10" s="428" customFormat="1" ht="20.399999999999999" customHeight="1">
      <c r="A731" s="1245"/>
      <c r="B731" s="431"/>
      <c r="C731" s="437"/>
      <c r="D731" s="488"/>
      <c r="F731" s="431"/>
      <c r="G731" s="596"/>
      <c r="H731" s="430"/>
      <c r="J731" s="437"/>
    </row>
    <row r="732" spans="1:10" s="428" customFormat="1" ht="20.399999999999999" customHeight="1">
      <c r="A732" s="1245"/>
      <c r="B732" s="431"/>
      <c r="C732" s="437"/>
      <c r="D732" s="488"/>
      <c r="F732" s="431"/>
      <c r="G732" s="596"/>
      <c r="H732" s="430"/>
      <c r="J732" s="437"/>
    </row>
    <row r="733" spans="1:10" s="428" customFormat="1" ht="20.399999999999999" customHeight="1">
      <c r="A733" s="1245"/>
      <c r="B733" s="431"/>
      <c r="C733" s="437"/>
      <c r="D733" s="488"/>
      <c r="F733" s="431"/>
      <c r="G733" s="596"/>
      <c r="H733" s="430"/>
      <c r="J733" s="437"/>
    </row>
    <row r="734" spans="1:10" s="428" customFormat="1" ht="20.399999999999999" customHeight="1">
      <c r="A734" s="1245"/>
      <c r="B734" s="431"/>
      <c r="C734" s="437"/>
      <c r="D734" s="488"/>
      <c r="F734" s="431"/>
      <c r="G734" s="596"/>
      <c r="H734" s="430"/>
      <c r="J734" s="437"/>
    </row>
    <row r="735" spans="1:10" s="428" customFormat="1" ht="20.399999999999999" customHeight="1">
      <c r="A735" s="1245"/>
      <c r="B735" s="431"/>
      <c r="C735" s="437"/>
      <c r="D735" s="488"/>
      <c r="F735" s="431"/>
      <c r="G735" s="596"/>
      <c r="H735" s="430"/>
      <c r="J735" s="437"/>
    </row>
    <row r="736" spans="1:10" s="428" customFormat="1" ht="20.399999999999999" customHeight="1">
      <c r="A736" s="1245"/>
      <c r="B736" s="431"/>
      <c r="C736" s="437"/>
      <c r="D736" s="488"/>
      <c r="F736" s="431"/>
      <c r="G736" s="596"/>
      <c r="H736" s="430"/>
      <c r="J736" s="437"/>
    </row>
    <row r="737" spans="1:10" s="428" customFormat="1" ht="20.399999999999999" customHeight="1">
      <c r="A737" s="1245"/>
      <c r="B737" s="431"/>
      <c r="C737" s="437"/>
      <c r="D737" s="488"/>
      <c r="F737" s="431"/>
      <c r="G737" s="596"/>
      <c r="H737" s="430"/>
      <c r="J737" s="437"/>
    </row>
    <row r="738" spans="1:10" s="428" customFormat="1" ht="20.399999999999999" customHeight="1">
      <c r="A738" s="1245"/>
      <c r="B738" s="431"/>
      <c r="C738" s="437"/>
      <c r="D738" s="488"/>
      <c r="F738" s="431"/>
      <c r="G738" s="596"/>
      <c r="H738" s="430"/>
      <c r="J738" s="437"/>
    </row>
    <row r="739" spans="1:10" s="428" customFormat="1" ht="20.399999999999999" customHeight="1">
      <c r="A739" s="1245"/>
      <c r="B739" s="431"/>
      <c r="C739" s="437"/>
      <c r="D739" s="488"/>
      <c r="F739" s="431"/>
      <c r="G739" s="596"/>
      <c r="H739" s="430"/>
      <c r="J739" s="437"/>
    </row>
    <row r="740" spans="1:10" s="428" customFormat="1" ht="20.399999999999999" customHeight="1">
      <c r="A740" s="1245"/>
      <c r="B740" s="431"/>
      <c r="C740" s="437"/>
      <c r="D740" s="488"/>
      <c r="F740" s="431"/>
      <c r="G740" s="596"/>
      <c r="H740" s="430"/>
      <c r="J740" s="437"/>
    </row>
    <row r="741" spans="1:10" s="428" customFormat="1" ht="20.399999999999999" customHeight="1">
      <c r="A741" s="1245"/>
      <c r="B741" s="431"/>
      <c r="C741" s="437"/>
      <c r="D741" s="488"/>
      <c r="F741" s="431"/>
      <c r="G741" s="596"/>
      <c r="H741" s="430"/>
      <c r="J741" s="437"/>
    </row>
    <row r="742" spans="1:10" s="428" customFormat="1" ht="20.399999999999999" customHeight="1">
      <c r="A742" s="1245"/>
      <c r="B742" s="431"/>
      <c r="C742" s="437"/>
      <c r="D742" s="488"/>
      <c r="F742" s="431"/>
      <c r="G742" s="596"/>
      <c r="H742" s="430"/>
      <c r="J742" s="437"/>
    </row>
    <row r="743" spans="1:10" s="428" customFormat="1" ht="20.399999999999999" customHeight="1">
      <c r="A743" s="1245"/>
      <c r="B743" s="431"/>
      <c r="C743" s="437"/>
      <c r="D743" s="488"/>
      <c r="F743" s="431"/>
      <c r="G743" s="596"/>
      <c r="H743" s="430"/>
      <c r="J743" s="437"/>
    </row>
    <row r="744" spans="1:10" s="428" customFormat="1" ht="20.399999999999999" customHeight="1">
      <c r="A744" s="1245"/>
      <c r="B744" s="431"/>
      <c r="C744" s="437"/>
      <c r="D744" s="488"/>
      <c r="F744" s="431"/>
      <c r="G744" s="596"/>
      <c r="H744" s="430"/>
      <c r="J744" s="437"/>
    </row>
    <row r="745" spans="1:10" s="428" customFormat="1" ht="20.399999999999999" customHeight="1">
      <c r="A745" s="1245"/>
      <c r="B745" s="431"/>
      <c r="C745" s="437"/>
      <c r="D745" s="488"/>
      <c r="F745" s="431"/>
      <c r="G745" s="596"/>
      <c r="H745" s="430"/>
      <c r="J745" s="437"/>
    </row>
    <row r="746" spans="1:10" s="428" customFormat="1" ht="20.399999999999999" customHeight="1">
      <c r="A746" s="1245"/>
      <c r="B746" s="431"/>
      <c r="C746" s="437"/>
      <c r="D746" s="488"/>
      <c r="F746" s="431"/>
      <c r="G746" s="596"/>
      <c r="H746" s="430"/>
      <c r="J746" s="437"/>
    </row>
    <row r="747" spans="1:10" s="428" customFormat="1" ht="20.399999999999999" customHeight="1">
      <c r="A747" s="1245"/>
      <c r="B747" s="431"/>
      <c r="C747" s="437"/>
      <c r="D747" s="488"/>
      <c r="F747" s="431"/>
      <c r="G747" s="596"/>
      <c r="H747" s="430"/>
      <c r="J747" s="437"/>
    </row>
    <row r="748" spans="1:10" s="428" customFormat="1" ht="20.399999999999999" customHeight="1">
      <c r="A748" s="1245"/>
      <c r="B748" s="431"/>
      <c r="C748" s="437"/>
      <c r="D748" s="488"/>
      <c r="F748" s="431"/>
      <c r="G748" s="596"/>
      <c r="H748" s="430"/>
      <c r="J748" s="437"/>
    </row>
    <row r="749" spans="1:10" s="428" customFormat="1" ht="20.399999999999999" customHeight="1">
      <c r="A749" s="1245"/>
      <c r="B749" s="431"/>
      <c r="C749" s="437"/>
      <c r="D749" s="488"/>
      <c r="F749" s="431"/>
      <c r="G749" s="596"/>
      <c r="H749" s="430"/>
      <c r="J749" s="437"/>
    </row>
    <row r="750" spans="1:10" s="428" customFormat="1" ht="20.399999999999999" customHeight="1">
      <c r="A750" s="1245"/>
      <c r="B750" s="431"/>
      <c r="C750" s="437"/>
      <c r="D750" s="488"/>
      <c r="F750" s="431"/>
      <c r="G750" s="596"/>
      <c r="H750" s="430"/>
      <c r="J750" s="437"/>
    </row>
    <row r="751" spans="1:10" s="428" customFormat="1" ht="20.399999999999999" customHeight="1">
      <c r="A751" s="1245"/>
      <c r="B751" s="431"/>
      <c r="C751" s="437"/>
      <c r="D751" s="488"/>
      <c r="F751" s="431"/>
      <c r="G751" s="596"/>
      <c r="H751" s="430"/>
      <c r="J751" s="437"/>
    </row>
    <row r="752" spans="1:10" s="428" customFormat="1" ht="20.399999999999999" customHeight="1">
      <c r="A752" s="1245"/>
      <c r="B752" s="431"/>
      <c r="C752" s="437"/>
      <c r="D752" s="488"/>
      <c r="F752" s="431"/>
      <c r="G752" s="596"/>
      <c r="H752" s="430"/>
      <c r="J752" s="437"/>
    </row>
    <row r="753" spans="1:10" s="428" customFormat="1" ht="20.399999999999999" customHeight="1">
      <c r="A753" s="1245"/>
      <c r="B753" s="431"/>
      <c r="C753" s="437"/>
      <c r="D753" s="488"/>
      <c r="F753" s="431"/>
      <c r="G753" s="596"/>
      <c r="H753" s="430"/>
      <c r="J753" s="437"/>
    </row>
    <row r="754" spans="1:10" s="428" customFormat="1" ht="20.399999999999999" customHeight="1">
      <c r="A754" s="1245"/>
      <c r="B754" s="431"/>
      <c r="C754" s="437"/>
      <c r="D754" s="488"/>
      <c r="F754" s="431"/>
      <c r="G754" s="596"/>
      <c r="H754" s="430"/>
      <c r="J754" s="437"/>
    </row>
    <row r="755" spans="1:10" s="428" customFormat="1" ht="20.399999999999999" customHeight="1">
      <c r="A755" s="1245"/>
      <c r="B755" s="431"/>
      <c r="C755" s="437"/>
      <c r="D755" s="488"/>
      <c r="F755" s="431"/>
      <c r="G755" s="596"/>
      <c r="H755" s="430"/>
      <c r="J755" s="437"/>
    </row>
    <row r="756" spans="1:10" s="428" customFormat="1" ht="20.399999999999999" customHeight="1">
      <c r="A756" s="1245"/>
      <c r="B756" s="431"/>
      <c r="C756" s="437"/>
      <c r="D756" s="488"/>
      <c r="F756" s="431"/>
      <c r="G756" s="596"/>
      <c r="H756" s="430"/>
      <c r="J756" s="437"/>
    </row>
    <row r="757" spans="1:10" s="428" customFormat="1" ht="20.399999999999999" customHeight="1">
      <c r="A757" s="1245"/>
      <c r="B757" s="431"/>
      <c r="C757" s="437"/>
      <c r="D757" s="488"/>
      <c r="F757" s="431"/>
      <c r="G757" s="596"/>
      <c r="H757" s="430"/>
      <c r="J757" s="437"/>
    </row>
    <row r="758" spans="1:10" s="428" customFormat="1" ht="20.399999999999999" customHeight="1">
      <c r="A758" s="1245"/>
      <c r="B758" s="431"/>
      <c r="C758" s="437"/>
      <c r="D758" s="488"/>
      <c r="F758" s="431"/>
      <c r="G758" s="596"/>
      <c r="H758" s="430"/>
      <c r="J758" s="437"/>
    </row>
    <row r="759" spans="1:10" s="428" customFormat="1" ht="20.399999999999999" customHeight="1">
      <c r="A759" s="1245"/>
      <c r="B759" s="431"/>
      <c r="C759" s="437"/>
      <c r="D759" s="488"/>
      <c r="F759" s="431"/>
      <c r="G759" s="596"/>
      <c r="H759" s="430"/>
      <c r="J759" s="437"/>
    </row>
    <row r="760" spans="1:10" s="428" customFormat="1" ht="20.399999999999999" customHeight="1">
      <c r="A760" s="1245"/>
      <c r="B760" s="431"/>
      <c r="C760" s="437"/>
      <c r="D760" s="488"/>
      <c r="F760" s="431"/>
      <c r="G760" s="596"/>
      <c r="H760" s="430"/>
      <c r="J760" s="437"/>
    </row>
    <row r="761" spans="1:10" s="428" customFormat="1" ht="20.399999999999999" customHeight="1">
      <c r="A761" s="1245"/>
      <c r="B761" s="431"/>
      <c r="C761" s="437"/>
      <c r="D761" s="488"/>
      <c r="F761" s="431"/>
      <c r="G761" s="596"/>
      <c r="H761" s="430"/>
      <c r="J761" s="437"/>
    </row>
    <row r="762" spans="1:10" s="428" customFormat="1" ht="20.399999999999999" customHeight="1">
      <c r="A762" s="1245"/>
      <c r="B762" s="431"/>
      <c r="C762" s="437"/>
      <c r="D762" s="488"/>
      <c r="F762" s="431"/>
      <c r="G762" s="596"/>
      <c r="H762" s="430"/>
      <c r="J762" s="437"/>
    </row>
    <row r="763" spans="1:10" s="428" customFormat="1" ht="20.399999999999999" customHeight="1">
      <c r="A763" s="1245"/>
      <c r="B763" s="431"/>
      <c r="C763" s="437"/>
      <c r="D763" s="488"/>
      <c r="F763" s="431"/>
      <c r="G763" s="596"/>
      <c r="H763" s="430"/>
      <c r="J763" s="437"/>
    </row>
    <row r="764" spans="1:10" s="428" customFormat="1" ht="20.399999999999999" customHeight="1">
      <c r="A764" s="1245"/>
      <c r="B764" s="431"/>
      <c r="C764" s="437"/>
      <c r="D764" s="488"/>
      <c r="F764" s="431"/>
      <c r="G764" s="596"/>
      <c r="H764" s="430"/>
      <c r="J764" s="437"/>
    </row>
    <row r="765" spans="1:10" s="428" customFormat="1" ht="20.399999999999999" customHeight="1">
      <c r="A765" s="1245"/>
      <c r="B765" s="431"/>
      <c r="C765" s="437"/>
      <c r="D765" s="488"/>
      <c r="F765" s="431"/>
      <c r="G765" s="596"/>
      <c r="H765" s="430"/>
      <c r="J765" s="437"/>
    </row>
    <row r="766" spans="1:10" s="428" customFormat="1" ht="20.399999999999999" customHeight="1">
      <c r="A766" s="1245"/>
      <c r="B766" s="431"/>
      <c r="C766" s="437"/>
      <c r="D766" s="488"/>
      <c r="F766" s="431"/>
      <c r="G766" s="596"/>
      <c r="H766" s="430"/>
      <c r="J766" s="437"/>
    </row>
    <row r="767" spans="1:10" s="428" customFormat="1" ht="20.399999999999999" customHeight="1">
      <c r="A767" s="1245"/>
      <c r="B767" s="431"/>
      <c r="C767" s="437"/>
      <c r="D767" s="488"/>
      <c r="F767" s="431"/>
      <c r="G767" s="596"/>
      <c r="H767" s="430"/>
      <c r="J767" s="437"/>
    </row>
    <row r="768" spans="1:10" s="428" customFormat="1" ht="20.399999999999999" customHeight="1">
      <c r="A768" s="1245"/>
      <c r="B768" s="431"/>
      <c r="C768" s="437"/>
      <c r="D768" s="488"/>
      <c r="F768" s="431"/>
      <c r="G768" s="596"/>
      <c r="H768" s="430"/>
      <c r="J768" s="437"/>
    </row>
    <row r="769" spans="1:10" s="428" customFormat="1" ht="20.399999999999999" customHeight="1">
      <c r="A769" s="1245"/>
      <c r="B769" s="431"/>
      <c r="C769" s="437"/>
      <c r="D769" s="488"/>
      <c r="F769" s="431"/>
      <c r="G769" s="596"/>
      <c r="H769" s="430"/>
      <c r="J769" s="437"/>
    </row>
    <row r="770" spans="1:10" s="428" customFormat="1" ht="20.399999999999999" customHeight="1">
      <c r="A770" s="1245"/>
      <c r="B770" s="431"/>
      <c r="C770" s="437"/>
      <c r="D770" s="488"/>
      <c r="F770" s="431"/>
      <c r="G770" s="596"/>
      <c r="H770" s="430"/>
      <c r="J770" s="437"/>
    </row>
    <row r="771" spans="1:10" s="428" customFormat="1" ht="20.399999999999999" customHeight="1">
      <c r="A771" s="1245"/>
      <c r="B771" s="431"/>
      <c r="C771" s="437"/>
      <c r="D771" s="488"/>
      <c r="F771" s="431"/>
      <c r="G771" s="596"/>
      <c r="H771" s="430"/>
      <c r="J771" s="437"/>
    </row>
    <row r="772" spans="1:10" s="428" customFormat="1" ht="20.399999999999999" customHeight="1">
      <c r="A772" s="1245"/>
      <c r="B772" s="431"/>
      <c r="C772" s="437"/>
      <c r="D772" s="488"/>
      <c r="F772" s="431"/>
      <c r="G772" s="596"/>
      <c r="H772" s="430"/>
      <c r="J772" s="437"/>
    </row>
    <row r="773" spans="1:10" s="428" customFormat="1" ht="20.399999999999999" customHeight="1">
      <c r="A773" s="1245"/>
      <c r="B773" s="431"/>
      <c r="C773" s="437"/>
      <c r="D773" s="488"/>
      <c r="F773" s="431"/>
      <c r="G773" s="596"/>
      <c r="H773" s="430"/>
      <c r="J773" s="437"/>
    </row>
    <row r="774" spans="1:10" s="428" customFormat="1" ht="20.399999999999999" customHeight="1">
      <c r="A774" s="1245"/>
      <c r="B774" s="431"/>
      <c r="C774" s="437"/>
      <c r="D774" s="488"/>
      <c r="F774" s="431"/>
      <c r="G774" s="596"/>
      <c r="H774" s="430"/>
      <c r="J774" s="437"/>
    </row>
    <row r="775" spans="1:10" s="428" customFormat="1" ht="20.399999999999999" customHeight="1">
      <c r="A775" s="1245"/>
      <c r="B775" s="431"/>
      <c r="C775" s="437"/>
      <c r="D775" s="488"/>
      <c r="F775" s="431"/>
      <c r="G775" s="596"/>
      <c r="H775" s="430"/>
      <c r="J775" s="437"/>
    </row>
    <row r="776" spans="1:10" s="428" customFormat="1" ht="20.399999999999999" customHeight="1">
      <c r="A776" s="1245"/>
      <c r="B776" s="431"/>
      <c r="C776" s="437"/>
      <c r="D776" s="488"/>
      <c r="F776" s="431"/>
      <c r="G776" s="596"/>
      <c r="H776" s="430"/>
      <c r="J776" s="437"/>
    </row>
    <row r="777" spans="1:10" s="428" customFormat="1" ht="20.399999999999999" customHeight="1">
      <c r="A777" s="1245"/>
      <c r="B777" s="431"/>
      <c r="C777" s="437"/>
      <c r="D777" s="488"/>
      <c r="F777" s="431"/>
      <c r="G777" s="596"/>
      <c r="H777" s="430"/>
      <c r="J777" s="437"/>
    </row>
    <row r="778" spans="1:10" s="428" customFormat="1" ht="20.399999999999999" customHeight="1">
      <c r="A778" s="1245"/>
      <c r="B778" s="431"/>
      <c r="C778" s="437"/>
      <c r="D778" s="488"/>
      <c r="F778" s="431"/>
      <c r="G778" s="596"/>
      <c r="H778" s="430"/>
      <c r="J778" s="437"/>
    </row>
    <row r="779" spans="1:10" s="428" customFormat="1" ht="20.399999999999999" customHeight="1">
      <c r="A779" s="1245"/>
      <c r="B779" s="431"/>
      <c r="C779" s="437"/>
      <c r="D779" s="488"/>
      <c r="F779" s="431"/>
      <c r="G779" s="596"/>
      <c r="H779" s="430"/>
      <c r="J779" s="437"/>
    </row>
    <row r="780" spans="1:10" s="428" customFormat="1" ht="20.399999999999999" customHeight="1">
      <c r="A780" s="1245"/>
      <c r="B780" s="431"/>
      <c r="C780" s="437"/>
      <c r="D780" s="488"/>
      <c r="F780" s="431"/>
      <c r="G780" s="596"/>
      <c r="H780" s="430"/>
      <c r="J780" s="437"/>
    </row>
    <row r="781" spans="1:10" s="428" customFormat="1" ht="20.399999999999999" customHeight="1">
      <c r="A781" s="1245"/>
      <c r="B781" s="431"/>
      <c r="C781" s="437"/>
      <c r="D781" s="488"/>
      <c r="F781" s="431"/>
      <c r="G781" s="596"/>
      <c r="H781" s="430"/>
      <c r="J781" s="437"/>
    </row>
    <row r="782" spans="1:10" s="428" customFormat="1" ht="20.399999999999999" customHeight="1">
      <c r="A782" s="1245"/>
      <c r="B782" s="431"/>
      <c r="C782" s="437"/>
      <c r="D782" s="488"/>
      <c r="F782" s="431"/>
      <c r="G782" s="596"/>
      <c r="H782" s="430"/>
      <c r="J782" s="437"/>
    </row>
    <row r="783" spans="1:10" s="428" customFormat="1" ht="20.399999999999999" customHeight="1">
      <c r="A783" s="1245"/>
      <c r="B783" s="431"/>
      <c r="C783" s="437"/>
      <c r="D783" s="488"/>
      <c r="F783" s="431"/>
      <c r="G783" s="596"/>
      <c r="H783" s="430"/>
      <c r="J783" s="437"/>
    </row>
    <row r="784" spans="1:10" s="428" customFormat="1" ht="20.399999999999999" customHeight="1">
      <c r="A784" s="1245"/>
      <c r="B784" s="431"/>
      <c r="C784" s="437"/>
      <c r="D784" s="488"/>
      <c r="F784" s="431"/>
      <c r="G784" s="596"/>
      <c r="H784" s="430"/>
      <c r="J784" s="437"/>
    </row>
    <row r="785" spans="1:10" s="428" customFormat="1" ht="20.399999999999999" customHeight="1">
      <c r="A785" s="1245"/>
      <c r="B785" s="431"/>
      <c r="C785" s="437"/>
      <c r="D785" s="488"/>
      <c r="F785" s="431"/>
      <c r="G785" s="596"/>
      <c r="H785" s="430"/>
      <c r="J785" s="437"/>
    </row>
    <row r="786" spans="1:10" s="428" customFormat="1" ht="20.399999999999999" customHeight="1">
      <c r="A786" s="1245"/>
      <c r="B786" s="431"/>
      <c r="C786" s="437"/>
      <c r="D786" s="488"/>
      <c r="F786" s="431"/>
      <c r="G786" s="596"/>
      <c r="H786" s="430"/>
      <c r="J786" s="437"/>
    </row>
    <row r="787" spans="1:10" s="428" customFormat="1" ht="20.399999999999999" customHeight="1">
      <c r="A787" s="1245"/>
      <c r="B787" s="431"/>
      <c r="C787" s="437"/>
      <c r="D787" s="488"/>
      <c r="F787" s="431"/>
      <c r="G787" s="596"/>
      <c r="H787" s="430"/>
      <c r="J787" s="437"/>
    </row>
    <row r="788" spans="1:10" s="428" customFormat="1" ht="20.399999999999999" customHeight="1">
      <c r="A788" s="1245"/>
      <c r="B788" s="431"/>
      <c r="C788" s="437"/>
      <c r="D788" s="488"/>
      <c r="F788" s="431"/>
      <c r="G788" s="596"/>
      <c r="H788" s="430"/>
      <c r="J788" s="437"/>
    </row>
    <row r="789" spans="1:10" s="428" customFormat="1" ht="20.399999999999999" customHeight="1">
      <c r="A789" s="1245"/>
      <c r="B789" s="431"/>
      <c r="C789" s="437"/>
      <c r="D789" s="488"/>
      <c r="F789" s="431"/>
      <c r="G789" s="596"/>
      <c r="H789" s="430"/>
      <c r="J789" s="437"/>
    </row>
    <row r="790" spans="1:10" s="428" customFormat="1" ht="20.399999999999999" customHeight="1">
      <c r="A790" s="1245"/>
      <c r="B790" s="431"/>
      <c r="C790" s="437"/>
      <c r="D790" s="488"/>
      <c r="F790" s="431"/>
      <c r="G790" s="596"/>
      <c r="H790" s="430"/>
      <c r="J790" s="437"/>
    </row>
    <row r="791" spans="1:10" s="428" customFormat="1" ht="20.399999999999999" customHeight="1">
      <c r="A791" s="1245"/>
      <c r="B791" s="431"/>
      <c r="C791" s="437"/>
      <c r="D791" s="488"/>
      <c r="F791" s="431"/>
      <c r="G791" s="596"/>
      <c r="H791" s="430"/>
      <c r="J791" s="437"/>
    </row>
    <row r="792" spans="1:10" s="428" customFormat="1" ht="20.399999999999999" customHeight="1">
      <c r="A792" s="1245"/>
      <c r="B792" s="431"/>
      <c r="C792" s="437"/>
      <c r="D792" s="488"/>
      <c r="F792" s="431"/>
      <c r="G792" s="596"/>
      <c r="H792" s="430"/>
      <c r="J792" s="437"/>
    </row>
    <row r="793" spans="1:10" s="428" customFormat="1" ht="20.399999999999999" customHeight="1">
      <c r="A793" s="1245"/>
      <c r="B793" s="431"/>
      <c r="C793" s="437"/>
      <c r="D793" s="488"/>
      <c r="F793" s="431"/>
      <c r="G793" s="596"/>
      <c r="H793" s="430"/>
      <c r="J793" s="437"/>
    </row>
    <row r="794" spans="1:10" s="428" customFormat="1" ht="20.399999999999999" customHeight="1">
      <c r="A794" s="1245"/>
      <c r="B794" s="431"/>
      <c r="C794" s="437"/>
      <c r="D794" s="488"/>
      <c r="F794" s="431"/>
      <c r="G794" s="596"/>
      <c r="H794" s="430"/>
      <c r="J794" s="437"/>
    </row>
    <row r="795" spans="1:10" s="428" customFormat="1" ht="20.399999999999999" customHeight="1">
      <c r="A795" s="1245"/>
      <c r="B795" s="431"/>
      <c r="C795" s="437"/>
      <c r="D795" s="488"/>
      <c r="F795" s="431"/>
      <c r="G795" s="596"/>
      <c r="H795" s="430"/>
      <c r="J795" s="437"/>
    </row>
    <row r="796" spans="1:10" s="428" customFormat="1" ht="20.399999999999999" customHeight="1">
      <c r="A796" s="1245"/>
      <c r="B796" s="431"/>
      <c r="C796" s="437"/>
      <c r="D796" s="488"/>
      <c r="F796" s="431"/>
      <c r="G796" s="596"/>
      <c r="H796" s="430"/>
      <c r="J796" s="437"/>
    </row>
    <row r="797" spans="1:10" s="428" customFormat="1" ht="20.399999999999999" customHeight="1">
      <c r="A797" s="1245"/>
      <c r="B797" s="431"/>
      <c r="C797" s="437"/>
      <c r="D797" s="488"/>
      <c r="F797" s="431"/>
      <c r="G797" s="596"/>
      <c r="H797" s="430"/>
      <c r="J797" s="437"/>
    </row>
    <row r="798" spans="1:10" s="428" customFormat="1" ht="20.399999999999999" customHeight="1">
      <c r="A798" s="1245"/>
      <c r="B798" s="431"/>
      <c r="C798" s="437"/>
      <c r="D798" s="488"/>
      <c r="F798" s="431"/>
      <c r="G798" s="596"/>
      <c r="H798" s="430"/>
      <c r="J798" s="437"/>
    </row>
    <row r="799" spans="1:10" s="428" customFormat="1" ht="20.399999999999999" customHeight="1">
      <c r="A799" s="1245"/>
      <c r="B799" s="431"/>
      <c r="C799" s="437"/>
      <c r="D799" s="488"/>
      <c r="F799" s="431"/>
      <c r="G799" s="596"/>
      <c r="H799" s="430"/>
      <c r="J799" s="437"/>
    </row>
    <row r="800" spans="1:10" s="428" customFormat="1" ht="20.399999999999999" customHeight="1">
      <c r="A800" s="1245"/>
      <c r="B800" s="431"/>
      <c r="C800" s="437"/>
      <c r="D800" s="488"/>
      <c r="F800" s="431"/>
      <c r="G800" s="596"/>
      <c r="H800" s="430"/>
      <c r="J800" s="437"/>
    </row>
    <row r="801" spans="1:10" s="428" customFormat="1" ht="20.399999999999999" customHeight="1">
      <c r="A801" s="1245"/>
      <c r="B801" s="431"/>
      <c r="C801" s="437"/>
      <c r="D801" s="488"/>
      <c r="F801" s="431"/>
      <c r="G801" s="596"/>
      <c r="H801" s="430"/>
      <c r="J801" s="437"/>
    </row>
    <row r="802" spans="1:10" s="428" customFormat="1" ht="20.399999999999999" customHeight="1">
      <c r="A802" s="1245"/>
      <c r="B802" s="431"/>
      <c r="C802" s="437"/>
      <c r="D802" s="488"/>
      <c r="F802" s="431"/>
      <c r="G802" s="596"/>
      <c r="H802" s="430"/>
      <c r="J802" s="437"/>
    </row>
    <row r="803" spans="1:10" s="428" customFormat="1" ht="20.399999999999999" customHeight="1">
      <c r="A803" s="1245"/>
      <c r="B803" s="431"/>
      <c r="C803" s="437"/>
      <c r="D803" s="488"/>
      <c r="F803" s="431"/>
      <c r="G803" s="596"/>
      <c r="H803" s="430"/>
      <c r="J803" s="437"/>
    </row>
    <row r="804" spans="1:10" s="428" customFormat="1" ht="20.399999999999999" customHeight="1">
      <c r="A804" s="1245"/>
      <c r="B804" s="431"/>
      <c r="C804" s="437"/>
      <c r="D804" s="488"/>
      <c r="F804" s="431"/>
      <c r="G804" s="596"/>
      <c r="H804" s="430"/>
      <c r="J804" s="437"/>
    </row>
    <row r="805" spans="1:10" s="428" customFormat="1" ht="20.399999999999999" customHeight="1">
      <c r="A805" s="1245"/>
      <c r="B805" s="431"/>
      <c r="C805" s="437"/>
      <c r="D805" s="488"/>
      <c r="F805" s="431"/>
      <c r="G805" s="596"/>
      <c r="H805" s="430"/>
      <c r="J805" s="437"/>
    </row>
    <row r="806" spans="1:10" s="428" customFormat="1" ht="20.399999999999999" customHeight="1">
      <c r="A806" s="1245"/>
      <c r="B806" s="431"/>
      <c r="C806" s="437"/>
      <c r="D806" s="488"/>
      <c r="F806" s="431"/>
      <c r="G806" s="596"/>
      <c r="H806" s="430"/>
      <c r="J806" s="437"/>
    </row>
    <row r="807" spans="1:10" s="428" customFormat="1" ht="20.399999999999999" customHeight="1">
      <c r="A807" s="1245"/>
      <c r="B807" s="431"/>
      <c r="C807" s="437"/>
      <c r="D807" s="488"/>
      <c r="F807" s="431"/>
      <c r="G807" s="596"/>
      <c r="H807" s="430"/>
      <c r="J807" s="437"/>
    </row>
    <row r="808" spans="1:10" s="428" customFormat="1" ht="20.399999999999999" customHeight="1">
      <c r="A808" s="1245"/>
      <c r="B808" s="431"/>
      <c r="C808" s="437"/>
      <c r="D808" s="488"/>
      <c r="F808" s="431"/>
      <c r="G808" s="596"/>
      <c r="H808" s="430"/>
      <c r="J808" s="437"/>
    </row>
    <row r="809" spans="1:10" s="428" customFormat="1" ht="20.399999999999999" customHeight="1">
      <c r="A809" s="1245"/>
      <c r="B809" s="431"/>
      <c r="C809" s="437"/>
      <c r="D809" s="488"/>
      <c r="F809" s="431"/>
      <c r="G809" s="596"/>
      <c r="H809" s="430"/>
      <c r="J809" s="437"/>
    </row>
    <row r="810" spans="1:10" s="428" customFormat="1" ht="20.399999999999999" customHeight="1">
      <c r="A810" s="1245"/>
      <c r="B810" s="431"/>
      <c r="C810" s="437"/>
      <c r="D810" s="488"/>
      <c r="F810" s="431"/>
      <c r="G810" s="596"/>
      <c r="H810" s="430"/>
      <c r="J810" s="437"/>
    </row>
    <row r="811" spans="1:10" s="428" customFormat="1" ht="20.399999999999999" customHeight="1">
      <c r="A811" s="1245"/>
      <c r="B811" s="431"/>
      <c r="C811" s="437"/>
      <c r="D811" s="488"/>
      <c r="F811" s="431"/>
      <c r="G811" s="596"/>
      <c r="H811" s="430"/>
      <c r="J811" s="437"/>
    </row>
    <row r="812" spans="1:10" s="428" customFormat="1" ht="20.399999999999999" customHeight="1">
      <c r="A812" s="1245"/>
      <c r="B812" s="431"/>
      <c r="C812" s="437"/>
      <c r="D812" s="488"/>
      <c r="F812" s="431"/>
      <c r="G812" s="596"/>
      <c r="H812" s="430"/>
      <c r="J812" s="437"/>
    </row>
    <row r="813" spans="1:10" s="428" customFormat="1" ht="20.399999999999999" customHeight="1">
      <c r="A813" s="1245"/>
      <c r="B813" s="431"/>
      <c r="C813" s="437"/>
      <c r="D813" s="488"/>
      <c r="F813" s="431"/>
      <c r="G813" s="596"/>
      <c r="H813" s="430"/>
      <c r="J813" s="437"/>
    </row>
    <row r="814" spans="1:10" s="428" customFormat="1" ht="20.399999999999999" customHeight="1">
      <c r="A814" s="1245"/>
      <c r="B814" s="431"/>
      <c r="C814" s="437"/>
      <c r="D814" s="488"/>
      <c r="F814" s="431"/>
      <c r="G814" s="596"/>
      <c r="H814" s="430"/>
      <c r="J814" s="437"/>
    </row>
    <row r="815" spans="1:10" s="428" customFormat="1" ht="20.399999999999999" customHeight="1">
      <c r="A815" s="1245"/>
      <c r="B815" s="431"/>
      <c r="C815" s="437"/>
      <c r="D815" s="488"/>
      <c r="F815" s="431"/>
      <c r="G815" s="596"/>
      <c r="H815" s="430"/>
      <c r="J815" s="437"/>
    </row>
    <row r="816" spans="1:10" s="428" customFormat="1" ht="20.399999999999999" customHeight="1">
      <c r="A816" s="1245"/>
      <c r="B816" s="431"/>
      <c r="C816" s="437"/>
      <c r="D816" s="488"/>
      <c r="F816" s="431"/>
      <c r="G816" s="596"/>
      <c r="H816" s="430"/>
      <c r="J816" s="437"/>
    </row>
    <row r="817" spans="1:10" s="428" customFormat="1" ht="20.399999999999999" customHeight="1">
      <c r="A817" s="1245"/>
      <c r="B817" s="431"/>
      <c r="C817" s="437"/>
      <c r="D817" s="488"/>
      <c r="F817" s="431"/>
      <c r="G817" s="596"/>
      <c r="H817" s="430"/>
      <c r="J817" s="437"/>
    </row>
    <row r="818" spans="1:10" s="428" customFormat="1" ht="20.399999999999999" customHeight="1">
      <c r="A818" s="1245"/>
      <c r="B818" s="431"/>
      <c r="C818" s="437"/>
      <c r="D818" s="488"/>
      <c r="F818" s="431"/>
      <c r="G818" s="596"/>
      <c r="H818" s="430"/>
      <c r="J818" s="437"/>
    </row>
    <row r="819" spans="1:10" s="428" customFormat="1" ht="20.399999999999999" customHeight="1">
      <c r="A819" s="1245"/>
      <c r="B819" s="431"/>
      <c r="C819" s="437"/>
      <c r="D819" s="488"/>
      <c r="F819" s="431"/>
      <c r="G819" s="596"/>
      <c r="H819" s="430"/>
      <c r="J819" s="437"/>
    </row>
    <row r="820" spans="1:10" s="428" customFormat="1" ht="20.399999999999999" customHeight="1">
      <c r="A820" s="1245"/>
      <c r="B820" s="431"/>
      <c r="C820" s="437"/>
      <c r="D820" s="488"/>
      <c r="F820" s="431"/>
      <c r="G820" s="596"/>
      <c r="H820" s="430"/>
      <c r="J820" s="437"/>
    </row>
    <row r="821" spans="1:10" s="428" customFormat="1" ht="20.399999999999999" customHeight="1">
      <c r="A821" s="1245"/>
      <c r="B821" s="431"/>
      <c r="C821" s="437"/>
      <c r="D821" s="488"/>
      <c r="F821" s="431"/>
      <c r="G821" s="596"/>
      <c r="H821" s="430"/>
      <c r="J821" s="437"/>
    </row>
    <row r="822" spans="1:10" s="428" customFormat="1" ht="20.399999999999999" customHeight="1">
      <c r="A822" s="1245"/>
      <c r="B822" s="431"/>
      <c r="C822" s="437"/>
      <c r="D822" s="488"/>
      <c r="F822" s="431"/>
      <c r="G822" s="596"/>
      <c r="H822" s="430"/>
      <c r="J822" s="437"/>
    </row>
    <row r="823" spans="1:10" s="428" customFormat="1" ht="20.399999999999999" customHeight="1">
      <c r="A823" s="1245"/>
      <c r="B823" s="431"/>
      <c r="C823" s="437"/>
      <c r="D823" s="488"/>
      <c r="F823" s="431"/>
      <c r="G823" s="596"/>
      <c r="H823" s="430"/>
      <c r="J823" s="437"/>
    </row>
    <row r="824" spans="1:10" s="428" customFormat="1" ht="20.399999999999999" customHeight="1">
      <c r="A824" s="1245"/>
      <c r="B824" s="431"/>
      <c r="C824" s="437"/>
      <c r="D824" s="488"/>
      <c r="F824" s="431"/>
      <c r="G824" s="596"/>
      <c r="H824" s="430"/>
      <c r="J824" s="437"/>
    </row>
    <row r="825" spans="1:10" s="428" customFormat="1" ht="20.399999999999999" customHeight="1">
      <c r="A825" s="1245"/>
      <c r="B825" s="431"/>
      <c r="C825" s="437"/>
      <c r="D825" s="488"/>
      <c r="F825" s="431"/>
      <c r="G825" s="596"/>
      <c r="H825" s="430"/>
      <c r="J825" s="437"/>
    </row>
    <row r="826" spans="1:10" s="428" customFormat="1" ht="20.399999999999999" customHeight="1">
      <c r="A826" s="1245"/>
      <c r="B826" s="431"/>
      <c r="C826" s="437"/>
      <c r="D826" s="488"/>
      <c r="F826" s="431"/>
      <c r="G826" s="596"/>
      <c r="H826" s="430"/>
      <c r="J826" s="437"/>
    </row>
    <row r="827" spans="1:10" s="428" customFormat="1" ht="20.399999999999999" customHeight="1">
      <c r="A827" s="1245"/>
      <c r="B827" s="431"/>
      <c r="C827" s="437"/>
      <c r="D827" s="488"/>
      <c r="F827" s="431"/>
      <c r="G827" s="596"/>
      <c r="H827" s="430"/>
      <c r="J827" s="437"/>
    </row>
    <row r="828" spans="1:10" s="428" customFormat="1" ht="20.399999999999999" customHeight="1">
      <c r="A828" s="1245"/>
      <c r="B828" s="431"/>
      <c r="C828" s="437"/>
      <c r="D828" s="488"/>
      <c r="F828" s="431"/>
      <c r="G828" s="596"/>
      <c r="H828" s="430"/>
      <c r="J828" s="437"/>
    </row>
    <row r="829" spans="1:10" s="428" customFormat="1" ht="20.399999999999999" customHeight="1">
      <c r="A829" s="1245"/>
      <c r="B829" s="431"/>
      <c r="C829" s="437"/>
      <c r="D829" s="488"/>
      <c r="F829" s="431"/>
      <c r="G829" s="596"/>
      <c r="H829" s="430"/>
      <c r="J829" s="437"/>
    </row>
    <row r="830" spans="1:10" s="428" customFormat="1" ht="20.399999999999999" customHeight="1">
      <c r="A830" s="1245"/>
      <c r="B830" s="431"/>
      <c r="C830" s="437"/>
      <c r="D830" s="488"/>
      <c r="F830" s="431"/>
      <c r="G830" s="596"/>
      <c r="H830" s="430"/>
      <c r="J830" s="437"/>
    </row>
    <row r="831" spans="1:10" s="428" customFormat="1" ht="20.399999999999999" customHeight="1">
      <c r="A831" s="1245"/>
      <c r="B831" s="431"/>
      <c r="C831" s="437"/>
      <c r="D831" s="488"/>
      <c r="F831" s="431"/>
      <c r="G831" s="596"/>
      <c r="H831" s="430"/>
      <c r="J831" s="437"/>
    </row>
    <row r="832" spans="1:10" s="428" customFormat="1" ht="20.399999999999999" customHeight="1">
      <c r="A832" s="1245"/>
      <c r="B832" s="431"/>
      <c r="C832" s="437"/>
      <c r="D832" s="488"/>
      <c r="F832" s="431"/>
      <c r="G832" s="596"/>
      <c r="H832" s="430"/>
      <c r="J832" s="437"/>
    </row>
    <row r="833" spans="1:10" s="428" customFormat="1" ht="20.399999999999999" customHeight="1">
      <c r="A833" s="1245"/>
      <c r="B833" s="431"/>
      <c r="C833" s="437"/>
      <c r="D833" s="488"/>
      <c r="F833" s="431"/>
      <c r="G833" s="596"/>
      <c r="H833" s="430"/>
      <c r="J833" s="437"/>
    </row>
    <row r="834" spans="1:10" s="428" customFormat="1" ht="20.399999999999999" customHeight="1">
      <c r="A834" s="1245"/>
      <c r="B834" s="431"/>
      <c r="C834" s="437"/>
      <c r="D834" s="488"/>
      <c r="F834" s="431"/>
      <c r="G834" s="596"/>
      <c r="H834" s="430"/>
      <c r="J834" s="437"/>
    </row>
    <row r="835" spans="1:10" s="428" customFormat="1" ht="20.399999999999999" customHeight="1">
      <c r="A835" s="1245"/>
      <c r="B835" s="431"/>
      <c r="C835" s="437"/>
      <c r="D835" s="488"/>
      <c r="F835" s="431"/>
      <c r="G835" s="596"/>
      <c r="H835" s="430"/>
      <c r="J835" s="437"/>
    </row>
    <row r="836" spans="1:10" s="428" customFormat="1" ht="20.399999999999999" customHeight="1">
      <c r="A836" s="1245"/>
      <c r="B836" s="431"/>
      <c r="C836" s="437"/>
      <c r="D836" s="488"/>
      <c r="F836" s="431"/>
      <c r="G836" s="596"/>
      <c r="H836" s="430"/>
      <c r="J836" s="437"/>
    </row>
    <row r="837" spans="1:10" s="428" customFormat="1" ht="20.399999999999999" customHeight="1">
      <c r="A837" s="1245"/>
      <c r="B837" s="431"/>
      <c r="C837" s="437"/>
      <c r="D837" s="488"/>
      <c r="F837" s="431"/>
      <c r="G837" s="596"/>
      <c r="H837" s="430"/>
      <c r="J837" s="437"/>
    </row>
    <row r="838" spans="1:10" s="428" customFormat="1" ht="20.399999999999999" customHeight="1">
      <c r="A838" s="1245"/>
      <c r="B838" s="431"/>
      <c r="C838" s="437"/>
      <c r="D838" s="488"/>
      <c r="F838" s="431"/>
      <c r="G838" s="596"/>
      <c r="H838" s="430"/>
      <c r="J838" s="437"/>
    </row>
    <row r="839" spans="1:10" s="428" customFormat="1" ht="20.399999999999999" customHeight="1">
      <c r="A839" s="1245"/>
      <c r="B839" s="431"/>
      <c r="C839" s="437"/>
      <c r="D839" s="488"/>
      <c r="F839" s="431"/>
      <c r="G839" s="596"/>
      <c r="H839" s="430"/>
      <c r="J839" s="437"/>
    </row>
    <row r="840" spans="1:10" s="428" customFormat="1" ht="20.399999999999999" customHeight="1">
      <c r="A840" s="1245"/>
      <c r="B840" s="431"/>
      <c r="C840" s="437"/>
      <c r="D840" s="488"/>
      <c r="F840" s="431"/>
      <c r="G840" s="596"/>
      <c r="H840" s="430"/>
      <c r="J840" s="437"/>
    </row>
    <row r="841" spans="1:10" s="428" customFormat="1" ht="20.399999999999999" customHeight="1">
      <c r="A841" s="1245"/>
      <c r="B841" s="431"/>
      <c r="C841" s="437"/>
      <c r="D841" s="488"/>
      <c r="F841" s="431"/>
      <c r="G841" s="596"/>
      <c r="H841" s="430"/>
      <c r="J841" s="437"/>
    </row>
    <row r="842" spans="1:10" s="428" customFormat="1" ht="20.399999999999999" customHeight="1">
      <c r="A842" s="1245"/>
      <c r="B842" s="431"/>
      <c r="C842" s="437"/>
      <c r="D842" s="488"/>
      <c r="F842" s="431"/>
      <c r="G842" s="596"/>
      <c r="H842" s="430"/>
      <c r="J842" s="437"/>
    </row>
    <row r="843" spans="1:10" s="428" customFormat="1" ht="20.399999999999999" customHeight="1">
      <c r="A843" s="1245"/>
      <c r="B843" s="431"/>
      <c r="C843" s="437"/>
      <c r="D843" s="488"/>
      <c r="F843" s="431"/>
      <c r="G843" s="596"/>
      <c r="H843" s="430"/>
      <c r="J843" s="437"/>
    </row>
    <row r="844" spans="1:10" s="428" customFormat="1" ht="20.399999999999999" customHeight="1">
      <c r="A844" s="1245"/>
      <c r="B844" s="431"/>
      <c r="C844" s="437"/>
      <c r="D844" s="488"/>
      <c r="F844" s="431"/>
      <c r="G844" s="596"/>
      <c r="H844" s="430"/>
      <c r="J844" s="437"/>
    </row>
    <row r="845" spans="1:10" s="428" customFormat="1" ht="20.399999999999999" customHeight="1">
      <c r="A845" s="1245"/>
      <c r="B845" s="431"/>
      <c r="C845" s="437"/>
      <c r="D845" s="488"/>
      <c r="F845" s="431"/>
      <c r="G845" s="596"/>
      <c r="H845" s="430"/>
      <c r="J845" s="437"/>
    </row>
    <row r="846" spans="1:10" s="428" customFormat="1" ht="20.399999999999999" customHeight="1">
      <c r="A846" s="1245"/>
      <c r="B846" s="431"/>
      <c r="C846" s="437"/>
      <c r="D846" s="488"/>
      <c r="F846" s="431"/>
      <c r="G846" s="596"/>
      <c r="H846" s="430"/>
      <c r="J846" s="437"/>
    </row>
    <row r="847" spans="1:10" s="428" customFormat="1" ht="20.399999999999999" customHeight="1">
      <c r="A847" s="1245"/>
      <c r="B847" s="431"/>
      <c r="C847" s="437"/>
      <c r="D847" s="488"/>
      <c r="F847" s="431"/>
      <c r="G847" s="596"/>
      <c r="H847" s="430"/>
      <c r="J847" s="437"/>
    </row>
    <row r="848" spans="1:10" s="428" customFormat="1" ht="20.399999999999999" customHeight="1">
      <c r="A848" s="1245"/>
      <c r="B848" s="431"/>
      <c r="C848" s="437"/>
      <c r="D848" s="488"/>
      <c r="F848" s="431"/>
      <c r="G848" s="596"/>
      <c r="H848" s="430"/>
      <c r="J848" s="437"/>
    </row>
    <row r="849" spans="1:10" s="428" customFormat="1" ht="20.399999999999999" customHeight="1">
      <c r="A849" s="1245"/>
      <c r="B849" s="431"/>
      <c r="C849" s="437"/>
      <c r="D849" s="488"/>
      <c r="F849" s="431"/>
      <c r="G849" s="596"/>
      <c r="H849" s="430"/>
      <c r="J849" s="437"/>
    </row>
    <row r="850" spans="1:10" s="428" customFormat="1" ht="20.399999999999999" customHeight="1">
      <c r="A850" s="1245"/>
      <c r="B850" s="431"/>
      <c r="C850" s="437"/>
      <c r="D850" s="488"/>
      <c r="F850" s="431"/>
      <c r="G850" s="596"/>
      <c r="H850" s="430"/>
      <c r="J850" s="437"/>
    </row>
    <row r="851" spans="1:10" s="428" customFormat="1" ht="20.399999999999999" customHeight="1">
      <c r="A851" s="1245"/>
      <c r="B851" s="431"/>
      <c r="C851" s="437"/>
      <c r="D851" s="488"/>
      <c r="F851" s="431"/>
      <c r="G851" s="596"/>
      <c r="H851" s="430"/>
      <c r="J851" s="437"/>
    </row>
    <row r="852" spans="1:10" s="428" customFormat="1" ht="20.399999999999999" customHeight="1">
      <c r="A852" s="1245"/>
      <c r="B852" s="431"/>
      <c r="C852" s="437"/>
      <c r="D852" s="488"/>
      <c r="F852" s="431"/>
      <c r="G852" s="596"/>
      <c r="H852" s="430"/>
      <c r="J852" s="437"/>
    </row>
    <row r="853" spans="1:10" s="428" customFormat="1" ht="20.399999999999999" customHeight="1">
      <c r="A853" s="1245"/>
      <c r="B853" s="431"/>
      <c r="C853" s="437"/>
      <c r="D853" s="488"/>
      <c r="F853" s="431"/>
      <c r="G853" s="596"/>
      <c r="H853" s="430"/>
      <c r="J853" s="437"/>
    </row>
    <row r="854" spans="1:10" s="428" customFormat="1" ht="20.399999999999999" customHeight="1">
      <c r="A854" s="1245"/>
      <c r="B854" s="431"/>
      <c r="C854" s="437"/>
      <c r="D854" s="488"/>
      <c r="F854" s="431"/>
      <c r="G854" s="596"/>
      <c r="H854" s="430"/>
      <c r="J854" s="437"/>
    </row>
    <row r="855" spans="1:10" s="428" customFormat="1" ht="20.399999999999999" customHeight="1">
      <c r="A855" s="1245"/>
      <c r="B855" s="431"/>
      <c r="C855" s="437"/>
      <c r="D855" s="488"/>
      <c r="F855" s="431"/>
      <c r="G855" s="596"/>
      <c r="H855" s="430"/>
      <c r="J855" s="437"/>
    </row>
    <row r="856" spans="1:10" s="428" customFormat="1" ht="20.399999999999999" customHeight="1">
      <c r="A856" s="1245"/>
      <c r="B856" s="431"/>
      <c r="C856" s="437"/>
      <c r="D856" s="488"/>
      <c r="F856" s="431"/>
      <c r="G856" s="596"/>
      <c r="H856" s="430"/>
      <c r="J856" s="437"/>
    </row>
    <row r="857" spans="1:10" s="428" customFormat="1" ht="20.399999999999999" customHeight="1">
      <c r="A857" s="1245"/>
      <c r="B857" s="431"/>
      <c r="C857" s="437"/>
      <c r="D857" s="488"/>
      <c r="F857" s="431"/>
      <c r="G857" s="596"/>
      <c r="H857" s="430"/>
      <c r="J857" s="437"/>
    </row>
    <row r="858" spans="1:10" s="428" customFormat="1" ht="20.399999999999999" customHeight="1">
      <c r="A858" s="1245"/>
      <c r="B858" s="431"/>
      <c r="C858" s="437"/>
      <c r="D858" s="488"/>
      <c r="F858" s="431"/>
      <c r="G858" s="596"/>
      <c r="H858" s="430"/>
      <c r="J858" s="437"/>
    </row>
    <row r="859" spans="1:10" s="428" customFormat="1" ht="20.399999999999999" customHeight="1">
      <c r="A859" s="1245"/>
      <c r="B859" s="431"/>
      <c r="C859" s="437"/>
      <c r="D859" s="488"/>
      <c r="F859" s="431"/>
      <c r="G859" s="596"/>
      <c r="H859" s="430"/>
      <c r="J859" s="437"/>
    </row>
    <row r="860" spans="1:10" s="428" customFormat="1" ht="20.399999999999999" customHeight="1">
      <c r="A860" s="1245"/>
      <c r="B860" s="431"/>
      <c r="C860" s="437"/>
      <c r="D860" s="488"/>
      <c r="F860" s="431"/>
      <c r="G860" s="596"/>
      <c r="H860" s="430"/>
      <c r="J860" s="437"/>
    </row>
    <row r="861" spans="1:10" s="428" customFormat="1" ht="20.399999999999999" customHeight="1">
      <c r="A861" s="1245"/>
      <c r="B861" s="431"/>
      <c r="C861" s="437"/>
      <c r="D861" s="488"/>
      <c r="F861" s="431"/>
      <c r="G861" s="596"/>
      <c r="H861" s="430"/>
      <c r="J861" s="437"/>
    </row>
    <row r="862" spans="1:10" s="428" customFormat="1" ht="20.399999999999999" customHeight="1">
      <c r="A862" s="1245"/>
      <c r="B862" s="431"/>
      <c r="C862" s="437"/>
      <c r="D862" s="488"/>
      <c r="F862" s="431"/>
      <c r="G862" s="596"/>
      <c r="H862" s="430"/>
      <c r="J862" s="437"/>
    </row>
    <row r="863" spans="1:10" s="428" customFormat="1" ht="20.399999999999999" customHeight="1">
      <c r="A863" s="1245"/>
      <c r="B863" s="431"/>
      <c r="C863" s="437"/>
      <c r="D863" s="488"/>
      <c r="F863" s="431"/>
      <c r="G863" s="596"/>
      <c r="H863" s="430"/>
      <c r="J863" s="437"/>
    </row>
    <row r="864" spans="1:10" s="428" customFormat="1" ht="20.399999999999999" customHeight="1">
      <c r="A864" s="1245"/>
      <c r="B864" s="431"/>
      <c r="C864" s="437"/>
      <c r="D864" s="488"/>
      <c r="F864" s="431"/>
      <c r="G864" s="596"/>
      <c r="H864" s="430"/>
      <c r="J864" s="437"/>
    </row>
    <row r="865" spans="1:10" s="428" customFormat="1" ht="20.399999999999999" customHeight="1">
      <c r="A865" s="1245"/>
      <c r="B865" s="431"/>
      <c r="C865" s="437"/>
      <c r="D865" s="488"/>
      <c r="F865" s="431"/>
      <c r="G865" s="596"/>
      <c r="H865" s="430"/>
      <c r="J865" s="437"/>
    </row>
    <row r="866" spans="1:10" s="428" customFormat="1" ht="20.399999999999999" customHeight="1">
      <c r="A866" s="1245"/>
      <c r="B866" s="431"/>
      <c r="C866" s="437"/>
      <c r="D866" s="488"/>
      <c r="F866" s="431"/>
      <c r="G866" s="596"/>
      <c r="H866" s="430"/>
      <c r="J866" s="437"/>
    </row>
    <row r="867" spans="1:10" s="428" customFormat="1" ht="20.399999999999999" customHeight="1">
      <c r="A867" s="1245"/>
      <c r="B867" s="431"/>
      <c r="C867" s="437"/>
      <c r="D867" s="488"/>
      <c r="F867" s="431"/>
      <c r="G867" s="596"/>
      <c r="H867" s="430"/>
      <c r="J867" s="437"/>
    </row>
    <row r="868" spans="1:10" s="428" customFormat="1" ht="20.399999999999999" customHeight="1">
      <c r="A868" s="1245"/>
      <c r="B868" s="431"/>
      <c r="C868" s="437"/>
      <c r="D868" s="488"/>
      <c r="F868" s="431"/>
      <c r="G868" s="596"/>
      <c r="H868" s="430"/>
      <c r="J868" s="437"/>
    </row>
    <row r="869" spans="1:10" s="428" customFormat="1" ht="20.399999999999999" customHeight="1">
      <c r="A869" s="1245"/>
      <c r="B869" s="431"/>
      <c r="C869" s="437"/>
      <c r="D869" s="488"/>
      <c r="F869" s="431"/>
      <c r="G869" s="596"/>
      <c r="H869" s="430"/>
      <c r="J869" s="437"/>
    </row>
    <row r="870" spans="1:10" s="428" customFormat="1" ht="20.399999999999999" customHeight="1">
      <c r="A870" s="1245"/>
      <c r="B870" s="431"/>
      <c r="C870" s="437"/>
      <c r="D870" s="488"/>
      <c r="F870" s="431"/>
      <c r="G870" s="596"/>
      <c r="H870" s="430"/>
      <c r="J870" s="437"/>
    </row>
    <row r="871" spans="1:10" s="428" customFormat="1" ht="20.399999999999999" customHeight="1">
      <c r="A871" s="1245"/>
      <c r="B871" s="431"/>
      <c r="C871" s="437"/>
      <c r="D871" s="488"/>
      <c r="F871" s="431"/>
      <c r="G871" s="596"/>
      <c r="H871" s="430"/>
      <c r="J871" s="437"/>
    </row>
    <row r="872" spans="1:10" s="428" customFormat="1" ht="20.399999999999999" customHeight="1">
      <c r="A872" s="1245"/>
      <c r="B872" s="431"/>
      <c r="C872" s="437"/>
      <c r="D872" s="488"/>
      <c r="F872" s="431"/>
      <c r="G872" s="596"/>
      <c r="H872" s="430"/>
      <c r="J872" s="437"/>
    </row>
    <row r="873" spans="1:10" s="428" customFormat="1" ht="20.399999999999999" customHeight="1">
      <c r="A873" s="1245"/>
      <c r="B873" s="431"/>
      <c r="C873" s="437"/>
      <c r="D873" s="488"/>
      <c r="F873" s="431"/>
      <c r="G873" s="596"/>
      <c r="H873" s="430"/>
      <c r="J873" s="437"/>
    </row>
    <row r="874" spans="1:10" s="428" customFormat="1" ht="20.399999999999999" customHeight="1">
      <c r="A874" s="1245"/>
      <c r="B874" s="431"/>
      <c r="C874" s="437"/>
      <c r="D874" s="488"/>
      <c r="F874" s="431"/>
      <c r="G874" s="596"/>
      <c r="H874" s="430"/>
      <c r="J874" s="437"/>
    </row>
    <row r="875" spans="1:10" s="428" customFormat="1" ht="20.399999999999999" customHeight="1">
      <c r="A875" s="1245"/>
      <c r="B875" s="431"/>
      <c r="C875" s="437"/>
      <c r="D875" s="488"/>
      <c r="F875" s="431"/>
      <c r="G875" s="596"/>
      <c r="H875" s="430"/>
      <c r="J875" s="437"/>
    </row>
    <row r="876" spans="1:10" s="428" customFormat="1" ht="20.399999999999999" customHeight="1">
      <c r="A876" s="1245"/>
      <c r="B876" s="431"/>
      <c r="C876" s="437"/>
      <c r="D876" s="488"/>
      <c r="F876" s="431"/>
      <c r="G876" s="596"/>
      <c r="H876" s="430"/>
      <c r="J876" s="437"/>
    </row>
    <row r="877" spans="1:10" s="428" customFormat="1" ht="20.399999999999999" customHeight="1">
      <c r="A877" s="1245"/>
      <c r="B877" s="431"/>
      <c r="C877" s="437"/>
      <c r="D877" s="488"/>
      <c r="F877" s="431"/>
      <c r="G877" s="596"/>
      <c r="H877" s="430"/>
      <c r="J877" s="437"/>
    </row>
    <row r="878" spans="1:10" s="428" customFormat="1" ht="20.399999999999999" customHeight="1">
      <c r="A878" s="1245"/>
      <c r="B878" s="431"/>
      <c r="C878" s="437"/>
      <c r="D878" s="488"/>
      <c r="F878" s="431"/>
      <c r="G878" s="596"/>
      <c r="H878" s="430"/>
      <c r="J878" s="437"/>
    </row>
    <row r="879" spans="1:10" s="428" customFormat="1" ht="20.399999999999999" customHeight="1">
      <c r="A879" s="1245"/>
      <c r="B879" s="431"/>
      <c r="C879" s="437"/>
      <c r="D879" s="488"/>
      <c r="F879" s="431"/>
      <c r="G879" s="596"/>
      <c r="H879" s="430"/>
      <c r="J879" s="437"/>
    </row>
    <row r="880" spans="1:10" s="428" customFormat="1" ht="20.399999999999999" customHeight="1">
      <c r="A880" s="1245"/>
      <c r="B880" s="431"/>
      <c r="C880" s="437"/>
      <c r="D880" s="488"/>
      <c r="F880" s="431"/>
      <c r="G880" s="596"/>
      <c r="H880" s="430"/>
      <c r="J880" s="437"/>
    </row>
    <row r="881" spans="1:10" s="428" customFormat="1" ht="20.399999999999999" customHeight="1">
      <c r="A881" s="1245"/>
      <c r="B881" s="431"/>
      <c r="C881" s="437"/>
      <c r="D881" s="488"/>
      <c r="F881" s="431"/>
      <c r="G881" s="596"/>
      <c r="H881" s="430"/>
      <c r="J881" s="437"/>
    </row>
    <row r="882" spans="1:10" s="428" customFormat="1" ht="20.399999999999999" customHeight="1">
      <c r="A882" s="1245"/>
      <c r="B882" s="431"/>
      <c r="C882" s="437"/>
      <c r="D882" s="488"/>
      <c r="F882" s="431"/>
      <c r="G882" s="596"/>
      <c r="H882" s="430"/>
      <c r="J882" s="437"/>
    </row>
    <row r="883" spans="1:10" s="428" customFormat="1" ht="20.399999999999999" customHeight="1">
      <c r="A883" s="1245"/>
      <c r="B883" s="431"/>
      <c r="C883" s="437"/>
      <c r="D883" s="488"/>
      <c r="F883" s="431"/>
      <c r="G883" s="596"/>
      <c r="H883" s="430"/>
      <c r="J883" s="437"/>
    </row>
    <row r="884" spans="1:10" s="428" customFormat="1" ht="20.399999999999999" customHeight="1">
      <c r="A884" s="1245"/>
      <c r="B884" s="431"/>
      <c r="C884" s="437"/>
      <c r="D884" s="488"/>
      <c r="F884" s="431"/>
      <c r="G884" s="596"/>
      <c r="H884" s="430"/>
      <c r="J884" s="437"/>
    </row>
    <row r="885" spans="1:10" s="428" customFormat="1" ht="20.399999999999999" customHeight="1">
      <c r="A885" s="1245"/>
      <c r="B885" s="431"/>
      <c r="C885" s="437"/>
      <c r="D885" s="488"/>
      <c r="F885" s="431"/>
      <c r="G885" s="596"/>
      <c r="H885" s="430"/>
      <c r="J885" s="437"/>
    </row>
    <row r="886" spans="1:10" s="428" customFormat="1" ht="20.399999999999999" customHeight="1">
      <c r="A886" s="1245"/>
      <c r="B886" s="431"/>
      <c r="C886" s="437"/>
      <c r="D886" s="488"/>
      <c r="F886" s="431"/>
      <c r="G886" s="596"/>
      <c r="H886" s="430"/>
      <c r="J886" s="437"/>
    </row>
    <row r="887" spans="1:10" s="428" customFormat="1" ht="20.399999999999999" customHeight="1">
      <c r="A887" s="1245"/>
      <c r="B887" s="431"/>
      <c r="C887" s="437"/>
      <c r="D887" s="488"/>
      <c r="F887" s="431"/>
      <c r="G887" s="596"/>
      <c r="H887" s="430"/>
      <c r="J887" s="437"/>
    </row>
    <row r="888" spans="1:10" s="428" customFormat="1" ht="20.399999999999999" customHeight="1">
      <c r="A888" s="1245"/>
      <c r="B888" s="431"/>
      <c r="C888" s="437"/>
      <c r="D888" s="488"/>
      <c r="F888" s="431"/>
      <c r="G888" s="596"/>
      <c r="H888" s="430"/>
      <c r="J888" s="437"/>
    </row>
    <row r="889" spans="1:10" s="428" customFormat="1" ht="20.399999999999999" customHeight="1">
      <c r="A889" s="1245"/>
      <c r="B889" s="431"/>
      <c r="C889" s="437"/>
      <c r="D889" s="488"/>
      <c r="F889" s="431"/>
      <c r="G889" s="596"/>
      <c r="H889" s="430"/>
      <c r="J889" s="437"/>
    </row>
    <row r="890" spans="1:10" s="428" customFormat="1" ht="20.399999999999999" customHeight="1">
      <c r="A890" s="1245"/>
      <c r="B890" s="431"/>
      <c r="C890" s="437"/>
      <c r="D890" s="488"/>
      <c r="F890" s="431"/>
      <c r="G890" s="596"/>
      <c r="H890" s="430"/>
      <c r="J890" s="437"/>
    </row>
    <row r="891" spans="1:10" s="428" customFormat="1" ht="20.399999999999999" customHeight="1">
      <c r="A891" s="1245"/>
      <c r="B891" s="431"/>
      <c r="C891" s="437"/>
      <c r="D891" s="488"/>
      <c r="F891" s="431"/>
      <c r="G891" s="596"/>
      <c r="H891" s="430"/>
      <c r="J891" s="437"/>
    </row>
    <row r="892" spans="1:10" s="428" customFormat="1" ht="20.399999999999999" customHeight="1">
      <c r="A892" s="1245"/>
      <c r="B892" s="431"/>
      <c r="C892" s="437"/>
      <c r="D892" s="488"/>
      <c r="F892" s="431"/>
      <c r="G892" s="596"/>
      <c r="H892" s="430"/>
      <c r="J892" s="437"/>
    </row>
    <row r="893" spans="1:10" s="428" customFormat="1" ht="20.399999999999999" customHeight="1">
      <c r="A893" s="1245"/>
      <c r="B893" s="431"/>
      <c r="C893" s="437"/>
      <c r="D893" s="488"/>
      <c r="F893" s="431"/>
      <c r="G893" s="596"/>
      <c r="H893" s="430"/>
      <c r="J893" s="437"/>
    </row>
    <row r="894" spans="1:10" s="428" customFormat="1" ht="20.399999999999999" customHeight="1">
      <c r="A894" s="1245"/>
      <c r="B894" s="431"/>
      <c r="C894" s="437"/>
      <c r="D894" s="488"/>
      <c r="F894" s="431"/>
      <c r="G894" s="596"/>
      <c r="H894" s="430"/>
      <c r="J894" s="437"/>
    </row>
    <row r="895" spans="1:10" s="428" customFormat="1" ht="20.399999999999999" customHeight="1">
      <c r="A895" s="1245"/>
      <c r="B895" s="431"/>
      <c r="C895" s="437"/>
      <c r="D895" s="488"/>
      <c r="F895" s="431"/>
      <c r="G895" s="596"/>
      <c r="H895" s="430"/>
      <c r="J895" s="437"/>
    </row>
    <row r="896" spans="1:10" s="428" customFormat="1" ht="20.399999999999999" customHeight="1">
      <c r="A896" s="1245"/>
      <c r="B896" s="431"/>
      <c r="C896" s="437"/>
      <c r="D896" s="488"/>
      <c r="F896" s="431"/>
      <c r="G896" s="596"/>
      <c r="H896" s="430"/>
      <c r="J896" s="437"/>
    </row>
    <row r="897" spans="1:10" s="428" customFormat="1" ht="20.399999999999999" customHeight="1">
      <c r="A897" s="1245"/>
      <c r="B897" s="431"/>
      <c r="C897" s="437"/>
      <c r="D897" s="488"/>
      <c r="F897" s="431"/>
      <c r="G897" s="596"/>
      <c r="H897" s="430"/>
      <c r="J897" s="437"/>
    </row>
    <row r="898" spans="1:10" s="428" customFormat="1" ht="20.399999999999999" customHeight="1">
      <c r="A898" s="1245"/>
      <c r="B898" s="431"/>
      <c r="C898" s="437"/>
      <c r="D898" s="488"/>
      <c r="F898" s="431"/>
      <c r="G898" s="596"/>
      <c r="H898" s="430"/>
      <c r="J898" s="437"/>
    </row>
    <row r="899" spans="1:10" s="428" customFormat="1" ht="20.399999999999999" customHeight="1">
      <c r="A899" s="1245"/>
      <c r="B899" s="431"/>
      <c r="C899" s="437"/>
      <c r="D899" s="488"/>
      <c r="F899" s="431"/>
      <c r="G899" s="596"/>
      <c r="H899" s="430"/>
      <c r="J899" s="437"/>
    </row>
    <row r="900" spans="1:10" s="428" customFormat="1" ht="20.399999999999999" customHeight="1">
      <c r="A900" s="1245"/>
      <c r="B900" s="431"/>
      <c r="C900" s="437"/>
      <c r="D900" s="488"/>
      <c r="F900" s="431"/>
      <c r="G900" s="596"/>
      <c r="H900" s="430"/>
      <c r="J900" s="437"/>
    </row>
    <row r="901" spans="1:10" s="428" customFormat="1" ht="20.399999999999999" customHeight="1">
      <c r="A901" s="1245"/>
      <c r="B901" s="431"/>
      <c r="C901" s="437"/>
      <c r="D901" s="488"/>
      <c r="F901" s="431"/>
      <c r="G901" s="596"/>
      <c r="H901" s="430"/>
      <c r="J901" s="437"/>
    </row>
    <row r="902" spans="1:10" s="428" customFormat="1" ht="20.399999999999999" customHeight="1">
      <c r="A902" s="1245"/>
      <c r="B902" s="431"/>
      <c r="C902" s="437"/>
      <c r="D902" s="488"/>
      <c r="F902" s="431"/>
      <c r="G902" s="596"/>
      <c r="H902" s="430"/>
      <c r="J902" s="437"/>
    </row>
    <row r="903" spans="1:10" s="428" customFormat="1" ht="20.399999999999999" customHeight="1">
      <c r="A903" s="1245"/>
      <c r="B903" s="431"/>
      <c r="C903" s="437"/>
      <c r="D903" s="488"/>
      <c r="F903" s="431"/>
      <c r="G903" s="596"/>
      <c r="H903" s="430"/>
      <c r="J903" s="437"/>
    </row>
    <row r="904" spans="1:10" s="428" customFormat="1" ht="20.399999999999999" customHeight="1">
      <c r="A904" s="1245"/>
      <c r="B904" s="431"/>
      <c r="C904" s="437"/>
      <c r="D904" s="488"/>
      <c r="F904" s="431"/>
      <c r="G904" s="596"/>
      <c r="H904" s="430"/>
      <c r="J904" s="437"/>
    </row>
    <row r="905" spans="1:10" s="428" customFormat="1" ht="20.399999999999999" customHeight="1">
      <c r="A905" s="1245"/>
      <c r="B905" s="431"/>
      <c r="C905" s="437"/>
      <c r="D905" s="488"/>
      <c r="F905" s="431"/>
      <c r="G905" s="596"/>
      <c r="H905" s="430"/>
      <c r="J905" s="437"/>
    </row>
    <row r="906" spans="1:10" s="428" customFormat="1" ht="20.399999999999999" customHeight="1">
      <c r="A906" s="1245"/>
      <c r="B906" s="431"/>
      <c r="C906" s="437"/>
      <c r="D906" s="488"/>
      <c r="F906" s="431"/>
      <c r="G906" s="596"/>
      <c r="H906" s="430"/>
      <c r="J906" s="437"/>
    </row>
    <row r="907" spans="1:10" s="428" customFormat="1" ht="20.399999999999999" customHeight="1">
      <c r="A907" s="1245"/>
      <c r="B907" s="431"/>
      <c r="C907" s="437"/>
      <c r="D907" s="488"/>
      <c r="F907" s="431"/>
      <c r="G907" s="596"/>
      <c r="H907" s="430"/>
      <c r="J907" s="437"/>
    </row>
    <row r="908" spans="1:10" s="428" customFormat="1" ht="20.399999999999999" customHeight="1">
      <c r="A908" s="1245"/>
      <c r="B908" s="431"/>
      <c r="C908" s="437"/>
      <c r="D908" s="488"/>
      <c r="F908" s="431"/>
      <c r="G908" s="596"/>
      <c r="H908" s="430"/>
      <c r="J908" s="437"/>
    </row>
    <row r="909" spans="1:10" s="428" customFormat="1" ht="20.399999999999999" customHeight="1">
      <c r="A909" s="1245"/>
      <c r="B909" s="431"/>
      <c r="C909" s="437"/>
      <c r="D909" s="488"/>
      <c r="F909" s="431"/>
      <c r="G909" s="596"/>
      <c r="H909" s="430"/>
      <c r="J909" s="437"/>
    </row>
    <row r="910" spans="1:10" s="428" customFormat="1" ht="20.399999999999999" customHeight="1">
      <c r="A910" s="1245"/>
      <c r="B910" s="431"/>
      <c r="C910" s="437"/>
      <c r="D910" s="488"/>
      <c r="F910" s="431"/>
      <c r="G910" s="596"/>
      <c r="H910" s="430"/>
      <c r="J910" s="437"/>
    </row>
    <row r="911" spans="1:10" s="428" customFormat="1" ht="20.399999999999999" customHeight="1">
      <c r="A911" s="1245"/>
      <c r="B911" s="431"/>
      <c r="C911" s="437"/>
      <c r="D911" s="488"/>
      <c r="F911" s="431"/>
      <c r="G911" s="596"/>
      <c r="H911" s="430"/>
      <c r="J911" s="437"/>
    </row>
    <row r="912" spans="1:10" s="428" customFormat="1" ht="20.399999999999999" customHeight="1">
      <c r="A912" s="1245"/>
      <c r="B912" s="431"/>
      <c r="C912" s="437"/>
      <c r="D912" s="488"/>
      <c r="F912" s="431"/>
      <c r="G912" s="596"/>
      <c r="H912" s="430"/>
      <c r="J912" s="437"/>
    </row>
    <row r="913" spans="1:10" s="428" customFormat="1" ht="20.399999999999999" customHeight="1">
      <c r="A913" s="1245"/>
      <c r="B913" s="431"/>
      <c r="C913" s="437"/>
      <c r="D913" s="488"/>
      <c r="F913" s="431"/>
      <c r="G913" s="596"/>
      <c r="H913" s="430"/>
      <c r="J913" s="437"/>
    </row>
    <row r="914" spans="1:10" s="428" customFormat="1" ht="20.399999999999999" customHeight="1">
      <c r="A914" s="1245"/>
      <c r="B914" s="431"/>
      <c r="C914" s="437"/>
      <c r="D914" s="488"/>
      <c r="F914" s="431"/>
      <c r="G914" s="596"/>
      <c r="H914" s="430"/>
      <c r="J914" s="437"/>
    </row>
    <row r="915" spans="1:10" s="428" customFormat="1" ht="20.399999999999999" customHeight="1">
      <c r="A915" s="1245"/>
      <c r="B915" s="431"/>
      <c r="C915" s="437"/>
      <c r="D915" s="488"/>
      <c r="F915" s="431"/>
      <c r="G915" s="596"/>
      <c r="H915" s="430"/>
      <c r="J915" s="437"/>
    </row>
    <row r="916" spans="1:10" s="428" customFormat="1" ht="20.399999999999999" customHeight="1">
      <c r="A916" s="1245"/>
      <c r="B916" s="431"/>
      <c r="C916" s="437"/>
      <c r="D916" s="488"/>
      <c r="F916" s="431"/>
      <c r="G916" s="596"/>
      <c r="H916" s="430"/>
      <c r="J916" s="437"/>
    </row>
    <row r="917" spans="1:10" s="428" customFormat="1" ht="20.399999999999999" customHeight="1">
      <c r="A917" s="1245"/>
      <c r="B917" s="431"/>
      <c r="C917" s="437"/>
      <c r="D917" s="488"/>
      <c r="F917" s="431"/>
      <c r="G917" s="596"/>
      <c r="H917" s="430"/>
      <c r="J917" s="437"/>
    </row>
    <row r="918" spans="1:10" s="428" customFormat="1" ht="20.399999999999999" customHeight="1">
      <c r="A918" s="1245"/>
      <c r="B918" s="431"/>
      <c r="C918" s="437"/>
      <c r="D918" s="488"/>
      <c r="F918" s="431"/>
      <c r="G918" s="596"/>
      <c r="H918" s="430"/>
      <c r="J918" s="437"/>
    </row>
    <row r="919" spans="1:10" s="428" customFormat="1" ht="20.399999999999999" customHeight="1">
      <c r="A919" s="1245"/>
      <c r="B919" s="431"/>
      <c r="C919" s="437"/>
      <c r="D919" s="488"/>
      <c r="F919" s="431"/>
      <c r="G919" s="596"/>
      <c r="H919" s="430"/>
      <c r="J919" s="437"/>
    </row>
    <row r="920" spans="1:10" s="428" customFormat="1" ht="20.399999999999999" customHeight="1">
      <c r="A920" s="1245"/>
      <c r="B920" s="431"/>
      <c r="C920" s="437"/>
      <c r="D920" s="488"/>
      <c r="F920" s="431"/>
      <c r="G920" s="596"/>
      <c r="H920" s="430"/>
      <c r="J920" s="437"/>
    </row>
    <row r="921" spans="1:10" s="428" customFormat="1" ht="20.399999999999999" customHeight="1">
      <c r="A921" s="1245"/>
      <c r="B921" s="431"/>
      <c r="C921" s="437"/>
      <c r="D921" s="488"/>
      <c r="F921" s="431"/>
      <c r="G921" s="596"/>
      <c r="H921" s="430"/>
      <c r="J921" s="437"/>
    </row>
    <row r="922" spans="1:10" s="428" customFormat="1" ht="20.399999999999999" customHeight="1">
      <c r="A922" s="1245"/>
      <c r="B922" s="431"/>
      <c r="C922" s="437"/>
      <c r="D922" s="488"/>
      <c r="F922" s="431"/>
      <c r="G922" s="596"/>
      <c r="H922" s="430"/>
      <c r="J922" s="437"/>
    </row>
    <row r="923" spans="1:10" s="428" customFormat="1" ht="20.399999999999999" customHeight="1">
      <c r="A923" s="1245"/>
      <c r="B923" s="431"/>
      <c r="C923" s="437"/>
      <c r="D923" s="488"/>
      <c r="F923" s="431"/>
      <c r="G923" s="596"/>
      <c r="H923" s="430"/>
      <c r="J923" s="437"/>
    </row>
    <row r="924" spans="1:10" s="428" customFormat="1" ht="20.399999999999999" customHeight="1">
      <c r="A924" s="1245"/>
      <c r="B924" s="431"/>
      <c r="C924" s="437"/>
      <c r="D924" s="488"/>
      <c r="F924" s="431"/>
      <c r="G924" s="596"/>
      <c r="H924" s="430"/>
      <c r="J924" s="437"/>
    </row>
    <row r="925" spans="1:10" s="428" customFormat="1" ht="20.399999999999999" customHeight="1">
      <c r="A925" s="1245"/>
      <c r="B925" s="431"/>
      <c r="C925" s="437"/>
      <c r="D925" s="488"/>
      <c r="F925" s="431"/>
      <c r="G925" s="596"/>
      <c r="H925" s="430"/>
      <c r="J925" s="437"/>
    </row>
    <row r="926" spans="1:10" s="428" customFormat="1" ht="20.399999999999999" customHeight="1">
      <c r="A926" s="1245"/>
      <c r="B926" s="431"/>
      <c r="C926" s="437"/>
      <c r="D926" s="488"/>
      <c r="F926" s="431"/>
      <c r="G926" s="596"/>
      <c r="H926" s="430"/>
      <c r="J926" s="437"/>
    </row>
    <row r="927" spans="1:10" s="428" customFormat="1" ht="20.399999999999999" customHeight="1">
      <c r="A927" s="1245"/>
      <c r="B927" s="431"/>
      <c r="C927" s="437"/>
      <c r="D927" s="488"/>
      <c r="F927" s="431"/>
      <c r="G927" s="596"/>
      <c r="H927" s="430"/>
      <c r="J927" s="437"/>
    </row>
    <row r="928" spans="1:10" s="428" customFormat="1" ht="20.399999999999999" customHeight="1">
      <c r="A928" s="1245"/>
      <c r="B928" s="431"/>
      <c r="C928" s="437"/>
      <c r="D928" s="488"/>
      <c r="F928" s="431"/>
      <c r="G928" s="596"/>
      <c r="H928" s="430"/>
      <c r="J928" s="437"/>
    </row>
    <row r="929" spans="1:10" s="428" customFormat="1" ht="20.399999999999999" customHeight="1">
      <c r="A929" s="1245"/>
      <c r="B929" s="431"/>
      <c r="C929" s="437"/>
      <c r="D929" s="488"/>
      <c r="F929" s="431"/>
      <c r="G929" s="596"/>
      <c r="H929" s="430"/>
      <c r="J929" s="437"/>
    </row>
    <row r="930" spans="1:10" s="428" customFormat="1" ht="20.399999999999999" customHeight="1">
      <c r="A930" s="1245"/>
      <c r="B930" s="431"/>
      <c r="C930" s="437"/>
      <c r="D930" s="488"/>
      <c r="F930" s="431"/>
      <c r="G930" s="596"/>
      <c r="H930" s="430"/>
      <c r="J930" s="437"/>
    </row>
    <row r="931" spans="1:10" s="428" customFormat="1" ht="20.399999999999999" customHeight="1">
      <c r="A931" s="1245"/>
      <c r="B931" s="431"/>
      <c r="C931" s="437"/>
      <c r="D931" s="488"/>
      <c r="F931" s="431"/>
      <c r="G931" s="596"/>
      <c r="H931" s="430"/>
      <c r="J931" s="437"/>
    </row>
    <row r="932" spans="1:10" s="428" customFormat="1" ht="20.399999999999999" customHeight="1">
      <c r="A932" s="1245"/>
      <c r="B932" s="431"/>
      <c r="C932" s="437"/>
      <c r="D932" s="488"/>
      <c r="F932" s="431"/>
      <c r="G932" s="596"/>
      <c r="H932" s="430"/>
      <c r="J932" s="437"/>
    </row>
    <row r="933" spans="1:10" s="428" customFormat="1" ht="20.399999999999999" customHeight="1">
      <c r="A933" s="1245"/>
      <c r="B933" s="431"/>
      <c r="C933" s="437"/>
      <c r="D933" s="488"/>
      <c r="F933" s="431"/>
      <c r="G933" s="596"/>
      <c r="H933" s="430"/>
      <c r="J933" s="437"/>
    </row>
    <row r="934" spans="1:10" s="428" customFormat="1" ht="20.399999999999999" customHeight="1">
      <c r="A934" s="1245"/>
      <c r="B934" s="431"/>
      <c r="C934" s="437"/>
      <c r="D934" s="488"/>
      <c r="F934" s="431"/>
      <c r="G934" s="596"/>
      <c r="H934" s="430"/>
      <c r="J934" s="437"/>
    </row>
    <row r="935" spans="1:10" s="428" customFormat="1" ht="20.399999999999999" customHeight="1">
      <c r="A935" s="1245"/>
      <c r="B935" s="431"/>
      <c r="C935" s="437"/>
      <c r="D935" s="488"/>
      <c r="F935" s="431"/>
      <c r="G935" s="596"/>
      <c r="H935" s="430"/>
      <c r="J935" s="437"/>
    </row>
    <row r="936" spans="1:10" s="428" customFormat="1" ht="20.399999999999999" customHeight="1">
      <c r="A936" s="1245"/>
      <c r="B936" s="431"/>
      <c r="C936" s="437"/>
      <c r="D936" s="488"/>
      <c r="F936" s="431"/>
      <c r="G936" s="596"/>
      <c r="H936" s="430"/>
      <c r="J936" s="437"/>
    </row>
    <row r="937" spans="1:10" s="428" customFormat="1" ht="20.399999999999999" customHeight="1">
      <c r="A937" s="1245"/>
      <c r="B937" s="431"/>
      <c r="C937" s="437"/>
      <c r="D937" s="488"/>
      <c r="F937" s="431"/>
      <c r="G937" s="596"/>
      <c r="H937" s="430"/>
      <c r="J937" s="437"/>
    </row>
    <row r="938" spans="1:10" s="428" customFormat="1" ht="20.399999999999999" customHeight="1">
      <c r="A938" s="1245"/>
      <c r="B938" s="431"/>
      <c r="C938" s="437"/>
      <c r="D938" s="488"/>
      <c r="F938" s="431"/>
      <c r="G938" s="596"/>
      <c r="H938" s="430"/>
      <c r="J938" s="437"/>
    </row>
    <row r="939" spans="1:10" s="428" customFormat="1" ht="20.399999999999999" customHeight="1">
      <c r="A939" s="1245"/>
      <c r="B939" s="431"/>
      <c r="C939" s="437"/>
      <c r="D939" s="488"/>
      <c r="F939" s="431"/>
      <c r="G939" s="596"/>
      <c r="H939" s="430"/>
      <c r="J939" s="437"/>
    </row>
    <row r="940" spans="1:10" s="428" customFormat="1" ht="20.399999999999999" customHeight="1">
      <c r="A940" s="1245"/>
      <c r="B940" s="431"/>
      <c r="C940" s="437"/>
      <c r="D940" s="488"/>
      <c r="F940" s="431"/>
      <c r="G940" s="596"/>
      <c r="H940" s="430"/>
      <c r="J940" s="437"/>
    </row>
    <row r="941" spans="1:10" s="428" customFormat="1" ht="20.399999999999999" customHeight="1">
      <c r="A941" s="1245"/>
      <c r="B941" s="431"/>
      <c r="C941" s="437"/>
      <c r="D941" s="488"/>
      <c r="F941" s="431"/>
      <c r="G941" s="596"/>
      <c r="H941" s="430"/>
      <c r="J941" s="437"/>
    </row>
    <row r="942" spans="1:10" s="428" customFormat="1" ht="20.399999999999999" customHeight="1">
      <c r="A942" s="1245"/>
      <c r="B942" s="431"/>
      <c r="C942" s="437"/>
      <c r="D942" s="488"/>
      <c r="F942" s="431"/>
      <c r="G942" s="596"/>
      <c r="H942" s="430"/>
      <c r="J942" s="437"/>
    </row>
    <row r="943" spans="1:10" s="428" customFormat="1" ht="20.399999999999999" customHeight="1">
      <c r="A943" s="1245"/>
      <c r="B943" s="431"/>
      <c r="C943" s="437"/>
      <c r="D943" s="488"/>
      <c r="F943" s="431"/>
      <c r="G943" s="596"/>
      <c r="H943" s="430"/>
      <c r="J943" s="437"/>
    </row>
    <row r="944" spans="1:10" s="428" customFormat="1" ht="20.399999999999999" customHeight="1">
      <c r="A944" s="1245"/>
      <c r="B944" s="431"/>
      <c r="C944" s="437"/>
      <c r="D944" s="488"/>
      <c r="F944" s="431"/>
      <c r="G944" s="596"/>
      <c r="H944" s="430"/>
      <c r="J944" s="437"/>
    </row>
    <row r="945" spans="1:10" s="428" customFormat="1" ht="20.399999999999999" customHeight="1">
      <c r="A945" s="1245"/>
      <c r="B945" s="431"/>
      <c r="C945" s="437"/>
      <c r="D945" s="488"/>
      <c r="F945" s="431"/>
      <c r="G945" s="596"/>
      <c r="H945" s="430"/>
      <c r="J945" s="437"/>
    </row>
    <row r="946" spans="1:10" s="428" customFormat="1" ht="20.399999999999999" customHeight="1">
      <c r="A946" s="1245"/>
      <c r="B946" s="431"/>
      <c r="C946" s="437"/>
      <c r="D946" s="488"/>
      <c r="F946" s="431"/>
      <c r="G946" s="596"/>
      <c r="H946" s="430"/>
      <c r="J946" s="437"/>
    </row>
    <row r="947" spans="1:10" s="428" customFormat="1" ht="20.399999999999999" customHeight="1">
      <c r="A947" s="1245"/>
      <c r="B947" s="431"/>
      <c r="C947" s="437"/>
      <c r="D947" s="488"/>
      <c r="F947" s="431"/>
      <c r="G947" s="596"/>
      <c r="H947" s="430"/>
      <c r="J947" s="437"/>
    </row>
    <row r="948" spans="1:10" s="428" customFormat="1" ht="20.399999999999999" customHeight="1">
      <c r="A948" s="1245"/>
      <c r="B948" s="431"/>
      <c r="C948" s="437"/>
      <c r="D948" s="488"/>
      <c r="F948" s="431"/>
      <c r="G948" s="596"/>
      <c r="H948" s="430"/>
      <c r="J948" s="437"/>
    </row>
    <row r="949" spans="1:10" s="428" customFormat="1" ht="20.399999999999999" customHeight="1">
      <c r="A949" s="1245"/>
      <c r="B949" s="431"/>
      <c r="C949" s="437"/>
      <c r="D949" s="488"/>
      <c r="F949" s="431"/>
      <c r="G949" s="596"/>
      <c r="H949" s="430"/>
      <c r="J949" s="437"/>
    </row>
    <row r="950" spans="1:10" s="428" customFormat="1" ht="20.399999999999999" customHeight="1">
      <c r="A950" s="1245"/>
      <c r="B950" s="431"/>
      <c r="C950" s="437"/>
      <c r="D950" s="488"/>
      <c r="F950" s="431"/>
      <c r="G950" s="596"/>
      <c r="H950" s="430"/>
      <c r="J950" s="437"/>
    </row>
    <row r="951" spans="1:10" s="428" customFormat="1" ht="20.399999999999999" customHeight="1">
      <c r="A951" s="1245"/>
      <c r="B951" s="431"/>
      <c r="C951" s="437"/>
      <c r="D951" s="488"/>
      <c r="F951" s="431"/>
      <c r="G951" s="596"/>
      <c r="H951" s="430"/>
      <c r="J951" s="437"/>
    </row>
    <row r="952" spans="1:10" s="428" customFormat="1" ht="20.399999999999999" customHeight="1">
      <c r="A952" s="1245"/>
      <c r="B952" s="431"/>
      <c r="C952" s="437"/>
      <c r="D952" s="488"/>
      <c r="F952" s="431"/>
      <c r="G952" s="596"/>
      <c r="H952" s="430"/>
      <c r="J952" s="437"/>
    </row>
    <row r="953" spans="1:10" s="428" customFormat="1" ht="20.399999999999999" customHeight="1">
      <c r="A953" s="1245"/>
      <c r="B953" s="431"/>
      <c r="C953" s="437"/>
      <c r="D953" s="488"/>
      <c r="F953" s="431"/>
      <c r="G953" s="596"/>
      <c r="H953" s="430"/>
      <c r="J953" s="437"/>
    </row>
    <row r="954" spans="1:10" s="428" customFormat="1" ht="20.399999999999999" customHeight="1">
      <c r="A954" s="1245"/>
      <c r="B954" s="431"/>
      <c r="C954" s="437"/>
      <c r="D954" s="488"/>
      <c r="F954" s="431"/>
      <c r="G954" s="596"/>
      <c r="H954" s="430"/>
      <c r="J954" s="437"/>
    </row>
    <row r="955" spans="1:10" s="428" customFormat="1" ht="20.399999999999999" customHeight="1">
      <c r="A955" s="1245"/>
      <c r="B955" s="431"/>
      <c r="C955" s="437"/>
      <c r="D955" s="488"/>
      <c r="F955" s="431"/>
      <c r="G955" s="596"/>
      <c r="H955" s="430"/>
      <c r="J955" s="437"/>
    </row>
    <row r="956" spans="1:10" s="428" customFormat="1" ht="20.399999999999999" customHeight="1">
      <c r="A956" s="1245"/>
      <c r="B956" s="431"/>
      <c r="C956" s="437"/>
      <c r="D956" s="488"/>
      <c r="F956" s="431"/>
      <c r="G956" s="596"/>
      <c r="H956" s="430"/>
      <c r="J956" s="437"/>
    </row>
    <row r="957" spans="1:10" s="428" customFormat="1" ht="20.399999999999999" customHeight="1">
      <c r="A957" s="1245"/>
      <c r="B957" s="431"/>
      <c r="C957" s="437"/>
      <c r="D957" s="488"/>
      <c r="F957" s="431"/>
      <c r="G957" s="596"/>
      <c r="H957" s="430"/>
      <c r="J957" s="437"/>
    </row>
    <row r="958" spans="1:10" s="428" customFormat="1" ht="20.399999999999999" customHeight="1">
      <c r="A958" s="1245"/>
      <c r="B958" s="431"/>
      <c r="C958" s="437"/>
      <c r="D958" s="488"/>
      <c r="F958" s="431"/>
      <c r="G958" s="596"/>
      <c r="H958" s="430"/>
      <c r="J958" s="437"/>
    </row>
    <row r="959" spans="1:10" s="428" customFormat="1" ht="20.399999999999999" customHeight="1">
      <c r="A959" s="1245"/>
      <c r="B959" s="431"/>
      <c r="C959" s="437"/>
      <c r="D959" s="488"/>
      <c r="F959" s="431"/>
      <c r="G959" s="596"/>
      <c r="H959" s="430"/>
      <c r="J959" s="437"/>
    </row>
    <row r="960" spans="1:10" s="428" customFormat="1" ht="20.399999999999999" customHeight="1">
      <c r="A960" s="1245"/>
      <c r="B960" s="431"/>
      <c r="C960" s="437"/>
      <c r="D960" s="488"/>
      <c r="F960" s="431"/>
      <c r="G960" s="596"/>
      <c r="H960" s="430"/>
      <c r="J960" s="437"/>
    </row>
    <row r="961" spans="1:10" s="428" customFormat="1" ht="20.399999999999999" customHeight="1">
      <c r="A961" s="1245"/>
      <c r="B961" s="431"/>
      <c r="C961" s="437"/>
      <c r="D961" s="488"/>
      <c r="F961" s="431"/>
      <c r="G961" s="596"/>
      <c r="H961" s="430"/>
      <c r="J961" s="437"/>
    </row>
    <row r="962" spans="1:10" s="428" customFormat="1" ht="20.399999999999999" customHeight="1">
      <c r="A962" s="1245"/>
      <c r="B962" s="431"/>
      <c r="C962" s="437"/>
      <c r="D962" s="488"/>
      <c r="F962" s="431"/>
      <c r="G962" s="596"/>
      <c r="H962" s="430"/>
      <c r="J962" s="437"/>
    </row>
    <row r="963" spans="1:10" s="428" customFormat="1" ht="20.399999999999999" customHeight="1">
      <c r="A963" s="1245"/>
      <c r="B963" s="431"/>
      <c r="C963" s="437"/>
      <c r="D963" s="488"/>
      <c r="F963" s="431"/>
      <c r="G963" s="596"/>
      <c r="H963" s="430"/>
      <c r="J963" s="437"/>
    </row>
    <row r="964" spans="1:10" s="428" customFormat="1" ht="20.399999999999999" customHeight="1">
      <c r="A964" s="1245"/>
      <c r="B964" s="431"/>
      <c r="C964" s="437"/>
      <c r="D964" s="488"/>
      <c r="F964" s="431"/>
      <c r="G964" s="596"/>
      <c r="H964" s="430"/>
      <c r="J964" s="437"/>
    </row>
    <row r="965" spans="1:10" s="428" customFormat="1" ht="20.399999999999999" customHeight="1">
      <c r="A965" s="1245"/>
      <c r="B965" s="431"/>
      <c r="C965" s="437"/>
      <c r="D965" s="488"/>
      <c r="F965" s="431"/>
      <c r="G965" s="596"/>
      <c r="H965" s="430"/>
      <c r="J965" s="437"/>
    </row>
    <row r="966" spans="1:10" s="428" customFormat="1" ht="20.399999999999999" customHeight="1">
      <c r="A966" s="1245"/>
      <c r="B966" s="431"/>
      <c r="C966" s="437"/>
      <c r="D966" s="488"/>
      <c r="F966" s="431"/>
      <c r="G966" s="596"/>
      <c r="H966" s="430"/>
      <c r="J966" s="437"/>
    </row>
    <row r="967" spans="1:10" s="428" customFormat="1" ht="20.399999999999999" customHeight="1">
      <c r="A967" s="1245"/>
      <c r="B967" s="431"/>
      <c r="C967" s="437"/>
      <c r="D967" s="488"/>
      <c r="F967" s="431"/>
      <c r="G967" s="596"/>
      <c r="H967" s="430"/>
      <c r="J967" s="437"/>
    </row>
    <row r="968" spans="1:10" s="428" customFormat="1" ht="20.399999999999999" customHeight="1">
      <c r="A968" s="1245"/>
      <c r="B968" s="431"/>
      <c r="C968" s="437"/>
      <c r="D968" s="488"/>
      <c r="F968" s="431"/>
      <c r="G968" s="596"/>
      <c r="H968" s="430"/>
      <c r="J968" s="437"/>
    </row>
    <row r="969" spans="1:10" s="428" customFormat="1" ht="20.399999999999999" customHeight="1">
      <c r="A969" s="1245"/>
      <c r="B969" s="431"/>
      <c r="C969" s="437"/>
      <c r="D969" s="488"/>
      <c r="F969" s="431"/>
      <c r="G969" s="596"/>
      <c r="H969" s="430"/>
      <c r="J969" s="437"/>
    </row>
    <row r="970" spans="1:10" s="428" customFormat="1" ht="20.399999999999999" customHeight="1">
      <c r="A970" s="1245"/>
      <c r="B970" s="431"/>
      <c r="C970" s="437"/>
      <c r="D970" s="488"/>
      <c r="F970" s="431"/>
      <c r="G970" s="596"/>
      <c r="H970" s="430"/>
      <c r="J970" s="437"/>
    </row>
    <row r="971" spans="1:10" s="428" customFormat="1" ht="20.399999999999999" customHeight="1">
      <c r="A971" s="1245"/>
      <c r="B971" s="431"/>
      <c r="C971" s="437"/>
      <c r="D971" s="488"/>
      <c r="F971" s="431"/>
      <c r="G971" s="596"/>
      <c r="H971" s="430"/>
      <c r="J971" s="437"/>
    </row>
    <row r="972" spans="1:10" s="428" customFormat="1" ht="20.399999999999999" customHeight="1">
      <c r="A972" s="1245"/>
      <c r="B972" s="431"/>
      <c r="C972" s="437"/>
      <c r="D972" s="488"/>
      <c r="F972" s="431"/>
      <c r="G972" s="596"/>
      <c r="H972" s="430"/>
      <c r="J972" s="437"/>
    </row>
    <row r="973" spans="1:10" s="428" customFormat="1" ht="20.399999999999999" customHeight="1">
      <c r="A973" s="1245"/>
      <c r="B973" s="431"/>
      <c r="C973" s="437"/>
      <c r="D973" s="488"/>
      <c r="F973" s="431"/>
      <c r="G973" s="596"/>
      <c r="H973" s="430"/>
      <c r="J973" s="437"/>
    </row>
    <row r="974" spans="1:10" s="428" customFormat="1" ht="20.399999999999999" customHeight="1">
      <c r="A974" s="1245"/>
      <c r="B974" s="431"/>
      <c r="C974" s="437"/>
      <c r="D974" s="488"/>
      <c r="F974" s="431"/>
      <c r="G974" s="596"/>
      <c r="H974" s="430"/>
      <c r="J974" s="437"/>
    </row>
    <row r="975" spans="1:10" s="428" customFormat="1" ht="20.399999999999999" customHeight="1">
      <c r="A975" s="1245"/>
      <c r="B975" s="431"/>
      <c r="C975" s="437"/>
      <c r="D975" s="488"/>
      <c r="F975" s="431"/>
      <c r="G975" s="596"/>
      <c r="H975" s="430"/>
      <c r="J975" s="437"/>
    </row>
    <row r="976" spans="1:10" s="428" customFormat="1" ht="20.399999999999999" customHeight="1">
      <c r="A976" s="1245"/>
      <c r="B976" s="431"/>
      <c r="C976" s="437"/>
      <c r="D976" s="488"/>
      <c r="F976" s="431"/>
      <c r="G976" s="596"/>
      <c r="H976" s="430"/>
      <c r="J976" s="437"/>
    </row>
    <row r="977" spans="1:10" s="428" customFormat="1" ht="20.399999999999999" customHeight="1">
      <c r="A977" s="1245"/>
      <c r="B977" s="431"/>
      <c r="C977" s="437"/>
      <c r="D977" s="488"/>
      <c r="F977" s="431"/>
      <c r="G977" s="596"/>
      <c r="H977" s="430"/>
      <c r="J977" s="437"/>
    </row>
    <row r="978" spans="1:10" s="428" customFormat="1" ht="20.399999999999999" customHeight="1">
      <c r="A978" s="1245"/>
      <c r="B978" s="431"/>
      <c r="C978" s="437"/>
      <c r="D978" s="488"/>
      <c r="F978" s="431"/>
      <c r="G978" s="596"/>
      <c r="H978" s="430"/>
      <c r="J978" s="437"/>
    </row>
    <row r="979" spans="1:10" s="428" customFormat="1" ht="20.399999999999999" customHeight="1">
      <c r="A979" s="1245"/>
      <c r="B979" s="431"/>
      <c r="C979" s="437"/>
      <c r="D979" s="488"/>
      <c r="F979" s="431"/>
      <c r="G979" s="596"/>
      <c r="H979" s="430"/>
      <c r="J979" s="437"/>
    </row>
    <row r="980" spans="1:10" s="428" customFormat="1" ht="20.399999999999999" customHeight="1">
      <c r="A980" s="1245"/>
      <c r="B980" s="431"/>
      <c r="C980" s="437"/>
      <c r="D980" s="488"/>
      <c r="F980" s="431"/>
      <c r="G980" s="596"/>
      <c r="H980" s="430"/>
      <c r="J980" s="437"/>
    </row>
    <row r="981" spans="1:10" s="428" customFormat="1" ht="20.399999999999999" customHeight="1">
      <c r="A981" s="1245"/>
      <c r="B981" s="431"/>
      <c r="C981" s="437"/>
      <c r="D981" s="488"/>
      <c r="F981" s="431"/>
      <c r="G981" s="596"/>
      <c r="H981" s="430"/>
      <c r="J981" s="437"/>
    </row>
    <row r="982" spans="1:10" s="428" customFormat="1" ht="20.399999999999999" customHeight="1">
      <c r="A982" s="1245"/>
      <c r="B982" s="431"/>
      <c r="C982" s="437"/>
      <c r="D982" s="488"/>
      <c r="F982" s="431"/>
      <c r="G982" s="596"/>
      <c r="H982" s="430"/>
      <c r="J982" s="437"/>
    </row>
    <row r="983" spans="1:10" s="428" customFormat="1" ht="20.399999999999999" customHeight="1">
      <c r="A983" s="1245"/>
      <c r="B983" s="431"/>
      <c r="C983" s="437"/>
      <c r="D983" s="488"/>
      <c r="F983" s="431"/>
      <c r="G983" s="596"/>
      <c r="H983" s="430"/>
      <c r="J983" s="437"/>
    </row>
    <row r="984" spans="1:10" s="428" customFormat="1" ht="20.399999999999999" customHeight="1">
      <c r="A984" s="1245"/>
      <c r="B984" s="431"/>
      <c r="C984" s="437"/>
      <c r="D984" s="488"/>
      <c r="F984" s="431"/>
      <c r="G984" s="596"/>
      <c r="H984" s="430"/>
      <c r="J984" s="437"/>
    </row>
    <row r="985" spans="1:10" s="428" customFormat="1" ht="20.399999999999999" customHeight="1">
      <c r="A985" s="1245"/>
      <c r="B985" s="431"/>
      <c r="C985" s="437"/>
      <c r="D985" s="488"/>
      <c r="F985" s="431"/>
      <c r="G985" s="596"/>
      <c r="H985" s="430"/>
      <c r="J985" s="437"/>
    </row>
    <row r="986" spans="1:10" s="428" customFormat="1" ht="20.399999999999999" customHeight="1">
      <c r="A986" s="1245"/>
      <c r="B986" s="431"/>
      <c r="C986" s="437"/>
      <c r="D986" s="488"/>
      <c r="F986" s="431"/>
      <c r="G986" s="596"/>
      <c r="H986" s="430"/>
      <c r="J986" s="437"/>
    </row>
    <row r="987" spans="1:10" s="428" customFormat="1" ht="20.399999999999999" customHeight="1">
      <c r="A987" s="1245"/>
      <c r="B987" s="431"/>
      <c r="C987" s="437"/>
      <c r="D987" s="488"/>
      <c r="F987" s="431"/>
      <c r="G987" s="596"/>
      <c r="H987" s="430"/>
      <c r="J987" s="437"/>
    </row>
    <row r="988" spans="1:10" s="428" customFormat="1" ht="20.399999999999999" customHeight="1">
      <c r="A988" s="1245"/>
      <c r="B988" s="431"/>
      <c r="C988" s="437"/>
      <c r="D988" s="488"/>
      <c r="F988" s="431"/>
      <c r="G988" s="596"/>
      <c r="H988" s="430"/>
      <c r="J988" s="437"/>
    </row>
    <row r="989" spans="1:10" s="428" customFormat="1" ht="20.399999999999999" customHeight="1">
      <c r="A989" s="1245"/>
      <c r="B989" s="431"/>
      <c r="C989" s="437"/>
      <c r="D989" s="488"/>
      <c r="F989" s="431"/>
      <c r="G989" s="596"/>
      <c r="H989" s="430"/>
      <c r="J989" s="437"/>
    </row>
    <row r="990" spans="1:10" s="428" customFormat="1" ht="20.399999999999999" customHeight="1">
      <c r="A990" s="1245"/>
      <c r="B990" s="431"/>
      <c r="C990" s="437"/>
      <c r="D990" s="488"/>
      <c r="F990" s="431"/>
      <c r="G990" s="596"/>
      <c r="H990" s="430"/>
      <c r="J990" s="437"/>
    </row>
    <row r="991" spans="1:10" s="428" customFormat="1" ht="20.399999999999999" customHeight="1">
      <c r="A991" s="1245"/>
      <c r="B991" s="431"/>
      <c r="C991" s="437"/>
      <c r="D991" s="488"/>
      <c r="F991" s="431"/>
      <c r="G991" s="596"/>
      <c r="H991" s="430"/>
      <c r="J991" s="437"/>
    </row>
    <row r="992" spans="1:10" s="428" customFormat="1" ht="20.399999999999999" customHeight="1">
      <c r="A992" s="1245"/>
      <c r="B992" s="431"/>
      <c r="C992" s="437"/>
      <c r="D992" s="488"/>
      <c r="F992" s="431"/>
      <c r="G992" s="596"/>
      <c r="H992" s="430"/>
      <c r="J992" s="437"/>
    </row>
    <row r="993" spans="1:10" s="428" customFormat="1" ht="20.399999999999999" customHeight="1">
      <c r="A993" s="1245"/>
      <c r="B993" s="431"/>
      <c r="C993" s="437"/>
      <c r="D993" s="488"/>
      <c r="F993" s="431"/>
      <c r="G993" s="596"/>
      <c r="H993" s="430"/>
      <c r="J993" s="437"/>
    </row>
    <row r="994" spans="1:10" s="428" customFormat="1" ht="20.399999999999999" customHeight="1">
      <c r="A994" s="1245"/>
      <c r="B994" s="431"/>
      <c r="C994" s="437"/>
      <c r="D994" s="488"/>
      <c r="F994" s="431"/>
      <c r="G994" s="596"/>
      <c r="H994" s="430"/>
      <c r="J994" s="437"/>
    </row>
    <row r="995" spans="1:10" s="428" customFormat="1" ht="20.399999999999999" customHeight="1">
      <c r="A995" s="1245"/>
      <c r="B995" s="431"/>
      <c r="C995" s="437"/>
      <c r="D995" s="488"/>
      <c r="F995" s="431"/>
      <c r="G995" s="596"/>
      <c r="H995" s="430"/>
      <c r="J995" s="437"/>
    </row>
    <row r="996" spans="1:10" s="428" customFormat="1" ht="20.399999999999999" customHeight="1">
      <c r="A996" s="1245"/>
      <c r="B996" s="431"/>
      <c r="C996" s="437"/>
      <c r="D996" s="488"/>
      <c r="F996" s="431"/>
      <c r="G996" s="596"/>
      <c r="H996" s="430"/>
      <c r="J996" s="437"/>
    </row>
    <row r="997" spans="1:10" s="428" customFormat="1" ht="20.399999999999999" customHeight="1">
      <c r="A997" s="1245"/>
      <c r="B997" s="431"/>
      <c r="C997" s="437"/>
      <c r="D997" s="488"/>
      <c r="F997" s="431"/>
      <c r="G997" s="596"/>
      <c r="H997" s="430"/>
      <c r="J997" s="437"/>
    </row>
    <row r="998" spans="1:10" s="428" customFormat="1" ht="20.399999999999999" customHeight="1">
      <c r="A998" s="1245"/>
      <c r="B998" s="431"/>
      <c r="C998" s="437"/>
      <c r="D998" s="488"/>
      <c r="F998" s="431"/>
      <c r="G998" s="596"/>
      <c r="H998" s="430"/>
      <c r="J998" s="437"/>
    </row>
    <row r="999" spans="1:10" s="428" customFormat="1" ht="20.399999999999999" customHeight="1">
      <c r="A999" s="1245"/>
      <c r="B999" s="431"/>
      <c r="C999" s="437"/>
      <c r="D999" s="488"/>
      <c r="F999" s="431"/>
      <c r="G999" s="596"/>
      <c r="H999" s="430"/>
      <c r="J999" s="437"/>
    </row>
    <row r="1000" spans="1:10" s="428" customFormat="1" ht="20.399999999999999" customHeight="1">
      <c r="A1000" s="1245"/>
      <c r="B1000" s="431"/>
      <c r="C1000" s="437"/>
      <c r="D1000" s="488"/>
      <c r="F1000" s="431"/>
      <c r="G1000" s="596"/>
      <c r="H1000" s="430"/>
      <c r="J1000" s="437"/>
    </row>
    <row r="1001" spans="1:10" s="428" customFormat="1" ht="20.399999999999999" customHeight="1">
      <c r="A1001" s="1245"/>
      <c r="B1001" s="431"/>
      <c r="C1001" s="437"/>
      <c r="D1001" s="488"/>
      <c r="F1001" s="431"/>
      <c r="G1001" s="596"/>
      <c r="H1001" s="430"/>
      <c r="J1001" s="437"/>
    </row>
    <row r="1002" spans="1:10" s="428" customFormat="1" ht="20.399999999999999" customHeight="1">
      <c r="A1002" s="1245"/>
      <c r="B1002" s="431"/>
      <c r="C1002" s="437"/>
      <c r="D1002" s="488"/>
      <c r="F1002" s="431"/>
      <c r="G1002" s="596"/>
      <c r="H1002" s="430"/>
      <c r="J1002" s="437"/>
    </row>
    <row r="1003" spans="1:10" s="428" customFormat="1" ht="20.399999999999999" customHeight="1">
      <c r="A1003" s="1245"/>
      <c r="B1003" s="431"/>
      <c r="C1003" s="437"/>
      <c r="D1003" s="488"/>
      <c r="F1003" s="431"/>
      <c r="G1003" s="596"/>
      <c r="H1003" s="430"/>
      <c r="J1003" s="437"/>
    </row>
    <row r="1004" spans="1:10" s="428" customFormat="1" ht="20.399999999999999" customHeight="1">
      <c r="A1004" s="1245"/>
      <c r="B1004" s="431"/>
      <c r="C1004" s="437"/>
      <c r="D1004" s="488"/>
      <c r="F1004" s="431"/>
      <c r="G1004" s="596"/>
      <c r="H1004" s="430"/>
      <c r="J1004" s="437"/>
    </row>
    <row r="1005" spans="1:10" s="428" customFormat="1" ht="20.399999999999999" customHeight="1">
      <c r="A1005" s="1245"/>
      <c r="B1005" s="431"/>
      <c r="C1005" s="437"/>
      <c r="D1005" s="488"/>
      <c r="F1005" s="431"/>
      <c r="G1005" s="596"/>
      <c r="H1005" s="430"/>
      <c r="J1005" s="437"/>
    </row>
    <row r="1006" spans="1:10" s="428" customFormat="1" ht="20.399999999999999" customHeight="1">
      <c r="A1006" s="1245"/>
      <c r="B1006" s="431"/>
      <c r="C1006" s="437"/>
      <c r="D1006" s="488"/>
      <c r="F1006" s="431"/>
      <c r="G1006" s="596"/>
      <c r="H1006" s="430"/>
      <c r="J1006" s="437"/>
    </row>
    <row r="1007" spans="1:10" s="428" customFormat="1" ht="20.399999999999999" customHeight="1">
      <c r="A1007" s="1245"/>
      <c r="B1007" s="431"/>
      <c r="C1007" s="437"/>
      <c r="D1007" s="488"/>
      <c r="F1007" s="431"/>
      <c r="G1007" s="596"/>
      <c r="H1007" s="430"/>
      <c r="J1007" s="437"/>
    </row>
    <row r="1008" spans="1:10" s="428" customFormat="1" ht="20.399999999999999" customHeight="1">
      <c r="A1008" s="1245"/>
      <c r="B1008" s="431"/>
      <c r="C1008" s="437"/>
      <c r="D1008" s="488"/>
      <c r="F1008" s="431"/>
      <c r="G1008" s="596"/>
      <c r="H1008" s="430"/>
      <c r="J1008" s="437"/>
    </row>
    <row r="1009" spans="1:10" s="428" customFormat="1" ht="20.399999999999999" customHeight="1">
      <c r="A1009" s="1245"/>
      <c r="B1009" s="431"/>
      <c r="C1009" s="437"/>
      <c r="D1009" s="488"/>
      <c r="F1009" s="431"/>
      <c r="G1009" s="596"/>
      <c r="H1009" s="430"/>
      <c r="J1009" s="437"/>
    </row>
    <row r="1010" spans="1:10" s="428" customFormat="1" ht="20.399999999999999" customHeight="1">
      <c r="A1010" s="1245"/>
      <c r="B1010" s="431"/>
      <c r="C1010" s="437"/>
      <c r="D1010" s="488"/>
      <c r="F1010" s="431"/>
      <c r="G1010" s="596"/>
      <c r="H1010" s="430"/>
      <c r="J1010" s="437"/>
    </row>
    <row r="1011" spans="1:10" s="428" customFormat="1" ht="20.399999999999999" customHeight="1">
      <c r="A1011" s="1245"/>
      <c r="B1011" s="431"/>
      <c r="C1011" s="437"/>
      <c r="D1011" s="488"/>
      <c r="F1011" s="431"/>
      <c r="G1011" s="596"/>
      <c r="H1011" s="430"/>
      <c r="J1011" s="437"/>
    </row>
    <row r="1012" spans="1:10" s="428" customFormat="1">
      <c r="A1012" s="449"/>
      <c r="B1012" s="431"/>
      <c r="C1012" s="449"/>
      <c r="D1012" s="430"/>
      <c r="F1012" s="431"/>
      <c r="G1012" s="596"/>
      <c r="H1012" s="488"/>
      <c r="J1012" s="449"/>
    </row>
    <row r="1013" spans="1:10" s="428" customFormat="1">
      <c r="A1013" s="449"/>
      <c r="B1013" s="431"/>
      <c r="C1013" s="449"/>
      <c r="D1013" s="430"/>
      <c r="F1013" s="431"/>
      <c r="G1013" s="596"/>
      <c r="H1013" s="488"/>
      <c r="J1013" s="449"/>
    </row>
    <row r="1014" spans="1:10" s="428" customFormat="1">
      <c r="A1014" s="449"/>
      <c r="B1014" s="431"/>
      <c r="C1014" s="449"/>
      <c r="D1014" s="430"/>
      <c r="F1014" s="431"/>
      <c r="G1014" s="596"/>
      <c r="H1014" s="488"/>
      <c r="J1014" s="449"/>
    </row>
    <row r="1015" spans="1:10" s="428" customFormat="1">
      <c r="A1015" s="449"/>
      <c r="B1015" s="431"/>
      <c r="C1015" s="449"/>
      <c r="D1015" s="430"/>
      <c r="F1015" s="431"/>
      <c r="G1015" s="596"/>
      <c r="H1015" s="488"/>
      <c r="J1015" s="449"/>
    </row>
    <row r="1016" spans="1:10" s="428" customFormat="1">
      <c r="A1016" s="449"/>
      <c r="B1016" s="431"/>
      <c r="C1016" s="449"/>
      <c r="D1016" s="430"/>
      <c r="F1016" s="431"/>
      <c r="G1016" s="596"/>
      <c r="H1016" s="488"/>
      <c r="J1016" s="449"/>
    </row>
    <row r="1017" spans="1:10" s="428" customFormat="1">
      <c r="A1017" s="449"/>
      <c r="B1017" s="431"/>
      <c r="C1017" s="449"/>
      <c r="D1017" s="430"/>
      <c r="F1017" s="431"/>
      <c r="G1017" s="596"/>
      <c r="H1017" s="488"/>
      <c r="J1017" s="449"/>
    </row>
    <row r="1018" spans="1:10" s="428" customFormat="1">
      <c r="A1018" s="449"/>
      <c r="B1018" s="431"/>
      <c r="C1018" s="449"/>
      <c r="D1018" s="430"/>
      <c r="F1018" s="431"/>
      <c r="G1018" s="596"/>
      <c r="H1018" s="488"/>
      <c r="J1018" s="449"/>
    </row>
    <row r="1019" spans="1:10" s="428" customFormat="1">
      <c r="A1019" s="449"/>
      <c r="B1019" s="431"/>
      <c r="C1019" s="449"/>
      <c r="D1019" s="430"/>
      <c r="F1019" s="431"/>
      <c r="G1019" s="596"/>
      <c r="H1019" s="488"/>
      <c r="J1019" s="449"/>
    </row>
    <row r="1020" spans="1:10" s="428" customFormat="1">
      <c r="A1020" s="449"/>
      <c r="B1020" s="431"/>
      <c r="C1020" s="449"/>
      <c r="D1020" s="430"/>
      <c r="F1020" s="431"/>
      <c r="G1020" s="596"/>
      <c r="H1020" s="488"/>
      <c r="J1020" s="449"/>
    </row>
    <row r="1021" spans="1:10" s="428" customFormat="1">
      <c r="A1021" s="449"/>
      <c r="B1021" s="431"/>
      <c r="C1021" s="449"/>
      <c r="D1021" s="430"/>
      <c r="F1021" s="431"/>
      <c r="G1021" s="596"/>
      <c r="H1021" s="488"/>
      <c r="J1021" s="449"/>
    </row>
    <row r="1022" spans="1:10" s="428" customFormat="1">
      <c r="A1022" s="449"/>
      <c r="B1022" s="431"/>
      <c r="C1022" s="449"/>
      <c r="D1022" s="430"/>
      <c r="F1022" s="431"/>
      <c r="G1022" s="596"/>
      <c r="H1022" s="488"/>
      <c r="J1022" s="449"/>
    </row>
    <row r="1023" spans="1:10" s="428" customFormat="1">
      <c r="A1023" s="449"/>
      <c r="B1023" s="431"/>
      <c r="C1023" s="449"/>
      <c r="D1023" s="430"/>
      <c r="F1023" s="431"/>
      <c r="G1023" s="596"/>
      <c r="H1023" s="488"/>
      <c r="J1023" s="449"/>
    </row>
    <row r="1024" spans="1:10" s="428" customFormat="1">
      <c r="A1024" s="449"/>
      <c r="B1024" s="431"/>
      <c r="C1024" s="449"/>
      <c r="D1024" s="430"/>
      <c r="F1024" s="431"/>
      <c r="G1024" s="596"/>
      <c r="H1024" s="488"/>
      <c r="J1024" s="449"/>
    </row>
    <row r="1025" spans="1:10" s="428" customFormat="1">
      <c r="A1025" s="449"/>
      <c r="B1025" s="431"/>
      <c r="C1025" s="449"/>
      <c r="D1025" s="430"/>
      <c r="F1025" s="431"/>
      <c r="G1025" s="596"/>
      <c r="H1025" s="488"/>
      <c r="J1025" s="449"/>
    </row>
    <row r="1026" spans="1:10" s="428" customFormat="1">
      <c r="A1026" s="449"/>
      <c r="B1026" s="431"/>
      <c r="C1026" s="449"/>
      <c r="D1026" s="430"/>
      <c r="F1026" s="431"/>
      <c r="G1026" s="596"/>
      <c r="H1026" s="488"/>
      <c r="J1026" s="449"/>
    </row>
    <row r="1027" spans="1:10" s="428" customFormat="1">
      <c r="A1027" s="449"/>
      <c r="B1027" s="431"/>
      <c r="C1027" s="449"/>
      <c r="D1027" s="430"/>
      <c r="F1027" s="431"/>
      <c r="G1027" s="596"/>
      <c r="H1027" s="488"/>
      <c r="J1027" s="449"/>
    </row>
    <row r="1028" spans="1:10" s="428" customFormat="1">
      <c r="A1028" s="449"/>
      <c r="B1028" s="431"/>
      <c r="C1028" s="449"/>
      <c r="D1028" s="430"/>
      <c r="F1028" s="431"/>
      <c r="G1028" s="596"/>
      <c r="H1028" s="488"/>
      <c r="J1028" s="449"/>
    </row>
    <row r="1029" spans="1:10" s="428" customFormat="1">
      <c r="A1029" s="449"/>
      <c r="B1029" s="431"/>
      <c r="C1029" s="449"/>
      <c r="D1029" s="430"/>
      <c r="F1029" s="431"/>
      <c r="G1029" s="596"/>
      <c r="H1029" s="488"/>
      <c r="J1029" s="449"/>
    </row>
    <row r="1030" spans="1:10" s="428" customFormat="1">
      <c r="A1030" s="449"/>
      <c r="B1030" s="431"/>
      <c r="C1030" s="449"/>
      <c r="D1030" s="430"/>
      <c r="F1030" s="431"/>
      <c r="G1030" s="596"/>
      <c r="H1030" s="488"/>
      <c r="J1030" s="449"/>
    </row>
    <row r="1031" spans="1:10" s="428" customFormat="1">
      <c r="A1031" s="449"/>
      <c r="B1031" s="431"/>
      <c r="C1031" s="449"/>
      <c r="D1031" s="430"/>
      <c r="F1031" s="431"/>
      <c r="G1031" s="596"/>
      <c r="H1031" s="488"/>
      <c r="J1031" s="449"/>
    </row>
    <row r="1032" spans="1:10" s="428" customFormat="1">
      <c r="A1032" s="449"/>
      <c r="B1032" s="431"/>
      <c r="C1032" s="449"/>
      <c r="D1032" s="430"/>
      <c r="F1032" s="431"/>
      <c r="G1032" s="596"/>
      <c r="H1032" s="488"/>
      <c r="J1032" s="449"/>
    </row>
    <row r="1033" spans="1:10" s="428" customFormat="1">
      <c r="A1033" s="449"/>
      <c r="B1033" s="431"/>
      <c r="C1033" s="449"/>
      <c r="D1033" s="430"/>
      <c r="F1033" s="431"/>
      <c r="G1033" s="596"/>
      <c r="H1033" s="488"/>
      <c r="J1033" s="449"/>
    </row>
    <row r="1034" spans="1:10" s="428" customFormat="1">
      <c r="A1034" s="449"/>
      <c r="B1034" s="431"/>
      <c r="C1034" s="449"/>
      <c r="D1034" s="430"/>
      <c r="F1034" s="431"/>
      <c r="G1034" s="596"/>
      <c r="H1034" s="488"/>
      <c r="J1034" s="449"/>
    </row>
    <row r="1035" spans="1:10" s="428" customFormat="1">
      <c r="A1035" s="449"/>
      <c r="B1035" s="431"/>
      <c r="C1035" s="449"/>
      <c r="D1035" s="430"/>
      <c r="F1035" s="431"/>
      <c r="G1035" s="596"/>
      <c r="H1035" s="488"/>
      <c r="J1035" s="449"/>
    </row>
    <row r="1036" spans="1:10" s="428" customFormat="1">
      <c r="A1036" s="449"/>
      <c r="B1036" s="431"/>
      <c r="C1036" s="449"/>
      <c r="D1036" s="430"/>
      <c r="F1036" s="431"/>
      <c r="G1036" s="596"/>
      <c r="H1036" s="488"/>
      <c r="J1036" s="449"/>
    </row>
    <row r="1037" spans="1:10" s="428" customFormat="1">
      <c r="A1037" s="449"/>
      <c r="B1037" s="431"/>
      <c r="C1037" s="449"/>
      <c r="D1037" s="430"/>
      <c r="F1037" s="431"/>
      <c r="G1037" s="596"/>
      <c r="H1037" s="488"/>
      <c r="J1037" s="449"/>
    </row>
    <row r="1038" spans="1:10" s="428" customFormat="1">
      <c r="A1038" s="449"/>
      <c r="B1038" s="431"/>
      <c r="C1038" s="449"/>
      <c r="D1038" s="430"/>
      <c r="F1038" s="431"/>
      <c r="G1038" s="596"/>
      <c r="H1038" s="488"/>
      <c r="J1038" s="449"/>
    </row>
    <row r="1039" spans="1:10" s="428" customFormat="1">
      <c r="A1039" s="449"/>
      <c r="B1039" s="431"/>
      <c r="C1039" s="449"/>
      <c r="D1039" s="430"/>
      <c r="F1039" s="431"/>
      <c r="G1039" s="596"/>
      <c r="H1039" s="488"/>
      <c r="J1039" s="449"/>
    </row>
    <row r="1040" spans="1:10" s="428" customFormat="1">
      <c r="A1040" s="449"/>
      <c r="B1040" s="431"/>
      <c r="C1040" s="449"/>
      <c r="D1040" s="430"/>
      <c r="F1040" s="431"/>
      <c r="G1040" s="596"/>
      <c r="H1040" s="488"/>
      <c r="J1040" s="449"/>
    </row>
    <row r="1041" spans="1:10" s="428" customFormat="1">
      <c r="A1041" s="449"/>
      <c r="B1041" s="431"/>
      <c r="C1041" s="449"/>
      <c r="D1041" s="430"/>
      <c r="F1041" s="431"/>
      <c r="G1041" s="596"/>
      <c r="H1041" s="488"/>
      <c r="J1041" s="449"/>
    </row>
    <row r="1042" spans="1:10" s="428" customFormat="1">
      <c r="A1042" s="449"/>
      <c r="B1042" s="431"/>
      <c r="C1042" s="449"/>
      <c r="D1042" s="430"/>
      <c r="F1042" s="431"/>
      <c r="G1042" s="596"/>
      <c r="H1042" s="488"/>
      <c r="J1042" s="449"/>
    </row>
    <row r="1043" spans="1:10" s="428" customFormat="1">
      <c r="A1043" s="449"/>
      <c r="B1043" s="431"/>
      <c r="C1043" s="449"/>
      <c r="D1043" s="430"/>
      <c r="F1043" s="431"/>
      <c r="G1043" s="596"/>
      <c r="H1043" s="488"/>
      <c r="J1043" s="449"/>
    </row>
    <row r="1044" spans="1:10" s="428" customFormat="1">
      <c r="A1044" s="449"/>
      <c r="B1044" s="431"/>
      <c r="C1044" s="449"/>
      <c r="D1044" s="430"/>
      <c r="F1044" s="431"/>
      <c r="G1044" s="596"/>
      <c r="H1044" s="488"/>
      <c r="J1044" s="449"/>
    </row>
    <row r="1045" spans="1:10" s="428" customFormat="1">
      <c r="A1045" s="449"/>
      <c r="B1045" s="431"/>
      <c r="C1045" s="449"/>
      <c r="D1045" s="430"/>
      <c r="F1045" s="431"/>
      <c r="G1045" s="596"/>
      <c r="H1045" s="488"/>
      <c r="J1045" s="449"/>
    </row>
    <row r="1046" spans="1:10" s="428" customFormat="1">
      <c r="A1046" s="449"/>
      <c r="B1046" s="431"/>
      <c r="C1046" s="449"/>
      <c r="F1046" s="431"/>
      <c r="G1046" s="596"/>
      <c r="H1046" s="488"/>
      <c r="J1046" s="449"/>
    </row>
    <row r="1047" spans="1:10" s="428" customFormat="1">
      <c r="A1047" s="449"/>
      <c r="B1047" s="431"/>
      <c r="C1047" s="449"/>
      <c r="F1047" s="431"/>
      <c r="G1047" s="596"/>
      <c r="H1047" s="488"/>
      <c r="J1047" s="449"/>
    </row>
    <row r="1048" spans="1:10" s="428" customFormat="1">
      <c r="A1048" s="449"/>
      <c r="B1048" s="431"/>
      <c r="C1048" s="449"/>
      <c r="F1048" s="431"/>
      <c r="G1048" s="596"/>
      <c r="H1048" s="488"/>
      <c r="J1048" s="449"/>
    </row>
    <row r="1049" spans="1:10" s="428" customFormat="1">
      <c r="A1049" s="449"/>
      <c r="B1049" s="431"/>
      <c r="C1049" s="449"/>
      <c r="F1049" s="431"/>
      <c r="G1049" s="596"/>
      <c r="H1049" s="488"/>
      <c r="J1049" s="449"/>
    </row>
    <row r="1050" spans="1:10" s="428" customFormat="1">
      <c r="A1050" s="449"/>
      <c r="B1050" s="431"/>
      <c r="C1050" s="449"/>
      <c r="F1050" s="431"/>
      <c r="G1050" s="596"/>
      <c r="H1050" s="488"/>
      <c r="J1050" s="449"/>
    </row>
    <row r="1051" spans="1:10" s="428" customFormat="1">
      <c r="A1051" s="449"/>
      <c r="B1051" s="431"/>
      <c r="C1051" s="449"/>
      <c r="F1051" s="431"/>
      <c r="G1051" s="596"/>
      <c r="H1051" s="488"/>
      <c r="J1051" s="449"/>
    </row>
    <row r="1052" spans="1:10" s="428" customFormat="1">
      <c r="A1052" s="449"/>
      <c r="B1052" s="431"/>
      <c r="C1052" s="449"/>
      <c r="F1052" s="431"/>
      <c r="G1052" s="596"/>
      <c r="H1052" s="488"/>
      <c r="J1052" s="449"/>
    </row>
    <row r="1053" spans="1:10" s="428" customFormat="1">
      <c r="A1053" s="449"/>
      <c r="B1053" s="431"/>
      <c r="C1053" s="449"/>
      <c r="F1053" s="431"/>
      <c r="G1053" s="596"/>
      <c r="H1053" s="488"/>
      <c r="J1053" s="449"/>
    </row>
    <row r="1054" spans="1:10" s="428" customFormat="1">
      <c r="A1054" s="449"/>
      <c r="B1054" s="431"/>
      <c r="C1054" s="449"/>
      <c r="F1054" s="431"/>
      <c r="G1054" s="596"/>
      <c r="H1054" s="488"/>
      <c r="J1054" s="449"/>
    </row>
    <row r="1055" spans="1:10" s="428" customFormat="1">
      <c r="A1055" s="449"/>
      <c r="B1055" s="431"/>
      <c r="C1055" s="449"/>
      <c r="F1055" s="431"/>
      <c r="G1055" s="596"/>
      <c r="H1055" s="488"/>
      <c r="J1055" s="449"/>
    </row>
    <row r="1056" spans="1:10" s="428" customFormat="1">
      <c r="A1056" s="449"/>
      <c r="B1056" s="431"/>
      <c r="C1056" s="449"/>
      <c r="F1056" s="431"/>
      <c r="G1056" s="596"/>
      <c r="H1056" s="488"/>
      <c r="J1056" s="449"/>
    </row>
    <row r="1057" spans="1:10" s="428" customFormat="1">
      <c r="A1057" s="449"/>
      <c r="B1057" s="431"/>
      <c r="C1057" s="449"/>
      <c r="F1057" s="431"/>
      <c r="G1057" s="596"/>
      <c r="H1057" s="488"/>
      <c r="J1057" s="449"/>
    </row>
    <row r="1058" spans="1:10" s="428" customFormat="1">
      <c r="A1058" s="449"/>
      <c r="B1058" s="431"/>
      <c r="C1058" s="449"/>
      <c r="F1058" s="431"/>
      <c r="G1058" s="596"/>
      <c r="H1058" s="488"/>
      <c r="J1058" s="449"/>
    </row>
    <row r="1059" spans="1:10" s="428" customFormat="1">
      <c r="A1059" s="449"/>
      <c r="B1059" s="431"/>
      <c r="C1059" s="449"/>
      <c r="F1059" s="431"/>
      <c r="G1059" s="596"/>
      <c r="H1059" s="488"/>
      <c r="J1059" s="449"/>
    </row>
    <row r="1060" spans="1:10" s="428" customFormat="1">
      <c r="A1060" s="449"/>
      <c r="B1060" s="431"/>
      <c r="C1060" s="449"/>
      <c r="F1060" s="431"/>
      <c r="G1060" s="596"/>
      <c r="H1060" s="488"/>
      <c r="J1060" s="449"/>
    </row>
    <row r="1061" spans="1:10" s="428" customFormat="1">
      <c r="A1061" s="449"/>
      <c r="B1061" s="431"/>
      <c r="C1061" s="449"/>
      <c r="F1061" s="431"/>
      <c r="G1061" s="596"/>
      <c r="H1061" s="488"/>
      <c r="J1061" s="449"/>
    </row>
    <row r="1062" spans="1:10" s="428" customFormat="1">
      <c r="A1062" s="449"/>
      <c r="B1062" s="431"/>
      <c r="C1062" s="449"/>
      <c r="F1062" s="431"/>
      <c r="G1062" s="596"/>
      <c r="H1062" s="488"/>
      <c r="J1062" s="449"/>
    </row>
    <row r="1063" spans="1:10" s="428" customFormat="1">
      <c r="A1063" s="449"/>
      <c r="B1063" s="431"/>
      <c r="C1063" s="449"/>
      <c r="F1063" s="431"/>
      <c r="G1063" s="596"/>
      <c r="H1063" s="488"/>
      <c r="J1063" s="449"/>
    </row>
    <row r="1064" spans="1:10" s="428" customFormat="1">
      <c r="A1064" s="449"/>
      <c r="B1064" s="431"/>
      <c r="C1064" s="449"/>
      <c r="F1064" s="431"/>
      <c r="G1064" s="596"/>
      <c r="H1064" s="488"/>
      <c r="J1064" s="449"/>
    </row>
    <row r="1065" spans="1:10" s="428" customFormat="1">
      <c r="A1065" s="449"/>
      <c r="B1065" s="431"/>
      <c r="C1065" s="449"/>
      <c r="F1065" s="431"/>
      <c r="G1065" s="596"/>
      <c r="H1065" s="488"/>
      <c r="J1065" s="449"/>
    </row>
    <row r="1066" spans="1:10" s="428" customFormat="1">
      <c r="A1066" s="449"/>
      <c r="B1066" s="431"/>
      <c r="C1066" s="449"/>
      <c r="F1066" s="431"/>
      <c r="G1066" s="596"/>
      <c r="H1066" s="488"/>
      <c r="J1066" s="449"/>
    </row>
    <row r="1067" spans="1:10" s="428" customFormat="1">
      <c r="A1067" s="449"/>
      <c r="B1067" s="431"/>
      <c r="C1067" s="449"/>
      <c r="F1067" s="431"/>
      <c r="G1067" s="596"/>
      <c r="H1067" s="488"/>
      <c r="J1067" s="449"/>
    </row>
    <row r="1068" spans="1:10" s="428" customFormat="1">
      <c r="A1068" s="449"/>
      <c r="B1068" s="431"/>
      <c r="C1068" s="449"/>
      <c r="F1068" s="431"/>
      <c r="G1068" s="596"/>
      <c r="H1068" s="488"/>
      <c r="J1068" s="449"/>
    </row>
    <row r="1069" spans="1:10" s="428" customFormat="1">
      <c r="A1069" s="449"/>
      <c r="B1069" s="431"/>
      <c r="C1069" s="449"/>
      <c r="F1069" s="431"/>
      <c r="G1069" s="596"/>
      <c r="H1069" s="488"/>
      <c r="J1069" s="449"/>
    </row>
    <row r="1070" spans="1:10" s="428" customFormat="1">
      <c r="A1070" s="449"/>
      <c r="B1070" s="431"/>
      <c r="C1070" s="449"/>
      <c r="F1070" s="431"/>
      <c r="G1070" s="596"/>
      <c r="H1070" s="488"/>
      <c r="J1070" s="449"/>
    </row>
    <row r="1071" spans="1:10" s="428" customFormat="1">
      <c r="A1071" s="449"/>
      <c r="B1071" s="431"/>
      <c r="C1071" s="449"/>
      <c r="F1071" s="431"/>
      <c r="G1071" s="596"/>
      <c r="H1071" s="488"/>
      <c r="J1071" s="449"/>
    </row>
    <row r="1072" spans="1:10" s="428" customFormat="1">
      <c r="A1072" s="449"/>
      <c r="B1072" s="431"/>
      <c r="C1072" s="449"/>
      <c r="F1072" s="431"/>
      <c r="G1072" s="596"/>
      <c r="H1072" s="488"/>
      <c r="J1072" s="449"/>
    </row>
    <row r="1073" spans="1:10" s="428" customFormat="1">
      <c r="A1073" s="449"/>
      <c r="B1073" s="431"/>
      <c r="C1073" s="449"/>
      <c r="F1073" s="431"/>
      <c r="G1073" s="596"/>
      <c r="H1073" s="488"/>
      <c r="J1073" s="449"/>
    </row>
    <row r="1074" spans="1:10" s="428" customFormat="1">
      <c r="A1074" s="449"/>
      <c r="B1074" s="431"/>
      <c r="C1074" s="449"/>
      <c r="F1074" s="431"/>
      <c r="G1074" s="596"/>
      <c r="H1074" s="488"/>
      <c r="J1074" s="449"/>
    </row>
    <row r="1075" spans="1:10" s="428" customFormat="1">
      <c r="A1075" s="449"/>
      <c r="B1075" s="431"/>
      <c r="C1075" s="449"/>
      <c r="F1075" s="431"/>
      <c r="G1075" s="596"/>
      <c r="H1075" s="488"/>
      <c r="J1075" s="449"/>
    </row>
    <row r="1076" spans="1:10" s="428" customFormat="1">
      <c r="A1076" s="449"/>
      <c r="B1076" s="431"/>
      <c r="C1076" s="449"/>
      <c r="F1076" s="431"/>
      <c r="G1076" s="596"/>
      <c r="H1076" s="488"/>
      <c r="J1076" s="449"/>
    </row>
    <row r="1077" spans="1:10" s="428" customFormat="1">
      <c r="A1077" s="449"/>
      <c r="B1077" s="431"/>
      <c r="C1077" s="449"/>
      <c r="F1077" s="431"/>
      <c r="G1077" s="596"/>
      <c r="H1077" s="488"/>
      <c r="J1077" s="449"/>
    </row>
    <row r="1078" spans="1:10" s="428" customFormat="1">
      <c r="A1078" s="449"/>
      <c r="B1078" s="431"/>
      <c r="C1078" s="449"/>
      <c r="F1078" s="431"/>
      <c r="G1078" s="596"/>
      <c r="H1078" s="488"/>
      <c r="J1078" s="449"/>
    </row>
    <row r="1079" spans="1:10" s="428" customFormat="1">
      <c r="A1079" s="449"/>
      <c r="B1079" s="431"/>
      <c r="C1079" s="449"/>
      <c r="F1079" s="431"/>
      <c r="G1079" s="596"/>
      <c r="H1079" s="488"/>
      <c r="J1079" s="449"/>
    </row>
    <row r="1080" spans="1:10" s="428" customFormat="1">
      <c r="A1080" s="449"/>
      <c r="B1080" s="431"/>
      <c r="C1080" s="449"/>
      <c r="F1080" s="431"/>
      <c r="G1080" s="596"/>
      <c r="H1080" s="488"/>
      <c r="J1080" s="449"/>
    </row>
    <row r="1081" spans="1:10" s="428" customFormat="1">
      <c r="A1081" s="449"/>
      <c r="B1081" s="431"/>
      <c r="C1081" s="449"/>
      <c r="F1081" s="431"/>
      <c r="G1081" s="596"/>
      <c r="H1081" s="488"/>
      <c r="J1081" s="449"/>
    </row>
    <row r="1082" spans="1:10" s="428" customFormat="1">
      <c r="A1082" s="449"/>
      <c r="B1082" s="431"/>
      <c r="C1082" s="449"/>
      <c r="F1082" s="431"/>
      <c r="G1082" s="596"/>
      <c r="H1082" s="488"/>
      <c r="J1082" s="449"/>
    </row>
    <row r="1083" spans="1:10" s="428" customFormat="1">
      <c r="A1083" s="449"/>
      <c r="B1083" s="431"/>
      <c r="C1083" s="449"/>
      <c r="F1083" s="431"/>
      <c r="G1083" s="596"/>
      <c r="H1083" s="488"/>
      <c r="J1083" s="449"/>
    </row>
    <row r="1084" spans="1:10" s="428" customFormat="1">
      <c r="A1084" s="449"/>
      <c r="B1084" s="431"/>
      <c r="C1084" s="449"/>
      <c r="F1084" s="431"/>
      <c r="G1084" s="596"/>
      <c r="H1084" s="488"/>
      <c r="J1084" s="449"/>
    </row>
    <row r="1085" spans="1:10" s="428" customFormat="1">
      <c r="A1085" s="449"/>
      <c r="B1085" s="431"/>
      <c r="C1085" s="449"/>
      <c r="F1085" s="431"/>
      <c r="G1085" s="596"/>
      <c r="H1085" s="488"/>
      <c r="J1085" s="449"/>
    </row>
    <row r="1086" spans="1:10" s="428" customFormat="1">
      <c r="A1086" s="449"/>
      <c r="B1086" s="431"/>
      <c r="C1086" s="449"/>
      <c r="F1086" s="431"/>
      <c r="G1086" s="596"/>
      <c r="H1086" s="488"/>
      <c r="J1086" s="449"/>
    </row>
    <row r="1087" spans="1:10" s="428" customFormat="1">
      <c r="A1087" s="449"/>
      <c r="B1087" s="431"/>
      <c r="C1087" s="449"/>
      <c r="F1087" s="431"/>
      <c r="G1087" s="596"/>
      <c r="H1087" s="488"/>
      <c r="J1087" s="449"/>
    </row>
    <row r="1088" spans="1:10" s="428" customFormat="1">
      <c r="A1088" s="449"/>
      <c r="B1088" s="431"/>
      <c r="C1088" s="449"/>
      <c r="F1088" s="431"/>
      <c r="G1088" s="596"/>
      <c r="H1088" s="488"/>
      <c r="J1088" s="449"/>
    </row>
    <row r="1089" spans="1:10" s="428" customFormat="1">
      <c r="A1089" s="449"/>
      <c r="B1089" s="431"/>
      <c r="C1089" s="449"/>
      <c r="F1089" s="431"/>
      <c r="G1089" s="596"/>
      <c r="H1089" s="488"/>
      <c r="J1089" s="449"/>
    </row>
    <row r="1090" spans="1:10" s="428" customFormat="1">
      <c r="A1090" s="449"/>
      <c r="B1090" s="431"/>
      <c r="C1090" s="449"/>
      <c r="F1090" s="431"/>
      <c r="G1090" s="596"/>
      <c r="H1090" s="488"/>
      <c r="J1090" s="449"/>
    </row>
    <row r="1091" spans="1:10" s="428" customFormat="1">
      <c r="A1091" s="449"/>
      <c r="B1091" s="431"/>
      <c r="C1091" s="449"/>
      <c r="F1091" s="431"/>
      <c r="G1091" s="596"/>
      <c r="H1091" s="488"/>
      <c r="J1091" s="449"/>
    </row>
    <row r="1092" spans="1:10" s="428" customFormat="1">
      <c r="A1092" s="449"/>
      <c r="B1092" s="431"/>
      <c r="C1092" s="449"/>
      <c r="F1092" s="431"/>
      <c r="G1092" s="596"/>
      <c r="H1092" s="488"/>
      <c r="J1092" s="449"/>
    </row>
    <row r="1093" spans="1:10" s="428" customFormat="1">
      <c r="A1093" s="449"/>
      <c r="B1093" s="431"/>
      <c r="C1093" s="449"/>
      <c r="F1093" s="431"/>
      <c r="G1093" s="596"/>
      <c r="H1093" s="488"/>
      <c r="J1093" s="449"/>
    </row>
    <row r="1094" spans="1:10" s="428" customFormat="1">
      <c r="A1094" s="449"/>
      <c r="B1094" s="431"/>
      <c r="C1094" s="449"/>
      <c r="F1094" s="431"/>
      <c r="G1094" s="596"/>
      <c r="H1094" s="488"/>
      <c r="J1094" s="449"/>
    </row>
    <row r="1095" spans="1:10" s="428" customFormat="1">
      <c r="A1095" s="449"/>
      <c r="B1095" s="431"/>
      <c r="C1095" s="449"/>
      <c r="F1095" s="431"/>
      <c r="G1095" s="596"/>
      <c r="H1095" s="488"/>
      <c r="J1095" s="449"/>
    </row>
    <row r="1096" spans="1:10" s="428" customFormat="1">
      <c r="A1096" s="449"/>
      <c r="B1096" s="431"/>
      <c r="C1096" s="449"/>
      <c r="F1096" s="431"/>
      <c r="G1096" s="596"/>
      <c r="H1096" s="488"/>
      <c r="J1096" s="449"/>
    </row>
    <row r="1097" spans="1:10" s="428" customFormat="1">
      <c r="A1097" s="449"/>
      <c r="B1097" s="431"/>
      <c r="C1097" s="449"/>
      <c r="F1097" s="431"/>
      <c r="G1097" s="596"/>
      <c r="H1097" s="488"/>
      <c r="J1097" s="449"/>
    </row>
    <row r="1098" spans="1:10" s="428" customFormat="1">
      <c r="A1098" s="449"/>
      <c r="B1098" s="431"/>
      <c r="C1098" s="449"/>
      <c r="F1098" s="431"/>
      <c r="G1098" s="596"/>
      <c r="H1098" s="488"/>
      <c r="J1098" s="449"/>
    </row>
    <row r="1099" spans="1:10" s="428" customFormat="1">
      <c r="A1099" s="449"/>
      <c r="B1099" s="431"/>
      <c r="C1099" s="449"/>
      <c r="F1099" s="431"/>
      <c r="G1099" s="596"/>
      <c r="H1099" s="488"/>
      <c r="J1099" s="449"/>
    </row>
    <row r="1100" spans="1:10" s="428" customFormat="1">
      <c r="A1100" s="449"/>
      <c r="B1100" s="431"/>
      <c r="C1100" s="449"/>
      <c r="F1100" s="431"/>
      <c r="G1100" s="596"/>
      <c r="H1100" s="488"/>
      <c r="J1100" s="449"/>
    </row>
    <row r="1101" spans="1:10" s="428" customFormat="1">
      <c r="A1101" s="449"/>
      <c r="B1101" s="431"/>
      <c r="C1101" s="449"/>
      <c r="F1101" s="431"/>
      <c r="G1101" s="596"/>
      <c r="H1101" s="488"/>
      <c r="J1101" s="449"/>
    </row>
    <row r="1102" spans="1:10" s="428" customFormat="1">
      <c r="A1102" s="449"/>
      <c r="B1102" s="431"/>
      <c r="C1102" s="449"/>
      <c r="F1102" s="431"/>
      <c r="G1102" s="596"/>
      <c r="H1102" s="488"/>
      <c r="J1102" s="449"/>
    </row>
    <row r="1103" spans="1:10" s="428" customFormat="1">
      <c r="A1103" s="449"/>
      <c r="B1103" s="431"/>
      <c r="C1103" s="449"/>
      <c r="F1103" s="431"/>
      <c r="G1103" s="596"/>
      <c r="H1103" s="488"/>
      <c r="J1103" s="449"/>
    </row>
    <row r="1104" spans="1:10" s="428" customFormat="1">
      <c r="A1104" s="449"/>
      <c r="B1104" s="431"/>
      <c r="C1104" s="449"/>
      <c r="F1104" s="431"/>
      <c r="G1104" s="596"/>
      <c r="H1104" s="488"/>
      <c r="J1104" s="449"/>
    </row>
    <row r="1105" spans="1:10" s="428" customFormat="1">
      <c r="A1105" s="449"/>
      <c r="B1105" s="431"/>
      <c r="C1105" s="449"/>
      <c r="F1105" s="431"/>
      <c r="G1105" s="596"/>
      <c r="H1105" s="488"/>
      <c r="J1105" s="449"/>
    </row>
    <row r="1106" spans="1:10" s="428" customFormat="1">
      <c r="A1106" s="449"/>
      <c r="B1106" s="431"/>
      <c r="C1106" s="449"/>
      <c r="F1106" s="431"/>
      <c r="G1106" s="596"/>
      <c r="H1106" s="488"/>
      <c r="J1106" s="449"/>
    </row>
    <row r="1107" spans="1:10" s="428" customFormat="1">
      <c r="A1107" s="449"/>
      <c r="B1107" s="431"/>
      <c r="C1107" s="449"/>
      <c r="F1107" s="431"/>
      <c r="G1107" s="596"/>
      <c r="H1107" s="488"/>
      <c r="J1107" s="449"/>
    </row>
    <row r="1108" spans="1:10" s="428" customFormat="1">
      <c r="A1108" s="449"/>
      <c r="B1108" s="431"/>
      <c r="C1108" s="449"/>
      <c r="F1108" s="431"/>
      <c r="G1108" s="596"/>
      <c r="H1108" s="488"/>
      <c r="J1108" s="449"/>
    </row>
    <row r="1109" spans="1:10" s="428" customFormat="1">
      <c r="A1109" s="449"/>
      <c r="B1109" s="431"/>
      <c r="C1109" s="449"/>
      <c r="F1109" s="431"/>
      <c r="G1109" s="596"/>
      <c r="H1109" s="488"/>
      <c r="J1109" s="449"/>
    </row>
    <row r="1110" spans="1:10" s="428" customFormat="1">
      <c r="A1110" s="449"/>
      <c r="B1110" s="431"/>
      <c r="C1110" s="449"/>
      <c r="F1110" s="431"/>
      <c r="G1110" s="596"/>
      <c r="H1110" s="488"/>
      <c r="J1110" s="449"/>
    </row>
    <row r="1111" spans="1:10" s="428" customFormat="1">
      <c r="A1111" s="449"/>
      <c r="B1111" s="431"/>
      <c r="C1111" s="449"/>
      <c r="F1111" s="431"/>
      <c r="G1111" s="596"/>
      <c r="H1111" s="488"/>
      <c r="J1111" s="449"/>
    </row>
    <row r="1112" spans="1:10" s="428" customFormat="1">
      <c r="A1112" s="449"/>
      <c r="B1112" s="431"/>
      <c r="C1112" s="449"/>
      <c r="F1112" s="431"/>
      <c r="G1112" s="596"/>
      <c r="H1112" s="488"/>
      <c r="J1112" s="449"/>
    </row>
    <row r="1113" spans="1:10" s="428" customFormat="1">
      <c r="A1113" s="449"/>
      <c r="B1113" s="431"/>
      <c r="C1113" s="449"/>
      <c r="F1113" s="431"/>
      <c r="G1113" s="596"/>
      <c r="H1113" s="488"/>
      <c r="J1113" s="449"/>
    </row>
    <row r="1114" spans="1:10" s="428" customFormat="1">
      <c r="A1114" s="449"/>
      <c r="B1114" s="431"/>
      <c r="C1114" s="449"/>
      <c r="F1114" s="431"/>
      <c r="G1114" s="596"/>
      <c r="H1114" s="488"/>
      <c r="J1114" s="449"/>
    </row>
    <row r="1115" spans="1:10" s="428" customFormat="1">
      <c r="A1115" s="449"/>
      <c r="B1115" s="431"/>
      <c r="C1115" s="449"/>
      <c r="F1115" s="431"/>
      <c r="G1115" s="596"/>
      <c r="H1115" s="488"/>
      <c r="J1115" s="449"/>
    </row>
    <row r="1116" spans="1:10" s="428" customFormat="1">
      <c r="A1116" s="449"/>
      <c r="B1116" s="431"/>
      <c r="C1116" s="449"/>
      <c r="F1116" s="431"/>
      <c r="G1116" s="596"/>
      <c r="H1116" s="488"/>
      <c r="J1116" s="449"/>
    </row>
    <row r="1117" spans="1:10" s="428" customFormat="1">
      <c r="A1117" s="449"/>
      <c r="B1117" s="431"/>
      <c r="C1117" s="449"/>
      <c r="F1117" s="431"/>
      <c r="G1117" s="596"/>
      <c r="H1117" s="488"/>
      <c r="J1117" s="449"/>
    </row>
    <row r="1118" spans="1:10" s="428" customFormat="1">
      <c r="A1118" s="449"/>
      <c r="B1118" s="431"/>
      <c r="C1118" s="449"/>
      <c r="F1118" s="431"/>
      <c r="G1118" s="596"/>
      <c r="H1118" s="488"/>
      <c r="J1118" s="449"/>
    </row>
    <row r="1119" spans="1:10" s="428" customFormat="1">
      <c r="A1119" s="449"/>
      <c r="B1119" s="431"/>
      <c r="C1119" s="449"/>
      <c r="F1119" s="431"/>
      <c r="G1119" s="596"/>
      <c r="H1119" s="488"/>
      <c r="J1119" s="449"/>
    </row>
    <row r="1120" spans="1:10" s="428" customFormat="1">
      <c r="A1120" s="449"/>
      <c r="B1120" s="431"/>
      <c r="C1120" s="449"/>
      <c r="F1120" s="431"/>
      <c r="G1120" s="596"/>
      <c r="H1120" s="488"/>
      <c r="J1120" s="449"/>
    </row>
    <row r="1121" spans="1:10" s="428" customFormat="1">
      <c r="A1121" s="449"/>
      <c r="B1121" s="431"/>
      <c r="C1121" s="449"/>
      <c r="F1121" s="431"/>
      <c r="G1121" s="596"/>
      <c r="H1121" s="488"/>
      <c r="J1121" s="449"/>
    </row>
    <row r="1122" spans="1:10" s="428" customFormat="1">
      <c r="A1122" s="449"/>
      <c r="B1122" s="431"/>
      <c r="C1122" s="449"/>
      <c r="F1122" s="431"/>
      <c r="G1122" s="596"/>
      <c r="H1122" s="488"/>
      <c r="J1122" s="449"/>
    </row>
    <row r="1123" spans="1:10" s="428" customFormat="1">
      <c r="A1123" s="449"/>
      <c r="B1123" s="431"/>
      <c r="C1123" s="449"/>
      <c r="F1123" s="431"/>
      <c r="G1123" s="596"/>
      <c r="H1123" s="488"/>
      <c r="J1123" s="449"/>
    </row>
    <row r="1124" spans="1:10" s="428" customFormat="1">
      <c r="A1124" s="449"/>
      <c r="B1124" s="431"/>
      <c r="C1124" s="449"/>
      <c r="F1124" s="431"/>
      <c r="G1124" s="596"/>
      <c r="H1124" s="488"/>
      <c r="J1124" s="449"/>
    </row>
    <row r="1125" spans="1:10" s="428" customFormat="1">
      <c r="A1125" s="449"/>
      <c r="B1125" s="431"/>
      <c r="C1125" s="449"/>
      <c r="F1125" s="431"/>
      <c r="G1125" s="596"/>
      <c r="H1125" s="488"/>
      <c r="J1125" s="449"/>
    </row>
    <row r="1126" spans="1:10" s="428" customFormat="1">
      <c r="A1126" s="449"/>
      <c r="B1126" s="431"/>
      <c r="C1126" s="449"/>
      <c r="F1126" s="431"/>
      <c r="G1126" s="596"/>
      <c r="H1126" s="488"/>
      <c r="J1126" s="449"/>
    </row>
    <row r="1127" spans="1:10" s="428" customFormat="1">
      <c r="A1127" s="449"/>
      <c r="B1127" s="431"/>
      <c r="C1127" s="449"/>
      <c r="F1127" s="431"/>
      <c r="G1127" s="596"/>
      <c r="H1127" s="488"/>
      <c r="J1127" s="449"/>
    </row>
    <row r="1128" spans="1:10" s="428" customFormat="1">
      <c r="A1128" s="449"/>
      <c r="B1128" s="431"/>
      <c r="C1128" s="449"/>
      <c r="F1128" s="431"/>
      <c r="G1128" s="596"/>
      <c r="H1128" s="488"/>
      <c r="J1128" s="449"/>
    </row>
    <row r="1129" spans="1:10" s="428" customFormat="1">
      <c r="A1129" s="449"/>
      <c r="B1129" s="431"/>
      <c r="C1129" s="449"/>
      <c r="F1129" s="431"/>
      <c r="G1129" s="596"/>
      <c r="H1129" s="488"/>
      <c r="J1129" s="449"/>
    </row>
    <row r="1130" spans="1:10" s="428" customFormat="1">
      <c r="A1130" s="449"/>
      <c r="B1130" s="431"/>
      <c r="C1130" s="449"/>
      <c r="F1130" s="431"/>
      <c r="G1130" s="596"/>
      <c r="H1130" s="488"/>
      <c r="J1130" s="449"/>
    </row>
    <row r="1131" spans="1:10" s="428" customFormat="1">
      <c r="A1131" s="449"/>
      <c r="B1131" s="431"/>
      <c r="C1131" s="449"/>
      <c r="F1131" s="431"/>
      <c r="G1131" s="596"/>
      <c r="H1131" s="488"/>
      <c r="J1131" s="449"/>
    </row>
    <row r="1132" spans="1:10" s="428" customFormat="1">
      <c r="A1132" s="449"/>
      <c r="B1132" s="431"/>
      <c r="C1132" s="449"/>
      <c r="F1132" s="431"/>
      <c r="G1132" s="596"/>
      <c r="H1132" s="488"/>
      <c r="J1132" s="449"/>
    </row>
    <row r="1133" spans="1:10" s="428" customFormat="1">
      <c r="A1133" s="449"/>
      <c r="B1133" s="431"/>
      <c r="C1133" s="449"/>
      <c r="F1133" s="431"/>
      <c r="G1133" s="596"/>
      <c r="H1133" s="488"/>
      <c r="J1133" s="449"/>
    </row>
    <row r="1134" spans="1:10" s="428" customFormat="1">
      <c r="A1134" s="449"/>
      <c r="B1134" s="431"/>
      <c r="C1134" s="449"/>
      <c r="F1134" s="431"/>
      <c r="G1134" s="596"/>
      <c r="H1134" s="488"/>
      <c r="J1134" s="449"/>
    </row>
    <row r="1135" spans="1:10" s="428" customFormat="1">
      <c r="A1135" s="449"/>
      <c r="B1135" s="431"/>
      <c r="C1135" s="449"/>
      <c r="F1135" s="431"/>
      <c r="G1135" s="596"/>
      <c r="H1135" s="488"/>
      <c r="J1135" s="449"/>
    </row>
    <row r="1136" spans="1:10" s="428" customFormat="1">
      <c r="A1136" s="449"/>
      <c r="B1136" s="431"/>
      <c r="C1136" s="449"/>
      <c r="F1136" s="431"/>
      <c r="G1136" s="596"/>
      <c r="H1136" s="488"/>
      <c r="J1136" s="449"/>
    </row>
    <row r="1137" spans="1:10" s="428" customFormat="1">
      <c r="A1137" s="449"/>
      <c r="B1137" s="431"/>
      <c r="C1137" s="449"/>
      <c r="F1137" s="431"/>
      <c r="G1137" s="596"/>
      <c r="H1137" s="488"/>
      <c r="J1137" s="449"/>
    </row>
    <row r="1138" spans="1:10" s="428" customFormat="1">
      <c r="A1138" s="449"/>
      <c r="B1138" s="431"/>
      <c r="C1138" s="449"/>
      <c r="F1138" s="431"/>
      <c r="G1138" s="596"/>
      <c r="H1138" s="488"/>
      <c r="J1138" s="449"/>
    </row>
    <row r="1139" spans="1:10" s="428" customFormat="1">
      <c r="A1139" s="449"/>
      <c r="B1139" s="431"/>
      <c r="C1139" s="449"/>
      <c r="F1139" s="431"/>
      <c r="G1139" s="596"/>
      <c r="H1139" s="488"/>
      <c r="J1139" s="449"/>
    </row>
    <row r="1140" spans="1:10" s="428" customFormat="1">
      <c r="A1140" s="449"/>
      <c r="B1140" s="431"/>
      <c r="C1140" s="449"/>
      <c r="F1140" s="431"/>
      <c r="G1140" s="596"/>
      <c r="H1140" s="488"/>
      <c r="J1140" s="449"/>
    </row>
    <row r="1141" spans="1:10" s="428" customFormat="1">
      <c r="A1141" s="449"/>
      <c r="B1141" s="431"/>
      <c r="C1141" s="449"/>
      <c r="F1141" s="431"/>
      <c r="G1141" s="596"/>
      <c r="H1141" s="488"/>
      <c r="J1141" s="449"/>
    </row>
    <row r="1142" spans="1:10" s="428" customFormat="1">
      <c r="A1142" s="449"/>
      <c r="B1142" s="431"/>
      <c r="C1142" s="449"/>
      <c r="F1142" s="431"/>
      <c r="G1142" s="596"/>
      <c r="H1142" s="488"/>
      <c r="J1142" s="449"/>
    </row>
    <row r="1143" spans="1:10" s="428" customFormat="1">
      <c r="A1143" s="449"/>
      <c r="B1143" s="431"/>
      <c r="C1143" s="449"/>
      <c r="F1143" s="431"/>
      <c r="G1143" s="596"/>
      <c r="H1143" s="488"/>
      <c r="J1143" s="449"/>
    </row>
    <row r="1144" spans="1:10" s="428" customFormat="1">
      <c r="A1144" s="449"/>
      <c r="B1144" s="431"/>
      <c r="C1144" s="449"/>
      <c r="F1144" s="431"/>
      <c r="G1144" s="596"/>
      <c r="H1144" s="488"/>
      <c r="J1144" s="449"/>
    </row>
    <row r="1145" spans="1:10" s="428" customFormat="1">
      <c r="A1145" s="449"/>
      <c r="B1145" s="431"/>
      <c r="C1145" s="449"/>
      <c r="F1145" s="431"/>
      <c r="G1145" s="596"/>
      <c r="H1145" s="488"/>
      <c r="J1145" s="449"/>
    </row>
    <row r="1146" spans="1:10" s="428" customFormat="1">
      <c r="A1146" s="449"/>
      <c r="B1146" s="431"/>
      <c r="C1146" s="449"/>
      <c r="F1146" s="431"/>
      <c r="G1146" s="596"/>
      <c r="H1146" s="488"/>
      <c r="J1146" s="449"/>
    </row>
    <row r="1147" spans="1:10" s="428" customFormat="1">
      <c r="A1147" s="449"/>
      <c r="B1147" s="431"/>
      <c r="C1147" s="449"/>
      <c r="F1147" s="431"/>
      <c r="G1147" s="596"/>
      <c r="H1147" s="488"/>
      <c r="J1147" s="449"/>
    </row>
    <row r="1148" spans="1:10" s="428" customFormat="1">
      <c r="A1148" s="449"/>
      <c r="B1148" s="431"/>
      <c r="C1148" s="449"/>
      <c r="F1148" s="431"/>
      <c r="G1148" s="596"/>
      <c r="H1148" s="488"/>
      <c r="J1148" s="449"/>
    </row>
    <row r="1149" spans="1:10" s="428" customFormat="1">
      <c r="A1149" s="449"/>
      <c r="B1149" s="431"/>
      <c r="C1149" s="449"/>
      <c r="F1149" s="431"/>
      <c r="G1149" s="596"/>
      <c r="H1149" s="488"/>
      <c r="J1149" s="449"/>
    </row>
    <row r="1150" spans="1:10" s="428" customFormat="1">
      <c r="A1150" s="449"/>
      <c r="B1150" s="431"/>
      <c r="C1150" s="449"/>
      <c r="F1150" s="431"/>
      <c r="G1150" s="596"/>
      <c r="H1150" s="488"/>
      <c r="J1150" s="449"/>
    </row>
    <row r="1151" spans="1:10" s="428" customFormat="1">
      <c r="A1151" s="449"/>
      <c r="B1151" s="431"/>
      <c r="C1151" s="449"/>
      <c r="F1151" s="431"/>
      <c r="G1151" s="596"/>
      <c r="H1151" s="488"/>
      <c r="J1151" s="449"/>
    </row>
    <row r="1152" spans="1:10" s="428" customFormat="1">
      <c r="A1152" s="449"/>
      <c r="B1152" s="431"/>
      <c r="C1152" s="449"/>
      <c r="F1152" s="431"/>
      <c r="G1152" s="596"/>
      <c r="H1152" s="488"/>
      <c r="J1152" s="449"/>
    </row>
    <row r="1153" spans="1:10" s="428" customFormat="1">
      <c r="A1153" s="449"/>
      <c r="B1153" s="431"/>
      <c r="C1153" s="449"/>
      <c r="F1153" s="431"/>
      <c r="G1153" s="596"/>
      <c r="H1153" s="488"/>
      <c r="J1153" s="449"/>
    </row>
    <row r="1154" spans="1:10" s="428" customFormat="1">
      <c r="A1154" s="449"/>
      <c r="B1154" s="431"/>
      <c r="C1154" s="449"/>
      <c r="F1154" s="431"/>
      <c r="G1154" s="596"/>
      <c r="H1154" s="488"/>
      <c r="J1154" s="449"/>
    </row>
    <row r="1155" spans="1:10" s="428" customFormat="1">
      <c r="A1155" s="449"/>
      <c r="B1155" s="431"/>
      <c r="C1155" s="449"/>
      <c r="F1155" s="431"/>
      <c r="G1155" s="596"/>
      <c r="H1155" s="488"/>
      <c r="J1155" s="449"/>
    </row>
    <row r="1156" spans="1:10" s="428" customFormat="1">
      <c r="A1156" s="449"/>
      <c r="B1156" s="431"/>
      <c r="C1156" s="449"/>
      <c r="F1156" s="431"/>
      <c r="G1156" s="596"/>
      <c r="H1156" s="488"/>
      <c r="J1156" s="449"/>
    </row>
    <row r="1157" spans="1:10" s="428" customFormat="1">
      <c r="A1157" s="449"/>
      <c r="B1157" s="431"/>
      <c r="C1157" s="449"/>
      <c r="F1157" s="431"/>
      <c r="G1157" s="596"/>
      <c r="H1157" s="488"/>
      <c r="J1157" s="449"/>
    </row>
    <row r="1158" spans="1:10" s="428" customFormat="1">
      <c r="A1158" s="449"/>
      <c r="B1158" s="431"/>
      <c r="C1158" s="449"/>
      <c r="F1158" s="431"/>
      <c r="G1158" s="596"/>
      <c r="H1158" s="488"/>
      <c r="J1158" s="449"/>
    </row>
    <row r="1159" spans="1:10" s="428" customFormat="1">
      <c r="A1159" s="449"/>
      <c r="B1159" s="431"/>
      <c r="C1159" s="449"/>
      <c r="F1159" s="431"/>
      <c r="G1159" s="596"/>
      <c r="H1159" s="488"/>
      <c r="J1159" s="449"/>
    </row>
    <row r="1160" spans="1:10" s="428" customFormat="1">
      <c r="A1160" s="449"/>
      <c r="B1160" s="431"/>
      <c r="C1160" s="449"/>
      <c r="F1160" s="431"/>
      <c r="G1160" s="596"/>
      <c r="H1160" s="488"/>
      <c r="J1160" s="449"/>
    </row>
    <row r="1161" spans="1:10" s="428" customFormat="1">
      <c r="A1161" s="449"/>
      <c r="B1161" s="431"/>
      <c r="C1161" s="449"/>
      <c r="F1161" s="431"/>
      <c r="G1161" s="596"/>
      <c r="H1161" s="488"/>
      <c r="J1161" s="449"/>
    </row>
    <row r="1162" spans="1:10" s="428" customFormat="1">
      <c r="A1162" s="449"/>
      <c r="B1162" s="431"/>
      <c r="C1162" s="449"/>
      <c r="F1162" s="431"/>
      <c r="G1162" s="596"/>
      <c r="H1162" s="488"/>
      <c r="J1162" s="449"/>
    </row>
    <row r="1163" spans="1:10" s="428" customFormat="1">
      <c r="A1163" s="449"/>
      <c r="B1163" s="431"/>
      <c r="C1163" s="449"/>
      <c r="F1163" s="431"/>
      <c r="G1163" s="596"/>
      <c r="H1163" s="488"/>
      <c r="J1163" s="449"/>
    </row>
    <row r="1164" spans="1:10" s="428" customFormat="1">
      <c r="A1164" s="449"/>
      <c r="B1164" s="431"/>
      <c r="C1164" s="449"/>
      <c r="F1164" s="431"/>
      <c r="G1164" s="596"/>
      <c r="H1164" s="488"/>
      <c r="J1164" s="449"/>
    </row>
    <row r="1165" spans="1:10" s="428" customFormat="1">
      <c r="A1165" s="449"/>
      <c r="B1165" s="431"/>
      <c r="C1165" s="449"/>
      <c r="F1165" s="431"/>
      <c r="G1165" s="596"/>
      <c r="H1165" s="488"/>
      <c r="J1165" s="449"/>
    </row>
    <row r="1166" spans="1:10" s="428" customFormat="1">
      <c r="A1166" s="449"/>
      <c r="B1166" s="431"/>
      <c r="C1166" s="449"/>
      <c r="F1166" s="431"/>
      <c r="G1166" s="596"/>
      <c r="H1166" s="488"/>
      <c r="J1166" s="449"/>
    </row>
    <row r="1167" spans="1:10" s="428" customFormat="1">
      <c r="A1167" s="449"/>
      <c r="B1167" s="431"/>
      <c r="C1167" s="449"/>
      <c r="F1167" s="431"/>
      <c r="G1167" s="596"/>
      <c r="H1167" s="488"/>
      <c r="J1167" s="449"/>
    </row>
    <row r="1168" spans="1:10" s="428" customFormat="1">
      <c r="A1168" s="449"/>
      <c r="B1168" s="431"/>
      <c r="C1168" s="449"/>
      <c r="F1168" s="431"/>
      <c r="G1168" s="596"/>
      <c r="H1168" s="488"/>
      <c r="J1168" s="449"/>
    </row>
    <row r="1169" spans="1:10" s="428" customFormat="1">
      <c r="A1169" s="449"/>
      <c r="B1169" s="431"/>
      <c r="C1169" s="449"/>
      <c r="F1169" s="431"/>
      <c r="G1169" s="596"/>
      <c r="H1169" s="488"/>
      <c r="J1169" s="449"/>
    </row>
    <row r="1170" spans="1:10" s="428" customFormat="1">
      <c r="A1170" s="449"/>
      <c r="B1170" s="431"/>
      <c r="C1170" s="449"/>
      <c r="F1170" s="431"/>
      <c r="G1170" s="596"/>
      <c r="H1170" s="488"/>
      <c r="J1170" s="449"/>
    </row>
    <row r="1171" spans="1:10" s="428" customFormat="1">
      <c r="A1171" s="449"/>
      <c r="B1171" s="431"/>
      <c r="C1171" s="449"/>
      <c r="F1171" s="431"/>
      <c r="G1171" s="596"/>
      <c r="H1171" s="488"/>
      <c r="J1171" s="449"/>
    </row>
    <row r="1172" spans="1:10" s="428" customFormat="1">
      <c r="A1172" s="449"/>
      <c r="B1172" s="431"/>
      <c r="C1172" s="449"/>
      <c r="F1172" s="431"/>
      <c r="G1172" s="596"/>
      <c r="H1172" s="488"/>
      <c r="J1172" s="449"/>
    </row>
    <row r="1173" spans="1:10" s="428" customFormat="1">
      <c r="A1173" s="449"/>
      <c r="B1173" s="431"/>
      <c r="C1173" s="449"/>
      <c r="F1173" s="431"/>
      <c r="G1173" s="596"/>
      <c r="H1173" s="488"/>
      <c r="J1173" s="449"/>
    </row>
    <row r="1174" spans="1:10" s="428" customFormat="1">
      <c r="A1174" s="449"/>
      <c r="B1174" s="431"/>
      <c r="C1174" s="449"/>
      <c r="F1174" s="431"/>
      <c r="G1174" s="596"/>
      <c r="H1174" s="488"/>
      <c r="J1174" s="449"/>
    </row>
    <row r="1175" spans="1:10" s="428" customFormat="1">
      <c r="A1175" s="449"/>
      <c r="B1175" s="431"/>
      <c r="C1175" s="449"/>
      <c r="F1175" s="431"/>
      <c r="G1175" s="596"/>
      <c r="H1175" s="488"/>
      <c r="J1175" s="449"/>
    </row>
    <row r="1176" spans="1:10" s="428" customFormat="1">
      <c r="A1176" s="449"/>
      <c r="B1176" s="431"/>
      <c r="C1176" s="449"/>
      <c r="F1176" s="431"/>
      <c r="G1176" s="596"/>
      <c r="H1176" s="488"/>
      <c r="J1176" s="449"/>
    </row>
    <row r="1177" spans="1:10" s="428" customFormat="1">
      <c r="A1177" s="449"/>
      <c r="B1177" s="431"/>
      <c r="C1177" s="449"/>
      <c r="F1177" s="431"/>
      <c r="G1177" s="596"/>
      <c r="H1177" s="488"/>
      <c r="J1177" s="449"/>
    </row>
    <row r="1178" spans="1:10" s="428" customFormat="1">
      <c r="A1178" s="449"/>
      <c r="B1178" s="431"/>
      <c r="C1178" s="449"/>
      <c r="F1178" s="431"/>
      <c r="G1178" s="596"/>
      <c r="H1178" s="488"/>
      <c r="J1178" s="449"/>
    </row>
    <row r="1179" spans="1:10" s="428" customFormat="1">
      <c r="A1179" s="449"/>
      <c r="B1179" s="431"/>
      <c r="C1179" s="449"/>
      <c r="F1179" s="431"/>
      <c r="G1179" s="596"/>
      <c r="H1179" s="488"/>
      <c r="J1179" s="449"/>
    </row>
    <row r="1180" spans="1:10" s="428" customFormat="1">
      <c r="A1180" s="449"/>
      <c r="B1180" s="431"/>
      <c r="C1180" s="449"/>
      <c r="F1180" s="431"/>
      <c r="G1180" s="596"/>
      <c r="H1180" s="488"/>
      <c r="J1180" s="449"/>
    </row>
    <row r="1181" spans="1:10" s="428" customFormat="1">
      <c r="A1181" s="449"/>
      <c r="B1181" s="431"/>
      <c r="C1181" s="449"/>
      <c r="F1181" s="431"/>
      <c r="G1181" s="596"/>
      <c r="H1181" s="488"/>
      <c r="J1181" s="449"/>
    </row>
    <row r="1182" spans="1:10" s="428" customFormat="1">
      <c r="A1182" s="449"/>
      <c r="B1182" s="431"/>
      <c r="C1182" s="449"/>
      <c r="F1182" s="431"/>
      <c r="G1182" s="596"/>
      <c r="H1182" s="488"/>
      <c r="J1182" s="449"/>
    </row>
    <row r="1183" spans="1:10" s="428" customFormat="1">
      <c r="A1183" s="449"/>
      <c r="B1183" s="431"/>
      <c r="C1183" s="449"/>
      <c r="F1183" s="431"/>
      <c r="G1183" s="596"/>
      <c r="H1183" s="488"/>
      <c r="J1183" s="449"/>
    </row>
    <row r="1184" spans="1:10" s="428" customFormat="1">
      <c r="A1184" s="449"/>
      <c r="B1184" s="431"/>
      <c r="C1184" s="449"/>
      <c r="F1184" s="431"/>
      <c r="G1184" s="596"/>
      <c r="H1184" s="488"/>
      <c r="J1184" s="449"/>
    </row>
    <row r="1185" spans="1:10" s="428" customFormat="1">
      <c r="A1185" s="449"/>
      <c r="B1185" s="431"/>
      <c r="C1185" s="449"/>
      <c r="F1185" s="431"/>
      <c r="G1185" s="596"/>
      <c r="H1185" s="488"/>
      <c r="J1185" s="449"/>
    </row>
    <row r="1186" spans="1:10" s="428" customFormat="1">
      <c r="A1186" s="449"/>
      <c r="B1186" s="431"/>
      <c r="C1186" s="449"/>
      <c r="F1186" s="431"/>
      <c r="G1186" s="596"/>
      <c r="H1186" s="488"/>
      <c r="J1186" s="449"/>
    </row>
    <row r="1187" spans="1:10" s="428" customFormat="1">
      <c r="A1187" s="449"/>
      <c r="B1187" s="431"/>
      <c r="C1187" s="449"/>
      <c r="F1187" s="431"/>
      <c r="G1187" s="596"/>
      <c r="H1187" s="488"/>
      <c r="J1187" s="449"/>
    </row>
    <row r="1188" spans="1:10" s="428" customFormat="1">
      <c r="A1188" s="449"/>
      <c r="B1188" s="431"/>
      <c r="C1188" s="449"/>
      <c r="F1188" s="431"/>
      <c r="G1188" s="596"/>
      <c r="H1188" s="488"/>
      <c r="J1188" s="449"/>
    </row>
    <row r="1189" spans="1:10" s="428" customFormat="1">
      <c r="A1189" s="449"/>
      <c r="B1189" s="431"/>
      <c r="C1189" s="449"/>
      <c r="F1189" s="431"/>
      <c r="G1189" s="596"/>
      <c r="H1189" s="488"/>
      <c r="J1189" s="449"/>
    </row>
    <row r="1190" spans="1:10" s="428" customFormat="1">
      <c r="A1190" s="449"/>
      <c r="B1190" s="431"/>
      <c r="C1190" s="449"/>
      <c r="F1190" s="431"/>
      <c r="G1190" s="596"/>
      <c r="H1190" s="488"/>
      <c r="J1190" s="449"/>
    </row>
    <row r="1191" spans="1:10" s="428" customFormat="1">
      <c r="A1191" s="449"/>
      <c r="B1191" s="431"/>
      <c r="C1191" s="449"/>
      <c r="F1191" s="431"/>
      <c r="G1191" s="596"/>
      <c r="H1191" s="488"/>
      <c r="J1191" s="449"/>
    </row>
    <row r="1192" spans="1:10" s="428" customFormat="1">
      <c r="A1192" s="449"/>
      <c r="B1192" s="431"/>
      <c r="C1192" s="449"/>
      <c r="F1192" s="431"/>
      <c r="G1192" s="596"/>
      <c r="H1192" s="488"/>
      <c r="J1192" s="449"/>
    </row>
    <row r="1193" spans="1:10" s="428" customFormat="1">
      <c r="A1193" s="449"/>
      <c r="B1193" s="431"/>
      <c r="C1193" s="449"/>
      <c r="F1193" s="431"/>
      <c r="G1193" s="596"/>
      <c r="H1193" s="488"/>
      <c r="J1193" s="449"/>
    </row>
    <row r="1194" spans="1:10" s="428" customFormat="1">
      <c r="A1194" s="449"/>
      <c r="B1194" s="431"/>
      <c r="C1194" s="449"/>
      <c r="F1194" s="431"/>
      <c r="G1194" s="596"/>
      <c r="H1194" s="488"/>
      <c r="J1194" s="449"/>
    </row>
    <row r="1195" spans="1:10" s="428" customFormat="1">
      <c r="A1195" s="449"/>
      <c r="B1195" s="431"/>
      <c r="C1195" s="449"/>
      <c r="F1195" s="431"/>
      <c r="G1195" s="596"/>
      <c r="H1195" s="488"/>
      <c r="J1195" s="449"/>
    </row>
    <row r="1196" spans="1:10" s="428" customFormat="1">
      <c r="A1196" s="449"/>
      <c r="B1196" s="431"/>
      <c r="C1196" s="449"/>
      <c r="F1196" s="431"/>
      <c r="G1196" s="596"/>
      <c r="H1196" s="488"/>
      <c r="J1196" s="449"/>
    </row>
    <row r="1197" spans="1:10" s="428" customFormat="1">
      <c r="A1197" s="449"/>
      <c r="B1197" s="431"/>
      <c r="C1197" s="449"/>
      <c r="F1197" s="431"/>
      <c r="G1197" s="596"/>
      <c r="H1197" s="488"/>
      <c r="J1197" s="449"/>
    </row>
    <row r="1198" spans="1:10" s="428" customFormat="1">
      <c r="A1198" s="449"/>
      <c r="B1198" s="431"/>
      <c r="C1198" s="449"/>
      <c r="F1198" s="431"/>
      <c r="G1198" s="596"/>
      <c r="H1198" s="488"/>
      <c r="J1198" s="449"/>
    </row>
    <row r="1199" spans="1:10" s="428" customFormat="1">
      <c r="A1199" s="449"/>
      <c r="B1199" s="431"/>
      <c r="C1199" s="449"/>
      <c r="F1199" s="431"/>
      <c r="G1199" s="596"/>
      <c r="H1199" s="488"/>
      <c r="J1199" s="449"/>
    </row>
    <row r="1200" spans="1:10" s="428" customFormat="1">
      <c r="A1200" s="449"/>
      <c r="B1200" s="431"/>
      <c r="C1200" s="449"/>
      <c r="F1200" s="431"/>
      <c r="G1200" s="596"/>
      <c r="H1200" s="488"/>
      <c r="J1200" s="449"/>
    </row>
    <row r="1201" spans="1:10" s="428" customFormat="1">
      <c r="A1201" s="449"/>
      <c r="B1201" s="431"/>
      <c r="C1201" s="449"/>
      <c r="F1201" s="431"/>
      <c r="G1201" s="596"/>
      <c r="H1201" s="488"/>
      <c r="J1201" s="449"/>
    </row>
    <row r="1202" spans="1:10" s="428" customFormat="1">
      <c r="A1202" s="449"/>
      <c r="B1202" s="431"/>
      <c r="C1202" s="449"/>
      <c r="F1202" s="431"/>
      <c r="G1202" s="596"/>
      <c r="H1202" s="488"/>
      <c r="J1202" s="449"/>
    </row>
    <row r="1203" spans="1:10" s="428" customFormat="1">
      <c r="A1203" s="449"/>
      <c r="B1203" s="431"/>
      <c r="C1203" s="449"/>
      <c r="F1203" s="431"/>
      <c r="G1203" s="596"/>
      <c r="H1203" s="488"/>
      <c r="J1203" s="449"/>
    </row>
    <row r="1204" spans="1:10" s="428" customFormat="1">
      <c r="A1204" s="449"/>
      <c r="B1204" s="431"/>
      <c r="C1204" s="449"/>
      <c r="F1204" s="431"/>
      <c r="G1204" s="596"/>
      <c r="H1204" s="488"/>
      <c r="J1204" s="449"/>
    </row>
    <row r="1205" spans="1:10" s="428" customFormat="1">
      <c r="A1205" s="449"/>
      <c r="B1205" s="431"/>
      <c r="C1205" s="449"/>
      <c r="F1205" s="431"/>
      <c r="G1205" s="596"/>
      <c r="H1205" s="488"/>
      <c r="J1205" s="449"/>
    </row>
    <row r="1206" spans="1:10" s="428" customFormat="1">
      <c r="A1206" s="449"/>
      <c r="B1206" s="431"/>
      <c r="C1206" s="449"/>
      <c r="F1206" s="431"/>
      <c r="G1206" s="596"/>
      <c r="H1206" s="488"/>
      <c r="J1206" s="449"/>
    </row>
    <row r="1207" spans="1:10" s="428" customFormat="1">
      <c r="A1207" s="449"/>
      <c r="B1207" s="431"/>
      <c r="C1207" s="449"/>
      <c r="F1207" s="431"/>
      <c r="G1207" s="596"/>
      <c r="H1207" s="488"/>
      <c r="J1207" s="449"/>
    </row>
    <row r="1208" spans="1:10" s="428" customFormat="1">
      <c r="A1208" s="449"/>
      <c r="B1208" s="431"/>
      <c r="C1208" s="449"/>
      <c r="F1208" s="431"/>
      <c r="G1208" s="596"/>
      <c r="H1208" s="488"/>
      <c r="J1208" s="449"/>
    </row>
    <row r="1209" spans="1:10" s="428" customFormat="1">
      <c r="A1209" s="449"/>
      <c r="B1209" s="431"/>
      <c r="C1209" s="449"/>
      <c r="F1209" s="431"/>
      <c r="G1209" s="596"/>
      <c r="H1209" s="488"/>
      <c r="J1209" s="449"/>
    </row>
    <row r="1210" spans="1:10" s="428" customFormat="1">
      <c r="A1210" s="449"/>
      <c r="B1210" s="431"/>
      <c r="C1210" s="449"/>
      <c r="F1210" s="431"/>
      <c r="G1210" s="596"/>
      <c r="H1210" s="488"/>
      <c r="J1210" s="449"/>
    </row>
    <row r="1211" spans="1:10" s="428" customFormat="1">
      <c r="A1211" s="449"/>
      <c r="B1211" s="431"/>
      <c r="C1211" s="449"/>
      <c r="F1211" s="431"/>
      <c r="G1211" s="596"/>
      <c r="H1211" s="488"/>
      <c r="J1211" s="449"/>
    </row>
    <row r="1212" spans="1:10" s="428" customFormat="1">
      <c r="A1212" s="449"/>
      <c r="B1212" s="431"/>
      <c r="C1212" s="449"/>
      <c r="F1212" s="431"/>
      <c r="G1212" s="596"/>
      <c r="H1212" s="488"/>
      <c r="J1212" s="449"/>
    </row>
    <row r="1213" spans="1:10" s="428" customFormat="1">
      <c r="A1213" s="449"/>
      <c r="B1213" s="431"/>
      <c r="C1213" s="449"/>
      <c r="F1213" s="431"/>
      <c r="G1213" s="596"/>
      <c r="H1213" s="488"/>
      <c r="J1213" s="449"/>
    </row>
    <row r="1214" spans="1:10" s="428" customFormat="1">
      <c r="A1214" s="449"/>
      <c r="B1214" s="431"/>
      <c r="C1214" s="449"/>
      <c r="F1214" s="431"/>
      <c r="G1214" s="596"/>
      <c r="H1214" s="488"/>
      <c r="J1214" s="449"/>
    </row>
    <row r="1215" spans="1:10" s="428" customFormat="1">
      <c r="A1215" s="449"/>
      <c r="B1215" s="431"/>
      <c r="C1215" s="449"/>
      <c r="F1215" s="431"/>
      <c r="G1215" s="596"/>
      <c r="H1215" s="488"/>
      <c r="J1215" s="449"/>
    </row>
    <row r="1216" spans="1:10" s="428" customFormat="1">
      <c r="A1216" s="449"/>
      <c r="B1216" s="431"/>
      <c r="C1216" s="449"/>
      <c r="F1216" s="431"/>
      <c r="G1216" s="596"/>
      <c r="H1216" s="488"/>
      <c r="J1216" s="449"/>
    </row>
    <row r="1217" spans="1:10" s="428" customFormat="1">
      <c r="A1217" s="449"/>
      <c r="B1217" s="431"/>
      <c r="C1217" s="449"/>
      <c r="F1217" s="431"/>
      <c r="G1217" s="596"/>
      <c r="H1217" s="488"/>
      <c r="J1217" s="449"/>
    </row>
    <row r="1218" spans="1:10" s="428" customFormat="1">
      <c r="A1218" s="449"/>
      <c r="B1218" s="431"/>
      <c r="C1218" s="449"/>
      <c r="F1218" s="431"/>
      <c r="G1218" s="596"/>
      <c r="H1218" s="488"/>
      <c r="J1218" s="449"/>
    </row>
    <row r="1219" spans="1:10" s="428" customFormat="1">
      <c r="A1219" s="449"/>
      <c r="B1219" s="431"/>
      <c r="C1219" s="449"/>
      <c r="F1219" s="431"/>
      <c r="G1219" s="596"/>
      <c r="H1219" s="488"/>
      <c r="J1219" s="449"/>
    </row>
    <row r="1220" spans="1:10" s="428" customFormat="1">
      <c r="A1220" s="449"/>
      <c r="B1220" s="431"/>
      <c r="C1220" s="449"/>
      <c r="F1220" s="431"/>
      <c r="G1220" s="596"/>
      <c r="H1220" s="488"/>
      <c r="J1220" s="449"/>
    </row>
    <row r="1221" spans="1:10" s="428" customFormat="1">
      <c r="A1221" s="449"/>
      <c r="B1221" s="431"/>
      <c r="C1221" s="449"/>
      <c r="F1221" s="431"/>
      <c r="G1221" s="596"/>
      <c r="H1221" s="488"/>
      <c r="J1221" s="449"/>
    </row>
    <row r="1222" spans="1:10" s="428" customFormat="1">
      <c r="A1222" s="449"/>
      <c r="B1222" s="431"/>
      <c r="C1222" s="449"/>
      <c r="F1222" s="431"/>
      <c r="G1222" s="596"/>
      <c r="H1222" s="488"/>
      <c r="J1222" s="449"/>
    </row>
    <row r="1223" spans="1:10" s="428" customFormat="1">
      <c r="A1223" s="449"/>
      <c r="B1223" s="431"/>
      <c r="C1223" s="449"/>
      <c r="F1223" s="431"/>
      <c r="G1223" s="596"/>
      <c r="H1223" s="488"/>
      <c r="J1223" s="449"/>
    </row>
    <row r="1224" spans="1:10" s="428" customFormat="1">
      <c r="A1224" s="449"/>
      <c r="B1224" s="431"/>
      <c r="C1224" s="449"/>
      <c r="F1224" s="431"/>
      <c r="G1224" s="596"/>
      <c r="H1224" s="488"/>
      <c r="J1224" s="449"/>
    </row>
    <row r="1225" spans="1:10" s="428" customFormat="1">
      <c r="A1225" s="449"/>
      <c r="B1225" s="431"/>
      <c r="C1225" s="449"/>
      <c r="F1225" s="431"/>
      <c r="G1225" s="596"/>
      <c r="H1225" s="488"/>
      <c r="J1225" s="449"/>
    </row>
    <row r="1226" spans="1:10" s="428" customFormat="1">
      <c r="A1226" s="449"/>
      <c r="B1226" s="431"/>
      <c r="C1226" s="449"/>
      <c r="F1226" s="431"/>
      <c r="G1226" s="596"/>
      <c r="H1226" s="488"/>
      <c r="J1226" s="449"/>
    </row>
    <row r="1227" spans="1:10" s="428" customFormat="1">
      <c r="A1227" s="449"/>
      <c r="B1227" s="431"/>
      <c r="C1227" s="449"/>
      <c r="F1227" s="431"/>
      <c r="G1227" s="596"/>
      <c r="H1227" s="488"/>
      <c r="J1227" s="449"/>
    </row>
    <row r="1228" spans="1:10" s="428" customFormat="1">
      <c r="A1228" s="449"/>
      <c r="B1228" s="431"/>
      <c r="C1228" s="449"/>
      <c r="F1228" s="431"/>
      <c r="G1228" s="596"/>
      <c r="H1228" s="488"/>
      <c r="J1228" s="449"/>
    </row>
    <row r="1229" spans="1:10" s="428" customFormat="1">
      <c r="A1229" s="449"/>
      <c r="B1229" s="431"/>
      <c r="C1229" s="449"/>
      <c r="F1229" s="431"/>
      <c r="G1229" s="596"/>
      <c r="H1229" s="488"/>
      <c r="J1229" s="449"/>
    </row>
    <row r="1230" spans="1:10" s="428" customFormat="1">
      <c r="A1230" s="449"/>
      <c r="B1230" s="431"/>
      <c r="C1230" s="449"/>
      <c r="F1230" s="431"/>
      <c r="G1230" s="596"/>
      <c r="H1230" s="488"/>
      <c r="J1230" s="449"/>
    </row>
    <row r="1231" spans="1:10" s="428" customFormat="1">
      <c r="A1231" s="449"/>
      <c r="B1231" s="431"/>
      <c r="C1231" s="449"/>
      <c r="F1231" s="431"/>
      <c r="G1231" s="596"/>
      <c r="H1231" s="488"/>
      <c r="J1231" s="449"/>
    </row>
    <row r="1232" spans="1:10" s="428" customFormat="1">
      <c r="A1232" s="449"/>
      <c r="B1232" s="431"/>
      <c r="C1232" s="449"/>
      <c r="F1232" s="431"/>
      <c r="G1232" s="596"/>
      <c r="H1232" s="488"/>
      <c r="J1232" s="449"/>
    </row>
    <row r="1233" spans="1:10" s="428" customFormat="1">
      <c r="A1233" s="449"/>
      <c r="B1233" s="431"/>
      <c r="C1233" s="449"/>
      <c r="F1233" s="431"/>
      <c r="G1233" s="596"/>
      <c r="H1233" s="488"/>
      <c r="J1233" s="449"/>
    </row>
    <row r="1234" spans="1:10" s="428" customFormat="1">
      <c r="A1234" s="449"/>
      <c r="B1234" s="431"/>
      <c r="C1234" s="449"/>
      <c r="F1234" s="431"/>
      <c r="G1234" s="596"/>
      <c r="H1234" s="488"/>
      <c r="J1234" s="449"/>
    </row>
    <row r="1235" spans="1:10" s="428" customFormat="1">
      <c r="A1235" s="449"/>
      <c r="B1235" s="431"/>
      <c r="C1235" s="449"/>
      <c r="F1235" s="431"/>
      <c r="G1235" s="596"/>
      <c r="H1235" s="488"/>
      <c r="J1235" s="449"/>
    </row>
    <row r="1236" spans="1:10" s="428" customFormat="1">
      <c r="A1236" s="449"/>
      <c r="B1236" s="431"/>
      <c r="C1236" s="449"/>
      <c r="F1236" s="431"/>
      <c r="G1236" s="596"/>
      <c r="H1236" s="488"/>
      <c r="J1236" s="449"/>
    </row>
    <row r="1237" spans="1:10" s="428" customFormat="1">
      <c r="A1237" s="449"/>
      <c r="B1237" s="431"/>
      <c r="C1237" s="449"/>
      <c r="F1237" s="431"/>
      <c r="G1237" s="596"/>
      <c r="H1237" s="488"/>
      <c r="J1237" s="449"/>
    </row>
    <row r="1238" spans="1:10" s="428" customFormat="1">
      <c r="A1238" s="449"/>
      <c r="B1238" s="431"/>
      <c r="C1238" s="449"/>
      <c r="F1238" s="431"/>
      <c r="G1238" s="596"/>
      <c r="H1238" s="488"/>
      <c r="J1238" s="449"/>
    </row>
    <row r="1239" spans="1:10" s="428" customFormat="1">
      <c r="A1239" s="449"/>
      <c r="B1239" s="431"/>
      <c r="C1239" s="449"/>
      <c r="F1239" s="431"/>
      <c r="G1239" s="596"/>
      <c r="H1239" s="488"/>
      <c r="J1239" s="449"/>
    </row>
    <row r="1240" spans="1:10" s="428" customFormat="1">
      <c r="A1240" s="449"/>
      <c r="B1240" s="431"/>
      <c r="C1240" s="449"/>
      <c r="F1240" s="431"/>
      <c r="G1240" s="596"/>
      <c r="H1240" s="488"/>
      <c r="J1240" s="449"/>
    </row>
    <row r="1241" spans="1:10" s="428" customFormat="1">
      <c r="A1241" s="449"/>
      <c r="B1241" s="431"/>
      <c r="C1241" s="449"/>
      <c r="F1241" s="431"/>
      <c r="G1241" s="596"/>
      <c r="H1241" s="488"/>
      <c r="J1241" s="449"/>
    </row>
    <row r="1242" spans="1:10" s="428" customFormat="1">
      <c r="A1242" s="449"/>
      <c r="B1242" s="431"/>
      <c r="C1242" s="449"/>
      <c r="F1242" s="431"/>
      <c r="G1242" s="596"/>
      <c r="H1242" s="488"/>
      <c r="J1242" s="449"/>
    </row>
    <row r="1243" spans="1:10" s="428" customFormat="1">
      <c r="A1243" s="449"/>
      <c r="B1243" s="431"/>
      <c r="C1243" s="449"/>
      <c r="F1243" s="431"/>
      <c r="G1243" s="596"/>
      <c r="H1243" s="488"/>
      <c r="J1243" s="449"/>
    </row>
    <row r="1244" spans="1:10" s="428" customFormat="1">
      <c r="A1244" s="449"/>
      <c r="B1244" s="431"/>
      <c r="C1244" s="449"/>
      <c r="F1244" s="431"/>
      <c r="G1244" s="596"/>
      <c r="H1244" s="488"/>
      <c r="J1244" s="449"/>
    </row>
    <row r="1245" spans="1:10" s="428" customFormat="1">
      <c r="A1245" s="449"/>
      <c r="B1245" s="431"/>
      <c r="C1245" s="449"/>
      <c r="F1245" s="431"/>
      <c r="G1245" s="596"/>
      <c r="H1245" s="488"/>
      <c r="J1245" s="449"/>
    </row>
    <row r="1246" spans="1:10" s="428" customFormat="1">
      <c r="A1246" s="449"/>
      <c r="B1246" s="431"/>
      <c r="C1246" s="449"/>
      <c r="F1246" s="431"/>
      <c r="G1246" s="596"/>
      <c r="H1246" s="488"/>
      <c r="J1246" s="449"/>
    </row>
    <row r="1247" spans="1:10" s="428" customFormat="1">
      <c r="A1247" s="449"/>
      <c r="B1247" s="431"/>
      <c r="C1247" s="449"/>
      <c r="F1247" s="431"/>
      <c r="G1247" s="596"/>
      <c r="H1247" s="488"/>
      <c r="J1247" s="449"/>
    </row>
    <row r="1248" spans="1:10" s="428" customFormat="1">
      <c r="A1248" s="449"/>
      <c r="B1248" s="431"/>
      <c r="C1248" s="449"/>
      <c r="F1248" s="431"/>
      <c r="G1248" s="596"/>
      <c r="H1248" s="488"/>
      <c r="J1248" s="449"/>
    </row>
    <row r="1249" spans="1:10" s="428" customFormat="1">
      <c r="A1249" s="449"/>
      <c r="B1249" s="431"/>
      <c r="C1249" s="449"/>
      <c r="F1249" s="431"/>
      <c r="G1249" s="596"/>
      <c r="H1249" s="488"/>
      <c r="J1249" s="449"/>
    </row>
    <row r="1250" spans="1:10" s="428" customFormat="1">
      <c r="A1250" s="449"/>
      <c r="B1250" s="431"/>
      <c r="C1250" s="449"/>
      <c r="F1250" s="431"/>
      <c r="G1250" s="596"/>
      <c r="H1250" s="488"/>
      <c r="J1250" s="449"/>
    </row>
    <row r="1251" spans="1:10" s="428" customFormat="1">
      <c r="A1251" s="449"/>
      <c r="B1251" s="431"/>
      <c r="C1251" s="449"/>
      <c r="F1251" s="431"/>
      <c r="G1251" s="596"/>
      <c r="H1251" s="488"/>
      <c r="J1251" s="449"/>
    </row>
    <row r="1252" spans="1:10" s="428" customFormat="1">
      <c r="A1252" s="449"/>
      <c r="B1252" s="431"/>
      <c r="C1252" s="449"/>
      <c r="F1252" s="431"/>
      <c r="G1252" s="596"/>
      <c r="H1252" s="488"/>
      <c r="J1252" s="449"/>
    </row>
    <row r="1253" spans="1:10" s="428" customFormat="1">
      <c r="A1253" s="449"/>
      <c r="B1253" s="431"/>
      <c r="C1253" s="449"/>
      <c r="F1253" s="431"/>
      <c r="G1253" s="596"/>
      <c r="H1253" s="488"/>
      <c r="J1253" s="449"/>
    </row>
    <row r="1254" spans="1:10" s="428" customFormat="1">
      <c r="A1254" s="449"/>
      <c r="B1254" s="431"/>
      <c r="C1254" s="449"/>
      <c r="F1254" s="431"/>
      <c r="G1254" s="596"/>
      <c r="H1254" s="488"/>
      <c r="J1254" s="449"/>
    </row>
    <row r="1255" spans="1:10" s="428" customFormat="1">
      <c r="A1255" s="449"/>
      <c r="B1255" s="431"/>
      <c r="C1255" s="449"/>
      <c r="F1255" s="431"/>
      <c r="G1255" s="596"/>
      <c r="H1255" s="488"/>
      <c r="J1255" s="449"/>
    </row>
    <row r="1256" spans="1:10" s="428" customFormat="1">
      <c r="A1256" s="449"/>
      <c r="B1256" s="431"/>
      <c r="C1256" s="449"/>
      <c r="F1256" s="431"/>
      <c r="G1256" s="596"/>
      <c r="H1256" s="488"/>
      <c r="J1256" s="449"/>
    </row>
    <row r="1257" spans="1:10" s="428" customFormat="1">
      <c r="A1257" s="449"/>
      <c r="B1257" s="431"/>
      <c r="C1257" s="449"/>
      <c r="F1257" s="431"/>
      <c r="G1257" s="596"/>
      <c r="H1257" s="488"/>
      <c r="J1257" s="449"/>
    </row>
    <row r="1258" spans="1:10" s="428" customFormat="1">
      <c r="A1258" s="449"/>
      <c r="B1258" s="431"/>
      <c r="C1258" s="449"/>
      <c r="F1258" s="431"/>
      <c r="G1258" s="596"/>
      <c r="H1258" s="488"/>
      <c r="J1258" s="449"/>
    </row>
    <row r="1259" spans="1:10" s="428" customFormat="1">
      <c r="A1259" s="449"/>
      <c r="B1259" s="431"/>
      <c r="C1259" s="449"/>
      <c r="F1259" s="431"/>
      <c r="G1259" s="596"/>
      <c r="H1259" s="488"/>
      <c r="J1259" s="449"/>
    </row>
    <row r="1260" spans="1:10" s="428" customFormat="1">
      <c r="A1260" s="449"/>
      <c r="B1260" s="431"/>
      <c r="C1260" s="449"/>
      <c r="F1260" s="431"/>
      <c r="G1260" s="596"/>
      <c r="H1260" s="488"/>
      <c r="J1260" s="449"/>
    </row>
    <row r="1261" spans="1:10" s="428" customFormat="1">
      <c r="A1261" s="449"/>
      <c r="B1261" s="431"/>
      <c r="C1261" s="449"/>
      <c r="F1261" s="431"/>
      <c r="G1261" s="596"/>
      <c r="H1261" s="488"/>
      <c r="J1261" s="449"/>
    </row>
    <row r="1262" spans="1:10" s="428" customFormat="1">
      <c r="A1262" s="449"/>
      <c r="B1262" s="431"/>
      <c r="C1262" s="449"/>
      <c r="F1262" s="431"/>
      <c r="G1262" s="596"/>
      <c r="H1262" s="488"/>
      <c r="J1262" s="449"/>
    </row>
    <row r="1263" spans="1:10" s="428" customFormat="1">
      <c r="A1263" s="449"/>
      <c r="B1263" s="431"/>
      <c r="C1263" s="449"/>
      <c r="F1263" s="431"/>
      <c r="G1263" s="596"/>
      <c r="H1263" s="488"/>
      <c r="J1263" s="449"/>
    </row>
    <row r="1264" spans="1:10" s="428" customFormat="1">
      <c r="A1264" s="449"/>
      <c r="B1264" s="431"/>
      <c r="C1264" s="449"/>
      <c r="F1264" s="431"/>
      <c r="G1264" s="596"/>
      <c r="H1264" s="488"/>
      <c r="J1264" s="449"/>
    </row>
    <row r="1265" spans="1:10" s="428" customFormat="1">
      <c r="A1265" s="449"/>
      <c r="B1265" s="431"/>
      <c r="C1265" s="449"/>
      <c r="F1265" s="431"/>
      <c r="G1265" s="596"/>
      <c r="H1265" s="488"/>
      <c r="J1265" s="449"/>
    </row>
    <row r="1266" spans="1:10" s="428" customFormat="1">
      <c r="A1266" s="449"/>
      <c r="B1266" s="431"/>
      <c r="C1266" s="449"/>
      <c r="F1266" s="431"/>
      <c r="G1266" s="596"/>
      <c r="H1266" s="488"/>
      <c r="J1266" s="449"/>
    </row>
    <row r="1267" spans="1:10" s="428" customFormat="1">
      <c r="A1267" s="449"/>
      <c r="B1267" s="431"/>
      <c r="C1267" s="449"/>
      <c r="F1267" s="431"/>
      <c r="G1267" s="596"/>
      <c r="H1267" s="488"/>
      <c r="J1267" s="449"/>
    </row>
    <row r="1268" spans="1:10" s="428" customFormat="1">
      <c r="A1268" s="449"/>
      <c r="B1268" s="431"/>
      <c r="C1268" s="449"/>
      <c r="F1268" s="431"/>
      <c r="G1268" s="596"/>
      <c r="H1268" s="488"/>
      <c r="J1268" s="449"/>
    </row>
    <row r="1269" spans="1:10" s="428" customFormat="1">
      <c r="A1269" s="449"/>
      <c r="B1269" s="431"/>
      <c r="C1269" s="449"/>
      <c r="F1269" s="431"/>
      <c r="G1269" s="596"/>
      <c r="H1269" s="488"/>
      <c r="J1269" s="449"/>
    </row>
    <row r="1270" spans="1:10" s="428" customFormat="1">
      <c r="A1270" s="449"/>
      <c r="B1270" s="431"/>
      <c r="C1270" s="449"/>
      <c r="F1270" s="431"/>
      <c r="G1270" s="596"/>
      <c r="H1270" s="488"/>
      <c r="J1270" s="449"/>
    </row>
    <row r="1271" spans="1:10" s="428" customFormat="1">
      <c r="A1271" s="449"/>
      <c r="B1271" s="431"/>
      <c r="C1271" s="449"/>
      <c r="F1271" s="431"/>
      <c r="G1271" s="596"/>
      <c r="H1271" s="488"/>
      <c r="J1271" s="449"/>
    </row>
    <row r="1272" spans="1:10" s="428" customFormat="1">
      <c r="A1272" s="449"/>
      <c r="B1272" s="431"/>
      <c r="C1272" s="449"/>
      <c r="F1272" s="431"/>
      <c r="G1272" s="596"/>
      <c r="H1272" s="488"/>
      <c r="J1272" s="449"/>
    </row>
    <row r="1273" spans="1:10" s="428" customFormat="1">
      <c r="A1273" s="449"/>
      <c r="B1273" s="431"/>
      <c r="C1273" s="449"/>
      <c r="F1273" s="431"/>
      <c r="G1273" s="596"/>
      <c r="H1273" s="488"/>
      <c r="J1273" s="449"/>
    </row>
    <row r="1274" spans="1:10" s="428" customFormat="1">
      <c r="A1274" s="449"/>
      <c r="B1274" s="431"/>
      <c r="C1274" s="449"/>
      <c r="F1274" s="431"/>
      <c r="G1274" s="596"/>
      <c r="H1274" s="488"/>
      <c r="J1274" s="449"/>
    </row>
    <row r="1275" spans="1:10" s="428" customFormat="1">
      <c r="A1275" s="449"/>
      <c r="B1275" s="431"/>
      <c r="C1275" s="449"/>
      <c r="F1275" s="431"/>
      <c r="G1275" s="596"/>
      <c r="H1275" s="488"/>
      <c r="J1275" s="449"/>
    </row>
    <row r="1276" spans="1:10" s="428" customFormat="1">
      <c r="A1276" s="449"/>
      <c r="B1276" s="431"/>
      <c r="C1276" s="449"/>
      <c r="F1276" s="431"/>
      <c r="G1276" s="596"/>
      <c r="H1276" s="488"/>
      <c r="J1276" s="449"/>
    </row>
    <row r="1277" spans="1:10" s="428" customFormat="1">
      <c r="A1277" s="449"/>
      <c r="B1277" s="431"/>
      <c r="C1277" s="449"/>
      <c r="F1277" s="431"/>
      <c r="G1277" s="596"/>
      <c r="H1277" s="488"/>
      <c r="J1277" s="449"/>
    </row>
    <row r="1278" spans="1:10" s="428" customFormat="1">
      <c r="A1278" s="449"/>
      <c r="B1278" s="431"/>
      <c r="C1278" s="449"/>
      <c r="F1278" s="431"/>
      <c r="G1278" s="596"/>
      <c r="H1278" s="488"/>
      <c r="J1278" s="449"/>
    </row>
    <row r="1279" spans="1:10" s="428" customFormat="1">
      <c r="A1279" s="449"/>
      <c r="B1279" s="431"/>
      <c r="C1279" s="449"/>
      <c r="F1279" s="431"/>
      <c r="G1279" s="596"/>
      <c r="H1279" s="488"/>
      <c r="J1279" s="449"/>
    </row>
    <row r="1280" spans="1:10" s="428" customFormat="1">
      <c r="A1280" s="449"/>
      <c r="B1280" s="431"/>
      <c r="C1280" s="449"/>
      <c r="F1280" s="431"/>
      <c r="G1280" s="596"/>
      <c r="H1280" s="488"/>
      <c r="J1280" s="449"/>
    </row>
    <row r="1281" spans="1:10" s="428" customFormat="1">
      <c r="A1281" s="449"/>
      <c r="B1281" s="431"/>
      <c r="C1281" s="449"/>
      <c r="F1281" s="431"/>
      <c r="G1281" s="596"/>
      <c r="H1281" s="488"/>
      <c r="J1281" s="449"/>
    </row>
    <row r="1282" spans="1:10" s="428" customFormat="1">
      <c r="A1282" s="449"/>
      <c r="B1282" s="431"/>
      <c r="C1282" s="449"/>
      <c r="F1282" s="431"/>
      <c r="G1282" s="596"/>
      <c r="H1282" s="488"/>
      <c r="J1282" s="449"/>
    </row>
    <row r="1283" spans="1:10" s="428" customFormat="1">
      <c r="A1283" s="449"/>
      <c r="B1283" s="431"/>
      <c r="C1283" s="449"/>
      <c r="F1283" s="431"/>
      <c r="G1283" s="596"/>
      <c r="H1283" s="488"/>
      <c r="J1283" s="449"/>
    </row>
    <row r="1284" spans="1:10" s="428" customFormat="1">
      <c r="A1284" s="449"/>
      <c r="B1284" s="431"/>
      <c r="C1284" s="449"/>
      <c r="F1284" s="431"/>
      <c r="G1284" s="596"/>
      <c r="H1284" s="488"/>
      <c r="J1284" s="449"/>
    </row>
    <row r="1285" spans="1:10" s="428" customFormat="1">
      <c r="A1285" s="449"/>
      <c r="B1285" s="431"/>
      <c r="C1285" s="449"/>
      <c r="F1285" s="431"/>
      <c r="G1285" s="596"/>
      <c r="H1285" s="488"/>
      <c r="J1285" s="449"/>
    </row>
    <row r="1286" spans="1:10" s="428" customFormat="1">
      <c r="A1286" s="449"/>
      <c r="B1286" s="431"/>
      <c r="C1286" s="449"/>
      <c r="F1286" s="431"/>
      <c r="G1286" s="596"/>
      <c r="H1286" s="488"/>
      <c r="J1286" s="449"/>
    </row>
    <row r="1287" spans="1:10" s="428" customFormat="1">
      <c r="A1287" s="449"/>
      <c r="B1287" s="431"/>
      <c r="C1287" s="449"/>
      <c r="F1287" s="431"/>
      <c r="G1287" s="596"/>
      <c r="H1287" s="488"/>
      <c r="J1287" s="449"/>
    </row>
    <row r="1288" spans="1:10" s="428" customFormat="1">
      <c r="A1288" s="449"/>
      <c r="B1288" s="431"/>
      <c r="C1288" s="449"/>
      <c r="F1288" s="431"/>
      <c r="G1288" s="596"/>
      <c r="H1288" s="488"/>
      <c r="J1288" s="449"/>
    </row>
    <row r="1289" spans="1:10" s="428" customFormat="1">
      <c r="A1289" s="449"/>
      <c r="B1289" s="431"/>
      <c r="C1289" s="449"/>
      <c r="F1289" s="431"/>
      <c r="G1289" s="596"/>
      <c r="H1289" s="488"/>
      <c r="J1289" s="449"/>
    </row>
    <row r="1290" spans="1:10" s="428" customFormat="1">
      <c r="A1290" s="449"/>
      <c r="B1290" s="431"/>
      <c r="C1290" s="449"/>
      <c r="F1290" s="431"/>
      <c r="G1290" s="596"/>
      <c r="H1290" s="488"/>
      <c r="J1290" s="449"/>
    </row>
    <row r="1291" spans="1:10" s="428" customFormat="1">
      <c r="A1291" s="449"/>
      <c r="B1291" s="431"/>
      <c r="C1291" s="449"/>
      <c r="F1291" s="431"/>
      <c r="G1291" s="596"/>
      <c r="H1291" s="488"/>
      <c r="J1291" s="449"/>
    </row>
    <row r="1292" spans="1:10" s="428" customFormat="1">
      <c r="A1292" s="449"/>
      <c r="B1292" s="431"/>
      <c r="C1292" s="449"/>
      <c r="F1292" s="431"/>
      <c r="G1292" s="596"/>
      <c r="H1292" s="488"/>
      <c r="J1292" s="449"/>
    </row>
    <row r="1293" spans="1:10" s="428" customFormat="1">
      <c r="A1293" s="449"/>
      <c r="B1293" s="431"/>
      <c r="C1293" s="449"/>
      <c r="F1293" s="431"/>
      <c r="G1293" s="596"/>
      <c r="H1293" s="488"/>
      <c r="J1293" s="449"/>
    </row>
    <row r="1294" spans="1:10" s="428" customFormat="1">
      <c r="A1294" s="449"/>
      <c r="B1294" s="431"/>
      <c r="C1294" s="449"/>
      <c r="F1294" s="431"/>
      <c r="G1294" s="596"/>
      <c r="H1294" s="488"/>
      <c r="J1294" s="449"/>
    </row>
    <row r="1295" spans="1:10" s="428" customFormat="1">
      <c r="A1295" s="449"/>
      <c r="B1295" s="431"/>
      <c r="C1295" s="449"/>
      <c r="F1295" s="431"/>
      <c r="G1295" s="596"/>
      <c r="H1295" s="488"/>
      <c r="J1295" s="449"/>
    </row>
    <row r="1296" spans="1:10" s="428" customFormat="1">
      <c r="A1296" s="449"/>
      <c r="B1296" s="431"/>
      <c r="C1296" s="449"/>
      <c r="F1296" s="431"/>
      <c r="G1296" s="596"/>
      <c r="H1296" s="488"/>
      <c r="J1296" s="449"/>
    </row>
    <row r="1297" spans="1:10" s="428" customFormat="1">
      <c r="A1297" s="449"/>
      <c r="B1297" s="431"/>
      <c r="C1297" s="449"/>
      <c r="F1297" s="431"/>
      <c r="G1297" s="596"/>
      <c r="H1297" s="488"/>
      <c r="J1297" s="449"/>
    </row>
    <row r="1298" spans="1:10" s="428" customFormat="1">
      <c r="A1298" s="449"/>
      <c r="B1298" s="431"/>
      <c r="C1298" s="449"/>
      <c r="F1298" s="431"/>
      <c r="G1298" s="596"/>
      <c r="H1298" s="488"/>
      <c r="J1298" s="449"/>
    </row>
    <row r="1299" spans="1:10" s="428" customFormat="1">
      <c r="A1299" s="449"/>
      <c r="B1299" s="431"/>
      <c r="C1299" s="449"/>
      <c r="F1299" s="431"/>
      <c r="G1299" s="596"/>
      <c r="H1299" s="488"/>
      <c r="J1299" s="449"/>
    </row>
    <row r="1300" spans="1:10" s="428" customFormat="1">
      <c r="A1300" s="449"/>
      <c r="B1300" s="431"/>
      <c r="C1300" s="449"/>
      <c r="F1300" s="431"/>
      <c r="G1300" s="596"/>
      <c r="H1300" s="488"/>
      <c r="J1300" s="449"/>
    </row>
    <row r="1301" spans="1:10" s="428" customFormat="1">
      <c r="A1301" s="449"/>
      <c r="B1301" s="431"/>
      <c r="C1301" s="449"/>
      <c r="F1301" s="431"/>
      <c r="G1301" s="596"/>
      <c r="H1301" s="488"/>
      <c r="J1301" s="449"/>
    </row>
    <row r="1302" spans="1:10" s="428" customFormat="1">
      <c r="A1302" s="449"/>
      <c r="B1302" s="431"/>
      <c r="C1302" s="449"/>
      <c r="F1302" s="431"/>
      <c r="G1302" s="596"/>
      <c r="H1302" s="488"/>
      <c r="J1302" s="449"/>
    </row>
    <row r="1303" spans="1:10" s="428" customFormat="1">
      <c r="A1303" s="449"/>
      <c r="B1303" s="431"/>
      <c r="C1303" s="449"/>
      <c r="F1303" s="431"/>
      <c r="G1303" s="596"/>
      <c r="H1303" s="488"/>
      <c r="J1303" s="449"/>
    </row>
    <row r="1304" spans="1:10" s="428" customFormat="1">
      <c r="A1304" s="449"/>
      <c r="B1304" s="431"/>
      <c r="C1304" s="449"/>
      <c r="F1304" s="431"/>
      <c r="G1304" s="596"/>
      <c r="H1304" s="488"/>
      <c r="J1304" s="449"/>
    </row>
    <row r="1305" spans="1:10" s="428" customFormat="1">
      <c r="A1305" s="449"/>
      <c r="B1305" s="431"/>
      <c r="C1305" s="449"/>
      <c r="F1305" s="431"/>
      <c r="G1305" s="596"/>
      <c r="H1305" s="488"/>
      <c r="J1305" s="449"/>
    </row>
    <row r="1306" spans="1:10" s="428" customFormat="1">
      <c r="A1306" s="449"/>
      <c r="B1306" s="431"/>
      <c r="C1306" s="449"/>
      <c r="F1306" s="431"/>
      <c r="G1306" s="596"/>
      <c r="H1306" s="488"/>
      <c r="J1306" s="449"/>
    </row>
    <row r="1307" spans="1:10" s="428" customFormat="1">
      <c r="A1307" s="449"/>
      <c r="B1307" s="431"/>
      <c r="C1307" s="449"/>
      <c r="F1307" s="431"/>
      <c r="G1307" s="596"/>
      <c r="H1307" s="488"/>
      <c r="J1307" s="449"/>
    </row>
    <row r="1308" spans="1:10" s="428" customFormat="1">
      <c r="A1308" s="449"/>
      <c r="B1308" s="431"/>
      <c r="C1308" s="449"/>
      <c r="F1308" s="431"/>
      <c r="G1308" s="596"/>
      <c r="H1308" s="488"/>
      <c r="J1308" s="449"/>
    </row>
    <row r="1309" spans="1:10" s="428" customFormat="1">
      <c r="A1309" s="449"/>
      <c r="B1309" s="431"/>
      <c r="C1309" s="449"/>
      <c r="F1309" s="431"/>
      <c r="G1309" s="596"/>
      <c r="H1309" s="488"/>
      <c r="J1309" s="449"/>
    </row>
    <row r="1310" spans="1:10" s="428" customFormat="1">
      <c r="A1310" s="449"/>
      <c r="B1310" s="431"/>
      <c r="C1310" s="449"/>
      <c r="F1310" s="431"/>
      <c r="G1310" s="596"/>
      <c r="H1310" s="488"/>
      <c r="J1310" s="449"/>
    </row>
    <row r="1311" spans="1:10" s="428" customFormat="1">
      <c r="A1311" s="449"/>
      <c r="B1311" s="431"/>
      <c r="C1311" s="449"/>
      <c r="F1311" s="431"/>
      <c r="G1311" s="596"/>
      <c r="H1311" s="488"/>
      <c r="J1311" s="449"/>
    </row>
    <row r="1312" spans="1:10" s="428" customFormat="1">
      <c r="A1312" s="449"/>
      <c r="B1312" s="431"/>
      <c r="C1312" s="449"/>
      <c r="F1312" s="431"/>
      <c r="G1312" s="596"/>
      <c r="H1312" s="488"/>
      <c r="J1312" s="449"/>
    </row>
    <row r="1313" spans="1:10" s="428" customFormat="1">
      <c r="A1313" s="449"/>
      <c r="B1313" s="431"/>
      <c r="C1313" s="449"/>
      <c r="F1313" s="431"/>
      <c r="G1313" s="596"/>
      <c r="H1313" s="488"/>
      <c r="J1313" s="449"/>
    </row>
    <row r="1314" spans="1:10" s="428" customFormat="1">
      <c r="A1314" s="449"/>
      <c r="B1314" s="431"/>
      <c r="C1314" s="449"/>
      <c r="F1314" s="431"/>
      <c r="G1314" s="596"/>
      <c r="H1314" s="488"/>
      <c r="J1314" s="449"/>
    </row>
    <row r="1315" spans="1:10" s="428" customFormat="1">
      <c r="A1315" s="449"/>
      <c r="B1315" s="431"/>
      <c r="C1315" s="449"/>
      <c r="F1315" s="431"/>
      <c r="G1315" s="596"/>
      <c r="H1315" s="488"/>
      <c r="J1315" s="449"/>
    </row>
    <row r="1316" spans="1:10" s="428" customFormat="1">
      <c r="A1316" s="449"/>
      <c r="B1316" s="431"/>
      <c r="C1316" s="449"/>
      <c r="F1316" s="431"/>
      <c r="G1316" s="596"/>
      <c r="H1316" s="488"/>
      <c r="J1316" s="449"/>
    </row>
    <row r="1317" spans="1:10" s="428" customFormat="1">
      <c r="A1317" s="449"/>
      <c r="B1317" s="431"/>
      <c r="C1317" s="449"/>
      <c r="F1317" s="431"/>
      <c r="G1317" s="596"/>
      <c r="H1317" s="488"/>
      <c r="J1317" s="449"/>
    </row>
    <row r="1318" spans="1:10" s="428" customFormat="1">
      <c r="A1318" s="449"/>
      <c r="B1318" s="431"/>
      <c r="C1318" s="449"/>
      <c r="F1318" s="431"/>
      <c r="G1318" s="596"/>
      <c r="H1318" s="488"/>
      <c r="J1318" s="449"/>
    </row>
    <row r="1319" spans="1:10" s="428" customFormat="1">
      <c r="A1319" s="449"/>
      <c r="B1319" s="431"/>
      <c r="C1319" s="449"/>
      <c r="F1319" s="431"/>
      <c r="G1319" s="596"/>
      <c r="H1319" s="488"/>
      <c r="J1319" s="449"/>
    </row>
    <row r="1320" spans="1:10" s="428" customFormat="1">
      <c r="A1320" s="449"/>
      <c r="B1320" s="431"/>
      <c r="C1320" s="449"/>
      <c r="F1320" s="431"/>
      <c r="G1320" s="596"/>
      <c r="H1320" s="488"/>
      <c r="J1320" s="449"/>
    </row>
    <row r="1321" spans="1:10" s="428" customFormat="1">
      <c r="A1321" s="449"/>
      <c r="B1321" s="431"/>
      <c r="C1321" s="449"/>
      <c r="F1321" s="431"/>
      <c r="G1321" s="596"/>
      <c r="H1321" s="488"/>
      <c r="J1321" s="449"/>
    </row>
    <row r="1322" spans="1:10" s="428" customFormat="1">
      <c r="A1322" s="449"/>
      <c r="B1322" s="431"/>
      <c r="C1322" s="449"/>
      <c r="F1322" s="431"/>
      <c r="G1322" s="596"/>
      <c r="H1322" s="488"/>
      <c r="J1322" s="449"/>
    </row>
    <row r="1323" spans="1:10" s="428" customFormat="1">
      <c r="A1323" s="449"/>
      <c r="B1323" s="431"/>
      <c r="C1323" s="449"/>
      <c r="F1323" s="431"/>
      <c r="G1323" s="596"/>
      <c r="H1323" s="488"/>
      <c r="J1323" s="449"/>
    </row>
    <row r="1324" spans="1:10" s="428" customFormat="1">
      <c r="A1324" s="449"/>
      <c r="B1324" s="431"/>
      <c r="C1324" s="449"/>
      <c r="F1324" s="431"/>
      <c r="G1324" s="596"/>
      <c r="H1324" s="488"/>
      <c r="J1324" s="449"/>
    </row>
    <row r="1325" spans="1:10" s="428" customFormat="1">
      <c r="A1325" s="449"/>
      <c r="B1325" s="431"/>
      <c r="C1325" s="449"/>
      <c r="F1325" s="431"/>
      <c r="G1325" s="596"/>
      <c r="H1325" s="488"/>
      <c r="J1325" s="449"/>
    </row>
    <row r="1326" spans="1:10" s="428" customFormat="1">
      <c r="A1326" s="449"/>
      <c r="B1326" s="431"/>
      <c r="C1326" s="449"/>
      <c r="F1326" s="431"/>
      <c r="G1326" s="596"/>
      <c r="H1326" s="488"/>
      <c r="J1326" s="449"/>
    </row>
    <row r="1327" spans="1:10" s="428" customFormat="1">
      <c r="A1327" s="449"/>
      <c r="B1327" s="431"/>
      <c r="C1327" s="449"/>
      <c r="F1327" s="431"/>
      <c r="G1327" s="596"/>
      <c r="H1327" s="488"/>
      <c r="J1327" s="449"/>
    </row>
    <row r="1328" spans="1:10" s="428" customFormat="1">
      <c r="A1328" s="449"/>
      <c r="B1328" s="431"/>
      <c r="C1328" s="449"/>
      <c r="F1328" s="431"/>
      <c r="G1328" s="596"/>
      <c r="H1328" s="488"/>
      <c r="J1328" s="449"/>
    </row>
    <row r="1329" spans="1:10" s="428" customFormat="1">
      <c r="A1329" s="449"/>
      <c r="B1329" s="431"/>
      <c r="C1329" s="449"/>
      <c r="F1329" s="431"/>
      <c r="G1329" s="596"/>
      <c r="H1329" s="488"/>
      <c r="J1329" s="449"/>
    </row>
    <row r="1330" spans="1:10" s="428" customFormat="1">
      <c r="A1330" s="449"/>
      <c r="B1330" s="431"/>
      <c r="C1330" s="449"/>
      <c r="F1330" s="431"/>
      <c r="G1330" s="596"/>
      <c r="H1330" s="488"/>
      <c r="J1330" s="449"/>
    </row>
    <row r="1331" spans="1:10" s="428" customFormat="1">
      <c r="A1331" s="449"/>
      <c r="B1331" s="431"/>
      <c r="C1331" s="449"/>
      <c r="F1331" s="431"/>
      <c r="G1331" s="596"/>
      <c r="H1331" s="488"/>
      <c r="J1331" s="449"/>
    </row>
    <row r="1332" spans="1:10" s="428" customFormat="1">
      <c r="A1332" s="449"/>
      <c r="B1332" s="431"/>
      <c r="C1332" s="449"/>
      <c r="F1332" s="431"/>
      <c r="G1332" s="596"/>
      <c r="H1332" s="488"/>
      <c r="J1332" s="449"/>
    </row>
    <row r="1333" spans="1:10" s="428" customFormat="1">
      <c r="A1333" s="449"/>
      <c r="B1333" s="431"/>
      <c r="C1333" s="449"/>
      <c r="F1333" s="431"/>
      <c r="G1333" s="596"/>
      <c r="H1333" s="488"/>
      <c r="J1333" s="449"/>
    </row>
    <row r="1334" spans="1:10" s="428" customFormat="1">
      <c r="A1334" s="449"/>
      <c r="B1334" s="431"/>
      <c r="C1334" s="449"/>
      <c r="F1334" s="431"/>
      <c r="G1334" s="596"/>
      <c r="H1334" s="488"/>
      <c r="J1334" s="449"/>
    </row>
    <row r="1335" spans="1:10" s="428" customFormat="1">
      <c r="A1335" s="449"/>
      <c r="B1335" s="431"/>
      <c r="C1335" s="449"/>
      <c r="F1335" s="431"/>
      <c r="G1335" s="596"/>
      <c r="H1335" s="488"/>
      <c r="J1335" s="449"/>
    </row>
    <row r="1336" spans="1:10" s="428" customFormat="1">
      <c r="A1336" s="449"/>
      <c r="B1336" s="431"/>
      <c r="C1336" s="449"/>
      <c r="F1336" s="431"/>
      <c r="G1336" s="596"/>
      <c r="H1336" s="488"/>
      <c r="J1336" s="449"/>
    </row>
    <row r="1337" spans="1:10" s="428" customFormat="1">
      <c r="A1337" s="449"/>
      <c r="B1337" s="431"/>
      <c r="C1337" s="449"/>
      <c r="F1337" s="431"/>
      <c r="G1337" s="596"/>
      <c r="H1337" s="488"/>
      <c r="J1337" s="449"/>
    </row>
    <row r="1338" spans="1:10" s="428" customFormat="1">
      <c r="A1338" s="449"/>
      <c r="B1338" s="431"/>
      <c r="C1338" s="449"/>
      <c r="F1338" s="431"/>
      <c r="G1338" s="596"/>
      <c r="H1338" s="488"/>
      <c r="J1338" s="449"/>
    </row>
    <row r="1339" spans="1:10" s="428" customFormat="1">
      <c r="A1339" s="449"/>
      <c r="B1339" s="431"/>
      <c r="C1339" s="449"/>
      <c r="F1339" s="431"/>
      <c r="G1339" s="596"/>
      <c r="H1339" s="488"/>
      <c r="J1339" s="449"/>
    </row>
    <row r="1340" spans="1:10" s="428" customFormat="1">
      <c r="A1340" s="449"/>
      <c r="B1340" s="431"/>
      <c r="C1340" s="449"/>
      <c r="F1340" s="431"/>
      <c r="G1340" s="596"/>
      <c r="H1340" s="488"/>
      <c r="J1340" s="449"/>
    </row>
    <row r="1341" spans="1:10" s="428" customFormat="1">
      <c r="A1341" s="449"/>
      <c r="B1341" s="431"/>
      <c r="C1341" s="449"/>
      <c r="F1341" s="431"/>
      <c r="G1341" s="596"/>
      <c r="H1341" s="488"/>
      <c r="J1341" s="449"/>
    </row>
    <row r="1342" spans="1:10" s="428" customFormat="1">
      <c r="A1342" s="449"/>
      <c r="B1342" s="431"/>
      <c r="C1342" s="449"/>
      <c r="F1342" s="431"/>
      <c r="G1342" s="596"/>
      <c r="H1342" s="488"/>
      <c r="J1342" s="449"/>
    </row>
    <row r="1343" spans="1:10" s="428" customFormat="1">
      <c r="A1343" s="449"/>
      <c r="B1343" s="431"/>
      <c r="C1343" s="449"/>
      <c r="F1343" s="431"/>
      <c r="G1343" s="596"/>
      <c r="H1343" s="488"/>
      <c r="J1343" s="449"/>
    </row>
    <row r="1344" spans="1:10" s="428" customFormat="1">
      <c r="A1344" s="449"/>
      <c r="B1344" s="431"/>
      <c r="C1344" s="449"/>
      <c r="F1344" s="431"/>
      <c r="G1344" s="596"/>
      <c r="H1344" s="488"/>
      <c r="J1344" s="449"/>
    </row>
    <row r="1345" spans="1:10" s="428" customFormat="1">
      <c r="A1345" s="449"/>
      <c r="B1345" s="431"/>
      <c r="C1345" s="449"/>
      <c r="F1345" s="431"/>
      <c r="G1345" s="596"/>
      <c r="H1345" s="488"/>
      <c r="J1345" s="449"/>
    </row>
    <row r="1346" spans="1:10" s="428" customFormat="1">
      <c r="A1346" s="449"/>
      <c r="B1346" s="431"/>
      <c r="C1346" s="449"/>
      <c r="F1346" s="431"/>
      <c r="G1346" s="596"/>
      <c r="H1346" s="488"/>
      <c r="J1346" s="449"/>
    </row>
    <row r="1347" spans="1:10" s="428" customFormat="1">
      <c r="A1347" s="449"/>
      <c r="B1347" s="431"/>
      <c r="C1347" s="449"/>
      <c r="F1347" s="431"/>
      <c r="G1347" s="596"/>
      <c r="H1347" s="488"/>
      <c r="J1347" s="449"/>
    </row>
    <row r="1348" spans="1:10" s="428" customFormat="1">
      <c r="A1348" s="449"/>
      <c r="B1348" s="431"/>
      <c r="C1348" s="449"/>
      <c r="F1348" s="431"/>
      <c r="G1348" s="596"/>
      <c r="H1348" s="488"/>
      <c r="J1348" s="449"/>
    </row>
    <row r="1349" spans="1:10" s="428" customFormat="1">
      <c r="A1349" s="449"/>
      <c r="B1349" s="431"/>
      <c r="C1349" s="449"/>
      <c r="F1349" s="431"/>
      <c r="G1349" s="596"/>
      <c r="H1349" s="488"/>
      <c r="J1349" s="449"/>
    </row>
    <row r="1350" spans="1:10" s="428" customFormat="1">
      <c r="A1350" s="449"/>
      <c r="B1350" s="431"/>
      <c r="C1350" s="449"/>
      <c r="F1350" s="431"/>
      <c r="G1350" s="596"/>
      <c r="H1350" s="488"/>
      <c r="J1350" s="449"/>
    </row>
    <row r="1351" spans="1:10" s="428" customFormat="1">
      <c r="A1351" s="449"/>
      <c r="B1351" s="431"/>
      <c r="C1351" s="449"/>
      <c r="F1351" s="431"/>
      <c r="G1351" s="596"/>
      <c r="H1351" s="488"/>
      <c r="J1351" s="449"/>
    </row>
    <row r="1352" spans="1:10" s="428" customFormat="1">
      <c r="A1352" s="449"/>
      <c r="B1352" s="431"/>
      <c r="C1352" s="449"/>
      <c r="F1352" s="431"/>
      <c r="G1352" s="596"/>
      <c r="H1352" s="488"/>
      <c r="J1352" s="449"/>
    </row>
    <row r="1353" spans="1:10" s="428" customFormat="1">
      <c r="A1353" s="449"/>
      <c r="B1353" s="431"/>
      <c r="C1353" s="449"/>
      <c r="F1353" s="431"/>
      <c r="G1353" s="596"/>
      <c r="H1353" s="488"/>
      <c r="J1353" s="449"/>
    </row>
    <row r="1354" spans="1:10" s="428" customFormat="1">
      <c r="A1354" s="449"/>
      <c r="B1354" s="431"/>
      <c r="C1354" s="449"/>
      <c r="F1354" s="431"/>
      <c r="G1354" s="596"/>
      <c r="H1354" s="488"/>
      <c r="J1354" s="449"/>
    </row>
    <row r="1355" spans="1:10" s="428" customFormat="1">
      <c r="A1355" s="449"/>
      <c r="B1355" s="431"/>
      <c r="C1355" s="449"/>
      <c r="F1355" s="431"/>
      <c r="G1355" s="596"/>
      <c r="H1355" s="488"/>
      <c r="J1355" s="449"/>
    </row>
    <row r="1356" spans="1:10" s="428" customFormat="1">
      <c r="A1356" s="449"/>
      <c r="B1356" s="431"/>
      <c r="C1356" s="449"/>
      <c r="F1356" s="431"/>
      <c r="G1356" s="596"/>
      <c r="H1356" s="488"/>
      <c r="J1356" s="449"/>
    </row>
    <row r="1357" spans="1:10" s="428" customFormat="1">
      <c r="A1357" s="449"/>
      <c r="B1357" s="431"/>
      <c r="C1357" s="449"/>
      <c r="F1357" s="431"/>
      <c r="G1357" s="596"/>
      <c r="H1357" s="488"/>
      <c r="J1357" s="449"/>
    </row>
    <row r="1358" spans="1:10" s="428" customFormat="1">
      <c r="A1358" s="449"/>
      <c r="B1358" s="431"/>
      <c r="C1358" s="449"/>
      <c r="F1358" s="431"/>
      <c r="G1358" s="596"/>
      <c r="H1358" s="488"/>
      <c r="J1358" s="449"/>
    </row>
    <row r="1359" spans="1:10" s="428" customFormat="1">
      <c r="A1359" s="449"/>
      <c r="B1359" s="431"/>
      <c r="C1359" s="449"/>
      <c r="F1359" s="431"/>
      <c r="G1359" s="596"/>
      <c r="H1359" s="488"/>
      <c r="J1359" s="449"/>
    </row>
    <row r="1360" spans="1:10" s="428" customFormat="1">
      <c r="A1360" s="449"/>
      <c r="B1360" s="431"/>
      <c r="C1360" s="449"/>
      <c r="F1360" s="431"/>
      <c r="G1360" s="596"/>
      <c r="H1360" s="488"/>
      <c r="J1360" s="449"/>
    </row>
    <row r="1361" spans="1:10" s="428" customFormat="1">
      <c r="A1361" s="449"/>
      <c r="B1361" s="431"/>
      <c r="C1361" s="449"/>
      <c r="F1361" s="431"/>
      <c r="G1361" s="596"/>
      <c r="H1361" s="488"/>
      <c r="J1361" s="449"/>
    </row>
    <row r="1362" spans="1:10" s="428" customFormat="1">
      <c r="A1362" s="449"/>
      <c r="B1362" s="431"/>
      <c r="C1362" s="449"/>
      <c r="F1362" s="431"/>
      <c r="G1362" s="596"/>
      <c r="H1362" s="488"/>
      <c r="J1362" s="449"/>
    </row>
    <row r="1363" spans="1:10" s="428" customFormat="1">
      <c r="A1363" s="449"/>
      <c r="B1363" s="431"/>
      <c r="C1363" s="449"/>
      <c r="F1363" s="431"/>
      <c r="G1363" s="596"/>
      <c r="H1363" s="488"/>
      <c r="J1363" s="449"/>
    </row>
    <row r="1364" spans="1:10" s="428" customFormat="1">
      <c r="A1364" s="449"/>
      <c r="B1364" s="431"/>
      <c r="C1364" s="449"/>
      <c r="F1364" s="431"/>
      <c r="G1364" s="596"/>
      <c r="H1364" s="488"/>
      <c r="J1364" s="449"/>
    </row>
    <row r="1365" spans="1:10" s="428" customFormat="1">
      <c r="A1365" s="449"/>
      <c r="B1365" s="431"/>
      <c r="C1365" s="449"/>
      <c r="F1365" s="431"/>
      <c r="G1365" s="596"/>
      <c r="H1365" s="488"/>
      <c r="J1365" s="449"/>
    </row>
    <row r="1366" spans="1:10" s="428" customFormat="1">
      <c r="A1366" s="449"/>
      <c r="B1366" s="431"/>
      <c r="C1366" s="449"/>
      <c r="F1366" s="431"/>
      <c r="G1366" s="596"/>
      <c r="H1366" s="488"/>
      <c r="J1366" s="449"/>
    </row>
    <row r="1367" spans="1:10" s="428" customFormat="1">
      <c r="A1367" s="449"/>
      <c r="B1367" s="431"/>
      <c r="C1367" s="449"/>
      <c r="F1367" s="431"/>
      <c r="G1367" s="596"/>
      <c r="H1367" s="488"/>
      <c r="J1367" s="449"/>
    </row>
    <row r="1368" spans="1:10" s="428" customFormat="1">
      <c r="A1368" s="449"/>
      <c r="B1368" s="431"/>
      <c r="C1368" s="449"/>
      <c r="F1368" s="431"/>
      <c r="G1368" s="596"/>
      <c r="H1368" s="488"/>
      <c r="J1368" s="449"/>
    </row>
    <row r="1369" spans="1:10" s="428" customFormat="1">
      <c r="A1369" s="449"/>
      <c r="B1369" s="431"/>
      <c r="C1369" s="449"/>
      <c r="F1369" s="431"/>
      <c r="G1369" s="596"/>
      <c r="H1369" s="488"/>
      <c r="J1369" s="449"/>
    </row>
    <row r="1370" spans="1:10" s="428" customFormat="1">
      <c r="A1370" s="449"/>
      <c r="B1370" s="431"/>
      <c r="C1370" s="449"/>
      <c r="F1370" s="431"/>
      <c r="G1370" s="596"/>
      <c r="H1370" s="488"/>
      <c r="J1370" s="449"/>
    </row>
    <row r="1371" spans="1:10" s="428" customFormat="1">
      <c r="A1371" s="449"/>
      <c r="B1371" s="431"/>
      <c r="C1371" s="449"/>
      <c r="F1371" s="431"/>
      <c r="G1371" s="596"/>
      <c r="H1371" s="488"/>
      <c r="J1371" s="449"/>
    </row>
    <row r="1372" spans="1:10" s="428" customFormat="1">
      <c r="A1372" s="449"/>
      <c r="B1372" s="431"/>
      <c r="C1372" s="449"/>
      <c r="F1372" s="431"/>
      <c r="G1372" s="596"/>
      <c r="H1372" s="488"/>
      <c r="J1372" s="449"/>
    </row>
    <row r="1373" spans="1:10" s="428" customFormat="1">
      <c r="A1373" s="449"/>
      <c r="B1373" s="431"/>
      <c r="C1373" s="449"/>
      <c r="F1373" s="431"/>
      <c r="G1373" s="596"/>
      <c r="H1373" s="488"/>
      <c r="J1373" s="449"/>
    </row>
    <row r="1374" spans="1:10" s="428" customFormat="1">
      <c r="A1374" s="449"/>
      <c r="B1374" s="431"/>
      <c r="C1374" s="449"/>
      <c r="F1374" s="431"/>
      <c r="G1374" s="596"/>
      <c r="H1374" s="488"/>
      <c r="J1374" s="449"/>
    </row>
    <row r="1375" spans="1:10" s="428" customFormat="1">
      <c r="A1375" s="449"/>
      <c r="B1375" s="431"/>
      <c r="C1375" s="449"/>
      <c r="F1375" s="431"/>
      <c r="G1375" s="596"/>
      <c r="H1375" s="488"/>
      <c r="J1375" s="449"/>
    </row>
    <row r="1376" spans="1:10" s="428" customFormat="1">
      <c r="A1376" s="449"/>
      <c r="B1376" s="431"/>
      <c r="C1376" s="449"/>
      <c r="F1376" s="431"/>
      <c r="G1376" s="596"/>
      <c r="H1376" s="488"/>
      <c r="J1376" s="449"/>
    </row>
    <row r="1377" spans="1:10" s="428" customFormat="1">
      <c r="A1377" s="449"/>
      <c r="B1377" s="431"/>
      <c r="C1377" s="449"/>
      <c r="F1377" s="431"/>
      <c r="G1377" s="596"/>
      <c r="H1377" s="488"/>
      <c r="J1377" s="449"/>
    </row>
    <row r="1378" spans="1:10" s="428" customFormat="1">
      <c r="A1378" s="449"/>
      <c r="B1378" s="431"/>
      <c r="C1378" s="449"/>
      <c r="F1378" s="431"/>
      <c r="G1378" s="596"/>
      <c r="H1378" s="488"/>
      <c r="J1378" s="449"/>
    </row>
    <row r="1379" spans="1:10" s="428" customFormat="1">
      <c r="A1379" s="449"/>
      <c r="B1379" s="431"/>
      <c r="C1379" s="449"/>
      <c r="F1379" s="431"/>
      <c r="G1379" s="596"/>
      <c r="H1379" s="488"/>
      <c r="J1379" s="449"/>
    </row>
    <row r="1380" spans="1:10" s="428" customFormat="1">
      <c r="A1380" s="449"/>
      <c r="B1380" s="431"/>
      <c r="C1380" s="449"/>
      <c r="F1380" s="431"/>
      <c r="G1380" s="596"/>
      <c r="H1380" s="488"/>
      <c r="J1380" s="449"/>
    </row>
    <row r="1381" spans="1:10" s="428" customFormat="1">
      <c r="A1381" s="449"/>
      <c r="B1381" s="431"/>
      <c r="C1381" s="449"/>
      <c r="F1381" s="431"/>
      <c r="G1381" s="596"/>
      <c r="H1381" s="488"/>
      <c r="J1381" s="449"/>
    </row>
    <row r="1382" spans="1:10" s="428" customFormat="1">
      <c r="A1382" s="449"/>
      <c r="B1382" s="431"/>
      <c r="C1382" s="449"/>
      <c r="F1382" s="431"/>
      <c r="G1382" s="596"/>
      <c r="H1382" s="488"/>
      <c r="J1382" s="449"/>
    </row>
    <row r="1383" spans="1:10" s="428" customFormat="1">
      <c r="A1383" s="449"/>
      <c r="B1383" s="431"/>
      <c r="C1383" s="449"/>
      <c r="F1383" s="431"/>
      <c r="G1383" s="596"/>
      <c r="H1383" s="488"/>
      <c r="J1383" s="449"/>
    </row>
    <row r="1384" spans="1:10" s="428" customFormat="1">
      <c r="A1384" s="449"/>
      <c r="B1384" s="431"/>
      <c r="C1384" s="449"/>
      <c r="F1384" s="431"/>
      <c r="G1384" s="596"/>
      <c r="H1384" s="488"/>
      <c r="J1384" s="449"/>
    </row>
    <row r="1385" spans="1:10" s="428" customFormat="1">
      <c r="A1385" s="449"/>
      <c r="B1385" s="431"/>
      <c r="C1385" s="449"/>
      <c r="F1385" s="431"/>
      <c r="G1385" s="596"/>
      <c r="H1385" s="488"/>
      <c r="J1385" s="449"/>
    </row>
    <row r="1386" spans="1:10" s="428" customFormat="1">
      <c r="A1386" s="449"/>
      <c r="B1386" s="431"/>
      <c r="C1386" s="449"/>
      <c r="F1386" s="431"/>
      <c r="G1386" s="596"/>
      <c r="H1386" s="488"/>
      <c r="J1386" s="449"/>
    </row>
    <row r="1387" spans="1:10" s="428" customFormat="1">
      <c r="A1387" s="449"/>
      <c r="B1387" s="431"/>
      <c r="C1387" s="449"/>
      <c r="F1387" s="431"/>
      <c r="G1387" s="596"/>
      <c r="H1387" s="488"/>
      <c r="J1387" s="449"/>
    </row>
    <row r="1388" spans="1:10" s="428" customFormat="1">
      <c r="A1388" s="449"/>
      <c r="B1388" s="431"/>
      <c r="C1388" s="449"/>
      <c r="F1388" s="431"/>
      <c r="G1388" s="596"/>
      <c r="H1388" s="488"/>
      <c r="J1388" s="449"/>
    </row>
    <row r="1389" spans="1:10" s="428" customFormat="1">
      <c r="A1389" s="449"/>
      <c r="B1389" s="431"/>
      <c r="C1389" s="449"/>
      <c r="F1389" s="431"/>
      <c r="G1389" s="596"/>
      <c r="H1389" s="488"/>
      <c r="J1389" s="449"/>
    </row>
    <row r="1390" spans="1:10" s="428" customFormat="1">
      <c r="A1390" s="449"/>
      <c r="B1390" s="431"/>
      <c r="C1390" s="449"/>
      <c r="F1390" s="431"/>
      <c r="G1390" s="596"/>
      <c r="H1390" s="488"/>
      <c r="J1390" s="449"/>
    </row>
    <row r="1391" spans="1:10" s="428" customFormat="1">
      <c r="A1391" s="449"/>
      <c r="B1391" s="431"/>
      <c r="C1391" s="449"/>
      <c r="F1391" s="431"/>
      <c r="G1391" s="596"/>
      <c r="H1391" s="488"/>
      <c r="J1391" s="449"/>
    </row>
    <row r="1392" spans="1:10" s="428" customFormat="1">
      <c r="A1392" s="449"/>
      <c r="B1392" s="431"/>
      <c r="C1392" s="449"/>
      <c r="F1392" s="431"/>
      <c r="G1392" s="596"/>
      <c r="H1392" s="488"/>
      <c r="J1392" s="449"/>
    </row>
    <row r="1393" spans="1:10" s="428" customFormat="1">
      <c r="A1393" s="449"/>
      <c r="B1393" s="431"/>
      <c r="C1393" s="449"/>
      <c r="F1393" s="431"/>
      <c r="G1393" s="596"/>
      <c r="H1393" s="488"/>
      <c r="J1393" s="449"/>
    </row>
    <row r="1394" spans="1:10" s="428" customFormat="1">
      <c r="A1394" s="449"/>
      <c r="B1394" s="431"/>
      <c r="C1394" s="449"/>
      <c r="F1394" s="431"/>
      <c r="G1394" s="596"/>
      <c r="H1394" s="488"/>
      <c r="J1394" s="449"/>
    </row>
    <row r="1395" spans="1:10" s="428" customFormat="1">
      <c r="A1395" s="449"/>
      <c r="B1395" s="431"/>
      <c r="C1395" s="449"/>
      <c r="F1395" s="431"/>
      <c r="G1395" s="596"/>
      <c r="H1395" s="488"/>
      <c r="J1395" s="449"/>
    </row>
    <row r="1396" spans="1:10" s="428" customFormat="1">
      <c r="A1396" s="449"/>
      <c r="B1396" s="431"/>
      <c r="C1396" s="449"/>
      <c r="F1396" s="431"/>
      <c r="G1396" s="596"/>
      <c r="H1396" s="488"/>
      <c r="J1396" s="449"/>
    </row>
    <row r="1397" spans="1:10" s="428" customFormat="1">
      <c r="A1397" s="449"/>
      <c r="B1397" s="431"/>
      <c r="C1397" s="449"/>
      <c r="F1397" s="431"/>
      <c r="G1397" s="596"/>
      <c r="H1397" s="488"/>
      <c r="J1397" s="449"/>
    </row>
    <row r="1398" spans="1:10" s="428" customFormat="1">
      <c r="A1398" s="449"/>
      <c r="B1398" s="431"/>
      <c r="C1398" s="449"/>
      <c r="F1398" s="431"/>
      <c r="G1398" s="596"/>
      <c r="H1398" s="488"/>
      <c r="J1398" s="449"/>
    </row>
    <row r="1399" spans="1:10" s="428" customFormat="1">
      <c r="A1399" s="449"/>
      <c r="B1399" s="431"/>
      <c r="C1399" s="449"/>
      <c r="F1399" s="431"/>
      <c r="G1399" s="596"/>
      <c r="H1399" s="488"/>
      <c r="J1399" s="449"/>
    </row>
    <row r="1400" spans="1:10" s="428" customFormat="1">
      <c r="A1400" s="449"/>
      <c r="B1400" s="431"/>
      <c r="C1400" s="449"/>
      <c r="F1400" s="431"/>
      <c r="G1400" s="596"/>
      <c r="H1400" s="488"/>
      <c r="J1400" s="449"/>
    </row>
    <row r="1401" spans="1:10" s="428" customFormat="1">
      <c r="A1401" s="449"/>
      <c r="B1401" s="431"/>
      <c r="C1401" s="449"/>
      <c r="F1401" s="431"/>
      <c r="G1401" s="596"/>
      <c r="H1401" s="488"/>
      <c r="J1401" s="449"/>
    </row>
    <row r="1402" spans="1:10" s="428" customFormat="1">
      <c r="A1402" s="449"/>
      <c r="B1402" s="431"/>
      <c r="C1402" s="449"/>
      <c r="F1402" s="431"/>
      <c r="G1402" s="596"/>
      <c r="H1402" s="488"/>
      <c r="J1402" s="449"/>
    </row>
    <row r="1403" spans="1:10" s="428" customFormat="1">
      <c r="A1403" s="449"/>
      <c r="B1403" s="431"/>
      <c r="C1403" s="449"/>
      <c r="F1403" s="431"/>
      <c r="G1403" s="596"/>
      <c r="H1403" s="488"/>
      <c r="J1403" s="449"/>
    </row>
    <row r="1404" spans="1:10" s="428" customFormat="1">
      <c r="A1404" s="449"/>
      <c r="B1404" s="431"/>
      <c r="C1404" s="449"/>
      <c r="F1404" s="431"/>
      <c r="G1404" s="596"/>
      <c r="H1404" s="488"/>
      <c r="J1404" s="449"/>
    </row>
    <row r="1405" spans="1:10" s="428" customFormat="1">
      <c r="A1405" s="449"/>
      <c r="B1405" s="431"/>
      <c r="C1405" s="449"/>
      <c r="F1405" s="431"/>
      <c r="G1405" s="596"/>
      <c r="H1405" s="488"/>
      <c r="J1405" s="449"/>
    </row>
    <row r="1406" spans="1:10" s="428" customFormat="1">
      <c r="A1406" s="449"/>
      <c r="B1406" s="431"/>
      <c r="C1406" s="449"/>
      <c r="F1406" s="431"/>
      <c r="G1406" s="596"/>
      <c r="H1406" s="488"/>
      <c r="J1406" s="449"/>
    </row>
    <row r="1407" spans="1:10" s="428" customFormat="1">
      <c r="A1407" s="449"/>
      <c r="B1407" s="431"/>
      <c r="C1407" s="449"/>
      <c r="F1407" s="431"/>
      <c r="G1407" s="596"/>
      <c r="H1407" s="488"/>
      <c r="J1407" s="449"/>
    </row>
    <row r="1408" spans="1:10" s="428" customFormat="1">
      <c r="A1408" s="449"/>
      <c r="B1408" s="431"/>
      <c r="C1408" s="449"/>
      <c r="F1408" s="431"/>
      <c r="G1408" s="596"/>
      <c r="H1408" s="488"/>
      <c r="J1408" s="449"/>
    </row>
    <row r="1409" spans="1:10" s="428" customFormat="1">
      <c r="A1409" s="449"/>
      <c r="B1409" s="431"/>
      <c r="C1409" s="449"/>
      <c r="F1409" s="431"/>
      <c r="G1409" s="596"/>
      <c r="H1409" s="488"/>
      <c r="J1409" s="449"/>
    </row>
    <row r="1410" spans="1:10" s="428" customFormat="1">
      <c r="A1410" s="449"/>
      <c r="B1410" s="431"/>
      <c r="C1410" s="449"/>
      <c r="F1410" s="431"/>
      <c r="G1410" s="596"/>
      <c r="H1410" s="488"/>
      <c r="J1410" s="449"/>
    </row>
    <row r="1411" spans="1:10" s="428" customFormat="1">
      <c r="A1411" s="449"/>
      <c r="B1411" s="431"/>
      <c r="C1411" s="449"/>
      <c r="F1411" s="431"/>
      <c r="G1411" s="596"/>
      <c r="H1411" s="488"/>
      <c r="J1411" s="449"/>
    </row>
    <row r="1412" spans="1:10" s="428" customFormat="1">
      <c r="A1412" s="449"/>
      <c r="B1412" s="431"/>
      <c r="C1412" s="449"/>
      <c r="F1412" s="431"/>
      <c r="G1412" s="596"/>
      <c r="H1412" s="488"/>
      <c r="J1412" s="449"/>
    </row>
    <row r="1413" spans="1:10" s="428" customFormat="1">
      <c r="A1413" s="449"/>
      <c r="B1413" s="431"/>
      <c r="C1413" s="449"/>
      <c r="F1413" s="431"/>
      <c r="G1413" s="596"/>
      <c r="H1413" s="488"/>
      <c r="J1413" s="449"/>
    </row>
    <row r="1414" spans="1:10" s="428" customFormat="1">
      <c r="A1414" s="449"/>
      <c r="B1414" s="431"/>
      <c r="C1414" s="449"/>
      <c r="F1414" s="431"/>
      <c r="G1414" s="596"/>
      <c r="H1414" s="488"/>
      <c r="J1414" s="449"/>
    </row>
    <row r="1415" spans="1:10" s="428" customFormat="1">
      <c r="A1415" s="449"/>
      <c r="B1415" s="431"/>
      <c r="C1415" s="449"/>
      <c r="F1415" s="431"/>
      <c r="G1415" s="596"/>
      <c r="H1415" s="488"/>
      <c r="J1415" s="449"/>
    </row>
    <row r="1416" spans="1:10" s="428" customFormat="1">
      <c r="A1416" s="449"/>
      <c r="B1416" s="431"/>
      <c r="C1416" s="449"/>
      <c r="F1416" s="431"/>
      <c r="G1416" s="596"/>
      <c r="H1416" s="488"/>
      <c r="J1416" s="449"/>
    </row>
    <row r="1417" spans="1:10" s="428" customFormat="1">
      <c r="A1417" s="449"/>
      <c r="B1417" s="431"/>
      <c r="C1417" s="449"/>
      <c r="F1417" s="431"/>
      <c r="G1417" s="596"/>
      <c r="H1417" s="488"/>
      <c r="J1417" s="449"/>
    </row>
    <row r="1418" spans="1:10" s="428" customFormat="1">
      <c r="A1418" s="449"/>
      <c r="B1418" s="431"/>
      <c r="C1418" s="449"/>
      <c r="F1418" s="431"/>
      <c r="G1418" s="596"/>
      <c r="H1418" s="488"/>
      <c r="J1418" s="449"/>
    </row>
    <row r="1419" spans="1:10" s="428" customFormat="1">
      <c r="A1419" s="449"/>
      <c r="B1419" s="431"/>
      <c r="C1419" s="449"/>
      <c r="F1419" s="431"/>
      <c r="G1419" s="596"/>
      <c r="H1419" s="488"/>
      <c r="J1419" s="449"/>
    </row>
    <row r="1420" spans="1:10" s="428" customFormat="1">
      <c r="A1420" s="449"/>
      <c r="B1420" s="431"/>
      <c r="C1420" s="449"/>
      <c r="F1420" s="431"/>
      <c r="G1420" s="596"/>
      <c r="H1420" s="488"/>
      <c r="J1420" s="449"/>
    </row>
    <row r="1421" spans="1:10" s="428" customFormat="1">
      <c r="A1421" s="449"/>
      <c r="B1421" s="431"/>
      <c r="C1421" s="449"/>
      <c r="F1421" s="431"/>
      <c r="G1421" s="596"/>
      <c r="H1421" s="488"/>
      <c r="J1421" s="449"/>
    </row>
    <row r="1422" spans="1:10" s="428" customFormat="1">
      <c r="A1422" s="449"/>
      <c r="B1422" s="431"/>
      <c r="C1422" s="449"/>
      <c r="F1422" s="431"/>
      <c r="G1422" s="596"/>
      <c r="H1422" s="488"/>
      <c r="J1422" s="449"/>
    </row>
    <row r="1423" spans="1:10" s="428" customFormat="1">
      <c r="A1423" s="449"/>
      <c r="B1423" s="431"/>
      <c r="C1423" s="449"/>
      <c r="F1423" s="431"/>
      <c r="G1423" s="596"/>
      <c r="H1423" s="488"/>
      <c r="J1423" s="449"/>
    </row>
    <row r="1424" spans="1:10" s="428" customFormat="1">
      <c r="A1424" s="449"/>
      <c r="B1424" s="431"/>
      <c r="C1424" s="449"/>
      <c r="F1424" s="431"/>
      <c r="G1424" s="596"/>
      <c r="H1424" s="488"/>
      <c r="J1424" s="449"/>
    </row>
    <row r="1425" spans="1:10" s="428" customFormat="1">
      <c r="A1425" s="449"/>
      <c r="B1425" s="431"/>
      <c r="C1425" s="449"/>
      <c r="F1425" s="431"/>
      <c r="G1425" s="596"/>
      <c r="H1425" s="488"/>
      <c r="J1425" s="449"/>
    </row>
    <row r="1426" spans="1:10" s="428" customFormat="1">
      <c r="A1426" s="449"/>
      <c r="B1426" s="431"/>
      <c r="C1426" s="449"/>
      <c r="F1426" s="431"/>
      <c r="G1426" s="596"/>
      <c r="H1426" s="488"/>
      <c r="J1426" s="449"/>
    </row>
    <row r="1427" spans="1:10" s="428" customFormat="1">
      <c r="A1427" s="449"/>
      <c r="B1427" s="431"/>
      <c r="C1427" s="449"/>
      <c r="F1427" s="431"/>
      <c r="G1427" s="596"/>
      <c r="H1427" s="488"/>
      <c r="J1427" s="449"/>
    </row>
    <row r="1428" spans="1:10" s="428" customFormat="1">
      <c r="A1428" s="449"/>
      <c r="B1428" s="431"/>
      <c r="C1428" s="449"/>
      <c r="F1428" s="431"/>
      <c r="G1428" s="596"/>
      <c r="H1428" s="488"/>
      <c r="J1428" s="449"/>
    </row>
    <row r="1429" spans="1:10" s="428" customFormat="1">
      <c r="A1429" s="449"/>
      <c r="B1429" s="431"/>
      <c r="C1429" s="449"/>
      <c r="F1429" s="431"/>
      <c r="G1429" s="596"/>
      <c r="H1429" s="488"/>
      <c r="J1429" s="449"/>
    </row>
    <row r="1430" spans="1:10" s="428" customFormat="1">
      <c r="A1430" s="449"/>
      <c r="B1430" s="431"/>
      <c r="C1430" s="449"/>
      <c r="F1430" s="431"/>
      <c r="G1430" s="596"/>
      <c r="H1430" s="488"/>
      <c r="J1430" s="449"/>
    </row>
    <row r="1431" spans="1:10" s="428" customFormat="1">
      <c r="A1431" s="449"/>
      <c r="B1431" s="431"/>
      <c r="C1431" s="449"/>
      <c r="F1431" s="431"/>
      <c r="G1431" s="596"/>
      <c r="H1431" s="488"/>
      <c r="J1431" s="449"/>
    </row>
    <row r="1432" spans="1:10" s="428" customFormat="1">
      <c r="A1432" s="449"/>
      <c r="B1432" s="431"/>
      <c r="C1432" s="449"/>
      <c r="F1432" s="431"/>
      <c r="G1432" s="596"/>
      <c r="H1432" s="488"/>
      <c r="J1432" s="449"/>
    </row>
    <row r="1433" spans="1:10" s="428" customFormat="1">
      <c r="A1433" s="449"/>
      <c r="B1433" s="431"/>
      <c r="C1433" s="449"/>
      <c r="F1433" s="431"/>
      <c r="G1433" s="596"/>
      <c r="H1433" s="488"/>
      <c r="J1433" s="449"/>
    </row>
    <row r="1434" spans="1:10" s="428" customFormat="1">
      <c r="A1434" s="449"/>
      <c r="B1434" s="431"/>
      <c r="C1434" s="449"/>
      <c r="F1434" s="431"/>
      <c r="G1434" s="596"/>
      <c r="H1434" s="488"/>
      <c r="J1434" s="449"/>
    </row>
    <row r="1435" spans="1:10" s="428" customFormat="1">
      <c r="A1435" s="449"/>
      <c r="B1435" s="431"/>
      <c r="C1435" s="449"/>
      <c r="F1435" s="431"/>
      <c r="G1435" s="596"/>
      <c r="H1435" s="488"/>
      <c r="J1435" s="449"/>
    </row>
    <row r="1436" spans="1:10" s="428" customFormat="1">
      <c r="A1436" s="449"/>
      <c r="B1436" s="431"/>
      <c r="C1436" s="449"/>
      <c r="F1436" s="431"/>
      <c r="G1436" s="596"/>
      <c r="H1436" s="488"/>
      <c r="J1436" s="449"/>
    </row>
    <row r="1437" spans="1:10" s="428" customFormat="1">
      <c r="A1437" s="449"/>
      <c r="B1437" s="431"/>
      <c r="C1437" s="449"/>
      <c r="F1437" s="431"/>
      <c r="G1437" s="596"/>
      <c r="H1437" s="488"/>
      <c r="J1437" s="449"/>
    </row>
    <row r="1438" spans="1:10" s="428" customFormat="1">
      <c r="A1438" s="449"/>
      <c r="B1438" s="431"/>
      <c r="C1438" s="449"/>
      <c r="F1438" s="431"/>
      <c r="G1438" s="596"/>
      <c r="H1438" s="488"/>
      <c r="J1438" s="449"/>
    </row>
    <row r="1439" spans="1:10" s="428" customFormat="1">
      <c r="A1439" s="449"/>
      <c r="B1439" s="431"/>
      <c r="C1439" s="449"/>
      <c r="F1439" s="431"/>
      <c r="G1439" s="596"/>
      <c r="H1439" s="488"/>
      <c r="J1439" s="449"/>
    </row>
    <row r="1440" spans="1:10" s="428" customFormat="1">
      <c r="A1440" s="449"/>
      <c r="B1440" s="431"/>
      <c r="C1440" s="449"/>
      <c r="F1440" s="431"/>
      <c r="G1440" s="596"/>
      <c r="H1440" s="488"/>
      <c r="J1440" s="449"/>
    </row>
    <row r="1441" spans="1:10" s="428" customFormat="1">
      <c r="A1441" s="449"/>
      <c r="B1441" s="431"/>
      <c r="C1441" s="449"/>
      <c r="F1441" s="431"/>
      <c r="G1441" s="596"/>
      <c r="H1441" s="488"/>
      <c r="J1441" s="449"/>
    </row>
    <row r="1442" spans="1:10" s="428" customFormat="1">
      <c r="A1442" s="449"/>
      <c r="B1442" s="431"/>
      <c r="C1442" s="449"/>
      <c r="F1442" s="431"/>
      <c r="G1442" s="596"/>
      <c r="H1442" s="488"/>
      <c r="J1442" s="449"/>
    </row>
    <row r="1443" spans="1:10" s="428" customFormat="1">
      <c r="A1443" s="449"/>
      <c r="B1443" s="431"/>
      <c r="C1443" s="449"/>
      <c r="F1443" s="431"/>
      <c r="G1443" s="596"/>
      <c r="H1443" s="488"/>
      <c r="J1443" s="449"/>
    </row>
    <row r="1444" spans="1:10" s="428" customFormat="1">
      <c r="A1444" s="449"/>
      <c r="B1444" s="431"/>
      <c r="C1444" s="449"/>
      <c r="F1444" s="431"/>
      <c r="G1444" s="596"/>
      <c r="H1444" s="488"/>
      <c r="J1444" s="449"/>
    </row>
    <row r="1445" spans="1:10" s="428" customFormat="1">
      <c r="A1445" s="449"/>
      <c r="B1445" s="431"/>
      <c r="C1445" s="449"/>
      <c r="F1445" s="431"/>
      <c r="G1445" s="596"/>
      <c r="H1445" s="488"/>
      <c r="J1445" s="449"/>
    </row>
    <row r="1446" spans="1:10" s="428" customFormat="1">
      <c r="A1446" s="449"/>
      <c r="B1446" s="431"/>
      <c r="C1446" s="449"/>
      <c r="F1446" s="431"/>
      <c r="G1446" s="596"/>
      <c r="H1446" s="488"/>
      <c r="J1446" s="449"/>
    </row>
    <row r="1447" spans="1:10" s="428" customFormat="1">
      <c r="A1447" s="449"/>
      <c r="B1447" s="431"/>
      <c r="C1447" s="449"/>
      <c r="F1447" s="431"/>
      <c r="G1447" s="596"/>
      <c r="H1447" s="488"/>
      <c r="J1447" s="449"/>
    </row>
    <row r="1448" spans="1:10" s="428" customFormat="1">
      <c r="A1448" s="449"/>
      <c r="B1448" s="431"/>
      <c r="C1448" s="449"/>
      <c r="F1448" s="431"/>
      <c r="G1448" s="596"/>
      <c r="H1448" s="488"/>
      <c r="J1448" s="449"/>
    </row>
    <row r="1449" spans="1:10" s="428" customFormat="1">
      <c r="A1449" s="449"/>
      <c r="B1449" s="431"/>
      <c r="C1449" s="449"/>
      <c r="F1449" s="431"/>
      <c r="G1449" s="596"/>
      <c r="H1449" s="488"/>
      <c r="J1449" s="449"/>
    </row>
    <row r="1450" spans="1:10" s="428" customFormat="1">
      <c r="A1450" s="449"/>
      <c r="B1450" s="431"/>
      <c r="C1450" s="449"/>
      <c r="F1450" s="431"/>
      <c r="G1450" s="596"/>
      <c r="H1450" s="488"/>
      <c r="J1450" s="449"/>
    </row>
    <row r="1451" spans="1:10" s="428" customFormat="1">
      <c r="A1451" s="449"/>
      <c r="B1451" s="431"/>
      <c r="C1451" s="449"/>
      <c r="F1451" s="431"/>
      <c r="G1451" s="596"/>
      <c r="H1451" s="488"/>
      <c r="J1451" s="449"/>
    </row>
    <row r="1452" spans="1:10" s="428" customFormat="1">
      <c r="A1452" s="449"/>
      <c r="B1452" s="431"/>
      <c r="C1452" s="449"/>
      <c r="F1452" s="431"/>
      <c r="G1452" s="596"/>
      <c r="H1452" s="488"/>
      <c r="J1452" s="449"/>
    </row>
    <row r="1453" spans="1:10" s="428" customFormat="1">
      <c r="A1453" s="449"/>
      <c r="B1453" s="431"/>
      <c r="C1453" s="449"/>
      <c r="F1453" s="431"/>
      <c r="G1453" s="596"/>
      <c r="H1453" s="488"/>
      <c r="J1453" s="449"/>
    </row>
    <row r="1454" spans="1:10" s="428" customFormat="1">
      <c r="A1454" s="449"/>
      <c r="B1454" s="431"/>
      <c r="C1454" s="449"/>
      <c r="F1454" s="431"/>
      <c r="G1454" s="596"/>
      <c r="H1454" s="488"/>
      <c r="J1454" s="449"/>
    </row>
    <row r="1455" spans="1:10" s="428" customFormat="1">
      <c r="A1455" s="449"/>
      <c r="B1455" s="431"/>
      <c r="C1455" s="449"/>
      <c r="F1455" s="431"/>
      <c r="G1455" s="596"/>
      <c r="H1455" s="488"/>
      <c r="J1455" s="449"/>
    </row>
    <row r="1456" spans="1:10" s="428" customFormat="1">
      <c r="A1456" s="449"/>
      <c r="B1456" s="431"/>
      <c r="C1456" s="449"/>
      <c r="F1456" s="431"/>
      <c r="G1456" s="596"/>
      <c r="H1456" s="488"/>
      <c r="J1456" s="449"/>
    </row>
    <row r="1457" spans="1:10" s="428" customFormat="1">
      <c r="A1457" s="449"/>
      <c r="B1457" s="431"/>
      <c r="C1457" s="449"/>
      <c r="F1457" s="431"/>
      <c r="G1457" s="596"/>
      <c r="H1457" s="488"/>
      <c r="J1457" s="449"/>
    </row>
    <row r="1458" spans="1:10" s="428" customFormat="1">
      <c r="A1458" s="449"/>
      <c r="B1458" s="431"/>
      <c r="C1458" s="449"/>
      <c r="F1458" s="431"/>
      <c r="G1458" s="596"/>
      <c r="H1458" s="488"/>
      <c r="J1458" s="449"/>
    </row>
    <row r="1459" spans="1:10" s="428" customFormat="1">
      <c r="A1459" s="449"/>
      <c r="B1459" s="431"/>
      <c r="C1459" s="449"/>
      <c r="F1459" s="431"/>
      <c r="G1459" s="596"/>
      <c r="H1459" s="488"/>
      <c r="J1459" s="449"/>
    </row>
    <row r="1460" spans="1:10" s="428" customFormat="1">
      <c r="A1460" s="449"/>
      <c r="B1460" s="431"/>
      <c r="C1460" s="449"/>
      <c r="F1460" s="431"/>
      <c r="G1460" s="596"/>
      <c r="H1460" s="488"/>
      <c r="J1460" s="449"/>
    </row>
    <row r="1461" spans="1:10" s="428" customFormat="1">
      <c r="A1461" s="449"/>
      <c r="B1461" s="431"/>
      <c r="C1461" s="449"/>
      <c r="F1461" s="431"/>
      <c r="G1461" s="596"/>
      <c r="H1461" s="488"/>
      <c r="J1461" s="449"/>
    </row>
    <row r="1462" spans="1:10" s="428" customFormat="1">
      <c r="A1462" s="449"/>
      <c r="B1462" s="431"/>
      <c r="C1462" s="449"/>
      <c r="F1462" s="431"/>
      <c r="G1462" s="596"/>
      <c r="H1462" s="488"/>
      <c r="J1462" s="449"/>
    </row>
    <row r="1463" spans="1:10" s="428" customFormat="1">
      <c r="A1463" s="449"/>
      <c r="B1463" s="431"/>
      <c r="C1463" s="449"/>
      <c r="F1463" s="431"/>
      <c r="G1463" s="596"/>
      <c r="H1463" s="488"/>
      <c r="J1463" s="449"/>
    </row>
    <row r="1464" spans="1:10" s="428" customFormat="1">
      <c r="A1464" s="449"/>
      <c r="B1464" s="431"/>
      <c r="C1464" s="449"/>
      <c r="F1464" s="431"/>
      <c r="G1464" s="596"/>
      <c r="H1464" s="488"/>
      <c r="J1464" s="449"/>
    </row>
    <row r="1465" spans="1:10" s="428" customFormat="1">
      <c r="A1465" s="449"/>
      <c r="B1465" s="431"/>
      <c r="C1465" s="449"/>
      <c r="F1465" s="431"/>
      <c r="G1465" s="596"/>
      <c r="H1465" s="488"/>
      <c r="J1465" s="449"/>
    </row>
    <row r="1466" spans="1:10" s="428" customFormat="1">
      <c r="A1466" s="449"/>
      <c r="B1466" s="431"/>
      <c r="C1466" s="449"/>
      <c r="F1466" s="431"/>
      <c r="G1466" s="596"/>
      <c r="H1466" s="488"/>
      <c r="J1466" s="449"/>
    </row>
    <row r="1467" spans="1:10" s="428" customFormat="1">
      <c r="A1467" s="449"/>
      <c r="B1467" s="431"/>
      <c r="C1467" s="449"/>
      <c r="F1467" s="431"/>
      <c r="G1467" s="596"/>
      <c r="H1467" s="488"/>
      <c r="J1467" s="449"/>
    </row>
    <row r="1468" spans="1:10" s="428" customFormat="1">
      <c r="A1468" s="449"/>
      <c r="B1468" s="431"/>
      <c r="C1468" s="449"/>
      <c r="F1468" s="431"/>
      <c r="G1468" s="596"/>
      <c r="H1468" s="488"/>
      <c r="J1468" s="449"/>
    </row>
    <row r="1469" spans="1:10" s="428" customFormat="1">
      <c r="A1469" s="449"/>
      <c r="B1469" s="431"/>
      <c r="C1469" s="449"/>
      <c r="F1469" s="431"/>
      <c r="G1469" s="596"/>
      <c r="H1469" s="488"/>
      <c r="J1469" s="449"/>
    </row>
    <row r="1470" spans="1:10" s="428" customFormat="1">
      <c r="A1470" s="449"/>
      <c r="B1470" s="431"/>
      <c r="C1470" s="449"/>
      <c r="F1470" s="431"/>
      <c r="G1470" s="596"/>
      <c r="H1470" s="488"/>
      <c r="J1470" s="449"/>
    </row>
    <row r="1471" spans="1:10" s="428" customFormat="1">
      <c r="A1471" s="449"/>
      <c r="B1471" s="431"/>
      <c r="C1471" s="449"/>
      <c r="F1471" s="431"/>
      <c r="G1471" s="596"/>
      <c r="H1471" s="488"/>
      <c r="J1471" s="449"/>
    </row>
    <row r="1472" spans="1:10" s="428" customFormat="1">
      <c r="A1472" s="449"/>
      <c r="B1472" s="431"/>
      <c r="C1472" s="449"/>
      <c r="F1472" s="431"/>
      <c r="G1472" s="596"/>
      <c r="H1472" s="488"/>
      <c r="J1472" s="449"/>
    </row>
    <row r="1473" spans="1:10" s="428" customFormat="1">
      <c r="A1473" s="449"/>
      <c r="B1473" s="431"/>
      <c r="C1473" s="449"/>
      <c r="F1473" s="431"/>
      <c r="G1473" s="596"/>
      <c r="H1473" s="488"/>
      <c r="J1473" s="449"/>
    </row>
    <row r="1474" spans="1:10" s="428" customFormat="1">
      <c r="A1474" s="449"/>
      <c r="B1474" s="431"/>
      <c r="C1474" s="449"/>
      <c r="F1474" s="431"/>
      <c r="G1474" s="596"/>
      <c r="H1474" s="488"/>
      <c r="J1474" s="449"/>
    </row>
    <row r="1475" spans="1:10" s="428" customFormat="1">
      <c r="A1475" s="449"/>
      <c r="B1475" s="431"/>
      <c r="C1475" s="449"/>
      <c r="F1475" s="431"/>
      <c r="G1475" s="596"/>
      <c r="H1475" s="488"/>
      <c r="J1475" s="449"/>
    </row>
    <row r="1476" spans="1:10" s="428" customFormat="1">
      <c r="A1476" s="449"/>
      <c r="B1476" s="431"/>
      <c r="C1476" s="449"/>
      <c r="F1476" s="431"/>
      <c r="G1476" s="596"/>
      <c r="H1476" s="488"/>
      <c r="J1476" s="449"/>
    </row>
    <row r="1477" spans="1:10" s="428" customFormat="1">
      <c r="A1477" s="449"/>
      <c r="B1477" s="431"/>
      <c r="C1477" s="449"/>
      <c r="F1477" s="431"/>
      <c r="G1477" s="596"/>
      <c r="H1477" s="488"/>
      <c r="J1477" s="449"/>
    </row>
    <row r="1478" spans="1:10" s="428" customFormat="1">
      <c r="A1478" s="449"/>
      <c r="B1478" s="431"/>
      <c r="C1478" s="449"/>
      <c r="F1478" s="431"/>
      <c r="G1478" s="596"/>
      <c r="H1478" s="488"/>
      <c r="J1478" s="449"/>
    </row>
    <row r="1479" spans="1:10" s="428" customFormat="1">
      <c r="A1479" s="449"/>
      <c r="B1479" s="431"/>
      <c r="C1479" s="449"/>
      <c r="F1479" s="431"/>
      <c r="G1479" s="596"/>
      <c r="H1479" s="488"/>
      <c r="J1479" s="449"/>
    </row>
    <row r="1480" spans="1:10" s="428" customFormat="1">
      <c r="A1480" s="449"/>
      <c r="B1480" s="431"/>
      <c r="C1480" s="449"/>
      <c r="F1480" s="431"/>
      <c r="G1480" s="596"/>
      <c r="H1480" s="488"/>
      <c r="J1480" s="449"/>
    </row>
    <row r="1481" spans="1:10" s="428" customFormat="1">
      <c r="A1481" s="449"/>
      <c r="B1481" s="431"/>
      <c r="C1481" s="449"/>
      <c r="F1481" s="431"/>
      <c r="G1481" s="596"/>
      <c r="H1481" s="488"/>
      <c r="J1481" s="449"/>
    </row>
    <row r="1482" spans="1:10" s="428" customFormat="1">
      <c r="A1482" s="449"/>
      <c r="B1482" s="431"/>
      <c r="C1482" s="449"/>
      <c r="F1482" s="431"/>
      <c r="G1482" s="596"/>
      <c r="H1482" s="488"/>
      <c r="J1482" s="449"/>
    </row>
    <row r="1483" spans="1:10" s="428" customFormat="1">
      <c r="A1483" s="449"/>
      <c r="B1483" s="431"/>
      <c r="C1483" s="449"/>
      <c r="F1483" s="431"/>
      <c r="G1483" s="596"/>
      <c r="H1483" s="488"/>
      <c r="J1483" s="449"/>
    </row>
    <row r="1484" spans="1:10" s="428" customFormat="1">
      <c r="A1484" s="449"/>
      <c r="B1484" s="431"/>
      <c r="C1484" s="449"/>
      <c r="F1484" s="431"/>
      <c r="G1484" s="596"/>
      <c r="H1484" s="488"/>
      <c r="J1484" s="449"/>
    </row>
    <row r="1485" spans="1:10" s="428" customFormat="1">
      <c r="A1485" s="449"/>
      <c r="B1485" s="431"/>
      <c r="C1485" s="449"/>
      <c r="F1485" s="431"/>
      <c r="G1485" s="596"/>
      <c r="H1485" s="488"/>
      <c r="J1485" s="449"/>
    </row>
    <row r="1486" spans="1:10" s="428" customFormat="1">
      <c r="A1486" s="449"/>
      <c r="B1486" s="431"/>
      <c r="C1486" s="449"/>
      <c r="F1486" s="431"/>
      <c r="G1486" s="596"/>
      <c r="H1486" s="488"/>
      <c r="J1486" s="449"/>
    </row>
    <row r="1487" spans="1:10" s="428" customFormat="1">
      <c r="A1487" s="449"/>
      <c r="B1487" s="431"/>
      <c r="C1487" s="449"/>
      <c r="F1487" s="431"/>
      <c r="G1487" s="596"/>
      <c r="H1487" s="488"/>
      <c r="J1487" s="449"/>
    </row>
    <row r="1488" spans="1:10" s="428" customFormat="1">
      <c r="A1488" s="449"/>
      <c r="B1488" s="431"/>
      <c r="C1488" s="449"/>
      <c r="F1488" s="431"/>
      <c r="G1488" s="596"/>
      <c r="H1488" s="488"/>
      <c r="J1488" s="449"/>
    </row>
    <row r="1489" spans="1:10" s="428" customFormat="1">
      <c r="A1489" s="449"/>
      <c r="B1489" s="431"/>
      <c r="C1489" s="449"/>
      <c r="F1489" s="431"/>
      <c r="G1489" s="596"/>
      <c r="H1489" s="488"/>
      <c r="J1489" s="449"/>
    </row>
    <row r="1490" spans="1:10" s="428" customFormat="1">
      <c r="A1490" s="449"/>
      <c r="B1490" s="431"/>
      <c r="C1490" s="449"/>
      <c r="F1490" s="431"/>
      <c r="G1490" s="596"/>
      <c r="H1490" s="488"/>
      <c r="J1490" s="449"/>
    </row>
    <row r="1491" spans="1:10" s="428" customFormat="1">
      <c r="A1491" s="449"/>
      <c r="B1491" s="431"/>
      <c r="C1491" s="449"/>
      <c r="F1491" s="431"/>
      <c r="G1491" s="596"/>
      <c r="H1491" s="488"/>
      <c r="J1491" s="449"/>
    </row>
    <row r="1492" spans="1:10" s="428" customFormat="1">
      <c r="A1492" s="449"/>
      <c r="B1492" s="431"/>
      <c r="C1492" s="449"/>
      <c r="F1492" s="431"/>
      <c r="G1492" s="596"/>
      <c r="H1492" s="488"/>
      <c r="J1492" s="449"/>
    </row>
    <row r="1493" spans="1:10" s="428" customFormat="1">
      <c r="A1493" s="449"/>
      <c r="B1493" s="431"/>
      <c r="C1493" s="449"/>
      <c r="F1493" s="431"/>
      <c r="G1493" s="596"/>
      <c r="H1493" s="488"/>
      <c r="J1493" s="449"/>
    </row>
    <row r="1494" spans="1:10" s="428" customFormat="1">
      <c r="A1494" s="449"/>
      <c r="B1494" s="431"/>
      <c r="C1494" s="449"/>
      <c r="F1494" s="431"/>
      <c r="G1494" s="596"/>
      <c r="H1494" s="488"/>
      <c r="J1494" s="449"/>
    </row>
    <row r="1495" spans="1:10" s="428" customFormat="1">
      <c r="A1495" s="449"/>
      <c r="B1495" s="431"/>
      <c r="C1495" s="449"/>
      <c r="F1495" s="431"/>
      <c r="G1495" s="596"/>
      <c r="H1495" s="488"/>
      <c r="J1495" s="449"/>
    </row>
    <row r="1496" spans="1:10" s="428" customFormat="1">
      <c r="A1496" s="449"/>
      <c r="B1496" s="431"/>
      <c r="C1496" s="449"/>
      <c r="F1496" s="431"/>
      <c r="G1496" s="596"/>
      <c r="H1496" s="488"/>
      <c r="J1496" s="449"/>
    </row>
    <row r="1497" spans="1:10" s="428" customFormat="1">
      <c r="A1497" s="449"/>
      <c r="B1497" s="431"/>
      <c r="C1497" s="449"/>
      <c r="F1497" s="431"/>
      <c r="G1497" s="596"/>
      <c r="H1497" s="488"/>
      <c r="J1497" s="449"/>
    </row>
    <row r="1498" spans="1:10" s="428" customFormat="1">
      <c r="A1498" s="449"/>
      <c r="B1498" s="431"/>
      <c r="C1498" s="449"/>
      <c r="F1498" s="431"/>
      <c r="G1498" s="596"/>
      <c r="H1498" s="488"/>
      <c r="J1498" s="449"/>
    </row>
    <row r="1499" spans="1:10" s="428" customFormat="1">
      <c r="A1499" s="449"/>
      <c r="B1499" s="431"/>
      <c r="C1499" s="449"/>
      <c r="F1499" s="431"/>
      <c r="G1499" s="596"/>
      <c r="H1499" s="488"/>
      <c r="J1499" s="449"/>
    </row>
    <row r="1500" spans="1:10" s="428" customFormat="1">
      <c r="A1500" s="449"/>
      <c r="B1500" s="431"/>
      <c r="C1500" s="449"/>
      <c r="F1500" s="431"/>
      <c r="G1500" s="596"/>
      <c r="H1500" s="488"/>
      <c r="J1500" s="449"/>
    </row>
    <row r="1501" spans="1:10" s="428" customFormat="1">
      <c r="A1501" s="449"/>
      <c r="B1501" s="431"/>
      <c r="C1501" s="449"/>
      <c r="F1501" s="431"/>
      <c r="G1501" s="596"/>
      <c r="H1501" s="488"/>
      <c r="J1501" s="449"/>
    </row>
    <row r="1502" spans="1:10" s="428" customFormat="1">
      <c r="A1502" s="449"/>
      <c r="B1502" s="431"/>
      <c r="C1502" s="449"/>
      <c r="F1502" s="431"/>
      <c r="G1502" s="596"/>
      <c r="H1502" s="488"/>
      <c r="J1502" s="449"/>
    </row>
    <row r="1503" spans="1:10" s="428" customFormat="1">
      <c r="A1503" s="449"/>
      <c r="B1503" s="431"/>
      <c r="C1503" s="449"/>
      <c r="F1503" s="431"/>
      <c r="G1503" s="596"/>
      <c r="H1503" s="488"/>
      <c r="J1503" s="449"/>
    </row>
    <row r="1504" spans="1:10" s="428" customFormat="1">
      <c r="A1504" s="449"/>
      <c r="B1504" s="431"/>
      <c r="C1504" s="449"/>
      <c r="F1504" s="431"/>
      <c r="G1504" s="596"/>
      <c r="H1504" s="488"/>
      <c r="J1504" s="449"/>
    </row>
    <row r="1505" spans="1:10" s="428" customFormat="1">
      <c r="A1505" s="449"/>
      <c r="B1505" s="431"/>
      <c r="C1505" s="449"/>
      <c r="F1505" s="431"/>
      <c r="G1505" s="596"/>
      <c r="H1505" s="488"/>
      <c r="J1505" s="449"/>
    </row>
    <row r="1506" spans="1:10" s="428" customFormat="1">
      <c r="A1506" s="449"/>
      <c r="B1506" s="431"/>
      <c r="C1506" s="449"/>
      <c r="F1506" s="431"/>
      <c r="G1506" s="596"/>
      <c r="H1506" s="488"/>
      <c r="J1506" s="449"/>
    </row>
    <row r="1507" spans="1:10" s="428" customFormat="1">
      <c r="A1507" s="449"/>
      <c r="B1507" s="431"/>
      <c r="C1507" s="449"/>
      <c r="F1507" s="431"/>
      <c r="G1507" s="596"/>
      <c r="H1507" s="488"/>
      <c r="J1507" s="449"/>
    </row>
    <row r="1508" spans="1:10" s="428" customFormat="1">
      <c r="A1508" s="449"/>
      <c r="B1508" s="431"/>
      <c r="C1508" s="449"/>
      <c r="F1508" s="431"/>
      <c r="G1508" s="596"/>
      <c r="H1508" s="488"/>
      <c r="J1508" s="449"/>
    </row>
    <row r="1509" spans="1:10" s="428" customFormat="1">
      <c r="A1509" s="449"/>
      <c r="B1509" s="431"/>
      <c r="C1509" s="449"/>
      <c r="F1509" s="431"/>
      <c r="G1509" s="596"/>
      <c r="H1509" s="488"/>
      <c r="J1509" s="449"/>
    </row>
    <row r="1510" spans="1:10" s="428" customFormat="1">
      <c r="A1510" s="449"/>
      <c r="B1510" s="431"/>
      <c r="C1510" s="449"/>
      <c r="F1510" s="431"/>
      <c r="G1510" s="596"/>
      <c r="H1510" s="488"/>
      <c r="J1510" s="449"/>
    </row>
    <row r="1511" spans="1:10" s="428" customFormat="1">
      <c r="A1511" s="449"/>
      <c r="B1511" s="431"/>
      <c r="C1511" s="449"/>
      <c r="F1511" s="431"/>
      <c r="G1511" s="596"/>
      <c r="H1511" s="488"/>
      <c r="J1511" s="449"/>
    </row>
    <row r="1512" spans="1:10" s="428" customFormat="1">
      <c r="A1512" s="449"/>
      <c r="B1512" s="431"/>
      <c r="C1512" s="449"/>
      <c r="F1512" s="431"/>
      <c r="G1512" s="596"/>
      <c r="H1512" s="488"/>
      <c r="J1512" s="449"/>
    </row>
    <row r="1513" spans="1:10" s="428" customFormat="1">
      <c r="A1513" s="449"/>
      <c r="B1513" s="431"/>
      <c r="C1513" s="449"/>
      <c r="F1513" s="431"/>
      <c r="G1513" s="596"/>
      <c r="H1513" s="488"/>
      <c r="J1513" s="449"/>
    </row>
    <row r="1514" spans="1:10" s="428" customFormat="1">
      <c r="A1514" s="449"/>
      <c r="B1514" s="431"/>
      <c r="C1514" s="449"/>
      <c r="F1514" s="431"/>
      <c r="G1514" s="596"/>
      <c r="H1514" s="488"/>
      <c r="J1514" s="449"/>
    </row>
    <row r="1515" spans="1:10" s="428" customFormat="1">
      <c r="A1515" s="449"/>
      <c r="B1515" s="431"/>
      <c r="C1515" s="449"/>
      <c r="F1515" s="431"/>
      <c r="G1515" s="596"/>
      <c r="H1515" s="488"/>
      <c r="J1515" s="449"/>
    </row>
    <row r="1516" spans="1:10" s="428" customFormat="1">
      <c r="A1516" s="449"/>
      <c r="B1516" s="431"/>
      <c r="C1516" s="449"/>
      <c r="F1516" s="431"/>
      <c r="G1516" s="596"/>
      <c r="H1516" s="488"/>
      <c r="J1516" s="449"/>
    </row>
    <row r="1517" spans="1:10" s="428" customFormat="1">
      <c r="A1517" s="449"/>
      <c r="B1517" s="431"/>
      <c r="C1517" s="449"/>
      <c r="F1517" s="431"/>
      <c r="G1517" s="596"/>
      <c r="H1517" s="488"/>
      <c r="J1517" s="449"/>
    </row>
    <row r="1518" spans="1:10" s="428" customFormat="1">
      <c r="A1518" s="449"/>
      <c r="B1518" s="431"/>
      <c r="C1518" s="449"/>
      <c r="F1518" s="431"/>
      <c r="G1518" s="596"/>
      <c r="H1518" s="488"/>
      <c r="J1518" s="449"/>
    </row>
    <row r="1519" spans="1:10" s="428" customFormat="1">
      <c r="A1519" s="449"/>
      <c r="B1519" s="431"/>
      <c r="C1519" s="449"/>
      <c r="F1519" s="431"/>
      <c r="G1519" s="596"/>
      <c r="H1519" s="488"/>
      <c r="J1519" s="449"/>
    </row>
    <row r="1520" spans="1:10" s="428" customFormat="1">
      <c r="A1520" s="449"/>
      <c r="B1520" s="431"/>
      <c r="C1520" s="449"/>
      <c r="F1520" s="431"/>
      <c r="G1520" s="596"/>
      <c r="H1520" s="488"/>
      <c r="J1520" s="449"/>
    </row>
    <row r="1521" spans="1:10" s="428" customFormat="1">
      <c r="A1521" s="449"/>
      <c r="B1521" s="431"/>
      <c r="C1521" s="449"/>
      <c r="F1521" s="431"/>
      <c r="G1521" s="596"/>
      <c r="H1521" s="488"/>
      <c r="J1521" s="449"/>
    </row>
    <row r="1522" spans="1:10" s="428" customFormat="1">
      <c r="A1522" s="449"/>
      <c r="B1522" s="431"/>
      <c r="C1522" s="449"/>
      <c r="F1522" s="431"/>
      <c r="G1522" s="596"/>
      <c r="H1522" s="488"/>
      <c r="J1522" s="449"/>
    </row>
    <row r="1523" spans="1:10" s="428" customFormat="1">
      <c r="A1523" s="449"/>
      <c r="B1523" s="431"/>
      <c r="C1523" s="449"/>
      <c r="F1523" s="431"/>
      <c r="G1523" s="596"/>
      <c r="H1523" s="488"/>
      <c r="J1523" s="449"/>
    </row>
    <row r="1524" spans="1:10" s="428" customFormat="1">
      <c r="A1524" s="449"/>
      <c r="B1524" s="431"/>
      <c r="C1524" s="449"/>
      <c r="F1524" s="431"/>
      <c r="G1524" s="596"/>
      <c r="H1524" s="488"/>
      <c r="J1524" s="449"/>
    </row>
    <row r="1525" spans="1:10" s="428" customFormat="1">
      <c r="A1525" s="449"/>
      <c r="B1525" s="431"/>
      <c r="C1525" s="449"/>
      <c r="F1525" s="431"/>
      <c r="G1525" s="596"/>
      <c r="H1525" s="488"/>
      <c r="J1525" s="449"/>
    </row>
    <row r="1526" spans="1:10" s="428" customFormat="1">
      <c r="A1526" s="449"/>
      <c r="B1526" s="431"/>
      <c r="C1526" s="449"/>
      <c r="F1526" s="431"/>
      <c r="G1526" s="596"/>
      <c r="H1526" s="488"/>
      <c r="J1526" s="449"/>
    </row>
    <row r="1527" spans="1:10" s="428" customFormat="1">
      <c r="A1527" s="449"/>
      <c r="B1527" s="431"/>
      <c r="C1527" s="449"/>
      <c r="F1527" s="431"/>
      <c r="G1527" s="596"/>
      <c r="H1527" s="488"/>
      <c r="J1527" s="449"/>
    </row>
    <row r="1528" spans="1:10" s="428" customFormat="1">
      <c r="A1528" s="449"/>
      <c r="B1528" s="431"/>
      <c r="C1528" s="449"/>
      <c r="F1528" s="431"/>
      <c r="G1528" s="596"/>
      <c r="H1528" s="488"/>
      <c r="J1528" s="449"/>
    </row>
    <row r="1529" spans="1:10" s="428" customFormat="1">
      <c r="A1529" s="449"/>
      <c r="B1529" s="431"/>
      <c r="C1529" s="449"/>
      <c r="F1529" s="431"/>
      <c r="G1529" s="596"/>
      <c r="H1529" s="488"/>
      <c r="J1529" s="449"/>
    </row>
    <row r="1530" spans="1:10" s="428" customFormat="1">
      <c r="A1530" s="449"/>
      <c r="B1530" s="431"/>
      <c r="C1530" s="449"/>
      <c r="F1530" s="431"/>
      <c r="G1530" s="596"/>
      <c r="H1530" s="488"/>
      <c r="J1530" s="449"/>
    </row>
    <row r="1531" spans="1:10" s="428" customFormat="1">
      <c r="A1531" s="449"/>
      <c r="B1531" s="431"/>
      <c r="C1531" s="449"/>
      <c r="F1531" s="431"/>
      <c r="G1531" s="596"/>
      <c r="H1531" s="488"/>
      <c r="J1531" s="449"/>
    </row>
    <row r="1532" spans="1:10" s="428" customFormat="1">
      <c r="A1532" s="449"/>
      <c r="B1532" s="431"/>
      <c r="C1532" s="449"/>
      <c r="F1532" s="431"/>
      <c r="G1532" s="596"/>
      <c r="H1532" s="488"/>
      <c r="J1532" s="449"/>
    </row>
    <row r="1533" spans="1:10" s="428" customFormat="1">
      <c r="A1533" s="449"/>
      <c r="B1533" s="431"/>
      <c r="C1533" s="449"/>
      <c r="F1533" s="431"/>
      <c r="G1533" s="596"/>
      <c r="H1533" s="488"/>
      <c r="J1533" s="449"/>
    </row>
    <row r="1534" spans="1:10" s="428" customFormat="1">
      <c r="A1534" s="449"/>
      <c r="B1534" s="431"/>
      <c r="C1534" s="449"/>
      <c r="F1534" s="431"/>
      <c r="G1534" s="596"/>
      <c r="H1534" s="488"/>
      <c r="J1534" s="449"/>
    </row>
    <row r="1535" spans="1:10" s="428" customFormat="1">
      <c r="A1535" s="449"/>
      <c r="B1535" s="431"/>
      <c r="C1535" s="449"/>
      <c r="F1535" s="431"/>
      <c r="G1535" s="596"/>
      <c r="H1535" s="488"/>
      <c r="J1535" s="449"/>
    </row>
    <row r="1536" spans="1:10" s="428" customFormat="1">
      <c r="A1536" s="449"/>
      <c r="B1536" s="431"/>
      <c r="C1536" s="449"/>
      <c r="F1536" s="431"/>
      <c r="G1536" s="596"/>
      <c r="H1536" s="488"/>
      <c r="J1536" s="449"/>
    </row>
    <row r="1537" spans="1:10" s="428" customFormat="1">
      <c r="A1537" s="449"/>
      <c r="B1537" s="431"/>
      <c r="C1537" s="449"/>
      <c r="F1537" s="431"/>
      <c r="G1537" s="596"/>
      <c r="H1537" s="488"/>
      <c r="J1537" s="449"/>
    </row>
    <row r="1538" spans="1:10" s="428" customFormat="1">
      <c r="A1538" s="449"/>
      <c r="B1538" s="431"/>
      <c r="C1538" s="449"/>
      <c r="F1538" s="431"/>
      <c r="G1538" s="596"/>
      <c r="H1538" s="488"/>
      <c r="J1538" s="449"/>
    </row>
    <row r="1539" spans="1:10" s="428" customFormat="1">
      <c r="A1539" s="449"/>
      <c r="B1539" s="431"/>
      <c r="C1539" s="449"/>
      <c r="F1539" s="431"/>
      <c r="G1539" s="596"/>
      <c r="H1539" s="488"/>
      <c r="J1539" s="449"/>
    </row>
    <row r="1540" spans="1:10" s="428" customFormat="1">
      <c r="A1540" s="449"/>
      <c r="B1540" s="431"/>
      <c r="C1540" s="449"/>
      <c r="F1540" s="431"/>
      <c r="G1540" s="596"/>
      <c r="H1540" s="488"/>
      <c r="J1540" s="449"/>
    </row>
    <row r="1541" spans="1:10" s="428" customFormat="1">
      <c r="A1541" s="449"/>
      <c r="B1541" s="431"/>
      <c r="C1541" s="449"/>
      <c r="F1541" s="431"/>
      <c r="G1541" s="596"/>
      <c r="H1541" s="488"/>
      <c r="J1541" s="449"/>
    </row>
    <row r="1542" spans="1:10" s="428" customFormat="1">
      <c r="A1542" s="449"/>
      <c r="B1542" s="431"/>
      <c r="C1542" s="449"/>
      <c r="F1542" s="431"/>
      <c r="G1542" s="596"/>
      <c r="H1542" s="488"/>
      <c r="J1542" s="449"/>
    </row>
    <row r="1543" spans="1:10" s="428" customFormat="1">
      <c r="A1543" s="449"/>
      <c r="B1543" s="431"/>
      <c r="C1543" s="449"/>
      <c r="F1543" s="431"/>
      <c r="G1543" s="596"/>
      <c r="H1543" s="488"/>
      <c r="J1543" s="449"/>
    </row>
    <row r="1544" spans="1:10" s="428" customFormat="1">
      <c r="A1544" s="449"/>
      <c r="B1544" s="431"/>
      <c r="C1544" s="449"/>
      <c r="F1544" s="431"/>
      <c r="G1544" s="596"/>
      <c r="H1544" s="488"/>
      <c r="J1544" s="449"/>
    </row>
    <row r="1545" spans="1:10" s="428" customFormat="1">
      <c r="A1545" s="449"/>
      <c r="B1545" s="431"/>
      <c r="C1545" s="449"/>
      <c r="F1545" s="431"/>
      <c r="G1545" s="596"/>
      <c r="H1545" s="488"/>
      <c r="J1545" s="449"/>
    </row>
    <row r="1546" spans="1:10" s="428" customFormat="1">
      <c r="A1546" s="449"/>
      <c r="B1546" s="431"/>
      <c r="C1546" s="449"/>
      <c r="F1546" s="431"/>
      <c r="G1546" s="596"/>
      <c r="H1546" s="488"/>
      <c r="J1546" s="449"/>
    </row>
    <row r="1547" spans="1:10" s="428" customFormat="1">
      <c r="A1547" s="449"/>
      <c r="B1547" s="431"/>
      <c r="C1547" s="449"/>
      <c r="F1547" s="431"/>
      <c r="G1547" s="596"/>
      <c r="H1547" s="488"/>
      <c r="J1547" s="449"/>
    </row>
    <row r="1548" spans="1:10" s="428" customFormat="1">
      <c r="A1548" s="449"/>
      <c r="B1548" s="431"/>
      <c r="C1548" s="449"/>
      <c r="F1548" s="431"/>
      <c r="G1548" s="596"/>
      <c r="H1548" s="488"/>
      <c r="J1548" s="449"/>
    </row>
    <row r="1549" spans="1:10" s="428" customFormat="1">
      <c r="A1549" s="449"/>
      <c r="B1549" s="431"/>
      <c r="C1549" s="449"/>
      <c r="F1549" s="431"/>
      <c r="G1549" s="596"/>
      <c r="H1549" s="488"/>
      <c r="J1549" s="449"/>
    </row>
    <row r="1550" spans="1:10" s="428" customFormat="1">
      <c r="A1550" s="449"/>
      <c r="B1550" s="431"/>
      <c r="C1550" s="449"/>
      <c r="F1550" s="431"/>
      <c r="G1550" s="596"/>
      <c r="H1550" s="488"/>
      <c r="J1550" s="449"/>
    </row>
    <row r="1551" spans="1:10" s="428" customFormat="1">
      <c r="A1551" s="449"/>
      <c r="B1551" s="431"/>
      <c r="C1551" s="449"/>
      <c r="F1551" s="431"/>
      <c r="G1551" s="596"/>
      <c r="H1551" s="488"/>
      <c r="J1551" s="449"/>
    </row>
    <row r="1552" spans="1:10" s="428" customFormat="1">
      <c r="A1552" s="449"/>
      <c r="B1552" s="431"/>
      <c r="C1552" s="449"/>
      <c r="F1552" s="431"/>
      <c r="G1552" s="596"/>
      <c r="H1552" s="488"/>
      <c r="J1552" s="449"/>
    </row>
    <row r="1553" spans="1:10" s="428" customFormat="1">
      <c r="A1553" s="449"/>
      <c r="B1553" s="431"/>
      <c r="C1553" s="449"/>
      <c r="F1553" s="431"/>
      <c r="G1553" s="596"/>
      <c r="H1553" s="488"/>
      <c r="J1553" s="449"/>
    </row>
    <row r="1554" spans="1:10" s="428" customFormat="1">
      <c r="A1554" s="449"/>
      <c r="B1554" s="431"/>
      <c r="C1554" s="449"/>
      <c r="F1554" s="431"/>
      <c r="G1554" s="596"/>
      <c r="H1554" s="488"/>
      <c r="J1554" s="449"/>
    </row>
    <row r="1555" spans="1:10" s="428" customFormat="1">
      <c r="A1555" s="449"/>
      <c r="B1555" s="431"/>
      <c r="C1555" s="449"/>
      <c r="F1555" s="431"/>
      <c r="G1555" s="596"/>
      <c r="H1555" s="488"/>
      <c r="J1555" s="449"/>
    </row>
    <row r="1556" spans="1:10" s="428" customFormat="1">
      <c r="A1556" s="449"/>
      <c r="B1556" s="431"/>
      <c r="C1556" s="449"/>
      <c r="F1556" s="431"/>
      <c r="G1556" s="596"/>
      <c r="H1556" s="488"/>
      <c r="J1556" s="449"/>
    </row>
    <row r="1557" spans="1:10" s="428" customFormat="1">
      <c r="A1557" s="449"/>
      <c r="B1557" s="431"/>
      <c r="C1557" s="449"/>
      <c r="F1557" s="431"/>
      <c r="G1557" s="596"/>
      <c r="H1557" s="488"/>
      <c r="J1557" s="449"/>
    </row>
    <row r="1558" spans="1:10" s="428" customFormat="1">
      <c r="A1558" s="449"/>
      <c r="B1558" s="431"/>
      <c r="C1558" s="449"/>
      <c r="F1558" s="431"/>
      <c r="G1558" s="596"/>
      <c r="H1558" s="488"/>
      <c r="J1558" s="449"/>
    </row>
    <row r="1559" spans="1:10" s="428" customFormat="1">
      <c r="A1559" s="449"/>
      <c r="B1559" s="431"/>
      <c r="C1559" s="449"/>
      <c r="F1559" s="431"/>
      <c r="G1559" s="596"/>
      <c r="H1559" s="488"/>
      <c r="J1559" s="449"/>
    </row>
    <row r="1560" spans="1:10" s="428" customFormat="1">
      <c r="A1560" s="449"/>
      <c r="B1560" s="431"/>
      <c r="C1560" s="449"/>
      <c r="F1560" s="431"/>
      <c r="G1560" s="596"/>
      <c r="H1560" s="488"/>
      <c r="J1560" s="449"/>
    </row>
    <row r="1561" spans="1:10" s="428" customFormat="1">
      <c r="A1561" s="449"/>
      <c r="B1561" s="431"/>
      <c r="C1561" s="449"/>
      <c r="F1561" s="431"/>
      <c r="G1561" s="596"/>
      <c r="H1561" s="488"/>
      <c r="J1561" s="449"/>
    </row>
    <row r="1562" spans="1:10" s="428" customFormat="1">
      <c r="A1562" s="449"/>
      <c r="B1562" s="431"/>
      <c r="C1562" s="449"/>
      <c r="F1562" s="431"/>
      <c r="G1562" s="596"/>
      <c r="H1562" s="488"/>
      <c r="J1562" s="449"/>
    </row>
    <row r="1563" spans="1:10" s="428" customFormat="1">
      <c r="A1563" s="449"/>
      <c r="B1563" s="431"/>
      <c r="C1563" s="449"/>
      <c r="F1563" s="431"/>
      <c r="G1563" s="596"/>
      <c r="H1563" s="488"/>
      <c r="J1563" s="449"/>
    </row>
    <row r="1564" spans="1:10" s="428" customFormat="1">
      <c r="A1564" s="449"/>
      <c r="B1564" s="431"/>
      <c r="C1564" s="449"/>
      <c r="F1564" s="431"/>
      <c r="G1564" s="596"/>
      <c r="H1564" s="488"/>
      <c r="J1564" s="449"/>
    </row>
    <row r="1565" spans="1:10" s="428" customFormat="1">
      <c r="A1565" s="449"/>
      <c r="B1565" s="431"/>
      <c r="C1565" s="449"/>
      <c r="F1565" s="431"/>
      <c r="G1565" s="596"/>
      <c r="H1565" s="488"/>
      <c r="J1565" s="449"/>
    </row>
    <row r="1566" spans="1:10" s="428" customFormat="1">
      <c r="A1566" s="449"/>
      <c r="B1566" s="431"/>
      <c r="C1566" s="449"/>
      <c r="F1566" s="431"/>
      <c r="G1566" s="596"/>
      <c r="H1566" s="488"/>
      <c r="J1566" s="449"/>
    </row>
    <row r="1567" spans="1:10" s="428" customFormat="1">
      <c r="A1567" s="449"/>
      <c r="B1567" s="431"/>
      <c r="C1567" s="449"/>
      <c r="F1567" s="431"/>
      <c r="G1567" s="596"/>
      <c r="H1567" s="488"/>
      <c r="J1567" s="449"/>
    </row>
    <row r="1568" spans="1:10" s="428" customFormat="1">
      <c r="A1568" s="449"/>
      <c r="B1568" s="431"/>
      <c r="C1568" s="449"/>
      <c r="F1568" s="431"/>
      <c r="G1568" s="596"/>
      <c r="H1568" s="488"/>
      <c r="J1568" s="449"/>
    </row>
    <row r="1569" spans="1:10" s="428" customFormat="1">
      <c r="A1569" s="449"/>
      <c r="B1569" s="431"/>
      <c r="C1569" s="449"/>
      <c r="F1569" s="431"/>
      <c r="G1569" s="596"/>
      <c r="H1569" s="488"/>
      <c r="J1569" s="449"/>
    </row>
    <row r="1570" spans="1:10" s="428" customFormat="1">
      <c r="A1570" s="449"/>
      <c r="B1570" s="431"/>
      <c r="C1570" s="449"/>
      <c r="F1570" s="431"/>
      <c r="G1570" s="596"/>
      <c r="H1570" s="488"/>
      <c r="J1570" s="449"/>
    </row>
    <row r="1571" spans="1:10" s="428" customFormat="1">
      <c r="A1571" s="449"/>
      <c r="B1571" s="431"/>
      <c r="C1571" s="449"/>
      <c r="F1571" s="431"/>
      <c r="G1571" s="596"/>
      <c r="H1571" s="488"/>
      <c r="J1571" s="449"/>
    </row>
    <row r="1572" spans="1:10" s="428" customFormat="1">
      <c r="A1572" s="449"/>
      <c r="B1572" s="431"/>
      <c r="C1572" s="449"/>
      <c r="F1572" s="431"/>
      <c r="G1572" s="596"/>
      <c r="H1572" s="488"/>
      <c r="J1572" s="449"/>
    </row>
    <row r="1573" spans="1:10" s="428" customFormat="1">
      <c r="A1573" s="449"/>
      <c r="B1573" s="431"/>
      <c r="C1573" s="449"/>
      <c r="F1573" s="431"/>
      <c r="G1573" s="596"/>
      <c r="H1573" s="488"/>
      <c r="J1573" s="449"/>
    </row>
    <row r="1574" spans="1:10" s="428" customFormat="1">
      <c r="A1574" s="449"/>
      <c r="B1574" s="431"/>
      <c r="C1574" s="449"/>
      <c r="F1574" s="431"/>
      <c r="G1574" s="596"/>
      <c r="H1574" s="488"/>
      <c r="J1574" s="449"/>
    </row>
    <row r="1575" spans="1:10" s="428" customFormat="1">
      <c r="A1575" s="449"/>
      <c r="B1575" s="431"/>
      <c r="C1575" s="449"/>
      <c r="F1575" s="431"/>
      <c r="G1575" s="596"/>
      <c r="H1575" s="488"/>
      <c r="J1575" s="449"/>
    </row>
    <row r="1576" spans="1:10" s="428" customFormat="1">
      <c r="A1576" s="449"/>
      <c r="B1576" s="431"/>
      <c r="C1576" s="449"/>
      <c r="F1576" s="431"/>
      <c r="G1576" s="596"/>
      <c r="H1576" s="488"/>
      <c r="J1576" s="449"/>
    </row>
    <row r="1577" spans="1:10" s="428" customFormat="1">
      <c r="A1577" s="449"/>
      <c r="B1577" s="431"/>
      <c r="C1577" s="449"/>
      <c r="F1577" s="431"/>
      <c r="G1577" s="596"/>
      <c r="H1577" s="488"/>
      <c r="J1577" s="449"/>
    </row>
    <row r="1578" spans="1:10" s="428" customFormat="1">
      <c r="A1578" s="449"/>
      <c r="B1578" s="431"/>
      <c r="C1578" s="449"/>
      <c r="F1578" s="431"/>
      <c r="G1578" s="596"/>
      <c r="H1578" s="488"/>
      <c r="J1578" s="449"/>
    </row>
    <row r="1579" spans="1:10" s="428" customFormat="1">
      <c r="A1579" s="449"/>
      <c r="B1579" s="431"/>
      <c r="C1579" s="449"/>
      <c r="F1579" s="431"/>
      <c r="G1579" s="596"/>
      <c r="H1579" s="488"/>
      <c r="J1579" s="449"/>
    </row>
    <row r="1580" spans="1:10" s="428" customFormat="1">
      <c r="A1580" s="449"/>
      <c r="B1580" s="431"/>
      <c r="C1580" s="449"/>
      <c r="F1580" s="431"/>
      <c r="G1580" s="596"/>
      <c r="H1580" s="488"/>
      <c r="J1580" s="449"/>
    </row>
    <row r="1581" spans="1:10" s="428" customFormat="1">
      <c r="A1581" s="449"/>
      <c r="B1581" s="431"/>
      <c r="C1581" s="449"/>
      <c r="F1581" s="431"/>
      <c r="G1581" s="596"/>
      <c r="H1581" s="488"/>
      <c r="J1581" s="449"/>
    </row>
    <row r="1582" spans="1:10" s="428" customFormat="1">
      <c r="A1582" s="449"/>
      <c r="B1582" s="431"/>
      <c r="C1582" s="449"/>
      <c r="F1582" s="431"/>
      <c r="G1582" s="596"/>
      <c r="H1582" s="488"/>
      <c r="J1582" s="449"/>
    </row>
    <row r="1583" spans="1:10" s="428" customFormat="1">
      <c r="A1583" s="449"/>
      <c r="B1583" s="431"/>
      <c r="C1583" s="449"/>
      <c r="F1583" s="431"/>
      <c r="G1583" s="596"/>
      <c r="H1583" s="488"/>
      <c r="J1583" s="449"/>
    </row>
    <row r="1584" spans="1:10" s="428" customFormat="1">
      <c r="A1584" s="449"/>
      <c r="B1584" s="431"/>
      <c r="C1584" s="449"/>
      <c r="F1584" s="431"/>
      <c r="G1584" s="596"/>
      <c r="H1584" s="488"/>
      <c r="J1584" s="449"/>
    </row>
    <row r="1585" spans="1:10" s="428" customFormat="1">
      <c r="A1585" s="449"/>
      <c r="B1585" s="431"/>
      <c r="C1585" s="449"/>
      <c r="F1585" s="431"/>
      <c r="G1585" s="596"/>
      <c r="H1585" s="488"/>
      <c r="J1585" s="449"/>
    </row>
    <row r="1586" spans="1:10" s="428" customFormat="1">
      <c r="A1586" s="449"/>
      <c r="B1586" s="431"/>
      <c r="C1586" s="449"/>
      <c r="F1586" s="431"/>
      <c r="G1586" s="596"/>
      <c r="H1586" s="488"/>
      <c r="J1586" s="449"/>
    </row>
    <row r="1587" spans="1:10" s="428" customFormat="1">
      <c r="A1587" s="449"/>
      <c r="B1587" s="431"/>
      <c r="C1587" s="449"/>
      <c r="F1587" s="431"/>
      <c r="G1587" s="596"/>
      <c r="H1587" s="488"/>
      <c r="J1587" s="449"/>
    </row>
    <row r="1588" spans="1:10" s="428" customFormat="1">
      <c r="A1588" s="449"/>
      <c r="B1588" s="431"/>
      <c r="C1588" s="449"/>
      <c r="F1588" s="431"/>
      <c r="G1588" s="596"/>
      <c r="H1588" s="488"/>
      <c r="J1588" s="449"/>
    </row>
    <row r="1589" spans="1:10" s="428" customFormat="1">
      <c r="A1589" s="449"/>
      <c r="B1589" s="431"/>
      <c r="C1589" s="449"/>
      <c r="F1589" s="431"/>
      <c r="G1589" s="596"/>
      <c r="H1589" s="488"/>
      <c r="J1589" s="449"/>
    </row>
    <row r="1590" spans="1:10" s="428" customFormat="1">
      <c r="A1590" s="449"/>
      <c r="B1590" s="431"/>
      <c r="C1590" s="449"/>
      <c r="F1590" s="431"/>
      <c r="G1590" s="596"/>
      <c r="H1590" s="488"/>
      <c r="J1590" s="449"/>
    </row>
    <row r="1591" spans="1:10" s="428" customFormat="1">
      <c r="A1591" s="449"/>
      <c r="B1591" s="431"/>
      <c r="C1591" s="449"/>
      <c r="F1591" s="431"/>
      <c r="G1591" s="596"/>
      <c r="H1591" s="488"/>
      <c r="J1591" s="449"/>
    </row>
    <row r="1592" spans="1:10" s="428" customFormat="1">
      <c r="A1592" s="449"/>
      <c r="B1592" s="431"/>
      <c r="C1592" s="449"/>
      <c r="F1592" s="431"/>
      <c r="G1592" s="596"/>
      <c r="H1592" s="488"/>
      <c r="J1592" s="449"/>
    </row>
    <row r="1593" spans="1:10" s="428" customFormat="1">
      <c r="A1593" s="449"/>
      <c r="B1593" s="431"/>
      <c r="C1593" s="449"/>
      <c r="F1593" s="431"/>
      <c r="G1593" s="596"/>
      <c r="H1593" s="488"/>
      <c r="J1593" s="449"/>
    </row>
    <row r="1594" spans="1:10" s="428" customFormat="1">
      <c r="A1594" s="449"/>
      <c r="B1594" s="431"/>
      <c r="C1594" s="449"/>
      <c r="F1594" s="431"/>
      <c r="G1594" s="596"/>
      <c r="H1594" s="488"/>
      <c r="J1594" s="449"/>
    </row>
    <row r="1595" spans="1:10" s="428" customFormat="1">
      <c r="A1595" s="449"/>
      <c r="B1595" s="431"/>
      <c r="C1595" s="449"/>
      <c r="F1595" s="431"/>
      <c r="G1595" s="596"/>
      <c r="H1595" s="488"/>
      <c r="J1595" s="449"/>
    </row>
    <row r="1596" spans="1:10" s="428" customFormat="1">
      <c r="A1596" s="449"/>
      <c r="B1596" s="431"/>
      <c r="C1596" s="449"/>
      <c r="F1596" s="431"/>
      <c r="G1596" s="596"/>
      <c r="H1596" s="488"/>
      <c r="J1596" s="449"/>
    </row>
    <row r="1597" spans="1:10" s="428" customFormat="1">
      <c r="A1597" s="449"/>
      <c r="B1597" s="431"/>
      <c r="C1597" s="449"/>
      <c r="F1597" s="431"/>
      <c r="G1597" s="596"/>
      <c r="H1597" s="488"/>
      <c r="J1597" s="449"/>
    </row>
    <row r="1598" spans="1:10" s="428" customFormat="1">
      <c r="A1598" s="449"/>
      <c r="B1598" s="431"/>
      <c r="C1598" s="449"/>
      <c r="F1598" s="431"/>
      <c r="G1598" s="596"/>
      <c r="H1598" s="488"/>
      <c r="J1598" s="449"/>
    </row>
    <row r="1599" spans="1:10" s="428" customFormat="1">
      <c r="A1599" s="449"/>
      <c r="B1599" s="431"/>
      <c r="C1599" s="449"/>
      <c r="F1599" s="431"/>
      <c r="G1599" s="596"/>
      <c r="H1599" s="488"/>
      <c r="J1599" s="449"/>
    </row>
    <row r="1600" spans="1:10" s="428" customFormat="1">
      <c r="A1600" s="449"/>
      <c r="B1600" s="431"/>
      <c r="C1600" s="449"/>
      <c r="F1600" s="431"/>
      <c r="G1600" s="596"/>
      <c r="H1600" s="488"/>
      <c r="J1600" s="449"/>
    </row>
    <row r="1601" spans="1:10" s="428" customFormat="1">
      <c r="A1601" s="449"/>
      <c r="B1601" s="431"/>
      <c r="C1601" s="449"/>
      <c r="F1601" s="431"/>
      <c r="G1601" s="596"/>
      <c r="H1601" s="488"/>
      <c r="J1601" s="449"/>
    </row>
    <row r="1602" spans="1:10" s="428" customFormat="1">
      <c r="A1602" s="449"/>
      <c r="B1602" s="431"/>
      <c r="C1602" s="449"/>
      <c r="F1602" s="431"/>
      <c r="G1602" s="596"/>
      <c r="H1602" s="488"/>
      <c r="J1602" s="449"/>
    </row>
    <row r="1603" spans="1:10" s="428" customFormat="1">
      <c r="A1603" s="449"/>
      <c r="B1603" s="431"/>
      <c r="C1603" s="449"/>
      <c r="F1603" s="431"/>
      <c r="G1603" s="596"/>
      <c r="H1603" s="488"/>
      <c r="J1603" s="449"/>
    </row>
    <row r="1604" spans="1:10" s="428" customFormat="1">
      <c r="A1604" s="449"/>
      <c r="B1604" s="431"/>
      <c r="C1604" s="449"/>
      <c r="F1604" s="431"/>
      <c r="G1604" s="596"/>
      <c r="H1604" s="488"/>
      <c r="J1604" s="449"/>
    </row>
    <row r="1605" spans="1:10" s="428" customFormat="1">
      <c r="A1605" s="449"/>
      <c r="B1605" s="431"/>
      <c r="C1605" s="449"/>
      <c r="F1605" s="431"/>
      <c r="G1605" s="596"/>
      <c r="H1605" s="488"/>
      <c r="J1605" s="449"/>
    </row>
    <row r="1606" spans="1:10" s="428" customFormat="1">
      <c r="A1606" s="449"/>
      <c r="B1606" s="431"/>
      <c r="C1606" s="449"/>
      <c r="F1606" s="431"/>
      <c r="G1606" s="596"/>
      <c r="H1606" s="488"/>
      <c r="J1606" s="449"/>
    </row>
    <row r="1607" spans="1:10" s="428" customFormat="1">
      <c r="A1607" s="449"/>
      <c r="B1607" s="431"/>
      <c r="C1607" s="449"/>
      <c r="F1607" s="431"/>
      <c r="G1607" s="596"/>
      <c r="H1607" s="488"/>
      <c r="J1607" s="449"/>
    </row>
    <row r="1608" spans="1:10" s="428" customFormat="1">
      <c r="A1608" s="449"/>
      <c r="B1608" s="431"/>
      <c r="C1608" s="449"/>
      <c r="F1608" s="431"/>
      <c r="G1608" s="596"/>
      <c r="H1608" s="488"/>
      <c r="J1608" s="449"/>
    </row>
    <row r="1609" spans="1:10" s="428" customFormat="1">
      <c r="A1609" s="449"/>
      <c r="B1609" s="431"/>
      <c r="C1609" s="449"/>
      <c r="F1609" s="431"/>
      <c r="G1609" s="596"/>
      <c r="H1609" s="488"/>
      <c r="J1609" s="449"/>
    </row>
    <row r="1610" spans="1:10" s="428" customFormat="1">
      <c r="A1610" s="449"/>
      <c r="B1610" s="431"/>
      <c r="C1610" s="449"/>
      <c r="F1610" s="431"/>
      <c r="G1610" s="596"/>
      <c r="H1610" s="488"/>
      <c r="J1610" s="449"/>
    </row>
    <row r="1611" spans="1:10" s="428" customFormat="1">
      <c r="A1611" s="449"/>
      <c r="B1611" s="431"/>
      <c r="C1611" s="449"/>
      <c r="F1611" s="431"/>
      <c r="G1611" s="596"/>
      <c r="H1611" s="488"/>
      <c r="J1611" s="449"/>
    </row>
    <row r="1612" spans="1:10" s="428" customFormat="1">
      <c r="A1612" s="449"/>
      <c r="B1612" s="431"/>
      <c r="C1612" s="449"/>
      <c r="F1612" s="431"/>
      <c r="G1612" s="596"/>
      <c r="H1612" s="488"/>
      <c r="J1612" s="449"/>
    </row>
    <row r="1613" spans="1:10" s="428" customFormat="1">
      <c r="A1613" s="449"/>
      <c r="B1613" s="431"/>
      <c r="C1613" s="449"/>
      <c r="F1613" s="431"/>
      <c r="G1613" s="596"/>
      <c r="H1613" s="488"/>
      <c r="J1613" s="449"/>
    </row>
    <row r="1614" spans="1:10" s="428" customFormat="1">
      <c r="A1614" s="449"/>
      <c r="B1614" s="431"/>
      <c r="C1614" s="449"/>
      <c r="F1614" s="431"/>
      <c r="G1614" s="596"/>
      <c r="H1614" s="488"/>
      <c r="J1614" s="449"/>
    </row>
    <row r="1615" spans="1:10" s="428" customFormat="1">
      <c r="A1615" s="449"/>
      <c r="B1615" s="431"/>
      <c r="C1615" s="449"/>
      <c r="F1615" s="431"/>
      <c r="G1615" s="596"/>
      <c r="H1615" s="488"/>
      <c r="J1615" s="449"/>
    </row>
    <row r="1616" spans="1:10" s="428" customFormat="1">
      <c r="A1616" s="449"/>
      <c r="B1616" s="431"/>
      <c r="C1616" s="449"/>
      <c r="F1616" s="431"/>
      <c r="G1616" s="596"/>
      <c r="H1616" s="488"/>
      <c r="J1616" s="449"/>
    </row>
    <row r="1617" spans="1:10" s="428" customFormat="1">
      <c r="A1617" s="449"/>
      <c r="B1617" s="431"/>
      <c r="C1617" s="449"/>
      <c r="F1617" s="431"/>
      <c r="G1617" s="596"/>
      <c r="H1617" s="488"/>
      <c r="J1617" s="449"/>
    </row>
    <row r="1618" spans="1:10" s="428" customFormat="1">
      <c r="A1618" s="449"/>
      <c r="B1618" s="431"/>
      <c r="C1618" s="449"/>
      <c r="F1618" s="431"/>
      <c r="G1618" s="596"/>
      <c r="H1618" s="488"/>
      <c r="J1618" s="449"/>
    </row>
    <row r="1619" spans="1:10" s="428" customFormat="1">
      <c r="A1619" s="449"/>
      <c r="B1619" s="431"/>
      <c r="C1619" s="449"/>
      <c r="F1619" s="431"/>
      <c r="G1619" s="596"/>
      <c r="H1619" s="488"/>
      <c r="J1619" s="449"/>
    </row>
    <row r="1620" spans="1:10" s="428" customFormat="1">
      <c r="A1620" s="449"/>
      <c r="B1620" s="431"/>
      <c r="C1620" s="449"/>
      <c r="F1620" s="431"/>
      <c r="G1620" s="596"/>
      <c r="H1620" s="488"/>
      <c r="J1620" s="449"/>
    </row>
    <row r="1621" spans="1:10" s="428" customFormat="1">
      <c r="A1621" s="449"/>
      <c r="B1621" s="431"/>
      <c r="C1621" s="449"/>
      <c r="F1621" s="431"/>
      <c r="G1621" s="596"/>
      <c r="H1621" s="488"/>
      <c r="J1621" s="449"/>
    </row>
    <row r="1622" spans="1:10" s="428" customFormat="1">
      <c r="A1622" s="449"/>
      <c r="B1622" s="431"/>
      <c r="C1622" s="449"/>
      <c r="F1622" s="431"/>
      <c r="G1622" s="596"/>
      <c r="H1622" s="488"/>
      <c r="J1622" s="449"/>
    </row>
    <row r="1623" spans="1:10" s="428" customFormat="1">
      <c r="A1623" s="449"/>
      <c r="B1623" s="431"/>
      <c r="C1623" s="449"/>
      <c r="F1623" s="431"/>
      <c r="G1623" s="596"/>
      <c r="H1623" s="488"/>
      <c r="J1623" s="449"/>
    </row>
    <row r="1624" spans="1:10" s="428" customFormat="1">
      <c r="A1624" s="449"/>
      <c r="B1624" s="431"/>
      <c r="C1624" s="449"/>
      <c r="F1624" s="431"/>
      <c r="G1624" s="596"/>
      <c r="H1624" s="488"/>
      <c r="J1624" s="449"/>
    </row>
    <row r="1625" spans="1:10" s="428" customFormat="1">
      <c r="A1625" s="449"/>
      <c r="B1625" s="431"/>
      <c r="C1625" s="449"/>
      <c r="F1625" s="431"/>
      <c r="G1625" s="596"/>
      <c r="H1625" s="488"/>
      <c r="J1625" s="449"/>
    </row>
    <row r="1626" spans="1:10" s="428" customFormat="1">
      <c r="A1626" s="449"/>
      <c r="B1626" s="431"/>
      <c r="C1626" s="449"/>
      <c r="F1626" s="431"/>
      <c r="G1626" s="596"/>
      <c r="H1626" s="488"/>
      <c r="J1626" s="449"/>
    </row>
    <row r="1627" spans="1:10" s="428" customFormat="1">
      <c r="A1627" s="449"/>
      <c r="B1627" s="431"/>
      <c r="C1627" s="449"/>
      <c r="F1627" s="431"/>
      <c r="G1627" s="596"/>
      <c r="H1627" s="488"/>
      <c r="J1627" s="449"/>
    </row>
    <row r="1628" spans="1:10" s="428" customFormat="1">
      <c r="A1628" s="449"/>
      <c r="B1628" s="431"/>
      <c r="C1628" s="449"/>
      <c r="F1628" s="431"/>
      <c r="G1628" s="596"/>
      <c r="H1628" s="488"/>
      <c r="J1628" s="449"/>
    </row>
    <row r="1629" spans="1:10" s="428" customFormat="1">
      <c r="A1629" s="449"/>
      <c r="B1629" s="431"/>
      <c r="C1629" s="449"/>
      <c r="F1629" s="431"/>
      <c r="G1629" s="596"/>
      <c r="H1629" s="488"/>
      <c r="J1629" s="449"/>
    </row>
    <row r="1630" spans="1:10" s="428" customFormat="1">
      <c r="A1630" s="449"/>
      <c r="B1630" s="431"/>
      <c r="C1630" s="449"/>
      <c r="F1630" s="431"/>
      <c r="G1630" s="596"/>
      <c r="H1630" s="488"/>
      <c r="J1630" s="449"/>
    </row>
    <row r="1631" spans="1:10" s="428" customFormat="1">
      <c r="A1631" s="449"/>
      <c r="B1631" s="431"/>
      <c r="C1631" s="449"/>
      <c r="F1631" s="431"/>
      <c r="G1631" s="596"/>
      <c r="H1631" s="488"/>
      <c r="J1631" s="449"/>
    </row>
    <row r="1632" spans="1:10" s="428" customFormat="1">
      <c r="A1632" s="449"/>
      <c r="B1632" s="431"/>
      <c r="C1632" s="449"/>
      <c r="F1632" s="431"/>
      <c r="G1632" s="596"/>
      <c r="H1632" s="488"/>
      <c r="J1632" s="449"/>
    </row>
    <row r="1633" spans="1:10" s="428" customFormat="1">
      <c r="A1633" s="449"/>
      <c r="B1633" s="431"/>
      <c r="C1633" s="449"/>
      <c r="F1633" s="431"/>
      <c r="G1633" s="596"/>
      <c r="H1633" s="488"/>
      <c r="J1633" s="449"/>
    </row>
    <row r="1634" spans="1:10" s="428" customFormat="1">
      <c r="A1634" s="449"/>
      <c r="B1634" s="431"/>
      <c r="C1634" s="449"/>
      <c r="F1634" s="431"/>
      <c r="G1634" s="596"/>
      <c r="H1634" s="488"/>
      <c r="J1634" s="449"/>
    </row>
    <row r="1635" spans="1:10" s="428" customFormat="1">
      <c r="A1635" s="449"/>
      <c r="B1635" s="431"/>
      <c r="C1635" s="449"/>
      <c r="F1635" s="431"/>
      <c r="G1635" s="596"/>
      <c r="H1635" s="488"/>
      <c r="J1635" s="449"/>
    </row>
    <row r="1636" spans="1:10" s="428" customFormat="1">
      <c r="A1636" s="449"/>
      <c r="B1636" s="431"/>
      <c r="C1636" s="449"/>
      <c r="F1636" s="431"/>
      <c r="G1636" s="596"/>
      <c r="H1636" s="488"/>
      <c r="J1636" s="449"/>
    </row>
    <row r="1637" spans="1:10" s="428" customFormat="1">
      <c r="A1637" s="449"/>
      <c r="B1637" s="431"/>
      <c r="C1637" s="449"/>
      <c r="F1637" s="431"/>
      <c r="G1637" s="596"/>
      <c r="H1637" s="488"/>
      <c r="J1637" s="449"/>
    </row>
    <row r="1638" spans="1:10" s="428" customFormat="1">
      <c r="A1638" s="449"/>
      <c r="B1638" s="431"/>
      <c r="C1638" s="449"/>
      <c r="F1638" s="431"/>
      <c r="G1638" s="596"/>
      <c r="H1638" s="488"/>
      <c r="J1638" s="449"/>
    </row>
    <row r="1639" spans="1:10" s="428" customFormat="1">
      <c r="A1639" s="449"/>
      <c r="B1639" s="431"/>
      <c r="C1639" s="449"/>
      <c r="F1639" s="431"/>
      <c r="G1639" s="596"/>
      <c r="H1639" s="488"/>
      <c r="J1639" s="449"/>
    </row>
    <row r="1640" spans="1:10" s="428" customFormat="1">
      <c r="A1640" s="449"/>
      <c r="B1640" s="431"/>
      <c r="C1640" s="449"/>
      <c r="F1640" s="431"/>
      <c r="G1640" s="596"/>
      <c r="H1640" s="488"/>
      <c r="J1640" s="449"/>
    </row>
    <row r="1641" spans="1:10" s="428" customFormat="1">
      <c r="A1641" s="449"/>
      <c r="B1641" s="431"/>
      <c r="C1641" s="449"/>
      <c r="F1641" s="431"/>
      <c r="G1641" s="596"/>
      <c r="H1641" s="488"/>
      <c r="J1641" s="449"/>
    </row>
    <row r="1642" spans="1:10" s="428" customFormat="1">
      <c r="A1642" s="449"/>
      <c r="B1642" s="431"/>
      <c r="C1642" s="449"/>
      <c r="F1642" s="431"/>
      <c r="G1642" s="596"/>
      <c r="H1642" s="488"/>
      <c r="J1642" s="449"/>
    </row>
    <row r="1643" spans="1:10" s="428" customFormat="1">
      <c r="A1643" s="449"/>
      <c r="B1643" s="431"/>
      <c r="C1643" s="449"/>
      <c r="F1643" s="431"/>
      <c r="G1643" s="596"/>
      <c r="H1643" s="488"/>
      <c r="J1643" s="449"/>
    </row>
    <row r="1644" spans="1:10" s="428" customFormat="1">
      <c r="A1644" s="449"/>
      <c r="B1644" s="431"/>
      <c r="C1644" s="449"/>
      <c r="F1644" s="431"/>
      <c r="G1644" s="596"/>
      <c r="H1644" s="488"/>
      <c r="J1644" s="449"/>
    </row>
    <row r="1645" spans="1:10" s="428" customFormat="1">
      <c r="A1645" s="449"/>
      <c r="B1645" s="431"/>
      <c r="C1645" s="449"/>
      <c r="F1645" s="431"/>
      <c r="G1645" s="596"/>
      <c r="H1645" s="488"/>
      <c r="J1645" s="449"/>
    </row>
    <row r="1646" spans="1:10" s="428" customFormat="1">
      <c r="A1646" s="449"/>
      <c r="B1646" s="431"/>
      <c r="C1646" s="449"/>
      <c r="F1646" s="431"/>
      <c r="G1646" s="596"/>
      <c r="H1646" s="488"/>
      <c r="J1646" s="449"/>
    </row>
    <row r="1647" spans="1:10" s="428" customFormat="1">
      <c r="A1647" s="449"/>
      <c r="B1647" s="431"/>
      <c r="C1647" s="449"/>
      <c r="F1647" s="431"/>
      <c r="G1647" s="596"/>
      <c r="H1647" s="488"/>
      <c r="J1647" s="449"/>
    </row>
    <row r="1648" spans="1:10" s="428" customFormat="1">
      <c r="A1648" s="449"/>
      <c r="B1648" s="431"/>
      <c r="C1648" s="449"/>
      <c r="F1648" s="431"/>
      <c r="G1648" s="596"/>
      <c r="H1648" s="488"/>
      <c r="J1648" s="449"/>
    </row>
    <row r="1649" spans="1:10" s="428" customFormat="1">
      <c r="A1649" s="449"/>
      <c r="B1649" s="431"/>
      <c r="C1649" s="449"/>
      <c r="F1649" s="431"/>
      <c r="G1649" s="596"/>
      <c r="H1649" s="488"/>
      <c r="J1649" s="449"/>
    </row>
    <row r="1650" spans="1:10" s="428" customFormat="1">
      <c r="A1650" s="449"/>
      <c r="B1650" s="431"/>
      <c r="C1650" s="449"/>
      <c r="F1650" s="431"/>
      <c r="G1650" s="596"/>
      <c r="H1650" s="488"/>
      <c r="J1650" s="449"/>
    </row>
    <row r="1651" spans="1:10" s="428" customFormat="1">
      <c r="A1651" s="449"/>
      <c r="B1651" s="431"/>
      <c r="C1651" s="449"/>
      <c r="F1651" s="431"/>
      <c r="G1651" s="596"/>
      <c r="H1651" s="488"/>
      <c r="J1651" s="449"/>
    </row>
    <row r="1652" spans="1:10" s="428" customFormat="1">
      <c r="A1652" s="449"/>
      <c r="B1652" s="431"/>
      <c r="C1652" s="449"/>
      <c r="F1652" s="431"/>
      <c r="G1652" s="596"/>
      <c r="H1652" s="488"/>
      <c r="J1652" s="449"/>
    </row>
    <row r="1653" spans="1:10" s="428" customFormat="1">
      <c r="A1653" s="449"/>
      <c r="B1653" s="431"/>
      <c r="C1653" s="449"/>
      <c r="F1653" s="431"/>
      <c r="G1653" s="596"/>
      <c r="H1653" s="488"/>
      <c r="J1653" s="449"/>
    </row>
    <row r="1654" spans="1:10" s="428" customFormat="1">
      <c r="A1654" s="449"/>
      <c r="B1654" s="431"/>
      <c r="C1654" s="449"/>
      <c r="F1654" s="431"/>
      <c r="G1654" s="596"/>
      <c r="H1654" s="488"/>
      <c r="J1654" s="449"/>
    </row>
    <row r="1655" spans="1:10" s="428" customFormat="1">
      <c r="A1655" s="449"/>
      <c r="B1655" s="431"/>
      <c r="C1655" s="449"/>
      <c r="F1655" s="431"/>
      <c r="G1655" s="596"/>
      <c r="H1655" s="488"/>
      <c r="J1655" s="449"/>
    </row>
    <row r="1656" spans="1:10" s="428" customFormat="1">
      <c r="A1656" s="449"/>
      <c r="B1656" s="431"/>
      <c r="C1656" s="449"/>
      <c r="F1656" s="431"/>
      <c r="G1656" s="596"/>
      <c r="H1656" s="488"/>
      <c r="J1656" s="449"/>
    </row>
    <row r="1657" spans="1:10" s="428" customFormat="1">
      <c r="A1657" s="449"/>
      <c r="B1657" s="431"/>
      <c r="C1657" s="449"/>
      <c r="F1657" s="431"/>
      <c r="G1657" s="596"/>
      <c r="H1657" s="488"/>
      <c r="J1657" s="449"/>
    </row>
    <row r="1658" spans="1:10" s="428" customFormat="1">
      <c r="A1658" s="449"/>
      <c r="B1658" s="431"/>
      <c r="C1658" s="449"/>
      <c r="F1658" s="431"/>
      <c r="G1658" s="596"/>
      <c r="H1658" s="488"/>
      <c r="J1658" s="449"/>
    </row>
    <row r="1659" spans="1:10" s="428" customFormat="1">
      <c r="A1659" s="449"/>
      <c r="B1659" s="431"/>
      <c r="C1659" s="449"/>
      <c r="F1659" s="431"/>
      <c r="G1659" s="596"/>
      <c r="H1659" s="488"/>
      <c r="J1659" s="449"/>
    </row>
    <row r="1660" spans="1:10" s="428" customFormat="1">
      <c r="A1660" s="449"/>
      <c r="B1660" s="431"/>
      <c r="C1660" s="449"/>
      <c r="F1660" s="431"/>
      <c r="G1660" s="596"/>
      <c r="H1660" s="488"/>
      <c r="J1660" s="449"/>
    </row>
    <row r="1661" spans="1:10" s="428" customFormat="1">
      <c r="A1661" s="449"/>
      <c r="B1661" s="431"/>
      <c r="C1661" s="449"/>
      <c r="F1661" s="431"/>
      <c r="G1661" s="596"/>
      <c r="H1661" s="488"/>
      <c r="J1661" s="449"/>
    </row>
    <row r="1662" spans="1:10" s="428" customFormat="1">
      <c r="A1662" s="449"/>
      <c r="B1662" s="431"/>
      <c r="C1662" s="449"/>
      <c r="F1662" s="431"/>
      <c r="G1662" s="596"/>
      <c r="H1662" s="488"/>
      <c r="J1662" s="449"/>
    </row>
    <row r="1663" spans="1:10" s="428" customFormat="1">
      <c r="A1663" s="449"/>
      <c r="B1663" s="431"/>
      <c r="C1663" s="449"/>
      <c r="F1663" s="431"/>
      <c r="G1663" s="596"/>
      <c r="H1663" s="488"/>
      <c r="J1663" s="449"/>
    </row>
    <row r="1664" spans="1:10" s="428" customFormat="1">
      <c r="A1664" s="449"/>
      <c r="B1664" s="431"/>
      <c r="C1664" s="449"/>
      <c r="F1664" s="431"/>
      <c r="G1664" s="596"/>
      <c r="H1664" s="488"/>
      <c r="J1664" s="449"/>
    </row>
    <row r="1665" spans="1:10" s="428" customFormat="1">
      <c r="A1665" s="449"/>
      <c r="B1665" s="431"/>
      <c r="C1665" s="449"/>
      <c r="F1665" s="431"/>
      <c r="G1665" s="596"/>
      <c r="H1665" s="488"/>
      <c r="J1665" s="449"/>
    </row>
    <row r="1666" spans="1:10" s="428" customFormat="1">
      <c r="A1666" s="449"/>
      <c r="B1666" s="431"/>
      <c r="C1666" s="449"/>
      <c r="F1666" s="431"/>
      <c r="G1666" s="596"/>
      <c r="H1666" s="488"/>
      <c r="J1666" s="449"/>
    </row>
    <row r="1667" spans="1:10" s="428" customFormat="1">
      <c r="A1667" s="449"/>
      <c r="B1667" s="431"/>
      <c r="C1667" s="449"/>
      <c r="F1667" s="431"/>
      <c r="G1667" s="596"/>
      <c r="H1667" s="488"/>
      <c r="J1667" s="449"/>
    </row>
    <row r="1668" spans="1:10" s="428" customFormat="1">
      <c r="A1668" s="449"/>
      <c r="B1668" s="431"/>
      <c r="C1668" s="449"/>
      <c r="F1668" s="431"/>
      <c r="G1668" s="596"/>
      <c r="H1668" s="488"/>
      <c r="J1668" s="449"/>
    </row>
    <row r="1669" spans="1:10" s="428" customFormat="1">
      <c r="A1669" s="449"/>
      <c r="B1669" s="431"/>
      <c r="C1669" s="449"/>
      <c r="F1669" s="431"/>
      <c r="G1669" s="596"/>
      <c r="H1669" s="488"/>
      <c r="J1669" s="449"/>
    </row>
    <row r="1670" spans="1:10" s="428" customFormat="1">
      <c r="A1670" s="449"/>
      <c r="B1670" s="431"/>
      <c r="C1670" s="449"/>
      <c r="F1670" s="431"/>
      <c r="G1670" s="596"/>
      <c r="H1670" s="488"/>
      <c r="J1670" s="449"/>
    </row>
    <row r="1671" spans="1:10" s="428" customFormat="1">
      <c r="A1671" s="449"/>
      <c r="B1671" s="431"/>
      <c r="C1671" s="449"/>
      <c r="F1671" s="431"/>
      <c r="G1671" s="596"/>
      <c r="H1671" s="488"/>
      <c r="J1671" s="449"/>
    </row>
    <row r="1672" spans="1:10" s="428" customFormat="1">
      <c r="A1672" s="449"/>
      <c r="B1672" s="431"/>
      <c r="C1672" s="449"/>
      <c r="F1672" s="431"/>
      <c r="G1672" s="596"/>
      <c r="H1672" s="488"/>
      <c r="J1672" s="449"/>
    </row>
    <row r="1673" spans="1:10" s="428" customFormat="1">
      <c r="A1673" s="449"/>
      <c r="B1673" s="431"/>
      <c r="C1673" s="449"/>
      <c r="F1673" s="431"/>
      <c r="G1673" s="596"/>
      <c r="H1673" s="488"/>
      <c r="J1673" s="449"/>
    </row>
    <row r="1674" spans="1:10" s="428" customFormat="1">
      <c r="A1674" s="449"/>
      <c r="B1674" s="431"/>
      <c r="C1674" s="449"/>
      <c r="F1674" s="431"/>
      <c r="G1674" s="596"/>
      <c r="H1674" s="488"/>
      <c r="J1674" s="449"/>
    </row>
    <row r="1675" spans="1:10" s="428" customFormat="1">
      <c r="A1675" s="449"/>
      <c r="B1675" s="431"/>
      <c r="C1675" s="449"/>
      <c r="F1675" s="431"/>
      <c r="G1675" s="596"/>
      <c r="H1675" s="488"/>
      <c r="J1675" s="449"/>
    </row>
    <row r="1676" spans="1:10" s="428" customFormat="1">
      <c r="A1676" s="449"/>
      <c r="B1676" s="431"/>
      <c r="C1676" s="449"/>
      <c r="F1676" s="431"/>
      <c r="G1676" s="596"/>
      <c r="H1676" s="488"/>
      <c r="J1676" s="449"/>
    </row>
    <row r="1677" spans="1:10" s="428" customFormat="1">
      <c r="A1677" s="449"/>
      <c r="B1677" s="431"/>
      <c r="C1677" s="449"/>
      <c r="F1677" s="431"/>
      <c r="G1677" s="596"/>
      <c r="H1677" s="488"/>
      <c r="J1677" s="449"/>
    </row>
    <row r="1678" spans="1:10" s="428" customFormat="1">
      <c r="A1678" s="449"/>
      <c r="B1678" s="431"/>
      <c r="C1678" s="449"/>
      <c r="F1678" s="431"/>
      <c r="G1678" s="596"/>
      <c r="H1678" s="488"/>
      <c r="J1678" s="449"/>
    </row>
    <row r="1679" spans="1:10" s="428" customFormat="1">
      <c r="A1679" s="449"/>
      <c r="B1679" s="431"/>
      <c r="C1679" s="449"/>
      <c r="F1679" s="431"/>
      <c r="G1679" s="596"/>
      <c r="H1679" s="488"/>
      <c r="J1679" s="449"/>
    </row>
    <row r="1680" spans="1:10" s="428" customFormat="1">
      <c r="A1680" s="449"/>
      <c r="B1680" s="431"/>
      <c r="C1680" s="449"/>
      <c r="F1680" s="431"/>
      <c r="G1680" s="596"/>
      <c r="H1680" s="488"/>
      <c r="J1680" s="449"/>
    </row>
    <row r="1681" spans="1:10" s="428" customFormat="1">
      <c r="A1681" s="449"/>
      <c r="B1681" s="431"/>
      <c r="C1681" s="449"/>
      <c r="F1681" s="431"/>
      <c r="G1681" s="596"/>
      <c r="H1681" s="488"/>
      <c r="J1681" s="449"/>
    </row>
    <row r="1682" spans="1:10" s="428" customFormat="1">
      <c r="A1682" s="449"/>
      <c r="B1682" s="431"/>
      <c r="C1682" s="449"/>
      <c r="F1682" s="431"/>
      <c r="G1682" s="596"/>
      <c r="H1682" s="488"/>
      <c r="J1682" s="449"/>
    </row>
    <row r="1683" spans="1:10" s="428" customFormat="1">
      <c r="A1683" s="449"/>
      <c r="B1683" s="431"/>
      <c r="C1683" s="449"/>
      <c r="F1683" s="431"/>
      <c r="G1683" s="596"/>
      <c r="H1683" s="488"/>
      <c r="J1683" s="449"/>
    </row>
    <row r="1684" spans="1:10" s="428" customFormat="1">
      <c r="A1684" s="449"/>
      <c r="B1684" s="431"/>
      <c r="C1684" s="449"/>
      <c r="F1684" s="431"/>
      <c r="G1684" s="596"/>
      <c r="H1684" s="488"/>
      <c r="J1684" s="449"/>
    </row>
    <row r="1685" spans="1:10" s="428" customFormat="1">
      <c r="A1685" s="449"/>
      <c r="B1685" s="431"/>
      <c r="C1685" s="449"/>
      <c r="F1685" s="431"/>
      <c r="G1685" s="596"/>
      <c r="H1685" s="488"/>
      <c r="J1685" s="449"/>
    </row>
    <row r="1686" spans="1:10" s="428" customFormat="1">
      <c r="A1686" s="449"/>
      <c r="B1686" s="431"/>
      <c r="C1686" s="449"/>
      <c r="F1686" s="431"/>
      <c r="G1686" s="596"/>
      <c r="H1686" s="488"/>
      <c r="J1686" s="449"/>
    </row>
    <row r="1687" spans="1:10" s="428" customFormat="1">
      <c r="A1687" s="449"/>
      <c r="B1687" s="431"/>
      <c r="C1687" s="449"/>
      <c r="F1687" s="431"/>
      <c r="G1687" s="596"/>
      <c r="H1687" s="488"/>
      <c r="J1687" s="449"/>
    </row>
    <row r="1688" spans="1:10" s="428" customFormat="1">
      <c r="A1688" s="449"/>
      <c r="B1688" s="431"/>
      <c r="C1688" s="449"/>
      <c r="F1688" s="431"/>
      <c r="G1688" s="596"/>
      <c r="H1688" s="488"/>
      <c r="J1688" s="449"/>
    </row>
    <row r="1689" spans="1:10" s="428" customFormat="1">
      <c r="A1689" s="449"/>
      <c r="B1689" s="431"/>
      <c r="C1689" s="449"/>
      <c r="F1689" s="431"/>
      <c r="G1689" s="596"/>
      <c r="H1689" s="488"/>
      <c r="J1689" s="449"/>
    </row>
    <row r="1690" spans="1:10" s="428" customFormat="1">
      <c r="A1690" s="449"/>
      <c r="B1690" s="431"/>
      <c r="C1690" s="449"/>
      <c r="F1690" s="431"/>
      <c r="G1690" s="596"/>
      <c r="H1690" s="488"/>
      <c r="J1690" s="449"/>
    </row>
    <row r="1691" spans="1:10" s="428" customFormat="1">
      <c r="A1691" s="449"/>
      <c r="B1691" s="431"/>
      <c r="C1691" s="449"/>
      <c r="F1691" s="431"/>
      <c r="G1691" s="596"/>
      <c r="H1691" s="488"/>
      <c r="J1691" s="449"/>
    </row>
    <row r="1692" spans="1:10" s="428" customFormat="1">
      <c r="A1692" s="449"/>
      <c r="B1692" s="431"/>
      <c r="C1692" s="449"/>
      <c r="F1692" s="431"/>
      <c r="G1692" s="596"/>
      <c r="H1692" s="488"/>
      <c r="J1692" s="449"/>
    </row>
    <row r="1693" spans="1:10" s="428" customFormat="1">
      <c r="A1693" s="449"/>
      <c r="B1693" s="431"/>
      <c r="C1693" s="449"/>
      <c r="F1693" s="431"/>
      <c r="G1693" s="596"/>
      <c r="H1693" s="488"/>
      <c r="J1693" s="449"/>
    </row>
    <row r="1694" spans="1:10" s="428" customFormat="1">
      <c r="A1694" s="449"/>
      <c r="B1694" s="431"/>
      <c r="C1694" s="449"/>
      <c r="F1694" s="431"/>
      <c r="G1694" s="596"/>
      <c r="H1694" s="488"/>
      <c r="J1694" s="449"/>
    </row>
    <row r="1695" spans="1:10" s="428" customFormat="1">
      <c r="A1695" s="449"/>
      <c r="B1695" s="431"/>
      <c r="C1695" s="449"/>
      <c r="F1695" s="431"/>
      <c r="G1695" s="596"/>
      <c r="H1695" s="488"/>
      <c r="J1695" s="449"/>
    </row>
    <row r="1696" spans="1:10" s="428" customFormat="1">
      <c r="A1696" s="449"/>
      <c r="B1696" s="431"/>
      <c r="C1696" s="449"/>
      <c r="F1696" s="431"/>
      <c r="G1696" s="596"/>
      <c r="H1696" s="488"/>
      <c r="J1696" s="449"/>
    </row>
    <row r="1697" spans="1:10" s="428" customFormat="1">
      <c r="A1697" s="449"/>
      <c r="B1697" s="431"/>
      <c r="C1697" s="449"/>
      <c r="F1697" s="431"/>
      <c r="G1697" s="596"/>
      <c r="H1697" s="488"/>
      <c r="J1697" s="449"/>
    </row>
    <row r="1698" spans="1:10" s="428" customFormat="1">
      <c r="A1698" s="449"/>
      <c r="B1698" s="431"/>
      <c r="C1698" s="449"/>
      <c r="F1698" s="431"/>
      <c r="G1698" s="596"/>
      <c r="H1698" s="488"/>
      <c r="J1698" s="449"/>
    </row>
    <row r="1699" spans="1:10" s="428" customFormat="1">
      <c r="A1699" s="449"/>
      <c r="B1699" s="431"/>
      <c r="C1699" s="449"/>
      <c r="F1699" s="431"/>
      <c r="G1699" s="596"/>
      <c r="H1699" s="488"/>
      <c r="J1699" s="449"/>
    </row>
    <row r="1700" spans="1:10" s="428" customFormat="1">
      <c r="A1700" s="449"/>
      <c r="B1700" s="431"/>
      <c r="C1700" s="449"/>
      <c r="F1700" s="431"/>
      <c r="G1700" s="596"/>
      <c r="H1700" s="488"/>
      <c r="J1700" s="449"/>
    </row>
    <row r="1701" spans="1:10" s="428" customFormat="1">
      <c r="A1701" s="449"/>
      <c r="B1701" s="431"/>
      <c r="C1701" s="449"/>
      <c r="F1701" s="431"/>
      <c r="G1701" s="596"/>
      <c r="H1701" s="488"/>
      <c r="J1701" s="449"/>
    </row>
    <row r="1702" spans="1:10" s="428" customFormat="1">
      <c r="A1702" s="449"/>
      <c r="B1702" s="431"/>
      <c r="C1702" s="449"/>
      <c r="F1702" s="431"/>
      <c r="G1702" s="596"/>
      <c r="H1702" s="488"/>
      <c r="J1702" s="449"/>
    </row>
    <row r="1703" spans="1:10" s="428" customFormat="1">
      <c r="A1703" s="449"/>
      <c r="B1703" s="431"/>
      <c r="C1703" s="449"/>
      <c r="F1703" s="431"/>
      <c r="G1703" s="596"/>
      <c r="H1703" s="488"/>
      <c r="J1703" s="449"/>
    </row>
    <row r="1704" spans="1:10" s="428" customFormat="1">
      <c r="A1704" s="449"/>
      <c r="B1704" s="431"/>
      <c r="C1704" s="449"/>
      <c r="F1704" s="431"/>
      <c r="G1704" s="596"/>
      <c r="H1704" s="488"/>
      <c r="J1704" s="449"/>
    </row>
    <row r="1705" spans="1:10" s="428" customFormat="1">
      <c r="A1705" s="449"/>
      <c r="B1705" s="431"/>
      <c r="C1705" s="449"/>
      <c r="F1705" s="431"/>
      <c r="G1705" s="596"/>
      <c r="H1705" s="488"/>
      <c r="J1705" s="449"/>
    </row>
    <row r="1706" spans="1:10" s="428" customFormat="1">
      <c r="A1706" s="449"/>
      <c r="B1706" s="431"/>
      <c r="C1706" s="449"/>
      <c r="F1706" s="431"/>
      <c r="G1706" s="596"/>
      <c r="H1706" s="488"/>
      <c r="J1706" s="449"/>
    </row>
    <row r="1707" spans="1:10" s="428" customFormat="1">
      <c r="A1707" s="449"/>
      <c r="B1707" s="431"/>
      <c r="C1707" s="449"/>
      <c r="F1707" s="431"/>
      <c r="G1707" s="596"/>
      <c r="H1707" s="488"/>
      <c r="J1707" s="449"/>
    </row>
    <row r="1708" spans="1:10" s="428" customFormat="1">
      <c r="A1708" s="449"/>
      <c r="B1708" s="431"/>
      <c r="C1708" s="449"/>
      <c r="F1708" s="431"/>
      <c r="G1708" s="596"/>
      <c r="H1708" s="488"/>
      <c r="J1708" s="449"/>
    </row>
    <row r="1709" spans="1:10" s="428" customFormat="1">
      <c r="A1709" s="449"/>
      <c r="B1709" s="431"/>
      <c r="C1709" s="449"/>
      <c r="F1709" s="431"/>
      <c r="G1709" s="596"/>
      <c r="H1709" s="488"/>
      <c r="J1709" s="449"/>
    </row>
    <row r="1710" spans="1:10" s="428" customFormat="1">
      <c r="A1710" s="449"/>
      <c r="B1710" s="431"/>
      <c r="C1710" s="449"/>
      <c r="F1710" s="431"/>
      <c r="G1710" s="596"/>
      <c r="H1710" s="488"/>
      <c r="J1710" s="449"/>
    </row>
    <row r="1711" spans="1:10" s="428" customFormat="1">
      <c r="A1711" s="449"/>
      <c r="B1711" s="431"/>
      <c r="C1711" s="449"/>
      <c r="F1711" s="431"/>
      <c r="G1711" s="596"/>
      <c r="H1711" s="488"/>
      <c r="J1711" s="449"/>
    </row>
    <row r="1712" spans="1:10" s="428" customFormat="1">
      <c r="A1712" s="449"/>
      <c r="B1712" s="431"/>
      <c r="C1712" s="449"/>
      <c r="F1712" s="431"/>
      <c r="G1712" s="596"/>
      <c r="H1712" s="488"/>
      <c r="J1712" s="449"/>
    </row>
    <row r="1713" spans="1:10" s="428" customFormat="1">
      <c r="A1713" s="449"/>
      <c r="B1713" s="431"/>
      <c r="C1713" s="449"/>
      <c r="F1713" s="431"/>
      <c r="G1713" s="596"/>
      <c r="H1713" s="488"/>
      <c r="J1713" s="449"/>
    </row>
    <row r="1714" spans="1:10" s="428" customFormat="1">
      <c r="A1714" s="449"/>
      <c r="B1714" s="431"/>
      <c r="C1714" s="449"/>
      <c r="F1714" s="431"/>
      <c r="G1714" s="596"/>
      <c r="H1714" s="488"/>
      <c r="J1714" s="449"/>
    </row>
    <row r="1715" spans="1:10" s="428" customFormat="1">
      <c r="A1715" s="449"/>
      <c r="B1715" s="431"/>
      <c r="C1715" s="449"/>
      <c r="F1715" s="431"/>
      <c r="G1715" s="596"/>
      <c r="H1715" s="488"/>
      <c r="J1715" s="449"/>
    </row>
    <row r="1716" spans="1:10" s="428" customFormat="1">
      <c r="A1716" s="449"/>
      <c r="B1716" s="431"/>
      <c r="C1716" s="449"/>
      <c r="F1716" s="431"/>
      <c r="G1716" s="596"/>
      <c r="H1716" s="488"/>
      <c r="J1716" s="449"/>
    </row>
    <row r="1717" spans="1:10" s="428" customFormat="1">
      <c r="A1717" s="449"/>
      <c r="B1717" s="431"/>
      <c r="C1717" s="449"/>
      <c r="F1717" s="431"/>
      <c r="G1717" s="596"/>
      <c r="H1717" s="488"/>
      <c r="J1717" s="449"/>
    </row>
    <row r="1718" spans="1:10" s="428" customFormat="1">
      <c r="A1718" s="449"/>
      <c r="B1718" s="431"/>
      <c r="C1718" s="449"/>
      <c r="F1718" s="431"/>
      <c r="G1718" s="596"/>
      <c r="H1718" s="488"/>
      <c r="J1718" s="449"/>
    </row>
    <row r="1719" spans="1:10" s="428" customFormat="1">
      <c r="A1719" s="449"/>
      <c r="B1719" s="431"/>
      <c r="C1719" s="449"/>
      <c r="F1719" s="431"/>
      <c r="G1719" s="596"/>
      <c r="H1719" s="488"/>
      <c r="J1719" s="449"/>
    </row>
    <row r="1720" spans="1:10" s="428" customFormat="1">
      <c r="A1720" s="449"/>
      <c r="B1720" s="431"/>
      <c r="C1720" s="449"/>
      <c r="F1720" s="431"/>
      <c r="G1720" s="596"/>
      <c r="H1720" s="488"/>
      <c r="J1720" s="449"/>
    </row>
    <row r="1721" spans="1:10" s="428" customFormat="1">
      <c r="A1721" s="449"/>
      <c r="B1721" s="431"/>
      <c r="C1721" s="449"/>
      <c r="F1721" s="431"/>
      <c r="G1721" s="596"/>
      <c r="H1721" s="488"/>
      <c r="J1721" s="449"/>
    </row>
    <row r="1722" spans="1:10" s="428" customFormat="1">
      <c r="A1722" s="449"/>
      <c r="B1722" s="431"/>
      <c r="C1722" s="449"/>
      <c r="F1722" s="431"/>
      <c r="G1722" s="596"/>
      <c r="H1722" s="488"/>
      <c r="J1722" s="449"/>
    </row>
    <row r="1723" spans="1:10" s="428" customFormat="1">
      <c r="A1723" s="449"/>
      <c r="B1723" s="431"/>
      <c r="C1723" s="449"/>
      <c r="F1723" s="431"/>
      <c r="G1723" s="596"/>
      <c r="H1723" s="488"/>
      <c r="J1723" s="449"/>
    </row>
    <row r="1724" spans="1:10" s="428" customFormat="1">
      <c r="A1724" s="449"/>
      <c r="B1724" s="431"/>
      <c r="C1724" s="449"/>
      <c r="F1724" s="431"/>
      <c r="G1724" s="596"/>
      <c r="H1724" s="488"/>
      <c r="J1724" s="449"/>
    </row>
    <row r="1725" spans="1:10" s="428" customFormat="1">
      <c r="A1725" s="449"/>
      <c r="B1725" s="431"/>
      <c r="C1725" s="449"/>
      <c r="F1725" s="431"/>
      <c r="G1725" s="596"/>
      <c r="H1725" s="488"/>
      <c r="J1725" s="449"/>
    </row>
    <row r="1726" spans="1:10" s="428" customFormat="1">
      <c r="A1726" s="449"/>
      <c r="B1726" s="431"/>
      <c r="C1726" s="449"/>
      <c r="F1726" s="431"/>
      <c r="G1726" s="596"/>
      <c r="H1726" s="488"/>
      <c r="J1726" s="449"/>
    </row>
    <row r="1727" spans="1:10" s="428" customFormat="1">
      <c r="A1727" s="449"/>
      <c r="B1727" s="431"/>
      <c r="C1727" s="449"/>
      <c r="F1727" s="431"/>
      <c r="G1727" s="596"/>
      <c r="H1727" s="488"/>
      <c r="J1727" s="449"/>
    </row>
    <row r="1728" spans="1:10" s="428" customFormat="1">
      <c r="A1728" s="449"/>
      <c r="B1728" s="431"/>
      <c r="C1728" s="449"/>
      <c r="F1728" s="431"/>
      <c r="G1728" s="596"/>
      <c r="H1728" s="488"/>
      <c r="J1728" s="449"/>
    </row>
    <row r="1729" spans="1:10" s="428" customFormat="1">
      <c r="A1729" s="449"/>
      <c r="B1729" s="431"/>
      <c r="C1729" s="449"/>
      <c r="F1729" s="431"/>
      <c r="G1729" s="596"/>
      <c r="H1729" s="488"/>
      <c r="J1729" s="449"/>
    </row>
    <row r="1730" spans="1:10" s="428" customFormat="1">
      <c r="A1730" s="449"/>
      <c r="B1730" s="431"/>
      <c r="C1730" s="449"/>
      <c r="F1730" s="431"/>
      <c r="G1730" s="596"/>
      <c r="H1730" s="488"/>
      <c r="J1730" s="449"/>
    </row>
    <row r="1731" spans="1:10" s="428" customFormat="1">
      <c r="A1731" s="449"/>
      <c r="B1731" s="431"/>
      <c r="C1731" s="449"/>
      <c r="F1731" s="431"/>
      <c r="G1731" s="596"/>
      <c r="H1731" s="488"/>
      <c r="J1731" s="449"/>
    </row>
    <row r="1732" spans="1:10" s="428" customFormat="1">
      <c r="A1732" s="449"/>
      <c r="B1732" s="431"/>
      <c r="C1732" s="449"/>
      <c r="F1732" s="431"/>
      <c r="G1732" s="596"/>
      <c r="H1732" s="488"/>
      <c r="J1732" s="449"/>
    </row>
    <row r="1733" spans="1:10" s="428" customFormat="1">
      <c r="A1733" s="449"/>
      <c r="B1733" s="431"/>
      <c r="C1733" s="449"/>
      <c r="F1733" s="431"/>
      <c r="G1733" s="596"/>
      <c r="H1733" s="488"/>
      <c r="J1733" s="449"/>
    </row>
    <row r="1734" spans="1:10" s="428" customFormat="1">
      <c r="A1734" s="449"/>
      <c r="B1734" s="431"/>
      <c r="C1734" s="449"/>
      <c r="F1734" s="431"/>
      <c r="G1734" s="596"/>
      <c r="H1734" s="488"/>
      <c r="J1734" s="449"/>
    </row>
    <row r="1735" spans="1:10" s="428" customFormat="1">
      <c r="A1735" s="449"/>
      <c r="B1735" s="431"/>
      <c r="C1735" s="449"/>
      <c r="F1735" s="431"/>
      <c r="G1735" s="596"/>
      <c r="H1735" s="488"/>
      <c r="J1735" s="449"/>
    </row>
    <row r="1736" spans="1:10" s="428" customFormat="1">
      <c r="A1736" s="449"/>
      <c r="B1736" s="431"/>
      <c r="C1736" s="449"/>
      <c r="F1736" s="431"/>
      <c r="G1736" s="596"/>
      <c r="H1736" s="488"/>
      <c r="J1736" s="449"/>
    </row>
    <row r="1737" spans="1:10" s="428" customFormat="1">
      <c r="A1737" s="449"/>
      <c r="B1737" s="431"/>
      <c r="C1737" s="449"/>
      <c r="F1737" s="431"/>
      <c r="G1737" s="596"/>
      <c r="H1737" s="488"/>
      <c r="J1737" s="449"/>
    </row>
    <row r="1738" spans="1:10" s="428" customFormat="1">
      <c r="A1738" s="449"/>
      <c r="B1738" s="431"/>
      <c r="C1738" s="449"/>
      <c r="F1738" s="431"/>
      <c r="G1738" s="596"/>
      <c r="H1738" s="488"/>
      <c r="J1738" s="449"/>
    </row>
    <row r="1739" spans="1:10" s="428" customFormat="1">
      <c r="A1739" s="449"/>
      <c r="B1739" s="431"/>
      <c r="C1739" s="449"/>
      <c r="F1739" s="431"/>
      <c r="G1739" s="596"/>
      <c r="H1739" s="488"/>
      <c r="J1739" s="449"/>
    </row>
    <row r="1740" spans="1:10" s="428" customFormat="1">
      <c r="A1740" s="449"/>
      <c r="B1740" s="431"/>
      <c r="C1740" s="449"/>
      <c r="F1740" s="431"/>
      <c r="G1740" s="596"/>
      <c r="H1740" s="488"/>
      <c r="J1740" s="449"/>
    </row>
    <row r="1741" spans="1:10" s="428" customFormat="1">
      <c r="A1741" s="449"/>
      <c r="B1741" s="431"/>
      <c r="C1741" s="449"/>
      <c r="F1741" s="431"/>
      <c r="G1741" s="596"/>
      <c r="H1741" s="488"/>
      <c r="J1741" s="449"/>
    </row>
    <row r="1742" spans="1:10" s="428" customFormat="1">
      <c r="A1742" s="449"/>
      <c r="B1742" s="431"/>
      <c r="C1742" s="449"/>
      <c r="F1742" s="431"/>
      <c r="G1742" s="596"/>
      <c r="H1742" s="488"/>
      <c r="J1742" s="449"/>
    </row>
    <row r="1743" spans="1:10" s="428" customFormat="1">
      <c r="A1743" s="449"/>
      <c r="B1743" s="431"/>
      <c r="C1743" s="449"/>
      <c r="F1743" s="431"/>
      <c r="G1743" s="596"/>
      <c r="H1743" s="488"/>
      <c r="J1743" s="449"/>
    </row>
    <row r="1744" spans="1:10" s="428" customFormat="1">
      <c r="A1744" s="449"/>
      <c r="B1744" s="431"/>
      <c r="C1744" s="449"/>
      <c r="F1744" s="431"/>
      <c r="G1744" s="596"/>
      <c r="H1744" s="488"/>
      <c r="J1744" s="449"/>
    </row>
    <row r="1745" spans="1:10" s="428" customFormat="1">
      <c r="A1745" s="449"/>
      <c r="B1745" s="431"/>
      <c r="C1745" s="449"/>
      <c r="F1745" s="431"/>
      <c r="G1745" s="596"/>
      <c r="H1745" s="488"/>
      <c r="J1745" s="449"/>
    </row>
    <row r="1746" spans="1:10" s="428" customFormat="1">
      <c r="A1746" s="449"/>
      <c r="B1746" s="431"/>
      <c r="C1746" s="449"/>
      <c r="F1746" s="431"/>
      <c r="G1746" s="596"/>
      <c r="H1746" s="488"/>
      <c r="J1746" s="449"/>
    </row>
    <row r="1747" spans="1:10" s="428" customFormat="1">
      <c r="A1747" s="449"/>
      <c r="B1747" s="431"/>
      <c r="C1747" s="449"/>
      <c r="F1747" s="431"/>
      <c r="G1747" s="596"/>
      <c r="H1747" s="488"/>
      <c r="J1747" s="449"/>
    </row>
    <row r="1748" spans="1:10" s="428" customFormat="1">
      <c r="A1748" s="449"/>
      <c r="B1748" s="431"/>
      <c r="C1748" s="449"/>
      <c r="F1748" s="431"/>
      <c r="G1748" s="596"/>
      <c r="H1748" s="488"/>
      <c r="J1748" s="449"/>
    </row>
    <row r="1749" spans="1:10" s="428" customFormat="1">
      <c r="A1749" s="449"/>
      <c r="B1749" s="431"/>
      <c r="C1749" s="449"/>
      <c r="F1749" s="431"/>
      <c r="G1749" s="596"/>
      <c r="H1749" s="488"/>
      <c r="J1749" s="449"/>
    </row>
    <row r="1750" spans="1:10" s="428" customFormat="1">
      <c r="A1750" s="449"/>
      <c r="B1750" s="431"/>
      <c r="C1750" s="449"/>
      <c r="F1750" s="431"/>
      <c r="G1750" s="596"/>
      <c r="H1750" s="488"/>
      <c r="J1750" s="449"/>
    </row>
    <row r="1751" spans="1:10" s="428" customFormat="1">
      <c r="A1751" s="449"/>
      <c r="B1751" s="431"/>
      <c r="C1751" s="449"/>
      <c r="F1751" s="431"/>
      <c r="G1751" s="596"/>
      <c r="H1751" s="488"/>
      <c r="J1751" s="449"/>
    </row>
    <row r="1752" spans="1:10" s="428" customFormat="1">
      <c r="A1752" s="449"/>
      <c r="B1752" s="431"/>
      <c r="C1752" s="449"/>
      <c r="F1752" s="431"/>
      <c r="G1752" s="596"/>
      <c r="H1752" s="488"/>
      <c r="J1752" s="449"/>
    </row>
    <row r="1753" spans="1:10" s="428" customFormat="1">
      <c r="A1753" s="449"/>
      <c r="B1753" s="431"/>
      <c r="C1753" s="449"/>
      <c r="F1753" s="431"/>
      <c r="G1753" s="596"/>
      <c r="H1753" s="488"/>
      <c r="J1753" s="449"/>
    </row>
    <row r="1754" spans="1:10" s="428" customFormat="1">
      <c r="A1754" s="449"/>
      <c r="B1754" s="431"/>
      <c r="C1754" s="449"/>
      <c r="F1754" s="431"/>
      <c r="G1754" s="596"/>
      <c r="H1754" s="488"/>
      <c r="J1754" s="449"/>
    </row>
    <row r="1755" spans="1:10" s="428" customFormat="1">
      <c r="A1755" s="449"/>
      <c r="B1755" s="431"/>
      <c r="C1755" s="449"/>
      <c r="F1755" s="431"/>
      <c r="G1755" s="596"/>
      <c r="H1755" s="488"/>
      <c r="J1755" s="449"/>
    </row>
    <row r="1756" spans="1:10" s="428" customFormat="1">
      <c r="A1756" s="449"/>
      <c r="B1756" s="431"/>
      <c r="C1756" s="449"/>
      <c r="F1756" s="431"/>
      <c r="G1756" s="596"/>
      <c r="H1756" s="488"/>
      <c r="J1756" s="449"/>
    </row>
    <row r="1757" spans="1:10" s="428" customFormat="1">
      <c r="A1757" s="449"/>
      <c r="B1757" s="431"/>
      <c r="C1757" s="449"/>
      <c r="F1757" s="431"/>
      <c r="G1757" s="596"/>
      <c r="H1757" s="488"/>
      <c r="J1757" s="449"/>
    </row>
    <row r="1758" spans="1:10" s="428" customFormat="1">
      <c r="A1758" s="449"/>
      <c r="B1758" s="431"/>
      <c r="C1758" s="449"/>
      <c r="F1758" s="431"/>
      <c r="G1758" s="596"/>
      <c r="H1758" s="488"/>
      <c r="J1758" s="449"/>
    </row>
    <row r="1759" spans="1:10" s="428" customFormat="1">
      <c r="A1759" s="449"/>
      <c r="B1759" s="431"/>
      <c r="C1759" s="449"/>
      <c r="F1759" s="431"/>
      <c r="G1759" s="596"/>
      <c r="H1759" s="488"/>
      <c r="J1759" s="449"/>
    </row>
    <row r="1760" spans="1:10" s="428" customFormat="1">
      <c r="A1760" s="449"/>
      <c r="B1760" s="431"/>
      <c r="C1760" s="449"/>
      <c r="F1760" s="431"/>
      <c r="G1760" s="596"/>
      <c r="H1760" s="488"/>
      <c r="J1760" s="449"/>
    </row>
    <row r="1761" spans="1:10" s="428" customFormat="1">
      <c r="A1761" s="449"/>
      <c r="B1761" s="431"/>
      <c r="C1761" s="449"/>
      <c r="F1761" s="431"/>
      <c r="G1761" s="596"/>
      <c r="H1761" s="488"/>
      <c r="J1761" s="449"/>
    </row>
    <row r="1762" spans="1:10" s="428" customFormat="1">
      <c r="A1762" s="449"/>
      <c r="B1762" s="431"/>
      <c r="C1762" s="449"/>
      <c r="F1762" s="431"/>
      <c r="G1762" s="596"/>
      <c r="H1762" s="488"/>
      <c r="J1762" s="449"/>
    </row>
    <row r="1763" spans="1:10" s="428" customFormat="1">
      <c r="A1763" s="449"/>
      <c r="B1763" s="431"/>
      <c r="C1763" s="449"/>
      <c r="F1763" s="431"/>
      <c r="G1763" s="596"/>
      <c r="H1763" s="488"/>
      <c r="J1763" s="449"/>
    </row>
    <row r="1764" spans="1:10" s="428" customFormat="1">
      <c r="A1764" s="449"/>
      <c r="B1764" s="431"/>
      <c r="C1764" s="449"/>
      <c r="F1764" s="431"/>
      <c r="G1764" s="596"/>
      <c r="H1764" s="488"/>
      <c r="J1764" s="449"/>
    </row>
    <row r="1765" spans="1:10" s="428" customFormat="1">
      <c r="A1765" s="449"/>
      <c r="B1765" s="431"/>
      <c r="C1765" s="449"/>
      <c r="F1765" s="431"/>
      <c r="G1765" s="596"/>
      <c r="H1765" s="488"/>
      <c r="J1765" s="449"/>
    </row>
    <row r="1766" spans="1:10" s="428" customFormat="1">
      <c r="A1766" s="449"/>
      <c r="B1766" s="431"/>
      <c r="C1766" s="449"/>
      <c r="F1766" s="431"/>
      <c r="G1766" s="596"/>
      <c r="H1766" s="488"/>
      <c r="J1766" s="449"/>
    </row>
    <row r="1767" spans="1:10" s="428" customFormat="1">
      <c r="A1767" s="449"/>
      <c r="B1767" s="431"/>
      <c r="C1767" s="449"/>
      <c r="F1767" s="431"/>
      <c r="G1767" s="596"/>
      <c r="H1767" s="488"/>
      <c r="J1767" s="449"/>
    </row>
    <row r="1768" spans="1:10" s="428" customFormat="1">
      <c r="A1768" s="449"/>
      <c r="B1768" s="431"/>
      <c r="C1768" s="449"/>
      <c r="F1768" s="431"/>
      <c r="G1768" s="596"/>
      <c r="H1768" s="488"/>
      <c r="J1768" s="449"/>
    </row>
    <row r="1769" spans="1:10" s="428" customFormat="1">
      <c r="A1769" s="449"/>
      <c r="B1769" s="431"/>
      <c r="C1769" s="449"/>
      <c r="F1769" s="431"/>
      <c r="G1769" s="596"/>
      <c r="H1769" s="488"/>
      <c r="J1769" s="449"/>
    </row>
    <row r="1770" spans="1:10" s="428" customFormat="1">
      <c r="A1770" s="449"/>
      <c r="B1770" s="431"/>
      <c r="C1770" s="449"/>
      <c r="F1770" s="431"/>
      <c r="G1770" s="596"/>
      <c r="H1770" s="488"/>
      <c r="J1770" s="449"/>
    </row>
    <row r="1771" spans="1:10" s="428" customFormat="1">
      <c r="A1771" s="449"/>
      <c r="B1771" s="431"/>
      <c r="C1771" s="449"/>
      <c r="F1771" s="431"/>
      <c r="G1771" s="596"/>
      <c r="H1771" s="488"/>
      <c r="J1771" s="449"/>
    </row>
    <row r="1772" spans="1:10" s="428" customFormat="1">
      <c r="A1772" s="449"/>
      <c r="B1772" s="431"/>
      <c r="C1772" s="449"/>
      <c r="F1772" s="431"/>
      <c r="G1772" s="596"/>
      <c r="H1772" s="488"/>
      <c r="J1772" s="449"/>
    </row>
    <row r="1773" spans="1:10" s="428" customFormat="1">
      <c r="A1773" s="449"/>
      <c r="B1773" s="431"/>
      <c r="C1773" s="449"/>
      <c r="F1773" s="431"/>
      <c r="G1773" s="596"/>
      <c r="H1773" s="488"/>
      <c r="J1773" s="449"/>
    </row>
    <row r="1774" spans="1:10" s="428" customFormat="1">
      <c r="A1774" s="449"/>
      <c r="B1774" s="431"/>
      <c r="C1774" s="449"/>
      <c r="F1774" s="431"/>
      <c r="G1774" s="596"/>
      <c r="H1774" s="488"/>
      <c r="J1774" s="449"/>
    </row>
    <row r="1775" spans="1:10" s="428" customFormat="1">
      <c r="A1775" s="449"/>
      <c r="B1775" s="431"/>
      <c r="C1775" s="449"/>
      <c r="F1775" s="431"/>
      <c r="G1775" s="596"/>
      <c r="H1775" s="488"/>
      <c r="J1775" s="449"/>
    </row>
    <row r="1776" spans="1:10" s="428" customFormat="1">
      <c r="A1776" s="449"/>
      <c r="B1776" s="431"/>
      <c r="C1776" s="449"/>
      <c r="F1776" s="431"/>
      <c r="G1776" s="596"/>
      <c r="H1776" s="488"/>
      <c r="J1776" s="449"/>
    </row>
    <row r="1777" spans="1:10" s="428" customFormat="1">
      <c r="A1777" s="449"/>
      <c r="B1777" s="431"/>
      <c r="C1777" s="449"/>
      <c r="F1777" s="431"/>
      <c r="G1777" s="596"/>
      <c r="H1777" s="488"/>
      <c r="J1777" s="449"/>
    </row>
    <row r="1778" spans="1:10" s="428" customFormat="1">
      <c r="A1778" s="449"/>
      <c r="B1778" s="431"/>
      <c r="C1778" s="449"/>
      <c r="F1778" s="431"/>
      <c r="G1778" s="596"/>
      <c r="H1778" s="488"/>
      <c r="J1778" s="449"/>
    </row>
    <row r="1779" spans="1:10" s="428" customFormat="1">
      <c r="A1779" s="449"/>
      <c r="B1779" s="431"/>
      <c r="C1779" s="449"/>
      <c r="F1779" s="431"/>
      <c r="G1779" s="596"/>
      <c r="H1779" s="488"/>
      <c r="J1779" s="449"/>
    </row>
    <row r="1780" spans="1:10" s="428" customFormat="1">
      <c r="A1780" s="449"/>
      <c r="B1780" s="431"/>
      <c r="C1780" s="449"/>
      <c r="F1780" s="431"/>
      <c r="G1780" s="596"/>
      <c r="H1780" s="488"/>
      <c r="J1780" s="449"/>
    </row>
    <row r="1781" spans="1:10" s="428" customFormat="1">
      <c r="A1781" s="449"/>
      <c r="B1781" s="431"/>
      <c r="C1781" s="449"/>
      <c r="F1781" s="431"/>
      <c r="G1781" s="596"/>
      <c r="H1781" s="488"/>
      <c r="J1781" s="449"/>
    </row>
    <row r="1782" spans="1:10" s="428" customFormat="1">
      <c r="A1782" s="449"/>
      <c r="B1782" s="431"/>
      <c r="C1782" s="449"/>
      <c r="F1782" s="431"/>
      <c r="G1782" s="596"/>
      <c r="H1782" s="488"/>
      <c r="J1782" s="449"/>
    </row>
    <row r="1783" spans="1:10" s="428" customFormat="1">
      <c r="A1783" s="449"/>
      <c r="B1783" s="431"/>
      <c r="C1783" s="449"/>
      <c r="F1783" s="431"/>
      <c r="G1783" s="596"/>
      <c r="H1783" s="488"/>
      <c r="J1783" s="449"/>
    </row>
    <row r="1784" spans="1:10" s="428" customFormat="1">
      <c r="A1784" s="449"/>
      <c r="B1784" s="431"/>
      <c r="C1784" s="449"/>
      <c r="F1784" s="431"/>
      <c r="G1784" s="596"/>
      <c r="H1784" s="488"/>
      <c r="J1784" s="449"/>
    </row>
    <row r="1785" spans="1:10" s="428" customFormat="1">
      <c r="A1785" s="449"/>
      <c r="B1785" s="431"/>
      <c r="C1785" s="449"/>
      <c r="F1785" s="431"/>
      <c r="G1785" s="596"/>
      <c r="H1785" s="488"/>
      <c r="J1785" s="449"/>
    </row>
    <row r="1786" spans="1:10" s="428" customFormat="1">
      <c r="A1786" s="449"/>
      <c r="B1786" s="431"/>
      <c r="C1786" s="449"/>
      <c r="F1786" s="431"/>
      <c r="G1786" s="596"/>
      <c r="H1786" s="488"/>
      <c r="J1786" s="449"/>
    </row>
    <row r="1787" spans="1:10" s="428" customFormat="1">
      <c r="A1787" s="449"/>
      <c r="B1787" s="431"/>
      <c r="C1787" s="449"/>
      <c r="F1787" s="431"/>
      <c r="G1787" s="596"/>
      <c r="H1787" s="488"/>
      <c r="J1787" s="449"/>
    </row>
    <row r="1788" spans="1:10" s="428" customFormat="1">
      <c r="A1788" s="449"/>
      <c r="B1788" s="431"/>
      <c r="C1788" s="449"/>
      <c r="F1788" s="431"/>
      <c r="G1788" s="596"/>
      <c r="H1788" s="488"/>
      <c r="J1788" s="449"/>
    </row>
    <row r="1789" spans="1:10" s="428" customFormat="1">
      <c r="A1789" s="449"/>
      <c r="B1789" s="431"/>
      <c r="C1789" s="449"/>
      <c r="F1789" s="431"/>
      <c r="G1789" s="596"/>
      <c r="H1789" s="488"/>
      <c r="J1789" s="449"/>
    </row>
    <row r="1790" spans="1:10" s="428" customFormat="1">
      <c r="A1790" s="449"/>
      <c r="B1790" s="431"/>
      <c r="C1790" s="449"/>
      <c r="F1790" s="431"/>
      <c r="G1790" s="596"/>
      <c r="H1790" s="488"/>
      <c r="J1790" s="449"/>
    </row>
    <row r="1791" spans="1:10" s="428" customFormat="1">
      <c r="A1791" s="449"/>
      <c r="B1791" s="431"/>
      <c r="C1791" s="449"/>
      <c r="F1791" s="431"/>
      <c r="G1791" s="596"/>
      <c r="H1791" s="488"/>
      <c r="J1791" s="449"/>
    </row>
    <row r="1792" spans="1:10" s="428" customFormat="1">
      <c r="A1792" s="449"/>
      <c r="B1792" s="431"/>
      <c r="C1792" s="449"/>
      <c r="F1792" s="431"/>
      <c r="G1792" s="596"/>
      <c r="H1792" s="488"/>
      <c r="J1792" s="449"/>
    </row>
    <row r="1793" spans="1:10" s="428" customFormat="1">
      <c r="A1793" s="449"/>
      <c r="B1793" s="431"/>
      <c r="C1793" s="449"/>
      <c r="F1793" s="431"/>
      <c r="G1793" s="596"/>
      <c r="H1793" s="488"/>
      <c r="J1793" s="449"/>
    </row>
    <row r="1794" spans="1:10" s="428" customFormat="1">
      <c r="A1794" s="449"/>
      <c r="B1794" s="431"/>
      <c r="C1794" s="449"/>
      <c r="F1794" s="431"/>
      <c r="G1794" s="596"/>
      <c r="H1794" s="488"/>
      <c r="J1794" s="449"/>
    </row>
    <row r="1795" spans="1:10" s="428" customFormat="1">
      <c r="A1795" s="449"/>
      <c r="B1795" s="431"/>
      <c r="C1795" s="449"/>
      <c r="F1795" s="431"/>
      <c r="G1795" s="596"/>
      <c r="H1795" s="488"/>
      <c r="J1795" s="449"/>
    </row>
    <row r="1796" spans="1:10" s="428" customFormat="1">
      <c r="A1796" s="449"/>
      <c r="B1796" s="431"/>
      <c r="C1796" s="449"/>
      <c r="F1796" s="431"/>
      <c r="G1796" s="596"/>
      <c r="H1796" s="488"/>
      <c r="J1796" s="449"/>
    </row>
    <row r="1797" spans="1:10" s="428" customFormat="1">
      <c r="A1797" s="449"/>
      <c r="B1797" s="431"/>
      <c r="C1797" s="449"/>
      <c r="F1797" s="431"/>
      <c r="G1797" s="596"/>
      <c r="H1797" s="488"/>
      <c r="J1797" s="449"/>
    </row>
    <row r="1798" spans="1:10" s="428" customFormat="1">
      <c r="A1798" s="449"/>
      <c r="B1798" s="431"/>
      <c r="C1798" s="449"/>
      <c r="F1798" s="431"/>
      <c r="G1798" s="596"/>
      <c r="H1798" s="488"/>
      <c r="J1798" s="449"/>
    </row>
    <row r="1799" spans="1:10" s="428" customFormat="1">
      <c r="A1799" s="449"/>
      <c r="B1799" s="431"/>
      <c r="C1799" s="449"/>
      <c r="F1799" s="431"/>
      <c r="G1799" s="596"/>
      <c r="H1799" s="488"/>
      <c r="J1799" s="449"/>
    </row>
    <row r="1800" spans="1:10" s="428" customFormat="1">
      <c r="A1800" s="449"/>
      <c r="B1800" s="431"/>
      <c r="C1800" s="449"/>
      <c r="F1800" s="431"/>
      <c r="G1800" s="596"/>
      <c r="H1800" s="488"/>
      <c r="J1800" s="449"/>
    </row>
    <row r="1801" spans="1:10" s="428" customFormat="1">
      <c r="A1801" s="449"/>
      <c r="B1801" s="431"/>
      <c r="C1801" s="449"/>
      <c r="F1801" s="431"/>
      <c r="G1801" s="596"/>
      <c r="H1801" s="488"/>
      <c r="J1801" s="449"/>
    </row>
    <row r="1802" spans="1:10" s="428" customFormat="1">
      <c r="A1802" s="449"/>
      <c r="B1802" s="431"/>
      <c r="C1802" s="449"/>
      <c r="F1802" s="431"/>
      <c r="G1802" s="596"/>
      <c r="H1802" s="488"/>
      <c r="J1802" s="449"/>
    </row>
    <row r="1803" spans="1:10" s="428" customFormat="1">
      <c r="A1803" s="449"/>
      <c r="B1803" s="431"/>
      <c r="C1803" s="449"/>
      <c r="F1803" s="431"/>
      <c r="G1803" s="596"/>
      <c r="H1803" s="488"/>
      <c r="J1803" s="449"/>
    </row>
    <row r="1804" spans="1:10" s="428" customFormat="1">
      <c r="A1804" s="449"/>
      <c r="B1804" s="431"/>
      <c r="C1804" s="449"/>
      <c r="F1804" s="431"/>
      <c r="G1804" s="596"/>
      <c r="H1804" s="488"/>
      <c r="J1804" s="449"/>
    </row>
    <row r="1805" spans="1:10" s="428" customFormat="1">
      <c r="A1805" s="449"/>
      <c r="B1805" s="431"/>
      <c r="C1805" s="449"/>
      <c r="F1805" s="431"/>
      <c r="G1805" s="596"/>
      <c r="H1805" s="488"/>
      <c r="J1805" s="449"/>
    </row>
    <row r="1806" spans="1:10" s="428" customFormat="1">
      <c r="A1806" s="449"/>
      <c r="B1806" s="431"/>
      <c r="C1806" s="449"/>
      <c r="F1806" s="431"/>
      <c r="G1806" s="596"/>
      <c r="H1806" s="488"/>
      <c r="J1806" s="449"/>
    </row>
    <row r="1807" spans="1:10" s="428" customFormat="1">
      <c r="A1807" s="449"/>
      <c r="B1807" s="431"/>
      <c r="C1807" s="449"/>
      <c r="F1807" s="431"/>
      <c r="G1807" s="596"/>
      <c r="H1807" s="488"/>
      <c r="J1807" s="449"/>
    </row>
    <row r="1808" spans="1:10" s="428" customFormat="1">
      <c r="A1808" s="449"/>
      <c r="B1808" s="431"/>
      <c r="C1808" s="449"/>
      <c r="F1808" s="431"/>
      <c r="G1808" s="596"/>
      <c r="H1808" s="488"/>
      <c r="J1808" s="449"/>
    </row>
    <row r="1809" spans="1:10" s="428" customFormat="1">
      <c r="A1809" s="449"/>
      <c r="B1809" s="431"/>
      <c r="C1809" s="449"/>
      <c r="F1809" s="431"/>
      <c r="G1809" s="596"/>
      <c r="H1809" s="488"/>
      <c r="J1809" s="449"/>
    </row>
    <row r="1810" spans="1:10" s="428" customFormat="1">
      <c r="A1810" s="449"/>
      <c r="B1810" s="431"/>
      <c r="C1810" s="449"/>
      <c r="F1810" s="431"/>
      <c r="G1810" s="596"/>
      <c r="H1810" s="488"/>
      <c r="J1810" s="449"/>
    </row>
    <row r="1811" spans="1:10" s="428" customFormat="1">
      <c r="A1811" s="449"/>
      <c r="B1811" s="431"/>
      <c r="C1811" s="449"/>
      <c r="F1811" s="431"/>
      <c r="G1811" s="596"/>
      <c r="H1811" s="488"/>
      <c r="J1811" s="449"/>
    </row>
    <row r="1812" spans="1:10" s="428" customFormat="1">
      <c r="A1812" s="449"/>
      <c r="B1812" s="431"/>
      <c r="C1812" s="449"/>
      <c r="F1812" s="431"/>
      <c r="G1812" s="596"/>
      <c r="H1812" s="488"/>
      <c r="J1812" s="449"/>
    </row>
    <row r="1813" spans="1:10" s="428" customFormat="1">
      <c r="A1813" s="449"/>
      <c r="B1813" s="431"/>
      <c r="C1813" s="449"/>
      <c r="F1813" s="431"/>
      <c r="G1813" s="596"/>
      <c r="H1813" s="488"/>
      <c r="J1813" s="449"/>
    </row>
    <row r="1814" spans="1:10" s="428" customFormat="1">
      <c r="A1814" s="449"/>
      <c r="B1814" s="431"/>
      <c r="C1814" s="449"/>
      <c r="F1814" s="431"/>
      <c r="G1814" s="596"/>
      <c r="H1814" s="488"/>
      <c r="J1814" s="449"/>
    </row>
    <row r="1815" spans="1:10" s="428" customFormat="1">
      <c r="A1815" s="449"/>
      <c r="B1815" s="431"/>
      <c r="C1815" s="449"/>
      <c r="F1815" s="431"/>
      <c r="G1815" s="596"/>
      <c r="H1815" s="488"/>
      <c r="J1815" s="449"/>
    </row>
    <row r="1816" spans="1:10" s="428" customFormat="1">
      <c r="A1816" s="449"/>
      <c r="B1816" s="431"/>
      <c r="C1816" s="449"/>
      <c r="F1816" s="431"/>
      <c r="G1816" s="596"/>
      <c r="H1816" s="488"/>
      <c r="J1816" s="449"/>
    </row>
    <row r="1817" spans="1:10" s="428" customFormat="1">
      <c r="A1817" s="449"/>
      <c r="B1817" s="431"/>
      <c r="C1817" s="449"/>
      <c r="F1817" s="431"/>
      <c r="G1817" s="596"/>
      <c r="H1817" s="488"/>
      <c r="J1817" s="449"/>
    </row>
    <row r="1818" spans="1:10" s="428" customFormat="1">
      <c r="A1818" s="449"/>
      <c r="B1818" s="431"/>
      <c r="C1818" s="449"/>
      <c r="F1818" s="431"/>
      <c r="G1818" s="596"/>
      <c r="H1818" s="488"/>
      <c r="J1818" s="449"/>
    </row>
    <row r="1819" spans="1:10" s="428" customFormat="1">
      <c r="A1819" s="449"/>
      <c r="B1819" s="431"/>
      <c r="C1819" s="449"/>
      <c r="F1819" s="431"/>
      <c r="G1819" s="596"/>
      <c r="H1819" s="488"/>
      <c r="J1819" s="449"/>
    </row>
    <row r="1820" spans="1:10" s="428" customFormat="1">
      <c r="A1820" s="449"/>
      <c r="B1820" s="431"/>
      <c r="C1820" s="449"/>
      <c r="F1820" s="431"/>
      <c r="G1820" s="596"/>
      <c r="H1820" s="488"/>
      <c r="J1820" s="449"/>
    </row>
    <row r="1821" spans="1:10" s="428" customFormat="1">
      <c r="A1821" s="449"/>
      <c r="B1821" s="431"/>
      <c r="C1821" s="449"/>
      <c r="F1821" s="431"/>
      <c r="G1821" s="596"/>
      <c r="H1821" s="488"/>
      <c r="J1821" s="449"/>
    </row>
    <row r="1822" spans="1:10" s="428" customFormat="1">
      <c r="A1822" s="449"/>
      <c r="B1822" s="431"/>
      <c r="C1822" s="449"/>
      <c r="F1822" s="431"/>
      <c r="G1822" s="596"/>
      <c r="H1822" s="488"/>
      <c r="J1822" s="449"/>
    </row>
    <row r="1823" spans="1:10" s="428" customFormat="1">
      <c r="A1823" s="449"/>
      <c r="B1823" s="431"/>
      <c r="C1823" s="449"/>
      <c r="F1823" s="431"/>
      <c r="G1823" s="596"/>
      <c r="H1823" s="488"/>
      <c r="J1823" s="449"/>
    </row>
    <row r="1824" spans="1:10" s="428" customFormat="1">
      <c r="A1824" s="449"/>
      <c r="B1824" s="431"/>
      <c r="C1824" s="449"/>
      <c r="F1824" s="431"/>
      <c r="G1824" s="596"/>
      <c r="H1824" s="488"/>
      <c r="J1824" s="449"/>
    </row>
    <row r="1825" spans="1:10" s="428" customFormat="1">
      <c r="A1825" s="449"/>
      <c r="B1825" s="431"/>
      <c r="C1825" s="449"/>
      <c r="F1825" s="431"/>
      <c r="G1825" s="596"/>
      <c r="H1825" s="488"/>
      <c r="J1825" s="449"/>
    </row>
    <row r="1826" spans="1:10" s="428" customFormat="1">
      <c r="A1826" s="449"/>
      <c r="B1826" s="431"/>
      <c r="C1826" s="449"/>
      <c r="F1826" s="431"/>
      <c r="G1826" s="596"/>
      <c r="H1826" s="488"/>
      <c r="J1826" s="449"/>
    </row>
    <row r="1827" spans="1:10" s="428" customFormat="1">
      <c r="A1827" s="449"/>
      <c r="B1827" s="431"/>
      <c r="C1827" s="449"/>
      <c r="F1827" s="431"/>
      <c r="G1827" s="596"/>
      <c r="H1827" s="488"/>
      <c r="J1827" s="449"/>
    </row>
    <row r="1828" spans="1:10" s="428" customFormat="1">
      <c r="A1828" s="449"/>
      <c r="B1828" s="431"/>
      <c r="C1828" s="449"/>
      <c r="F1828" s="431"/>
      <c r="G1828" s="596"/>
      <c r="H1828" s="488"/>
      <c r="J1828" s="449"/>
    </row>
    <row r="1829" spans="1:10" s="428" customFormat="1">
      <c r="A1829" s="449"/>
      <c r="B1829" s="431"/>
      <c r="C1829" s="449"/>
      <c r="F1829" s="431"/>
      <c r="G1829" s="596"/>
      <c r="H1829" s="488"/>
      <c r="J1829" s="449"/>
    </row>
    <row r="1830" spans="1:10" s="428" customFormat="1">
      <c r="A1830" s="449"/>
      <c r="B1830" s="431"/>
      <c r="C1830" s="449"/>
      <c r="F1830" s="431"/>
      <c r="G1830" s="596"/>
      <c r="H1830" s="488"/>
      <c r="J1830" s="449"/>
    </row>
    <row r="1831" spans="1:10" s="428" customFormat="1">
      <c r="A1831" s="449"/>
      <c r="B1831" s="431"/>
      <c r="C1831" s="449"/>
      <c r="F1831" s="431"/>
      <c r="G1831" s="596"/>
      <c r="H1831" s="488"/>
      <c r="J1831" s="449"/>
    </row>
    <row r="1832" spans="1:10" s="428" customFormat="1">
      <c r="A1832" s="449"/>
      <c r="B1832" s="431"/>
      <c r="C1832" s="449"/>
      <c r="F1832" s="431"/>
      <c r="G1832" s="596"/>
      <c r="H1832" s="488"/>
      <c r="J1832" s="449"/>
    </row>
    <row r="1833" spans="1:10" s="428" customFormat="1">
      <c r="A1833" s="449"/>
      <c r="B1833" s="431"/>
      <c r="C1833" s="449"/>
      <c r="F1833" s="431"/>
      <c r="G1833" s="596"/>
      <c r="H1833" s="488"/>
      <c r="J1833" s="449"/>
    </row>
    <row r="1834" spans="1:10" s="428" customFormat="1">
      <c r="A1834" s="449"/>
      <c r="B1834" s="431"/>
      <c r="C1834" s="449"/>
      <c r="F1834" s="431"/>
      <c r="G1834" s="596"/>
      <c r="H1834" s="488"/>
      <c r="J1834" s="449"/>
    </row>
    <row r="1835" spans="1:10" s="428" customFormat="1">
      <c r="A1835" s="449"/>
      <c r="B1835" s="431"/>
      <c r="C1835" s="449"/>
      <c r="F1835" s="431"/>
      <c r="G1835" s="596"/>
      <c r="H1835" s="488"/>
      <c r="J1835" s="449"/>
    </row>
    <row r="1836" spans="1:10" s="428" customFormat="1">
      <c r="A1836" s="449"/>
      <c r="B1836" s="431"/>
      <c r="C1836" s="449"/>
      <c r="F1836" s="431"/>
      <c r="G1836" s="596"/>
      <c r="H1836" s="488"/>
      <c r="J1836" s="449"/>
    </row>
    <row r="1837" spans="1:10" s="428" customFormat="1">
      <c r="A1837" s="449"/>
      <c r="B1837" s="431"/>
      <c r="C1837" s="449"/>
      <c r="F1837" s="431"/>
      <c r="G1837" s="596"/>
      <c r="H1837" s="488"/>
      <c r="J1837" s="449"/>
    </row>
    <row r="1838" spans="1:10" s="428" customFormat="1">
      <c r="A1838" s="449"/>
      <c r="B1838" s="431"/>
      <c r="C1838" s="449"/>
      <c r="F1838" s="431"/>
      <c r="G1838" s="596"/>
      <c r="H1838" s="488"/>
      <c r="J1838" s="449"/>
    </row>
    <row r="1839" spans="1:10" s="428" customFormat="1">
      <c r="A1839" s="449"/>
      <c r="B1839" s="431"/>
      <c r="C1839" s="449"/>
      <c r="F1839" s="431"/>
      <c r="G1839" s="596"/>
      <c r="H1839" s="488"/>
      <c r="J1839" s="449"/>
    </row>
    <row r="1840" spans="1:10" s="428" customFormat="1">
      <c r="A1840" s="449"/>
      <c r="B1840" s="431"/>
      <c r="C1840" s="449"/>
      <c r="F1840" s="431"/>
      <c r="G1840" s="596"/>
      <c r="H1840" s="488"/>
      <c r="J1840" s="449"/>
    </row>
    <row r="1841" spans="1:10" s="428" customFormat="1">
      <c r="A1841" s="449"/>
      <c r="B1841" s="431"/>
      <c r="C1841" s="449"/>
      <c r="F1841" s="431"/>
      <c r="G1841" s="596"/>
      <c r="H1841" s="488"/>
      <c r="J1841" s="449"/>
    </row>
    <row r="1842" spans="1:10" s="428" customFormat="1">
      <c r="A1842" s="449"/>
      <c r="B1842" s="431"/>
      <c r="C1842" s="449"/>
      <c r="F1842" s="431"/>
      <c r="G1842" s="596"/>
      <c r="H1842" s="488"/>
      <c r="J1842" s="449"/>
    </row>
    <row r="1843" spans="1:10" s="428" customFormat="1">
      <c r="A1843" s="449"/>
      <c r="B1843" s="431"/>
      <c r="C1843" s="449"/>
      <c r="F1843" s="431"/>
      <c r="G1843" s="596"/>
      <c r="H1843" s="488"/>
      <c r="J1843" s="449"/>
    </row>
    <row r="1844" spans="1:10" s="428" customFormat="1">
      <c r="A1844" s="449"/>
      <c r="B1844" s="431"/>
      <c r="C1844" s="449"/>
      <c r="F1844" s="431"/>
      <c r="G1844" s="596"/>
      <c r="H1844" s="488"/>
      <c r="J1844" s="449"/>
    </row>
    <row r="1845" spans="1:10" s="428" customFormat="1">
      <c r="A1845" s="449"/>
      <c r="B1845" s="431"/>
      <c r="C1845" s="449"/>
      <c r="F1845" s="431"/>
      <c r="G1845" s="596"/>
      <c r="H1845" s="488"/>
      <c r="J1845" s="449"/>
    </row>
    <row r="1846" spans="1:10" s="428" customFormat="1">
      <c r="A1846" s="449"/>
      <c r="B1846" s="431"/>
      <c r="C1846" s="449"/>
      <c r="F1846" s="431"/>
      <c r="G1846" s="596"/>
      <c r="H1846" s="488"/>
      <c r="J1846" s="449"/>
    </row>
    <row r="1847" spans="1:10" s="428" customFormat="1">
      <c r="A1847" s="449"/>
      <c r="B1847" s="431"/>
      <c r="C1847" s="449"/>
      <c r="F1847" s="431"/>
      <c r="G1847" s="596"/>
      <c r="H1847" s="488"/>
      <c r="J1847" s="449"/>
    </row>
    <row r="1848" spans="1:10" s="428" customFormat="1">
      <c r="A1848" s="449"/>
      <c r="B1848" s="431"/>
      <c r="C1848" s="449"/>
      <c r="F1848" s="431"/>
      <c r="G1848" s="596"/>
      <c r="H1848" s="488"/>
      <c r="J1848" s="449"/>
    </row>
    <row r="1849" spans="1:10" s="428" customFormat="1">
      <c r="A1849" s="449"/>
      <c r="B1849" s="431"/>
      <c r="C1849" s="449"/>
      <c r="F1849" s="431"/>
      <c r="G1849" s="596"/>
      <c r="H1849" s="488"/>
      <c r="J1849" s="449"/>
    </row>
    <row r="1850" spans="1:10" s="428" customFormat="1">
      <c r="A1850" s="449"/>
      <c r="B1850" s="431"/>
      <c r="C1850" s="449"/>
      <c r="F1850" s="431"/>
      <c r="G1850" s="596"/>
      <c r="H1850" s="488"/>
      <c r="J1850" s="449"/>
    </row>
    <row r="1851" spans="1:10" s="428" customFormat="1">
      <c r="A1851" s="449"/>
      <c r="B1851" s="431"/>
      <c r="C1851" s="449"/>
      <c r="F1851" s="431"/>
      <c r="G1851" s="596"/>
      <c r="H1851" s="488"/>
      <c r="J1851" s="449"/>
    </row>
    <row r="1852" spans="1:10" s="428" customFormat="1">
      <c r="A1852" s="449"/>
      <c r="B1852" s="431"/>
      <c r="C1852" s="449"/>
      <c r="F1852" s="431"/>
      <c r="G1852" s="596"/>
      <c r="H1852" s="488"/>
      <c r="J1852" s="449"/>
    </row>
    <row r="1853" spans="1:10" s="428" customFormat="1">
      <c r="A1853" s="449"/>
      <c r="B1853" s="431"/>
      <c r="C1853" s="449"/>
      <c r="F1853" s="431"/>
      <c r="G1853" s="596"/>
      <c r="H1853" s="488"/>
      <c r="J1853" s="449"/>
    </row>
    <row r="1854" spans="1:10" s="428" customFormat="1">
      <c r="A1854" s="449"/>
      <c r="B1854" s="431"/>
      <c r="C1854" s="449"/>
      <c r="F1854" s="431"/>
      <c r="G1854" s="596"/>
      <c r="H1854" s="488"/>
      <c r="J1854" s="449"/>
    </row>
    <row r="1855" spans="1:10" s="428" customFormat="1">
      <c r="A1855" s="449"/>
      <c r="B1855" s="431"/>
      <c r="C1855" s="449"/>
      <c r="F1855" s="431"/>
      <c r="G1855" s="596"/>
      <c r="H1855" s="488"/>
      <c r="J1855" s="449"/>
    </row>
    <row r="1856" spans="1:10" s="428" customFormat="1">
      <c r="A1856" s="449"/>
      <c r="B1856" s="431"/>
      <c r="C1856" s="449"/>
      <c r="F1856" s="431"/>
      <c r="G1856" s="596"/>
      <c r="H1856" s="488"/>
      <c r="J1856" s="449"/>
    </row>
    <row r="1857" spans="1:10" s="428" customFormat="1">
      <c r="A1857" s="449"/>
      <c r="B1857" s="431"/>
      <c r="C1857" s="449"/>
      <c r="F1857" s="431"/>
      <c r="G1857" s="596"/>
      <c r="H1857" s="488"/>
      <c r="J1857" s="449"/>
    </row>
    <row r="1858" spans="1:10" s="428" customFormat="1">
      <c r="A1858" s="449"/>
      <c r="B1858" s="431"/>
      <c r="C1858" s="449"/>
      <c r="F1858" s="431"/>
      <c r="G1858" s="596"/>
      <c r="H1858" s="488"/>
      <c r="J1858" s="449"/>
    </row>
    <row r="1859" spans="1:10" s="428" customFormat="1">
      <c r="A1859" s="449"/>
      <c r="B1859" s="431"/>
      <c r="C1859" s="449"/>
      <c r="F1859" s="431"/>
      <c r="G1859" s="596"/>
      <c r="H1859" s="488"/>
      <c r="J1859" s="449"/>
    </row>
    <row r="1860" spans="1:10" s="428" customFormat="1">
      <c r="A1860" s="449"/>
      <c r="B1860" s="431"/>
      <c r="C1860" s="449"/>
      <c r="F1860" s="431"/>
      <c r="G1860" s="596"/>
      <c r="H1860" s="488"/>
      <c r="J1860" s="449"/>
    </row>
    <row r="1861" spans="1:10" s="428" customFormat="1">
      <c r="A1861" s="449"/>
      <c r="B1861" s="431"/>
      <c r="C1861" s="449"/>
      <c r="F1861" s="431"/>
      <c r="G1861" s="596"/>
      <c r="H1861" s="488"/>
      <c r="J1861" s="449"/>
    </row>
    <row r="1862" spans="1:10" s="428" customFormat="1">
      <c r="A1862" s="449"/>
      <c r="B1862" s="431"/>
      <c r="C1862" s="449"/>
      <c r="F1862" s="431"/>
      <c r="G1862" s="596"/>
      <c r="H1862" s="488"/>
      <c r="J1862" s="449"/>
    </row>
    <row r="1863" spans="1:10" s="428" customFormat="1">
      <c r="A1863" s="449"/>
      <c r="B1863" s="431"/>
      <c r="C1863" s="449"/>
      <c r="F1863" s="431"/>
      <c r="G1863" s="596"/>
      <c r="H1863" s="488"/>
      <c r="J1863" s="449"/>
    </row>
    <row r="1864" spans="1:10" s="428" customFormat="1">
      <c r="A1864" s="449"/>
      <c r="B1864" s="431"/>
      <c r="C1864" s="449"/>
      <c r="F1864" s="431"/>
      <c r="G1864" s="596"/>
      <c r="H1864" s="488"/>
      <c r="J1864" s="449"/>
    </row>
    <row r="1865" spans="1:10" s="428" customFormat="1">
      <c r="A1865" s="449"/>
      <c r="B1865" s="431"/>
      <c r="C1865" s="449"/>
      <c r="F1865" s="431"/>
      <c r="G1865" s="596"/>
      <c r="H1865" s="488"/>
      <c r="J1865" s="449"/>
    </row>
    <row r="1866" spans="1:10" s="428" customFormat="1">
      <c r="A1866" s="449"/>
      <c r="B1866" s="431"/>
      <c r="C1866" s="449"/>
      <c r="F1866" s="431"/>
      <c r="G1866" s="596"/>
      <c r="H1866" s="488"/>
      <c r="J1866" s="449"/>
    </row>
    <row r="1867" spans="1:10" s="428" customFormat="1">
      <c r="A1867" s="449"/>
      <c r="B1867" s="431"/>
      <c r="C1867" s="449"/>
      <c r="F1867" s="431"/>
      <c r="G1867" s="596"/>
      <c r="H1867" s="488"/>
      <c r="J1867" s="449"/>
    </row>
    <row r="1868" spans="1:10" s="428" customFormat="1">
      <c r="A1868" s="449"/>
      <c r="B1868" s="431"/>
      <c r="C1868" s="449"/>
      <c r="F1868" s="431"/>
      <c r="G1868" s="596"/>
      <c r="H1868" s="488"/>
      <c r="J1868" s="449"/>
    </row>
    <row r="1869" spans="1:10" s="428" customFormat="1">
      <c r="A1869" s="449"/>
      <c r="B1869" s="431"/>
      <c r="C1869" s="449"/>
      <c r="F1869" s="431"/>
      <c r="G1869" s="596"/>
      <c r="H1869" s="488"/>
      <c r="J1869" s="449"/>
    </row>
    <row r="1870" spans="1:10" s="428" customFormat="1">
      <c r="A1870" s="449"/>
      <c r="B1870" s="431"/>
      <c r="C1870" s="449"/>
      <c r="F1870" s="431"/>
      <c r="G1870" s="596"/>
      <c r="H1870" s="488"/>
      <c r="J1870" s="449"/>
    </row>
    <row r="1871" spans="1:10" s="428" customFormat="1">
      <c r="A1871" s="449"/>
      <c r="B1871" s="431"/>
      <c r="C1871" s="449"/>
      <c r="F1871" s="431"/>
      <c r="G1871" s="596"/>
      <c r="H1871" s="488"/>
      <c r="J1871" s="449"/>
    </row>
    <row r="1872" spans="1:10" s="428" customFormat="1">
      <c r="A1872" s="449"/>
      <c r="B1872" s="431"/>
      <c r="C1872" s="449"/>
      <c r="F1872" s="431"/>
      <c r="G1872" s="596"/>
      <c r="H1872" s="488"/>
      <c r="J1872" s="449"/>
    </row>
    <row r="1873" spans="1:10" s="428" customFormat="1">
      <c r="A1873" s="449"/>
      <c r="B1873" s="431"/>
      <c r="C1873" s="449"/>
      <c r="F1873" s="431"/>
      <c r="G1873" s="596"/>
      <c r="H1873" s="488"/>
      <c r="J1873" s="449"/>
    </row>
    <row r="1874" spans="1:10" s="428" customFormat="1">
      <c r="A1874" s="449"/>
      <c r="B1874" s="431"/>
      <c r="C1874" s="449"/>
      <c r="F1874" s="431"/>
      <c r="G1874" s="596"/>
      <c r="H1874" s="488"/>
      <c r="J1874" s="449"/>
    </row>
    <row r="1875" spans="1:10" s="428" customFormat="1">
      <c r="A1875" s="449"/>
      <c r="B1875" s="431"/>
      <c r="C1875" s="449"/>
      <c r="F1875" s="431"/>
      <c r="G1875" s="596"/>
      <c r="H1875" s="488"/>
      <c r="J1875" s="449"/>
    </row>
    <row r="1876" spans="1:10" s="428" customFormat="1">
      <c r="A1876" s="449"/>
      <c r="B1876" s="431"/>
      <c r="C1876" s="449"/>
      <c r="F1876" s="431"/>
      <c r="G1876" s="596"/>
      <c r="H1876" s="488"/>
      <c r="J1876" s="449"/>
    </row>
    <row r="1877" spans="1:10" s="428" customFormat="1">
      <c r="A1877" s="449"/>
      <c r="B1877" s="431"/>
      <c r="C1877" s="449"/>
      <c r="F1877" s="431"/>
      <c r="G1877" s="596"/>
      <c r="H1877" s="488"/>
      <c r="J1877" s="449"/>
    </row>
    <row r="1878" spans="1:10" s="428" customFormat="1">
      <c r="A1878" s="449"/>
      <c r="B1878" s="431"/>
      <c r="C1878" s="449"/>
      <c r="F1878" s="431"/>
      <c r="G1878" s="596"/>
      <c r="H1878" s="488"/>
      <c r="J1878" s="449"/>
    </row>
    <row r="1879" spans="1:10" s="428" customFormat="1">
      <c r="A1879" s="449"/>
      <c r="B1879" s="431"/>
      <c r="C1879" s="449"/>
      <c r="F1879" s="431"/>
      <c r="G1879" s="596"/>
      <c r="H1879" s="488"/>
      <c r="J1879" s="449"/>
    </row>
    <row r="1880" spans="1:10" s="428" customFormat="1">
      <c r="A1880" s="449"/>
      <c r="B1880" s="431"/>
      <c r="C1880" s="449"/>
      <c r="F1880" s="431"/>
      <c r="G1880" s="596"/>
      <c r="H1880" s="488"/>
      <c r="J1880" s="449"/>
    </row>
    <row r="1881" spans="1:10" s="428" customFormat="1">
      <c r="A1881" s="449"/>
      <c r="B1881" s="431"/>
      <c r="C1881" s="449"/>
      <c r="F1881" s="431"/>
      <c r="G1881" s="596"/>
      <c r="H1881" s="488"/>
      <c r="J1881" s="449"/>
    </row>
    <row r="1882" spans="1:10" s="428" customFormat="1">
      <c r="A1882" s="449"/>
      <c r="B1882" s="431"/>
      <c r="C1882" s="449"/>
      <c r="F1882" s="431"/>
      <c r="G1882" s="596"/>
      <c r="H1882" s="488"/>
      <c r="J1882" s="449"/>
    </row>
    <row r="1883" spans="1:10" s="428" customFormat="1">
      <c r="A1883" s="449"/>
      <c r="B1883" s="431"/>
      <c r="C1883" s="449"/>
      <c r="F1883" s="431"/>
      <c r="G1883" s="596"/>
      <c r="H1883" s="488"/>
      <c r="J1883" s="449"/>
    </row>
    <row r="1884" spans="1:10" s="428" customFormat="1">
      <c r="A1884" s="449"/>
      <c r="B1884" s="431"/>
      <c r="C1884" s="449"/>
      <c r="F1884" s="431"/>
      <c r="G1884" s="596"/>
      <c r="H1884" s="488"/>
      <c r="J1884" s="449"/>
    </row>
    <row r="1885" spans="1:10" s="428" customFormat="1">
      <c r="A1885" s="449"/>
      <c r="B1885" s="431"/>
      <c r="C1885" s="449"/>
      <c r="F1885" s="431"/>
      <c r="G1885" s="596"/>
      <c r="H1885" s="488"/>
      <c r="J1885" s="449"/>
    </row>
    <row r="1886" spans="1:10" s="428" customFormat="1">
      <c r="A1886" s="449"/>
      <c r="B1886" s="431"/>
      <c r="C1886" s="449"/>
      <c r="F1886" s="431"/>
      <c r="G1886" s="596"/>
      <c r="H1886" s="488"/>
      <c r="J1886" s="449"/>
    </row>
    <row r="1887" spans="1:10" s="428" customFormat="1">
      <c r="A1887" s="449"/>
      <c r="B1887" s="431"/>
      <c r="C1887" s="449"/>
      <c r="F1887" s="431"/>
      <c r="G1887" s="596"/>
      <c r="H1887" s="488"/>
      <c r="J1887" s="449"/>
    </row>
    <row r="1888" spans="1:10" s="428" customFormat="1">
      <c r="A1888" s="449"/>
      <c r="B1888" s="431"/>
      <c r="C1888" s="449"/>
      <c r="F1888" s="431"/>
      <c r="G1888" s="596"/>
      <c r="H1888" s="488"/>
      <c r="J1888" s="449"/>
    </row>
    <row r="1889" spans="1:10" s="428" customFormat="1">
      <c r="A1889" s="449"/>
      <c r="B1889" s="431"/>
      <c r="C1889" s="449"/>
      <c r="F1889" s="431"/>
      <c r="G1889" s="596"/>
      <c r="H1889" s="488"/>
      <c r="J1889" s="449"/>
    </row>
    <row r="1890" spans="1:10" s="428" customFormat="1">
      <c r="A1890" s="449"/>
      <c r="B1890" s="431"/>
      <c r="C1890" s="449"/>
      <c r="F1890" s="431"/>
      <c r="G1890" s="596"/>
      <c r="H1890" s="488"/>
      <c r="J1890" s="449"/>
    </row>
    <row r="1891" spans="1:10" s="428" customFormat="1">
      <c r="A1891" s="449"/>
      <c r="B1891" s="431"/>
      <c r="C1891" s="449"/>
      <c r="F1891" s="431"/>
      <c r="G1891" s="596"/>
      <c r="H1891" s="488"/>
      <c r="J1891" s="449"/>
    </row>
    <row r="1892" spans="1:10" s="428" customFormat="1">
      <c r="A1892" s="449"/>
      <c r="B1892" s="431"/>
      <c r="C1892" s="449"/>
      <c r="F1892" s="431"/>
      <c r="G1892" s="596"/>
      <c r="H1892" s="488"/>
      <c r="J1892" s="449"/>
    </row>
    <row r="1893" spans="1:10" s="428" customFormat="1">
      <c r="A1893" s="449"/>
      <c r="B1893" s="431"/>
      <c r="C1893" s="449"/>
      <c r="F1893" s="431"/>
      <c r="G1893" s="596"/>
      <c r="H1893" s="488"/>
      <c r="J1893" s="449"/>
    </row>
    <row r="1894" spans="1:10" s="428" customFormat="1">
      <c r="A1894" s="449"/>
      <c r="B1894" s="431"/>
      <c r="C1894" s="449"/>
      <c r="F1894" s="431"/>
      <c r="G1894" s="596"/>
      <c r="H1894" s="488"/>
      <c r="J1894" s="449"/>
    </row>
    <row r="1895" spans="1:10" s="428" customFormat="1">
      <c r="A1895" s="449"/>
      <c r="B1895" s="431"/>
      <c r="C1895" s="449"/>
      <c r="F1895" s="431"/>
      <c r="G1895" s="596"/>
      <c r="H1895" s="488"/>
      <c r="J1895" s="449"/>
    </row>
    <row r="1896" spans="1:10" s="428" customFormat="1">
      <c r="A1896" s="449"/>
      <c r="B1896" s="431"/>
      <c r="C1896" s="449"/>
      <c r="F1896" s="431"/>
      <c r="G1896" s="596"/>
      <c r="H1896" s="488"/>
      <c r="J1896" s="449"/>
    </row>
    <row r="1897" spans="1:10" s="428" customFormat="1">
      <c r="A1897" s="449"/>
      <c r="B1897" s="431"/>
      <c r="C1897" s="449"/>
      <c r="F1897" s="431"/>
      <c r="G1897" s="596"/>
      <c r="H1897" s="488"/>
      <c r="J1897" s="449"/>
    </row>
    <row r="1898" spans="1:10" s="428" customFormat="1">
      <c r="A1898" s="449"/>
      <c r="B1898" s="431"/>
      <c r="C1898" s="449"/>
      <c r="F1898" s="431"/>
      <c r="G1898" s="596"/>
      <c r="H1898" s="488"/>
      <c r="J1898" s="449"/>
    </row>
    <row r="1899" spans="1:10" s="428" customFormat="1">
      <c r="A1899" s="449"/>
      <c r="B1899" s="431"/>
      <c r="C1899" s="449"/>
      <c r="F1899" s="431"/>
      <c r="G1899" s="596"/>
      <c r="H1899" s="488"/>
      <c r="J1899" s="449"/>
    </row>
    <row r="1900" spans="1:10" s="428" customFormat="1">
      <c r="A1900" s="449"/>
      <c r="B1900" s="431"/>
      <c r="C1900" s="449"/>
      <c r="F1900" s="431"/>
      <c r="G1900" s="596"/>
      <c r="H1900" s="488"/>
      <c r="J1900" s="449"/>
    </row>
    <row r="1901" spans="1:10" s="428" customFormat="1">
      <c r="A1901" s="449"/>
      <c r="B1901" s="431"/>
      <c r="C1901" s="449"/>
      <c r="F1901" s="431"/>
      <c r="G1901" s="596"/>
      <c r="H1901" s="488"/>
      <c r="J1901" s="449"/>
    </row>
    <row r="1902" spans="1:10" s="428" customFormat="1">
      <c r="A1902" s="449"/>
      <c r="B1902" s="431"/>
      <c r="C1902" s="449"/>
      <c r="F1902" s="431"/>
      <c r="G1902" s="596"/>
      <c r="H1902" s="488"/>
      <c r="J1902" s="449"/>
    </row>
    <row r="1903" spans="1:10" s="428" customFormat="1">
      <c r="A1903" s="449"/>
      <c r="B1903" s="431"/>
      <c r="C1903" s="449"/>
      <c r="F1903" s="431"/>
      <c r="G1903" s="596"/>
      <c r="H1903" s="488"/>
      <c r="J1903" s="449"/>
    </row>
    <row r="1904" spans="1:10" s="428" customFormat="1">
      <c r="A1904" s="449"/>
      <c r="B1904" s="431"/>
      <c r="C1904" s="449"/>
      <c r="F1904" s="431"/>
      <c r="G1904" s="596"/>
      <c r="H1904" s="488"/>
      <c r="J1904" s="449"/>
    </row>
    <row r="1905" spans="1:10" s="428" customFormat="1">
      <c r="A1905" s="449"/>
      <c r="B1905" s="431"/>
      <c r="C1905" s="449"/>
      <c r="F1905" s="431"/>
      <c r="G1905" s="596"/>
      <c r="H1905" s="488"/>
      <c r="J1905" s="449"/>
    </row>
    <row r="1906" spans="1:10" s="428" customFormat="1">
      <c r="A1906" s="449"/>
      <c r="B1906" s="431"/>
      <c r="C1906" s="449"/>
      <c r="F1906" s="431"/>
      <c r="G1906" s="596"/>
      <c r="H1906" s="488"/>
      <c r="J1906" s="449"/>
    </row>
    <row r="1907" spans="1:10" s="428" customFormat="1">
      <c r="A1907" s="449"/>
      <c r="B1907" s="431"/>
      <c r="C1907" s="449"/>
      <c r="F1907" s="431"/>
      <c r="G1907" s="596"/>
      <c r="H1907" s="488"/>
      <c r="J1907" s="449"/>
    </row>
    <row r="1908" spans="1:10" s="428" customFormat="1">
      <c r="A1908" s="449"/>
      <c r="B1908" s="431"/>
      <c r="C1908" s="449"/>
      <c r="F1908" s="431"/>
      <c r="G1908" s="596"/>
      <c r="H1908" s="488"/>
      <c r="J1908" s="449"/>
    </row>
    <row r="1909" spans="1:10" s="428" customFormat="1">
      <c r="A1909" s="449"/>
      <c r="B1909" s="431"/>
      <c r="C1909" s="449"/>
      <c r="F1909" s="431"/>
      <c r="G1909" s="596"/>
      <c r="H1909" s="488"/>
      <c r="J1909" s="449"/>
    </row>
    <row r="1910" spans="1:10" s="428" customFormat="1">
      <c r="A1910" s="449"/>
      <c r="B1910" s="431"/>
      <c r="C1910" s="449"/>
      <c r="F1910" s="431"/>
      <c r="G1910" s="596"/>
      <c r="H1910" s="488"/>
      <c r="J1910" s="449"/>
    </row>
    <row r="1911" spans="1:10" s="428" customFormat="1">
      <c r="A1911" s="449"/>
      <c r="B1911" s="431"/>
      <c r="C1911" s="449"/>
      <c r="F1911" s="431"/>
      <c r="G1911" s="596"/>
      <c r="H1911" s="488"/>
      <c r="J1911" s="449"/>
    </row>
    <row r="1912" spans="1:10" s="428" customFormat="1">
      <c r="A1912" s="449"/>
      <c r="B1912" s="431"/>
      <c r="C1912" s="449"/>
      <c r="F1912" s="431"/>
      <c r="G1912" s="596"/>
      <c r="H1912" s="488"/>
      <c r="J1912" s="449"/>
    </row>
    <row r="1913" spans="1:10" s="428" customFormat="1">
      <c r="A1913" s="449"/>
      <c r="B1913" s="431"/>
      <c r="C1913" s="449"/>
      <c r="F1913" s="431"/>
      <c r="G1913" s="596"/>
      <c r="H1913" s="488"/>
      <c r="J1913" s="449"/>
    </row>
    <row r="1914" spans="1:10" s="428" customFormat="1">
      <c r="A1914" s="449"/>
      <c r="B1914" s="431"/>
      <c r="C1914" s="449"/>
      <c r="F1914" s="431"/>
      <c r="G1914" s="596"/>
      <c r="H1914" s="488"/>
      <c r="J1914" s="449"/>
    </row>
    <row r="1915" spans="1:10" s="428" customFormat="1">
      <c r="A1915" s="449"/>
      <c r="B1915" s="431"/>
      <c r="C1915" s="449"/>
      <c r="F1915" s="431"/>
      <c r="G1915" s="596"/>
      <c r="H1915" s="488"/>
      <c r="J1915" s="449"/>
    </row>
    <row r="1916" spans="1:10" s="428" customFormat="1">
      <c r="A1916" s="449"/>
      <c r="B1916" s="431"/>
      <c r="C1916" s="449"/>
      <c r="F1916" s="431"/>
      <c r="G1916" s="596"/>
      <c r="H1916" s="488"/>
      <c r="J1916" s="449"/>
    </row>
    <row r="1917" spans="1:10" s="428" customFormat="1">
      <c r="A1917" s="449"/>
      <c r="B1917" s="431"/>
      <c r="C1917" s="449"/>
      <c r="F1917" s="431"/>
      <c r="G1917" s="596"/>
      <c r="H1917" s="488"/>
      <c r="J1917" s="449"/>
    </row>
    <row r="1918" spans="1:10" s="428" customFormat="1">
      <c r="A1918" s="449"/>
      <c r="B1918" s="431"/>
      <c r="C1918" s="449"/>
      <c r="F1918" s="431"/>
      <c r="G1918" s="596"/>
      <c r="H1918" s="488"/>
      <c r="J1918" s="449"/>
    </row>
    <row r="1919" spans="1:10" s="428" customFormat="1">
      <c r="A1919" s="449"/>
      <c r="B1919" s="431"/>
      <c r="C1919" s="449"/>
      <c r="F1919" s="431"/>
      <c r="G1919" s="596"/>
      <c r="H1919" s="488"/>
      <c r="J1919" s="449"/>
    </row>
    <row r="1920" spans="1:10" s="428" customFormat="1">
      <c r="A1920" s="449"/>
      <c r="B1920" s="431"/>
      <c r="C1920" s="449"/>
      <c r="F1920" s="431"/>
      <c r="G1920" s="596"/>
      <c r="H1920" s="488"/>
      <c r="J1920" s="449"/>
    </row>
    <row r="1921" spans="1:10" s="428" customFormat="1">
      <c r="A1921" s="449"/>
      <c r="B1921" s="431"/>
      <c r="C1921" s="449"/>
      <c r="F1921" s="431"/>
      <c r="G1921" s="596"/>
      <c r="H1921" s="488"/>
      <c r="J1921" s="449"/>
    </row>
    <row r="1922" spans="1:10" s="428" customFormat="1">
      <c r="A1922" s="449"/>
      <c r="B1922" s="431"/>
      <c r="C1922" s="449"/>
      <c r="F1922" s="431"/>
      <c r="G1922" s="596"/>
      <c r="H1922" s="488"/>
      <c r="J1922" s="449"/>
    </row>
    <row r="1923" spans="1:10" s="428" customFormat="1">
      <c r="A1923" s="449"/>
      <c r="B1923" s="431"/>
      <c r="C1923" s="449"/>
      <c r="F1923" s="431"/>
      <c r="G1923" s="596"/>
      <c r="H1923" s="488"/>
      <c r="J1923" s="449"/>
    </row>
    <row r="1924" spans="1:10" s="428" customFormat="1">
      <c r="A1924" s="449"/>
      <c r="B1924" s="431"/>
      <c r="C1924" s="449"/>
      <c r="F1924" s="431"/>
      <c r="G1924" s="596"/>
      <c r="H1924" s="488"/>
      <c r="J1924" s="449"/>
    </row>
    <row r="1925" spans="1:10" s="428" customFormat="1">
      <c r="A1925" s="449"/>
      <c r="B1925" s="431"/>
      <c r="C1925" s="449"/>
      <c r="F1925" s="431"/>
      <c r="G1925" s="596"/>
      <c r="H1925" s="488"/>
      <c r="J1925" s="449"/>
    </row>
    <row r="1926" spans="1:10" s="428" customFormat="1">
      <c r="A1926" s="449"/>
      <c r="B1926" s="431"/>
      <c r="C1926" s="449"/>
      <c r="F1926" s="431"/>
      <c r="G1926" s="596"/>
      <c r="H1926" s="488"/>
      <c r="J1926" s="449"/>
    </row>
    <row r="1927" spans="1:10" s="428" customFormat="1">
      <c r="A1927" s="449"/>
      <c r="B1927" s="431"/>
      <c r="C1927" s="449"/>
      <c r="F1927" s="431"/>
      <c r="G1927" s="596"/>
      <c r="H1927" s="488"/>
      <c r="J1927" s="449"/>
    </row>
    <row r="1928" spans="1:10" s="428" customFormat="1">
      <c r="A1928" s="449"/>
      <c r="B1928" s="431"/>
      <c r="C1928" s="449"/>
      <c r="F1928" s="431"/>
      <c r="G1928" s="596"/>
      <c r="H1928" s="488"/>
      <c r="J1928" s="449"/>
    </row>
    <row r="1929" spans="1:10" s="428" customFormat="1">
      <c r="A1929" s="449"/>
      <c r="B1929" s="431"/>
      <c r="C1929" s="449"/>
      <c r="F1929" s="431"/>
      <c r="G1929" s="596"/>
      <c r="H1929" s="488"/>
      <c r="J1929" s="449"/>
    </row>
    <row r="1930" spans="1:10" s="428" customFormat="1">
      <c r="A1930" s="449"/>
      <c r="B1930" s="431"/>
      <c r="C1930" s="449"/>
      <c r="F1930" s="431"/>
      <c r="G1930" s="596"/>
      <c r="H1930" s="488"/>
      <c r="J1930" s="449"/>
    </row>
    <row r="1931" spans="1:10" s="428" customFormat="1">
      <c r="A1931" s="449"/>
      <c r="B1931" s="431"/>
      <c r="C1931" s="449"/>
      <c r="F1931" s="431"/>
      <c r="G1931" s="596"/>
      <c r="H1931" s="488"/>
      <c r="J1931" s="449"/>
    </row>
    <row r="1932" spans="1:10" s="428" customFormat="1">
      <c r="A1932" s="449"/>
      <c r="B1932" s="431"/>
      <c r="C1932" s="449"/>
      <c r="F1932" s="431"/>
      <c r="G1932" s="596"/>
      <c r="H1932" s="488"/>
      <c r="J1932" s="449"/>
    </row>
    <row r="1933" spans="1:10" s="428" customFormat="1">
      <c r="A1933" s="449"/>
      <c r="B1933" s="431"/>
      <c r="C1933" s="449"/>
      <c r="F1933" s="431"/>
      <c r="G1933" s="596"/>
      <c r="H1933" s="488"/>
      <c r="J1933" s="449"/>
    </row>
    <row r="1934" spans="1:10" s="428" customFormat="1">
      <c r="A1934" s="449"/>
      <c r="B1934" s="431"/>
      <c r="C1934" s="449"/>
      <c r="F1934" s="431"/>
      <c r="G1934" s="596"/>
      <c r="H1934" s="488"/>
      <c r="J1934" s="449"/>
    </row>
    <row r="1935" spans="1:10" s="428" customFormat="1">
      <c r="A1935" s="449"/>
      <c r="B1935" s="431"/>
      <c r="C1935" s="449"/>
      <c r="F1935" s="431"/>
      <c r="G1935" s="596"/>
      <c r="H1935" s="488"/>
      <c r="J1935" s="449"/>
    </row>
    <row r="1936" spans="1:10" s="428" customFormat="1">
      <c r="A1936" s="449"/>
      <c r="B1936" s="431"/>
      <c r="C1936" s="449"/>
      <c r="F1936" s="431"/>
      <c r="G1936" s="596"/>
      <c r="H1936" s="488"/>
      <c r="J1936" s="449"/>
    </row>
    <row r="1937" spans="1:10" s="428" customFormat="1">
      <c r="A1937" s="449"/>
      <c r="B1937" s="431"/>
      <c r="C1937" s="449"/>
      <c r="F1937" s="431"/>
      <c r="G1937" s="596"/>
      <c r="H1937" s="488"/>
      <c r="J1937" s="449"/>
    </row>
    <row r="1938" spans="1:10" s="428" customFormat="1">
      <c r="A1938" s="449"/>
      <c r="B1938" s="431"/>
      <c r="C1938" s="449"/>
      <c r="F1938" s="431"/>
      <c r="G1938" s="596"/>
      <c r="H1938" s="488"/>
      <c r="J1938" s="449"/>
    </row>
    <row r="1939" spans="1:10" s="428" customFormat="1">
      <c r="A1939" s="449"/>
      <c r="B1939" s="431"/>
      <c r="C1939" s="449"/>
      <c r="F1939" s="431"/>
      <c r="G1939" s="596"/>
      <c r="H1939" s="488"/>
      <c r="J1939" s="449"/>
    </row>
    <row r="1940" spans="1:10" s="428" customFormat="1">
      <c r="A1940" s="449"/>
      <c r="B1940" s="431"/>
      <c r="C1940" s="449"/>
      <c r="F1940" s="431"/>
      <c r="G1940" s="596"/>
      <c r="H1940" s="488"/>
      <c r="J1940" s="449"/>
    </row>
    <row r="1941" spans="1:10" s="428" customFormat="1">
      <c r="A1941" s="449"/>
      <c r="B1941" s="431"/>
      <c r="C1941" s="449"/>
      <c r="F1941" s="431"/>
      <c r="G1941" s="596"/>
      <c r="H1941" s="488"/>
      <c r="J1941" s="449"/>
    </row>
    <row r="1942" spans="1:10" s="428" customFormat="1">
      <c r="A1942" s="449"/>
      <c r="B1942" s="431"/>
      <c r="C1942" s="449"/>
      <c r="F1942" s="431"/>
      <c r="G1942" s="596"/>
      <c r="H1942" s="488"/>
      <c r="J1942" s="449"/>
    </row>
    <row r="1943" spans="1:10" s="428" customFormat="1">
      <c r="A1943" s="449"/>
      <c r="B1943" s="431"/>
      <c r="C1943" s="449"/>
      <c r="F1943" s="431"/>
      <c r="G1943" s="596"/>
      <c r="H1943" s="488"/>
      <c r="J1943" s="449"/>
    </row>
    <row r="1944" spans="1:10" s="428" customFormat="1">
      <c r="A1944" s="449"/>
      <c r="B1944" s="431"/>
      <c r="C1944" s="449"/>
      <c r="F1944" s="431"/>
      <c r="G1944" s="596"/>
      <c r="H1944" s="488"/>
      <c r="J1944" s="449"/>
    </row>
    <row r="1945" spans="1:10" s="428" customFormat="1">
      <c r="A1945" s="449"/>
      <c r="B1945" s="431"/>
      <c r="C1945" s="449"/>
      <c r="F1945" s="431"/>
      <c r="G1945" s="596"/>
      <c r="H1945" s="488"/>
      <c r="J1945" s="449"/>
    </row>
    <row r="1946" spans="1:10" s="428" customFormat="1">
      <c r="A1946" s="449"/>
      <c r="B1946" s="431"/>
      <c r="C1946" s="449"/>
      <c r="F1946" s="431"/>
      <c r="G1946" s="596"/>
      <c r="H1946" s="488"/>
      <c r="J1946" s="449"/>
    </row>
    <row r="1947" spans="1:10" s="428" customFormat="1">
      <c r="A1947" s="449"/>
      <c r="B1947" s="431"/>
      <c r="C1947" s="449"/>
      <c r="F1947" s="431"/>
      <c r="G1947" s="596"/>
      <c r="H1947" s="488"/>
      <c r="J1947" s="449"/>
    </row>
    <row r="1948" spans="1:10" s="428" customFormat="1">
      <c r="A1948" s="449"/>
      <c r="B1948" s="431"/>
      <c r="C1948" s="449"/>
      <c r="F1948" s="431"/>
      <c r="G1948" s="596"/>
      <c r="H1948" s="488"/>
      <c r="J1948" s="449"/>
    </row>
    <row r="1949" spans="1:10" s="428" customFormat="1">
      <c r="A1949" s="449"/>
      <c r="B1949" s="431"/>
      <c r="C1949" s="449"/>
      <c r="F1949" s="431"/>
      <c r="G1949" s="596"/>
      <c r="H1949" s="488"/>
      <c r="J1949" s="449"/>
    </row>
    <row r="1950" spans="1:10" s="428" customFormat="1">
      <c r="A1950" s="449"/>
      <c r="B1950" s="431"/>
      <c r="C1950" s="449"/>
      <c r="F1950" s="431"/>
      <c r="G1950" s="596"/>
      <c r="H1950" s="488"/>
      <c r="J1950" s="449"/>
    </row>
    <row r="1951" spans="1:10" s="428" customFormat="1">
      <c r="A1951" s="449"/>
      <c r="B1951" s="431"/>
      <c r="C1951" s="449"/>
      <c r="F1951" s="431"/>
      <c r="G1951" s="596"/>
      <c r="H1951" s="488"/>
      <c r="J1951" s="449"/>
    </row>
    <row r="1952" spans="1:10" s="428" customFormat="1">
      <c r="A1952" s="449"/>
      <c r="B1952" s="431"/>
      <c r="C1952" s="449"/>
      <c r="F1952" s="431"/>
      <c r="G1952" s="596"/>
      <c r="H1952" s="488"/>
      <c r="J1952" s="449"/>
    </row>
    <row r="1953" spans="1:10" s="428" customFormat="1">
      <c r="A1953" s="449"/>
      <c r="B1953" s="431"/>
      <c r="C1953" s="449"/>
      <c r="F1953" s="431"/>
      <c r="G1953" s="596"/>
      <c r="H1953" s="488"/>
      <c r="J1953" s="449"/>
    </row>
    <row r="1954" spans="1:10" s="428" customFormat="1">
      <c r="A1954" s="449"/>
      <c r="B1954" s="431"/>
      <c r="C1954" s="449"/>
      <c r="F1954" s="431"/>
      <c r="G1954" s="596"/>
      <c r="H1954" s="488"/>
      <c r="J1954" s="449"/>
    </row>
    <row r="1955" spans="1:10" s="428" customFormat="1">
      <c r="A1955" s="449"/>
      <c r="B1955" s="431"/>
      <c r="C1955" s="449"/>
      <c r="F1955" s="431"/>
      <c r="G1955" s="596"/>
      <c r="H1955" s="488"/>
      <c r="J1955" s="449"/>
    </row>
    <row r="1956" spans="1:10" s="428" customFormat="1">
      <c r="A1956" s="449"/>
      <c r="B1956" s="431"/>
      <c r="C1956" s="449"/>
      <c r="F1956" s="431"/>
      <c r="G1956" s="596"/>
      <c r="H1956" s="488"/>
      <c r="J1956" s="449"/>
    </row>
    <row r="1957" spans="1:10" s="428" customFormat="1">
      <c r="A1957" s="449"/>
      <c r="B1957" s="431"/>
      <c r="C1957" s="449"/>
      <c r="F1957" s="431"/>
      <c r="G1957" s="596"/>
      <c r="H1957" s="488"/>
      <c r="J1957" s="449"/>
    </row>
    <row r="1958" spans="1:10" s="428" customFormat="1">
      <c r="A1958" s="449"/>
      <c r="B1958" s="431"/>
      <c r="C1958" s="449"/>
      <c r="F1958" s="431"/>
      <c r="G1958" s="596"/>
      <c r="H1958" s="488"/>
      <c r="J1958" s="449"/>
    </row>
    <row r="1959" spans="1:10" s="428" customFormat="1">
      <c r="A1959" s="449"/>
      <c r="B1959" s="431"/>
      <c r="C1959" s="449"/>
      <c r="F1959" s="431"/>
      <c r="G1959" s="596"/>
      <c r="H1959" s="488"/>
      <c r="J1959" s="449"/>
    </row>
    <row r="1960" spans="1:10" s="428" customFormat="1">
      <c r="A1960" s="449"/>
      <c r="B1960" s="431"/>
      <c r="C1960" s="449"/>
      <c r="F1960" s="431"/>
      <c r="G1960" s="596"/>
      <c r="H1960" s="488"/>
      <c r="J1960" s="449"/>
    </row>
    <row r="1961" spans="1:10" s="428" customFormat="1">
      <c r="A1961" s="449"/>
      <c r="B1961" s="431"/>
      <c r="C1961" s="449"/>
      <c r="F1961" s="431"/>
      <c r="G1961" s="596"/>
      <c r="H1961" s="488"/>
      <c r="J1961" s="449"/>
    </row>
    <row r="1962" spans="1:10" s="428" customFormat="1">
      <c r="A1962" s="449"/>
      <c r="B1962" s="431"/>
      <c r="C1962" s="449"/>
      <c r="F1962" s="431"/>
      <c r="G1962" s="596"/>
      <c r="H1962" s="488"/>
      <c r="J1962" s="449"/>
    </row>
    <row r="1963" spans="1:10" s="428" customFormat="1">
      <c r="A1963" s="449"/>
      <c r="B1963" s="431"/>
      <c r="C1963" s="449"/>
      <c r="F1963" s="431"/>
      <c r="G1963" s="596"/>
      <c r="H1963" s="488"/>
      <c r="J1963" s="449"/>
    </row>
    <row r="1964" spans="1:10" s="428" customFormat="1">
      <c r="A1964" s="449"/>
      <c r="B1964" s="431"/>
      <c r="C1964" s="449"/>
      <c r="F1964" s="431"/>
      <c r="G1964" s="596"/>
      <c r="H1964" s="488"/>
      <c r="J1964" s="449"/>
    </row>
    <row r="1965" spans="1:10" s="428" customFormat="1">
      <c r="A1965" s="449"/>
      <c r="B1965" s="431"/>
      <c r="C1965" s="449"/>
      <c r="F1965" s="431"/>
      <c r="G1965" s="596"/>
      <c r="H1965" s="488"/>
      <c r="J1965" s="449"/>
    </row>
    <row r="1966" spans="1:10" s="428" customFormat="1">
      <c r="A1966" s="449"/>
      <c r="B1966" s="431"/>
      <c r="C1966" s="449"/>
      <c r="F1966" s="431"/>
      <c r="G1966" s="596"/>
      <c r="H1966" s="488"/>
      <c r="J1966" s="449"/>
    </row>
    <row r="1967" spans="1:10" s="428" customFormat="1">
      <c r="A1967" s="449"/>
      <c r="B1967" s="431"/>
      <c r="C1967" s="449"/>
      <c r="F1967" s="431"/>
      <c r="G1967" s="596"/>
      <c r="H1967" s="488"/>
      <c r="J1967" s="449"/>
    </row>
    <row r="1968" spans="1:10" s="428" customFormat="1">
      <c r="A1968" s="449"/>
      <c r="B1968" s="431"/>
      <c r="C1968" s="449"/>
      <c r="F1968" s="431"/>
      <c r="G1968" s="596"/>
      <c r="H1968" s="488"/>
      <c r="J1968" s="449"/>
    </row>
    <row r="1969" spans="1:10" s="428" customFormat="1">
      <c r="A1969" s="449"/>
      <c r="B1969" s="431"/>
      <c r="C1969" s="449"/>
      <c r="F1969" s="431"/>
      <c r="G1969" s="596"/>
      <c r="H1969" s="488"/>
      <c r="J1969" s="449"/>
    </row>
    <row r="1970" spans="1:10" s="428" customFormat="1">
      <c r="A1970" s="449"/>
      <c r="B1970" s="431"/>
      <c r="C1970" s="449"/>
      <c r="F1970" s="431"/>
      <c r="G1970" s="596"/>
      <c r="H1970" s="488"/>
      <c r="J1970" s="449"/>
    </row>
    <row r="1971" spans="1:10" s="428" customFormat="1">
      <c r="A1971" s="449"/>
      <c r="B1971" s="431"/>
      <c r="C1971" s="449"/>
      <c r="F1971" s="431"/>
      <c r="G1971" s="596"/>
      <c r="H1971" s="488"/>
      <c r="J1971" s="449"/>
    </row>
    <row r="1972" spans="1:10" s="428" customFormat="1">
      <c r="A1972" s="449"/>
      <c r="B1972" s="431"/>
      <c r="C1972" s="449"/>
      <c r="F1972" s="431"/>
      <c r="G1972" s="596"/>
      <c r="H1972" s="488"/>
      <c r="J1972" s="449"/>
    </row>
    <row r="1973" spans="1:10" s="428" customFormat="1">
      <c r="A1973" s="449"/>
      <c r="B1973" s="431"/>
      <c r="C1973" s="449"/>
      <c r="F1973" s="431"/>
      <c r="G1973" s="596"/>
      <c r="H1973" s="488"/>
      <c r="J1973" s="449"/>
    </row>
    <row r="1974" spans="1:10" s="428" customFormat="1">
      <c r="A1974" s="449"/>
      <c r="B1974" s="431"/>
      <c r="C1974" s="449"/>
      <c r="F1974" s="431"/>
      <c r="G1974" s="596"/>
      <c r="H1974" s="488"/>
      <c r="J1974" s="449"/>
    </row>
    <row r="1975" spans="1:10" s="428" customFormat="1">
      <c r="A1975" s="449"/>
      <c r="B1975" s="431"/>
      <c r="C1975" s="449"/>
      <c r="F1975" s="431"/>
      <c r="G1975" s="596"/>
      <c r="H1975" s="488"/>
      <c r="J1975" s="449"/>
    </row>
    <row r="1976" spans="1:10" s="428" customFormat="1">
      <c r="A1976" s="449"/>
      <c r="B1976" s="431"/>
      <c r="C1976" s="449"/>
      <c r="F1976" s="431"/>
      <c r="G1976" s="596"/>
      <c r="H1976" s="488"/>
      <c r="J1976" s="449"/>
    </row>
    <row r="1977" spans="1:10" s="428" customFormat="1">
      <c r="A1977" s="449"/>
      <c r="B1977" s="431"/>
      <c r="C1977" s="449"/>
      <c r="F1977" s="431"/>
      <c r="G1977" s="596"/>
      <c r="H1977" s="488"/>
      <c r="J1977" s="449"/>
    </row>
    <row r="1978" spans="1:10" s="428" customFormat="1">
      <c r="A1978" s="449"/>
      <c r="B1978" s="431"/>
      <c r="C1978" s="449"/>
      <c r="F1978" s="431"/>
      <c r="G1978" s="596"/>
      <c r="H1978" s="488"/>
      <c r="J1978" s="449"/>
    </row>
    <row r="1979" spans="1:10" s="428" customFormat="1">
      <c r="A1979" s="449"/>
      <c r="B1979" s="431"/>
      <c r="C1979" s="449"/>
      <c r="F1979" s="431"/>
      <c r="G1979" s="596"/>
      <c r="H1979" s="488"/>
      <c r="J1979" s="449"/>
    </row>
    <row r="1980" spans="1:10" s="428" customFormat="1">
      <c r="A1980" s="449"/>
      <c r="B1980" s="431"/>
      <c r="C1980" s="449"/>
      <c r="F1980" s="431"/>
      <c r="G1980" s="596"/>
      <c r="H1980" s="488"/>
      <c r="J1980" s="449"/>
    </row>
    <row r="1981" spans="1:10" s="428" customFormat="1">
      <c r="A1981" s="449"/>
      <c r="B1981" s="431"/>
      <c r="C1981" s="449"/>
      <c r="F1981" s="431"/>
      <c r="G1981" s="596"/>
      <c r="H1981" s="488"/>
      <c r="J1981" s="449"/>
    </row>
    <row r="1982" spans="1:10" s="428" customFormat="1">
      <c r="A1982" s="449"/>
      <c r="B1982" s="431"/>
      <c r="C1982" s="449"/>
      <c r="F1982" s="431"/>
      <c r="G1982" s="596"/>
      <c r="H1982" s="488"/>
      <c r="J1982" s="449"/>
    </row>
    <row r="1983" spans="1:10" s="428" customFormat="1">
      <c r="A1983" s="449"/>
      <c r="B1983" s="431"/>
      <c r="C1983" s="449"/>
      <c r="F1983" s="431"/>
      <c r="G1983" s="596"/>
      <c r="H1983" s="488"/>
      <c r="J1983" s="449"/>
    </row>
    <row r="1984" spans="1:10" s="428" customFormat="1">
      <c r="A1984" s="449"/>
      <c r="B1984" s="431"/>
      <c r="C1984" s="449"/>
      <c r="F1984" s="431"/>
      <c r="G1984" s="596"/>
      <c r="H1984" s="488"/>
      <c r="J1984" s="449"/>
    </row>
    <row r="1985" spans="1:10" s="428" customFormat="1">
      <c r="A1985" s="449"/>
      <c r="B1985" s="431"/>
      <c r="C1985" s="449"/>
      <c r="F1985" s="431"/>
      <c r="G1985" s="596"/>
      <c r="H1985" s="488"/>
      <c r="J1985" s="449"/>
    </row>
    <row r="1986" spans="1:10" s="428" customFormat="1">
      <c r="A1986" s="449"/>
      <c r="B1986" s="431"/>
      <c r="C1986" s="449"/>
      <c r="F1986" s="431"/>
      <c r="G1986" s="596"/>
      <c r="H1986" s="488"/>
      <c r="J1986" s="449"/>
    </row>
    <row r="1987" spans="1:10" s="428" customFormat="1">
      <c r="A1987" s="449"/>
      <c r="B1987" s="431"/>
      <c r="C1987" s="449"/>
      <c r="F1987" s="431"/>
      <c r="G1987" s="596"/>
      <c r="H1987" s="488"/>
      <c r="J1987" s="449"/>
    </row>
    <row r="1988" spans="1:10" s="428" customFormat="1">
      <c r="A1988" s="449"/>
      <c r="B1988" s="431"/>
      <c r="C1988" s="449"/>
      <c r="F1988" s="431"/>
      <c r="G1988" s="596"/>
      <c r="H1988" s="488"/>
      <c r="J1988" s="449"/>
    </row>
    <row r="1989" spans="1:10" s="428" customFormat="1">
      <c r="A1989" s="449"/>
      <c r="B1989" s="431"/>
      <c r="C1989" s="449"/>
      <c r="F1989" s="431"/>
      <c r="G1989" s="596"/>
      <c r="H1989" s="488"/>
      <c r="J1989" s="449"/>
    </row>
    <row r="1990" spans="1:10" s="428" customFormat="1">
      <c r="A1990" s="449"/>
      <c r="B1990" s="431"/>
      <c r="C1990" s="449"/>
      <c r="F1990" s="431"/>
      <c r="G1990" s="596"/>
      <c r="H1990" s="488"/>
      <c r="J1990" s="449"/>
    </row>
    <row r="1991" spans="1:10" s="428" customFormat="1">
      <c r="A1991" s="449"/>
      <c r="B1991" s="431"/>
      <c r="C1991" s="449"/>
      <c r="F1991" s="431"/>
      <c r="G1991" s="596"/>
      <c r="H1991" s="488"/>
      <c r="J1991" s="449"/>
    </row>
    <row r="1992" spans="1:10" s="428" customFormat="1">
      <c r="A1992" s="449"/>
      <c r="B1992" s="431"/>
      <c r="C1992" s="449"/>
      <c r="F1992" s="431"/>
      <c r="G1992" s="596"/>
      <c r="H1992" s="488"/>
      <c r="J1992" s="449"/>
    </row>
    <row r="1993" spans="1:10" s="428" customFormat="1">
      <c r="A1993" s="449"/>
      <c r="B1993" s="431"/>
      <c r="C1993" s="449"/>
      <c r="F1993" s="431"/>
      <c r="G1993" s="596"/>
      <c r="H1993" s="488"/>
      <c r="J1993" s="449"/>
    </row>
    <row r="1994" spans="1:10" s="428" customFormat="1">
      <c r="A1994" s="449"/>
      <c r="B1994" s="431"/>
      <c r="C1994" s="449"/>
      <c r="F1994" s="431"/>
      <c r="G1994" s="596"/>
      <c r="H1994" s="488"/>
      <c r="J1994" s="449"/>
    </row>
    <row r="1995" spans="1:10" s="428" customFormat="1">
      <c r="A1995" s="449"/>
      <c r="B1995" s="431"/>
      <c r="C1995" s="449"/>
      <c r="F1995" s="431"/>
      <c r="G1995" s="596"/>
      <c r="H1995" s="488"/>
      <c r="J1995" s="449"/>
    </row>
    <row r="1996" spans="1:10" s="428" customFormat="1">
      <c r="A1996" s="449"/>
      <c r="B1996" s="431"/>
      <c r="C1996" s="449"/>
      <c r="F1996" s="431"/>
      <c r="G1996" s="596"/>
      <c r="H1996" s="488"/>
      <c r="J1996" s="449"/>
    </row>
    <row r="1997" spans="1:10" s="428" customFormat="1">
      <c r="A1997" s="449"/>
      <c r="B1997" s="431"/>
      <c r="C1997" s="449"/>
      <c r="F1997" s="431"/>
      <c r="G1997" s="596"/>
      <c r="H1997" s="488"/>
      <c r="J1997" s="449"/>
    </row>
    <row r="1998" spans="1:10" s="428" customFormat="1">
      <c r="A1998" s="449"/>
      <c r="B1998" s="431"/>
      <c r="C1998" s="449"/>
      <c r="F1998" s="431"/>
      <c r="G1998" s="596"/>
      <c r="H1998" s="488"/>
      <c r="J1998" s="449"/>
    </row>
    <row r="1999" spans="1:10" s="428" customFormat="1">
      <c r="A1999" s="449"/>
      <c r="B1999" s="431"/>
      <c r="C1999" s="449"/>
      <c r="F1999" s="431"/>
      <c r="G1999" s="596"/>
      <c r="H1999" s="488"/>
      <c r="J1999" s="449"/>
    </row>
    <row r="2000" spans="1:10" s="428" customFormat="1">
      <c r="A2000" s="449"/>
      <c r="B2000" s="431"/>
      <c r="C2000" s="449"/>
      <c r="F2000" s="431"/>
      <c r="G2000" s="596"/>
      <c r="H2000" s="488"/>
      <c r="J2000" s="449"/>
    </row>
    <row r="2001" spans="1:10" s="428" customFormat="1">
      <c r="A2001" s="449"/>
      <c r="B2001" s="431"/>
      <c r="C2001" s="449"/>
      <c r="F2001" s="431"/>
      <c r="G2001" s="596"/>
      <c r="H2001" s="488"/>
      <c r="J2001" s="449"/>
    </row>
    <row r="2002" spans="1:10" s="428" customFormat="1">
      <c r="A2002" s="449"/>
      <c r="B2002" s="431"/>
      <c r="C2002" s="449"/>
      <c r="F2002" s="431"/>
      <c r="G2002" s="596"/>
      <c r="H2002" s="488"/>
      <c r="J2002" s="449"/>
    </row>
    <row r="2003" spans="1:10" s="428" customFormat="1">
      <c r="A2003" s="449"/>
      <c r="B2003" s="431"/>
      <c r="C2003" s="449"/>
      <c r="F2003" s="431"/>
      <c r="G2003" s="596"/>
      <c r="H2003" s="488"/>
      <c r="J2003" s="449"/>
    </row>
    <row r="2004" spans="1:10" s="428" customFormat="1">
      <c r="A2004" s="449"/>
      <c r="B2004" s="431"/>
      <c r="C2004" s="449"/>
      <c r="F2004" s="431"/>
      <c r="G2004" s="596"/>
      <c r="H2004" s="488"/>
      <c r="J2004" s="449"/>
    </row>
    <row r="2005" spans="1:10" s="428" customFormat="1">
      <c r="A2005" s="449"/>
      <c r="B2005" s="431"/>
      <c r="C2005" s="449"/>
      <c r="F2005" s="431"/>
      <c r="G2005" s="596"/>
      <c r="H2005" s="488"/>
      <c r="J2005" s="449"/>
    </row>
    <row r="2006" spans="1:10" s="428" customFormat="1">
      <c r="A2006" s="449"/>
      <c r="B2006" s="431"/>
      <c r="C2006" s="449"/>
      <c r="F2006" s="431"/>
      <c r="G2006" s="596"/>
      <c r="H2006" s="488"/>
      <c r="J2006" s="449"/>
    </row>
    <row r="2007" spans="1:10" s="428" customFormat="1">
      <c r="A2007" s="449"/>
      <c r="B2007" s="431"/>
      <c r="C2007" s="449"/>
      <c r="F2007" s="431"/>
      <c r="G2007" s="596"/>
      <c r="H2007" s="488"/>
      <c r="J2007" s="449"/>
    </row>
    <row r="2008" spans="1:10" s="428" customFormat="1">
      <c r="A2008" s="449"/>
      <c r="B2008" s="431"/>
      <c r="C2008" s="449"/>
      <c r="F2008" s="431"/>
      <c r="G2008" s="596"/>
      <c r="H2008" s="488"/>
      <c r="J2008" s="449"/>
    </row>
    <row r="2009" spans="1:10" s="428" customFormat="1">
      <c r="A2009" s="449"/>
      <c r="B2009" s="431"/>
      <c r="C2009" s="449"/>
      <c r="F2009" s="431"/>
      <c r="G2009" s="596"/>
      <c r="H2009" s="488"/>
      <c r="J2009" s="449"/>
    </row>
    <row r="2010" spans="1:10" s="428" customFormat="1">
      <c r="A2010" s="449"/>
      <c r="B2010" s="431"/>
      <c r="C2010" s="449"/>
      <c r="F2010" s="431"/>
      <c r="G2010" s="596"/>
      <c r="H2010" s="488"/>
      <c r="J2010" s="449"/>
    </row>
    <row r="2011" spans="1:10" s="428" customFormat="1">
      <c r="A2011" s="449"/>
      <c r="B2011" s="431"/>
      <c r="C2011" s="449"/>
      <c r="F2011" s="431"/>
      <c r="G2011" s="596"/>
      <c r="H2011" s="488"/>
      <c r="J2011" s="449"/>
    </row>
    <row r="2012" spans="1:10" s="428" customFormat="1">
      <c r="A2012" s="449"/>
      <c r="B2012" s="431"/>
      <c r="C2012" s="449"/>
      <c r="F2012" s="431"/>
      <c r="G2012" s="596"/>
      <c r="H2012" s="488"/>
      <c r="J2012" s="449"/>
    </row>
    <row r="2013" spans="1:10" s="428" customFormat="1">
      <c r="A2013" s="449"/>
      <c r="B2013" s="431"/>
      <c r="C2013" s="449"/>
      <c r="F2013" s="431"/>
      <c r="G2013" s="596"/>
      <c r="H2013" s="488"/>
      <c r="J2013" s="449"/>
    </row>
    <row r="2014" spans="1:10" s="428" customFormat="1">
      <c r="A2014" s="449"/>
      <c r="B2014" s="431"/>
      <c r="C2014" s="449"/>
      <c r="F2014" s="431"/>
      <c r="G2014" s="596"/>
      <c r="H2014" s="488"/>
      <c r="J2014" s="449"/>
    </row>
    <row r="2015" spans="1:10" s="428" customFormat="1">
      <c r="A2015" s="449"/>
      <c r="B2015" s="431"/>
      <c r="C2015" s="449"/>
      <c r="F2015" s="431"/>
      <c r="G2015" s="596"/>
      <c r="H2015" s="488"/>
      <c r="J2015" s="449"/>
    </row>
    <row r="2016" spans="1:10" s="428" customFormat="1">
      <c r="A2016" s="449"/>
      <c r="B2016" s="431"/>
      <c r="C2016" s="449"/>
      <c r="F2016" s="431"/>
      <c r="G2016" s="596"/>
      <c r="H2016" s="488"/>
      <c r="J2016" s="449"/>
    </row>
    <row r="2017" spans="1:10" s="428" customFormat="1">
      <c r="A2017" s="449"/>
      <c r="B2017" s="431"/>
      <c r="C2017" s="449"/>
      <c r="F2017" s="431"/>
      <c r="G2017" s="596"/>
      <c r="H2017" s="488"/>
      <c r="J2017" s="449"/>
    </row>
    <row r="2018" spans="1:10" s="428" customFormat="1">
      <c r="A2018" s="449"/>
      <c r="B2018" s="431"/>
      <c r="C2018" s="449"/>
      <c r="F2018" s="431"/>
      <c r="G2018" s="596"/>
      <c r="H2018" s="488"/>
      <c r="J2018" s="449"/>
    </row>
    <row r="2019" spans="1:10" s="428" customFormat="1">
      <c r="A2019" s="449"/>
      <c r="B2019" s="431"/>
      <c r="C2019" s="449"/>
      <c r="F2019" s="431"/>
      <c r="G2019" s="596"/>
      <c r="H2019" s="488"/>
      <c r="J2019" s="449"/>
    </row>
    <row r="2020" spans="1:10" s="428" customFormat="1">
      <c r="A2020" s="449"/>
      <c r="B2020" s="431"/>
      <c r="C2020" s="449"/>
      <c r="F2020" s="431"/>
      <c r="G2020" s="596"/>
      <c r="H2020" s="488"/>
      <c r="J2020" s="449"/>
    </row>
    <row r="2021" spans="1:10" s="428" customFormat="1">
      <c r="A2021" s="449"/>
      <c r="B2021" s="431"/>
      <c r="C2021" s="449"/>
      <c r="F2021" s="431"/>
      <c r="G2021" s="596"/>
      <c r="H2021" s="488"/>
      <c r="J2021" s="449"/>
    </row>
    <row r="2022" spans="1:10" s="428" customFormat="1">
      <c r="A2022" s="449"/>
      <c r="B2022" s="431"/>
      <c r="C2022" s="449"/>
      <c r="F2022" s="431"/>
      <c r="G2022" s="596"/>
      <c r="H2022" s="488"/>
      <c r="J2022" s="449"/>
    </row>
    <row r="2023" spans="1:10" s="428" customFormat="1">
      <c r="A2023" s="449"/>
      <c r="B2023" s="431"/>
      <c r="C2023" s="449"/>
      <c r="F2023" s="431"/>
      <c r="G2023" s="596"/>
      <c r="H2023" s="488"/>
      <c r="J2023" s="449"/>
    </row>
    <row r="2024" spans="1:10" s="428" customFormat="1">
      <c r="A2024" s="449"/>
      <c r="B2024" s="431"/>
      <c r="C2024" s="449"/>
      <c r="F2024" s="431"/>
      <c r="G2024" s="596"/>
      <c r="H2024" s="488"/>
      <c r="J2024" s="449"/>
    </row>
    <row r="2025" spans="1:10" s="428" customFormat="1">
      <c r="A2025" s="449"/>
      <c r="B2025" s="431"/>
      <c r="C2025" s="449"/>
      <c r="F2025" s="431"/>
      <c r="G2025" s="596"/>
      <c r="H2025" s="488"/>
      <c r="J2025" s="449"/>
    </row>
    <row r="2026" spans="1:10" s="428" customFormat="1">
      <c r="A2026" s="449"/>
      <c r="B2026" s="431"/>
      <c r="C2026" s="449"/>
      <c r="F2026" s="431"/>
      <c r="G2026" s="596"/>
      <c r="H2026" s="488"/>
      <c r="J2026" s="449"/>
    </row>
    <row r="2027" spans="1:10" s="428" customFormat="1">
      <c r="A2027" s="449"/>
      <c r="B2027" s="431"/>
      <c r="C2027" s="449"/>
      <c r="F2027" s="431"/>
      <c r="G2027" s="596"/>
      <c r="H2027" s="488"/>
      <c r="J2027" s="449"/>
    </row>
    <row r="2028" spans="1:10" s="428" customFormat="1">
      <c r="A2028" s="449"/>
      <c r="B2028" s="431"/>
      <c r="C2028" s="449"/>
      <c r="F2028" s="431"/>
      <c r="G2028" s="596"/>
      <c r="H2028" s="488"/>
      <c r="J2028" s="449"/>
    </row>
    <row r="2029" spans="1:10" s="428" customFormat="1">
      <c r="A2029" s="449"/>
      <c r="B2029" s="431"/>
      <c r="C2029" s="449"/>
      <c r="F2029" s="431"/>
      <c r="G2029" s="596"/>
      <c r="H2029" s="488"/>
      <c r="J2029" s="449"/>
    </row>
    <row r="2030" spans="1:10" s="428" customFormat="1">
      <c r="A2030" s="449"/>
      <c r="B2030" s="431"/>
      <c r="C2030" s="449"/>
      <c r="F2030" s="431"/>
      <c r="G2030" s="596"/>
      <c r="H2030" s="488"/>
      <c r="J2030" s="449"/>
    </row>
    <row r="2031" spans="1:10" s="428" customFormat="1">
      <c r="A2031" s="449"/>
      <c r="B2031" s="431"/>
      <c r="C2031" s="449"/>
      <c r="F2031" s="431"/>
      <c r="G2031" s="596"/>
      <c r="H2031" s="488"/>
      <c r="J2031" s="449"/>
    </row>
    <row r="2032" spans="1:10" s="428" customFormat="1">
      <c r="A2032" s="449"/>
      <c r="B2032" s="431"/>
      <c r="C2032" s="449"/>
      <c r="F2032" s="431"/>
      <c r="G2032" s="596"/>
      <c r="H2032" s="488"/>
      <c r="J2032" s="449"/>
    </row>
    <row r="2033" spans="1:10" s="428" customFormat="1">
      <c r="A2033" s="449"/>
      <c r="B2033" s="431"/>
      <c r="C2033" s="449"/>
      <c r="F2033" s="431"/>
      <c r="G2033" s="596"/>
      <c r="H2033" s="488"/>
      <c r="J2033" s="449"/>
    </row>
    <row r="2034" spans="1:10" s="428" customFormat="1">
      <c r="A2034" s="449"/>
      <c r="B2034" s="431"/>
      <c r="C2034" s="449"/>
      <c r="F2034" s="431"/>
      <c r="G2034" s="596"/>
      <c r="H2034" s="488"/>
      <c r="J2034" s="449"/>
    </row>
    <row r="2035" spans="1:10" s="428" customFormat="1">
      <c r="A2035" s="449"/>
      <c r="B2035" s="431"/>
      <c r="C2035" s="449"/>
      <c r="F2035" s="431"/>
      <c r="G2035" s="596"/>
      <c r="H2035" s="488"/>
      <c r="J2035" s="449"/>
    </row>
    <row r="2036" spans="1:10" s="428" customFormat="1">
      <c r="A2036" s="449"/>
      <c r="B2036" s="431"/>
      <c r="C2036" s="449"/>
      <c r="F2036" s="431"/>
      <c r="G2036" s="596"/>
      <c r="H2036" s="488"/>
      <c r="J2036" s="449"/>
    </row>
    <row r="2037" spans="1:10" s="428" customFormat="1">
      <c r="A2037" s="449"/>
      <c r="B2037" s="431"/>
      <c r="C2037" s="449"/>
      <c r="F2037" s="431"/>
      <c r="G2037" s="596"/>
      <c r="H2037" s="488"/>
      <c r="J2037" s="449"/>
    </row>
    <row r="2038" spans="1:10" s="428" customFormat="1">
      <c r="A2038" s="449"/>
      <c r="B2038" s="431"/>
      <c r="C2038" s="449"/>
      <c r="F2038" s="431"/>
      <c r="G2038" s="596"/>
      <c r="H2038" s="488"/>
      <c r="J2038" s="449"/>
    </row>
    <row r="2039" spans="1:10" s="428" customFormat="1">
      <c r="A2039" s="449"/>
      <c r="B2039" s="431"/>
      <c r="C2039" s="449"/>
      <c r="F2039" s="431"/>
      <c r="G2039" s="596"/>
      <c r="H2039" s="488"/>
      <c r="J2039" s="449"/>
    </row>
    <row r="2040" spans="1:10" s="428" customFormat="1">
      <c r="A2040" s="449"/>
      <c r="B2040" s="431"/>
      <c r="C2040" s="449"/>
      <c r="F2040" s="431"/>
      <c r="G2040" s="596"/>
      <c r="H2040" s="488"/>
      <c r="J2040" s="449"/>
    </row>
    <row r="2041" spans="1:10" s="428" customFormat="1">
      <c r="A2041" s="449"/>
      <c r="B2041" s="431"/>
      <c r="C2041" s="449"/>
      <c r="F2041" s="431"/>
      <c r="G2041" s="596"/>
      <c r="H2041" s="488"/>
      <c r="J2041" s="449"/>
    </row>
    <row r="2042" spans="1:10" s="428" customFormat="1">
      <c r="A2042" s="449"/>
      <c r="B2042" s="431"/>
      <c r="C2042" s="449"/>
      <c r="F2042" s="431"/>
      <c r="G2042" s="596"/>
      <c r="H2042" s="488"/>
      <c r="J2042" s="449"/>
    </row>
    <row r="2043" spans="1:10" s="428" customFormat="1">
      <c r="A2043" s="449"/>
      <c r="B2043" s="431"/>
      <c r="C2043" s="449"/>
      <c r="F2043" s="431"/>
      <c r="G2043" s="596"/>
      <c r="H2043" s="488"/>
      <c r="J2043" s="449"/>
    </row>
    <row r="2044" spans="1:10" s="428" customFormat="1">
      <c r="A2044" s="449"/>
      <c r="B2044" s="431"/>
      <c r="C2044" s="449"/>
      <c r="F2044" s="431"/>
      <c r="G2044" s="596"/>
      <c r="H2044" s="488"/>
      <c r="J2044" s="449"/>
    </row>
    <row r="2045" spans="1:10" s="428" customFormat="1">
      <c r="A2045" s="449"/>
      <c r="B2045" s="431"/>
      <c r="C2045" s="449"/>
      <c r="F2045" s="431"/>
      <c r="G2045" s="596"/>
      <c r="H2045" s="488"/>
      <c r="J2045" s="449"/>
    </row>
    <row r="2046" spans="1:10" s="428" customFormat="1">
      <c r="A2046" s="449"/>
      <c r="B2046" s="431"/>
      <c r="C2046" s="449"/>
      <c r="F2046" s="431"/>
      <c r="G2046" s="596"/>
      <c r="H2046" s="488"/>
      <c r="J2046" s="449"/>
    </row>
    <row r="2047" spans="1:10" s="428" customFormat="1">
      <c r="A2047" s="449"/>
      <c r="B2047" s="431"/>
      <c r="C2047" s="449"/>
      <c r="F2047" s="431"/>
      <c r="G2047" s="596"/>
      <c r="H2047" s="488"/>
      <c r="J2047" s="449"/>
    </row>
    <row r="2048" spans="1:10" s="428" customFormat="1">
      <c r="A2048" s="449"/>
      <c r="B2048" s="431"/>
      <c r="C2048" s="449"/>
      <c r="F2048" s="431"/>
      <c r="G2048" s="596"/>
      <c r="H2048" s="488"/>
      <c r="J2048" s="449"/>
    </row>
    <row r="2049" spans="1:10" s="428" customFormat="1">
      <c r="A2049" s="449"/>
      <c r="B2049" s="431"/>
      <c r="C2049" s="449"/>
      <c r="F2049" s="431"/>
      <c r="G2049" s="596"/>
      <c r="H2049" s="488"/>
      <c r="J2049" s="449"/>
    </row>
    <row r="2050" spans="1:10" s="428" customFormat="1">
      <c r="A2050" s="449"/>
      <c r="B2050" s="431"/>
      <c r="C2050" s="449"/>
      <c r="F2050" s="431"/>
      <c r="G2050" s="596"/>
      <c r="H2050" s="488"/>
      <c r="J2050" s="449"/>
    </row>
    <row r="2051" spans="1:10" s="428" customFormat="1">
      <c r="A2051" s="449"/>
      <c r="B2051" s="431"/>
      <c r="C2051" s="449"/>
      <c r="F2051" s="431"/>
      <c r="G2051" s="596"/>
      <c r="H2051" s="488"/>
      <c r="J2051" s="449"/>
    </row>
    <row r="2052" spans="1:10" s="428" customFormat="1">
      <c r="A2052" s="449"/>
      <c r="B2052" s="431"/>
      <c r="C2052" s="449"/>
      <c r="F2052" s="431"/>
      <c r="G2052" s="596"/>
      <c r="H2052" s="488"/>
      <c r="J2052" s="449"/>
    </row>
    <row r="2053" spans="1:10" s="428" customFormat="1">
      <c r="A2053" s="449"/>
      <c r="B2053" s="431"/>
      <c r="C2053" s="449"/>
      <c r="F2053" s="431"/>
      <c r="G2053" s="596"/>
      <c r="H2053" s="488"/>
      <c r="J2053" s="449"/>
    </row>
    <row r="2054" spans="1:10" s="428" customFormat="1">
      <c r="A2054" s="449"/>
      <c r="B2054" s="431"/>
      <c r="C2054" s="449"/>
      <c r="F2054" s="431"/>
      <c r="G2054" s="596"/>
      <c r="H2054" s="488"/>
      <c r="J2054" s="449"/>
    </row>
    <row r="2055" spans="1:10" s="428" customFormat="1">
      <c r="A2055" s="449"/>
      <c r="B2055" s="431"/>
      <c r="C2055" s="449"/>
      <c r="F2055" s="431"/>
      <c r="G2055" s="596"/>
      <c r="H2055" s="488"/>
      <c r="J2055" s="449"/>
    </row>
    <row r="2056" spans="1:10" s="428" customFormat="1">
      <c r="A2056" s="449"/>
      <c r="B2056" s="431"/>
      <c r="C2056" s="449"/>
      <c r="F2056" s="431"/>
      <c r="G2056" s="596"/>
      <c r="H2056" s="488"/>
      <c r="J2056" s="449"/>
    </row>
    <row r="2057" spans="1:10" s="428" customFormat="1">
      <c r="A2057" s="449"/>
      <c r="B2057" s="431"/>
      <c r="C2057" s="449"/>
      <c r="F2057" s="431"/>
      <c r="G2057" s="596"/>
      <c r="H2057" s="488"/>
      <c r="J2057" s="449"/>
    </row>
    <row r="2058" spans="1:10" s="428" customFormat="1">
      <c r="A2058" s="449"/>
      <c r="B2058" s="431"/>
      <c r="C2058" s="449"/>
      <c r="F2058" s="431"/>
      <c r="G2058" s="596"/>
      <c r="H2058" s="488"/>
      <c r="J2058" s="449"/>
    </row>
    <row r="2059" spans="1:10" s="428" customFormat="1">
      <c r="A2059" s="449"/>
      <c r="B2059" s="431"/>
      <c r="C2059" s="449"/>
      <c r="F2059" s="431"/>
      <c r="G2059" s="596"/>
      <c r="H2059" s="488"/>
      <c r="J2059" s="449"/>
    </row>
    <row r="2060" spans="1:10" s="428" customFormat="1">
      <c r="A2060" s="449"/>
      <c r="B2060" s="431"/>
      <c r="C2060" s="449"/>
      <c r="F2060" s="431"/>
      <c r="G2060" s="596"/>
      <c r="H2060" s="488"/>
      <c r="J2060" s="449"/>
    </row>
    <row r="2061" spans="1:10" s="428" customFormat="1">
      <c r="A2061" s="449"/>
      <c r="B2061" s="431"/>
      <c r="C2061" s="449"/>
      <c r="F2061" s="431"/>
      <c r="G2061" s="596"/>
      <c r="H2061" s="488"/>
      <c r="J2061" s="449"/>
    </row>
    <row r="2062" spans="1:10" s="428" customFormat="1">
      <c r="A2062" s="449"/>
      <c r="B2062" s="431"/>
      <c r="C2062" s="449"/>
      <c r="F2062" s="431"/>
      <c r="G2062" s="596"/>
      <c r="H2062" s="488"/>
      <c r="J2062" s="449"/>
    </row>
    <row r="2063" spans="1:10" s="428" customFormat="1">
      <c r="A2063" s="449"/>
      <c r="B2063" s="431"/>
      <c r="C2063" s="449"/>
      <c r="F2063" s="431"/>
      <c r="G2063" s="596"/>
      <c r="H2063" s="488"/>
      <c r="J2063" s="449"/>
    </row>
    <row r="2064" spans="1:10" s="428" customFormat="1">
      <c r="A2064" s="449"/>
      <c r="B2064" s="431"/>
      <c r="C2064" s="449"/>
      <c r="F2064" s="431"/>
      <c r="G2064" s="596"/>
      <c r="H2064" s="488"/>
      <c r="J2064" s="449"/>
    </row>
    <row r="2065" spans="1:10" s="428" customFormat="1">
      <c r="A2065" s="449"/>
      <c r="B2065" s="431"/>
      <c r="C2065" s="449"/>
      <c r="F2065" s="431"/>
      <c r="G2065" s="596"/>
      <c r="H2065" s="488"/>
      <c r="J2065" s="449"/>
    </row>
    <row r="2066" spans="1:10" s="428" customFormat="1">
      <c r="A2066" s="449"/>
      <c r="B2066" s="431"/>
      <c r="C2066" s="449"/>
      <c r="F2066" s="431"/>
      <c r="G2066" s="596"/>
      <c r="H2066" s="488"/>
      <c r="J2066" s="449"/>
    </row>
    <row r="2067" spans="1:10" s="428" customFormat="1">
      <c r="A2067" s="449"/>
      <c r="B2067" s="431"/>
      <c r="C2067" s="449"/>
      <c r="F2067" s="431"/>
      <c r="G2067" s="596"/>
      <c r="H2067" s="488"/>
      <c r="J2067" s="449"/>
    </row>
    <row r="2068" spans="1:10" s="428" customFormat="1">
      <c r="A2068" s="449"/>
      <c r="B2068" s="431"/>
      <c r="C2068" s="449"/>
      <c r="F2068" s="431"/>
      <c r="G2068" s="596"/>
      <c r="H2068" s="488"/>
      <c r="J2068" s="449"/>
    </row>
    <row r="2069" spans="1:10" s="428" customFormat="1">
      <c r="A2069" s="449"/>
      <c r="B2069" s="431"/>
      <c r="C2069" s="449"/>
      <c r="F2069" s="431"/>
      <c r="G2069" s="596"/>
      <c r="H2069" s="488"/>
      <c r="J2069" s="449"/>
    </row>
    <row r="2070" spans="1:10" s="428" customFormat="1">
      <c r="A2070" s="449"/>
      <c r="B2070" s="431"/>
      <c r="C2070" s="449"/>
      <c r="F2070" s="431"/>
      <c r="G2070" s="596"/>
      <c r="H2070" s="488"/>
      <c r="J2070" s="449"/>
    </row>
    <row r="2071" spans="1:10" s="428" customFormat="1">
      <c r="A2071" s="449"/>
      <c r="B2071" s="431"/>
      <c r="C2071" s="449"/>
      <c r="F2071" s="431"/>
      <c r="G2071" s="596"/>
      <c r="H2071" s="488"/>
      <c r="J2071" s="449"/>
    </row>
    <row r="2072" spans="1:10" s="428" customFormat="1">
      <c r="A2072" s="449"/>
      <c r="B2072" s="431"/>
      <c r="C2072" s="449"/>
      <c r="F2072" s="431"/>
      <c r="G2072" s="596"/>
      <c r="H2072" s="488"/>
      <c r="J2072" s="449"/>
    </row>
    <row r="2073" spans="1:10" s="428" customFormat="1">
      <c r="A2073" s="449"/>
      <c r="B2073" s="431"/>
      <c r="C2073" s="449"/>
      <c r="F2073" s="431"/>
      <c r="G2073" s="596"/>
      <c r="H2073" s="488"/>
      <c r="J2073" s="449"/>
    </row>
    <row r="2074" spans="1:10" s="428" customFormat="1">
      <c r="A2074" s="449"/>
      <c r="B2074" s="431"/>
      <c r="C2074" s="449"/>
      <c r="F2074" s="431"/>
      <c r="G2074" s="596"/>
      <c r="H2074" s="488"/>
      <c r="J2074" s="449"/>
    </row>
    <row r="2075" spans="1:10" s="428" customFormat="1">
      <c r="A2075" s="449"/>
      <c r="B2075" s="431"/>
      <c r="C2075" s="449"/>
      <c r="F2075" s="431"/>
      <c r="G2075" s="596"/>
      <c r="H2075" s="488"/>
      <c r="J2075" s="449"/>
    </row>
    <row r="2076" spans="1:10" s="428" customFormat="1">
      <c r="A2076" s="449"/>
      <c r="B2076" s="431"/>
      <c r="C2076" s="449"/>
      <c r="F2076" s="431"/>
      <c r="G2076" s="596"/>
      <c r="H2076" s="488"/>
      <c r="J2076" s="449"/>
    </row>
    <row r="2077" spans="1:10" s="428" customFormat="1">
      <c r="A2077" s="449"/>
      <c r="B2077" s="431"/>
      <c r="C2077" s="449"/>
      <c r="F2077" s="431"/>
      <c r="G2077" s="596"/>
      <c r="H2077" s="488"/>
      <c r="J2077" s="449"/>
    </row>
  </sheetData>
  <conditionalFormatting sqref="C251:C253 F1:G42 F62:G63 F69:G76 F180:G253 F107:G177 F78:G92 F95:G95 F94 G93:G94 F99:G100 F98 F96 F44:G49 F51:G56 F58:G59 F65:G66 F317:G65619 F269:G315 G267:G268 F260:G266">
    <cfRule type="cellIs" dxfId="42" priority="39" stopIfTrue="1" operator="lessThan">
      <formula>0</formula>
    </cfRule>
  </conditionalFormatting>
  <conditionalFormatting sqref="F54">
    <cfRule type="cellIs" dxfId="41" priority="38" stopIfTrue="1" operator="lessThan">
      <formula>0</formula>
    </cfRule>
  </conditionalFormatting>
  <conditionalFormatting sqref="F47">
    <cfRule type="cellIs" dxfId="40" priority="37" stopIfTrue="1" operator="lessThan">
      <formula>0</formula>
    </cfRule>
  </conditionalFormatting>
  <conditionalFormatting sqref="F54">
    <cfRule type="cellIs" dxfId="39" priority="36" stopIfTrue="1" operator="lessThan">
      <formula>0</formula>
    </cfRule>
  </conditionalFormatting>
  <conditionalFormatting sqref="F60:G60">
    <cfRule type="cellIs" dxfId="38" priority="35" stopIfTrue="1" operator="lessThan">
      <formula>0</formula>
    </cfRule>
  </conditionalFormatting>
  <conditionalFormatting sqref="F67:G67">
    <cfRule type="cellIs" dxfId="37" priority="34" stopIfTrue="1" operator="lessThan">
      <formula>0</formula>
    </cfRule>
  </conditionalFormatting>
  <conditionalFormatting sqref="F77:G77">
    <cfRule type="cellIs" dxfId="36" priority="33" stopIfTrue="1" operator="lessThan">
      <formula>0</formula>
    </cfRule>
  </conditionalFormatting>
  <conditionalFormatting sqref="F179:G179">
    <cfRule type="cellIs" dxfId="35" priority="32" stopIfTrue="1" operator="lessThan">
      <formula>0</formula>
    </cfRule>
  </conditionalFormatting>
  <conditionalFormatting sqref="F178:G178">
    <cfRule type="cellIs" dxfId="34" priority="31" stopIfTrue="1" operator="lessThan">
      <formula>0</formula>
    </cfRule>
  </conditionalFormatting>
  <conditionalFormatting sqref="F101:G102">
    <cfRule type="cellIs" dxfId="33" priority="30" stopIfTrue="1" operator="lessThan">
      <formula>0</formula>
    </cfRule>
  </conditionalFormatting>
  <conditionalFormatting sqref="F93">
    <cfRule type="cellIs" dxfId="32" priority="29" stopIfTrue="1" operator="lessThan">
      <formula>0</formula>
    </cfRule>
  </conditionalFormatting>
  <conditionalFormatting sqref="F97">
    <cfRule type="cellIs" dxfId="31" priority="28" stopIfTrue="1" operator="lessThan">
      <formula>0</formula>
    </cfRule>
  </conditionalFormatting>
  <conditionalFormatting sqref="G96:G98">
    <cfRule type="cellIs" dxfId="30" priority="27" stopIfTrue="1" operator="lessThan">
      <formula>0</formula>
    </cfRule>
  </conditionalFormatting>
  <conditionalFormatting sqref="F43:G43">
    <cfRule type="cellIs" dxfId="29" priority="26" stopIfTrue="1" operator="lessThan">
      <formula>0</formula>
    </cfRule>
  </conditionalFormatting>
  <conditionalFormatting sqref="F50:G50">
    <cfRule type="cellIs" dxfId="28" priority="25" stopIfTrue="1" operator="lessThan">
      <formula>0</formula>
    </cfRule>
  </conditionalFormatting>
  <conditionalFormatting sqref="F57:G57">
    <cfRule type="cellIs" dxfId="27" priority="24" stopIfTrue="1" operator="lessThan">
      <formula>0</formula>
    </cfRule>
  </conditionalFormatting>
  <conditionalFormatting sqref="F61:G61">
    <cfRule type="cellIs" dxfId="26" priority="23" stopIfTrue="1" operator="lessThan">
      <formula>0</formula>
    </cfRule>
  </conditionalFormatting>
  <conditionalFormatting sqref="F64:G64">
    <cfRule type="cellIs" dxfId="25" priority="22" stopIfTrue="1" operator="lessThan">
      <formula>0</formula>
    </cfRule>
  </conditionalFormatting>
  <conditionalFormatting sqref="F68:G68">
    <cfRule type="cellIs" dxfId="24" priority="21" stopIfTrue="1" operator="lessThan">
      <formula>0</formula>
    </cfRule>
  </conditionalFormatting>
  <conditionalFormatting sqref="C258 F258">
    <cfRule type="cellIs" dxfId="23" priority="19" stopIfTrue="1" operator="lessThan">
      <formula>0</formula>
    </cfRule>
  </conditionalFormatting>
  <conditionalFormatting sqref="C254 F254:G254 G255:G259">
    <cfRule type="cellIs" dxfId="22" priority="17" stopIfTrue="1" operator="lessThan">
      <formula>0</formula>
    </cfRule>
  </conditionalFormatting>
  <conditionalFormatting sqref="F267">
    <cfRule type="cellIs" dxfId="21" priority="15" stopIfTrue="1" operator="lessThan">
      <formula>0</formula>
    </cfRule>
  </conditionalFormatting>
  <conditionalFormatting sqref="F268">
    <cfRule type="cellIs" dxfId="20" priority="14" stopIfTrue="1" operator="lessThan">
      <formula>0</formula>
    </cfRule>
  </conditionalFormatting>
  <conditionalFormatting sqref="F255">
    <cfRule type="cellIs" dxfId="19" priority="13" stopIfTrue="1" operator="lessThan">
      <formula>0</formula>
    </cfRule>
  </conditionalFormatting>
  <conditionalFormatting sqref="C255">
    <cfRule type="cellIs" dxfId="18" priority="12" stopIfTrue="1" operator="lessThan">
      <formula>0</formula>
    </cfRule>
  </conditionalFormatting>
  <conditionalFormatting sqref="C257 F257">
    <cfRule type="cellIs" dxfId="17" priority="11" stopIfTrue="1" operator="lessThan">
      <formula>0</formula>
    </cfRule>
  </conditionalFormatting>
  <conditionalFormatting sqref="C259 F259">
    <cfRule type="cellIs" dxfId="16" priority="10" stopIfTrue="1" operator="lessThan">
      <formula>0</formula>
    </cfRule>
  </conditionalFormatting>
  <conditionalFormatting sqref="F256">
    <cfRule type="cellIs" dxfId="15" priority="9" stopIfTrue="1" operator="lessThan">
      <formula>0</formula>
    </cfRule>
  </conditionalFormatting>
  <conditionalFormatting sqref="C256">
    <cfRule type="cellIs" dxfId="14" priority="8" stopIfTrue="1" operator="lessThan">
      <formula>0</formula>
    </cfRule>
  </conditionalFormatting>
  <conditionalFormatting sqref="J257:J259">
    <cfRule type="cellIs" dxfId="13" priority="7" stopIfTrue="1" operator="lessThan">
      <formula>0</formula>
    </cfRule>
  </conditionalFormatting>
  <conditionalFormatting sqref="J251:J252">
    <cfRule type="cellIs" dxfId="12" priority="6" stopIfTrue="1" operator="lessThan">
      <formula>0</formula>
    </cfRule>
  </conditionalFormatting>
  <conditionalFormatting sqref="J253">
    <cfRule type="cellIs" dxfId="11" priority="5" stopIfTrue="1" operator="lessThan">
      <formula>0</formula>
    </cfRule>
  </conditionalFormatting>
  <conditionalFormatting sqref="J254:J255">
    <cfRule type="cellIs" dxfId="10" priority="4" stopIfTrue="1" operator="lessThan">
      <formula>0</formula>
    </cfRule>
  </conditionalFormatting>
  <conditionalFormatting sqref="J256">
    <cfRule type="cellIs" dxfId="9" priority="3" stopIfTrue="1" operator="lessThan">
      <formula>0</formula>
    </cfRule>
  </conditionalFormatting>
  <conditionalFormatting sqref="F103:F106">
    <cfRule type="cellIs" dxfId="8" priority="2" stopIfTrue="1" operator="lessThan">
      <formula>0</formula>
    </cfRule>
  </conditionalFormatting>
  <conditionalFormatting sqref="G103:G106">
    <cfRule type="cellIs" dxfId="7" priority="1" stopIfTrue="1" operator="lessThan">
      <formula>0</formula>
    </cfRule>
  </conditionalFormatting>
  <printOptions horizontalCentered="1" headings="1"/>
  <pageMargins left="0.70866141732283472" right="0.31496062992125984" top="0.35433070866141736" bottom="0.27559055118110237" header="0.31496062992125984" footer="0.31496062992125984"/>
  <pageSetup paperSize="9" scale="75" fitToHeight="0" orientation="portrait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pageSetUpPr fitToPage="1"/>
  </sheetPr>
  <dimension ref="A1:AC841"/>
  <sheetViews>
    <sheetView showZeros="0" zoomScale="115" zoomScaleNormal="115" workbookViewId="0">
      <pane ySplit="2" topLeftCell="A168" activePane="bottomLeft" state="frozen"/>
      <selection activeCell="J175" sqref="J175"/>
      <selection pane="bottomLeft" activeCell="J175" sqref="J175"/>
    </sheetView>
  </sheetViews>
  <sheetFormatPr baseColWidth="10" defaultColWidth="11.44140625" defaultRowHeight="13.8"/>
  <cols>
    <col min="1" max="1" width="17.5546875" style="70" customWidth="1"/>
    <col min="2" max="2" width="19.88671875" style="71" customWidth="1"/>
    <col min="3" max="3" width="23.109375" style="69" customWidth="1"/>
    <col min="4" max="4" width="13.33203125" style="69" customWidth="1"/>
    <col min="5" max="5" width="63.44140625" style="75" customWidth="1"/>
    <col min="6" max="6" width="12.88671875" style="71" customWidth="1"/>
    <col min="7" max="7" width="11.44140625" style="70" customWidth="1"/>
    <col min="8" max="9" width="11.44140625" style="71"/>
    <col min="10" max="10" width="11.44140625" style="72"/>
    <col min="11" max="11" width="11.44140625" style="71"/>
    <col min="12" max="13" width="11.44140625" style="72"/>
    <col min="14" max="14" width="19.109375" style="73" customWidth="1"/>
    <col min="15" max="16" width="7.33203125" style="72" bestFit="1" customWidth="1"/>
    <col min="17" max="19" width="7.33203125" style="72" customWidth="1"/>
    <col min="20" max="20" width="7.33203125" style="72" bestFit="1" customWidth="1"/>
    <col min="21" max="21" width="11.44140625" style="72"/>
    <col min="22" max="23" width="7.33203125" style="72" bestFit="1" customWidth="1"/>
    <col min="24" max="26" width="7.33203125" style="72" customWidth="1"/>
    <col min="27" max="27" width="7.33203125" style="72" bestFit="1" customWidth="1"/>
    <col min="28" max="28" width="11.44140625" style="71"/>
    <col min="29" max="29" width="75.5546875" style="75" customWidth="1"/>
    <col min="30" max="16384" width="11.44140625" style="72"/>
  </cols>
  <sheetData>
    <row r="1" spans="1:29" ht="24" customHeight="1">
      <c r="A1" s="77"/>
      <c r="B1" s="77" t="s">
        <v>495</v>
      </c>
      <c r="F1" s="77"/>
    </row>
    <row r="2" spans="1:29" s="81" customFormat="1" ht="18.75" customHeight="1">
      <c r="A2" s="76" t="s">
        <v>893</v>
      </c>
      <c r="B2" s="76" t="s">
        <v>920</v>
      </c>
      <c r="C2" s="78" t="s">
        <v>902</v>
      </c>
      <c r="D2" s="78" t="s">
        <v>497</v>
      </c>
      <c r="E2" s="79" t="s">
        <v>498</v>
      </c>
      <c r="F2" s="78" t="s">
        <v>496</v>
      </c>
      <c r="G2" s="76" t="s">
        <v>200</v>
      </c>
      <c r="H2" s="76" t="s">
        <v>499</v>
      </c>
      <c r="I2" s="76" t="s">
        <v>500</v>
      </c>
      <c r="J2" s="76" t="s">
        <v>501</v>
      </c>
      <c r="K2" s="76" t="s">
        <v>502</v>
      </c>
      <c r="L2" s="76" t="s">
        <v>2049</v>
      </c>
      <c r="M2" s="76" t="s">
        <v>2048</v>
      </c>
      <c r="N2" s="80"/>
      <c r="AB2" s="70"/>
      <c r="AC2" s="79" t="s">
        <v>2266</v>
      </c>
    </row>
    <row r="3" spans="1:29" ht="18.75" customHeight="1">
      <c r="A3" s="148" t="s">
        <v>894</v>
      </c>
      <c r="B3" s="192"/>
      <c r="C3" s="298"/>
      <c r="D3" s="184" t="s">
        <v>699</v>
      </c>
      <c r="E3" s="108" t="s">
        <v>201</v>
      </c>
      <c r="F3" s="109" t="s">
        <v>698</v>
      </c>
      <c r="G3" s="97">
        <f t="shared" ref="G3:G11" si="0">SUM(H3:M3)</f>
        <v>0</v>
      </c>
      <c r="H3" s="92">
        <f>SUM(H4:H13)</f>
        <v>0</v>
      </c>
      <c r="I3" s="92">
        <f t="shared" ref="I3:M3" si="1">SUM(I4:I13)</f>
        <v>0</v>
      </c>
      <c r="J3" s="92">
        <f t="shared" si="1"/>
        <v>0</v>
      </c>
      <c r="K3" s="92">
        <f t="shared" si="1"/>
        <v>0</v>
      </c>
      <c r="L3" s="92">
        <f t="shared" si="1"/>
        <v>0</v>
      </c>
      <c r="M3" s="93">
        <f t="shared" si="1"/>
        <v>0</v>
      </c>
      <c r="AC3" s="108" t="s">
        <v>2080</v>
      </c>
    </row>
    <row r="4" spans="1:29" ht="30.75" customHeight="1">
      <c r="A4" s="196"/>
      <c r="B4" s="120"/>
      <c r="C4" s="299" t="s">
        <v>235</v>
      </c>
      <c r="D4" s="325" t="s">
        <v>235</v>
      </c>
      <c r="E4" s="121" t="s">
        <v>2068</v>
      </c>
      <c r="F4" s="120"/>
      <c r="G4" s="137">
        <f t="shared" si="0"/>
        <v>0</v>
      </c>
      <c r="H4" s="197">
        <f>COUNTIF(Area_v1,$C4)</f>
        <v>0</v>
      </c>
      <c r="I4" s="198">
        <f>COUNTIF(Area_v2,$C4)</f>
        <v>0</v>
      </c>
      <c r="J4" s="198">
        <f>COUNTIF(Area_v3,$C4)</f>
        <v>0</v>
      </c>
      <c r="K4" s="198">
        <f>COUNTIF(Area_v4,$C4)</f>
        <v>0</v>
      </c>
      <c r="L4" s="198">
        <f>COUNTIF(Area_v5,$C4)</f>
        <v>0</v>
      </c>
      <c r="M4" s="199">
        <f>COUNTIF(Area_v6,$C4)</f>
        <v>0</v>
      </c>
      <c r="AC4" s="121" t="s">
        <v>2071</v>
      </c>
    </row>
    <row r="5" spans="1:29" s="119" customFormat="1" ht="30.75" customHeight="1">
      <c r="A5" s="200"/>
      <c r="B5" s="122"/>
      <c r="C5" s="326" t="s">
        <v>2477</v>
      </c>
      <c r="D5" s="326" t="s">
        <v>2477</v>
      </c>
      <c r="E5" s="123" t="s">
        <v>2063</v>
      </c>
      <c r="F5" s="122"/>
      <c r="G5" s="138">
        <f t="shared" si="0"/>
        <v>0</v>
      </c>
      <c r="H5" s="201">
        <f>COUNTIF(Area_v1,$C5)</f>
        <v>0</v>
      </c>
      <c r="I5" s="202">
        <f>COUNTIF(Area_v2,$C5)</f>
        <v>0</v>
      </c>
      <c r="J5" s="202">
        <f>COUNTIF(Area_v3,$C5)</f>
        <v>0</v>
      </c>
      <c r="K5" s="202">
        <f>COUNTIF(Area_v4,$C5)</f>
        <v>0</v>
      </c>
      <c r="L5" s="202">
        <f>COUNTIF(Area_v5,$C5)</f>
        <v>0</v>
      </c>
      <c r="M5" s="203">
        <f>COUNTIF(Area_v6,$C5)</f>
        <v>0</v>
      </c>
      <c r="N5" s="73"/>
      <c r="AB5" s="366"/>
      <c r="AC5" s="123" t="s">
        <v>2072</v>
      </c>
    </row>
    <row r="6" spans="1:29" ht="37.200000000000003" customHeight="1">
      <c r="A6" s="492" t="s">
        <v>903</v>
      </c>
      <c r="B6" s="136" t="s">
        <v>901</v>
      </c>
      <c r="C6" s="300" t="s">
        <v>234</v>
      </c>
      <c r="D6" s="327" t="s">
        <v>234</v>
      </c>
      <c r="E6" s="125" t="s">
        <v>2069</v>
      </c>
      <c r="F6" s="136"/>
      <c r="G6" s="116">
        <f t="shared" si="0"/>
        <v>0</v>
      </c>
      <c r="H6" s="205">
        <f t="shared" ref="H6:H13" si="2">COUNTIF(Area_v1,$C6)</f>
        <v>0</v>
      </c>
      <c r="I6" s="117">
        <f t="shared" ref="I6:I13" si="3">COUNTIF(Area_v2,$C6)</f>
        <v>0</v>
      </c>
      <c r="J6" s="117">
        <f t="shared" ref="J6:J13" si="4">COUNTIF(Area_v3,$C6)</f>
        <v>0</v>
      </c>
      <c r="K6" s="117">
        <f t="shared" ref="K6:K13" si="5">COUNTIF(Area_v4,$C6)</f>
        <v>0</v>
      </c>
      <c r="L6" s="117">
        <f t="shared" ref="L6:L13" si="6">COUNTIF(Area_v5,$C6)</f>
        <v>0</v>
      </c>
      <c r="M6" s="118">
        <f t="shared" ref="M6:M13" si="7">COUNTIF(Area_v6,$C6)</f>
        <v>0</v>
      </c>
      <c r="AC6" s="125" t="s">
        <v>2073</v>
      </c>
    </row>
    <row r="7" spans="1:29" ht="30.75" customHeight="1">
      <c r="A7" s="493"/>
      <c r="B7" s="124"/>
      <c r="C7" s="301" t="s">
        <v>237</v>
      </c>
      <c r="D7" s="327" t="s">
        <v>237</v>
      </c>
      <c r="E7" s="125" t="s">
        <v>2070</v>
      </c>
      <c r="F7" s="124"/>
      <c r="G7" s="116">
        <f t="shared" si="0"/>
        <v>0</v>
      </c>
      <c r="H7" s="205">
        <f t="shared" si="2"/>
        <v>0</v>
      </c>
      <c r="I7" s="117">
        <f t="shared" si="3"/>
        <v>0</v>
      </c>
      <c r="J7" s="117">
        <f t="shared" si="4"/>
        <v>0</v>
      </c>
      <c r="K7" s="117">
        <f t="shared" si="5"/>
        <v>0</v>
      </c>
      <c r="L7" s="117">
        <f t="shared" si="6"/>
        <v>0</v>
      </c>
      <c r="M7" s="118">
        <f t="shared" si="7"/>
        <v>0</v>
      </c>
      <c r="AC7" s="125" t="s">
        <v>2267</v>
      </c>
    </row>
    <row r="8" spans="1:29" ht="30.75" customHeight="1">
      <c r="A8" s="204"/>
      <c r="B8" s="124"/>
      <c r="C8" s="301" t="s">
        <v>1099</v>
      </c>
      <c r="D8" s="327" t="s">
        <v>1099</v>
      </c>
      <c r="E8" s="125" t="s">
        <v>2064</v>
      </c>
      <c r="F8" s="124"/>
      <c r="G8" s="116">
        <f t="shared" si="0"/>
        <v>0</v>
      </c>
      <c r="H8" s="205">
        <f t="shared" si="2"/>
        <v>0</v>
      </c>
      <c r="I8" s="117">
        <f t="shared" si="3"/>
        <v>0</v>
      </c>
      <c r="J8" s="117">
        <f t="shared" si="4"/>
        <v>0</v>
      </c>
      <c r="K8" s="117">
        <f t="shared" si="5"/>
        <v>0</v>
      </c>
      <c r="L8" s="117">
        <f t="shared" si="6"/>
        <v>0</v>
      </c>
      <c r="M8" s="118">
        <f t="shared" si="7"/>
        <v>0</v>
      </c>
      <c r="AC8" s="125" t="s">
        <v>2074</v>
      </c>
    </row>
    <row r="9" spans="1:29" ht="44.4" customHeight="1">
      <c r="A9" s="204"/>
      <c r="B9" s="124"/>
      <c r="C9" s="301" t="s">
        <v>236</v>
      </c>
      <c r="D9" s="327" t="s">
        <v>236</v>
      </c>
      <c r="E9" s="125" t="s">
        <v>2065</v>
      </c>
      <c r="F9" s="124"/>
      <c r="G9" s="116">
        <f t="shared" si="0"/>
        <v>0</v>
      </c>
      <c r="H9" s="205">
        <f>COUNTIF(Area_v1,$C9)</f>
        <v>0</v>
      </c>
      <c r="I9" s="117">
        <f t="shared" si="3"/>
        <v>0</v>
      </c>
      <c r="J9" s="117">
        <f t="shared" si="4"/>
        <v>0</v>
      </c>
      <c r="K9" s="117">
        <f t="shared" si="5"/>
        <v>0</v>
      </c>
      <c r="L9" s="117">
        <f t="shared" si="6"/>
        <v>0</v>
      </c>
      <c r="M9" s="118">
        <f t="shared" si="7"/>
        <v>0</v>
      </c>
      <c r="AC9" s="125" t="s">
        <v>2075</v>
      </c>
    </row>
    <row r="10" spans="1:29" ht="30.6" customHeight="1">
      <c r="A10" s="492"/>
      <c r="B10" s="124"/>
      <c r="C10" s="301" t="s">
        <v>2061</v>
      </c>
      <c r="D10" s="327" t="s">
        <v>2061</v>
      </c>
      <c r="E10" s="125" t="s">
        <v>2066</v>
      </c>
      <c r="F10" s="124"/>
      <c r="G10" s="116">
        <f t="shared" si="0"/>
        <v>0</v>
      </c>
      <c r="H10" s="205">
        <f>COUNTIF(Area_v1,$C10)</f>
        <v>0</v>
      </c>
      <c r="I10" s="117">
        <f t="shared" si="3"/>
        <v>0</v>
      </c>
      <c r="J10" s="117">
        <f t="shared" si="4"/>
        <v>0</v>
      </c>
      <c r="K10" s="117">
        <f t="shared" si="5"/>
        <v>0</v>
      </c>
      <c r="L10" s="117">
        <f t="shared" si="6"/>
        <v>0</v>
      </c>
      <c r="M10" s="118">
        <f t="shared" si="7"/>
        <v>0</v>
      </c>
      <c r="AC10" s="125" t="s">
        <v>2076</v>
      </c>
    </row>
    <row r="11" spans="1:29" ht="30.6" customHeight="1">
      <c r="A11" s="206"/>
      <c r="B11" s="115"/>
      <c r="C11" s="301" t="s">
        <v>2062</v>
      </c>
      <c r="D11" s="327" t="s">
        <v>2062</v>
      </c>
      <c r="E11" s="126" t="s">
        <v>2067</v>
      </c>
      <c r="F11" s="115"/>
      <c r="G11" s="116">
        <f t="shared" si="0"/>
        <v>0</v>
      </c>
      <c r="H11" s="205">
        <f>COUNTIF(Area_v1,$C11)</f>
        <v>0</v>
      </c>
      <c r="I11" s="117">
        <f t="shared" si="3"/>
        <v>0</v>
      </c>
      <c r="J11" s="117">
        <f t="shared" si="4"/>
        <v>0</v>
      </c>
      <c r="K11" s="117">
        <f t="shared" si="5"/>
        <v>0</v>
      </c>
      <c r="L11" s="117">
        <f t="shared" si="6"/>
        <v>0</v>
      </c>
      <c r="M11" s="118">
        <f t="shared" si="7"/>
        <v>0</v>
      </c>
      <c r="AC11" s="126" t="s">
        <v>2077</v>
      </c>
    </row>
    <row r="12" spans="1:29" ht="18.75" customHeight="1">
      <c r="A12" s="1431" t="s">
        <v>904</v>
      </c>
      <c r="B12" s="674"/>
      <c r="C12" s="299" t="s">
        <v>670</v>
      </c>
      <c r="D12" s="325" t="s">
        <v>503</v>
      </c>
      <c r="E12" s="325" t="s">
        <v>701</v>
      </c>
      <c r="F12" s="120" t="s">
        <v>700</v>
      </c>
      <c r="G12" s="137">
        <f t="shared" ref="G12:G44" si="8">SUM(H12:M12)</f>
        <v>0</v>
      </c>
      <c r="H12" s="198">
        <f t="shared" si="2"/>
        <v>0</v>
      </c>
      <c r="I12" s="198">
        <f t="shared" si="3"/>
        <v>0</v>
      </c>
      <c r="J12" s="198">
        <f t="shared" si="4"/>
        <v>0</v>
      </c>
      <c r="K12" s="198">
        <f t="shared" si="5"/>
        <v>0</v>
      </c>
      <c r="L12" s="198">
        <f t="shared" si="6"/>
        <v>0</v>
      </c>
      <c r="M12" s="199">
        <f t="shared" si="7"/>
        <v>0</v>
      </c>
      <c r="AC12" s="325" t="s">
        <v>2078</v>
      </c>
    </row>
    <row r="13" spans="1:29" ht="18.75" customHeight="1">
      <c r="A13" s="1432"/>
      <c r="B13" s="675"/>
      <c r="C13" s="302" t="s">
        <v>675</v>
      </c>
      <c r="D13" s="328" t="s">
        <v>504</v>
      </c>
      <c r="E13" s="328" t="s">
        <v>505</v>
      </c>
      <c r="F13" s="115" t="s">
        <v>700</v>
      </c>
      <c r="G13" s="139">
        <f t="shared" si="8"/>
        <v>0</v>
      </c>
      <c r="H13" s="207">
        <f t="shared" si="2"/>
        <v>0</v>
      </c>
      <c r="I13" s="207">
        <f t="shared" si="3"/>
        <v>0</v>
      </c>
      <c r="J13" s="207">
        <f t="shared" si="4"/>
        <v>0</v>
      </c>
      <c r="K13" s="207">
        <f t="shared" si="5"/>
        <v>0</v>
      </c>
      <c r="L13" s="207">
        <f t="shared" si="6"/>
        <v>0</v>
      </c>
      <c r="M13" s="208">
        <f t="shared" si="7"/>
        <v>0</v>
      </c>
      <c r="AC13" s="328" t="s">
        <v>2079</v>
      </c>
    </row>
    <row r="14" spans="1:29" ht="18.75" customHeight="1">
      <c r="A14" s="162"/>
      <c r="B14" s="110"/>
      <c r="C14" s="303" t="s">
        <v>2478</v>
      </c>
      <c r="D14" s="142" t="s">
        <v>506</v>
      </c>
      <c r="E14" s="86" t="s">
        <v>703</v>
      </c>
      <c r="F14" s="128" t="s">
        <v>702</v>
      </c>
      <c r="G14" s="98">
        <f t="shared" si="8"/>
        <v>0</v>
      </c>
      <c r="H14" s="71">
        <f>COUNTIF(Area_v1,"PL")+COUNTIF(Area_v1,"M3")+COUNTIF(Area_v1,"M5")+COUNTIF(Area_v1,"M6")-H15-H16-1</f>
        <v>0</v>
      </c>
      <c r="I14" s="71">
        <f>COUNTIF(Area_v2,"PL")+COUNTIF(Area_v2,"M3")+COUNTIF(Area_v2,"M5")+COUNTIF(Area_v2,"M6")-I15-I16-1</f>
        <v>0</v>
      </c>
      <c r="J14" s="71"/>
      <c r="L14" s="71"/>
      <c r="M14" s="94"/>
      <c r="O14" s="810" t="s">
        <v>2672</v>
      </c>
      <c r="P14" s="810" t="s">
        <v>2673</v>
      </c>
      <c r="Q14" s="810" t="s">
        <v>2674</v>
      </c>
      <c r="R14" s="810" t="s">
        <v>2675</v>
      </c>
      <c r="S14" s="810" t="s">
        <v>2676</v>
      </c>
      <c r="AC14" s="86" t="s">
        <v>2081</v>
      </c>
    </row>
    <row r="15" spans="1:29" ht="18.75" customHeight="1">
      <c r="A15" s="209" t="s">
        <v>905</v>
      </c>
      <c r="B15" s="146" t="s">
        <v>906</v>
      </c>
      <c r="C15" s="295"/>
      <c r="D15" s="294" t="s">
        <v>507</v>
      </c>
      <c r="E15" s="131" t="s">
        <v>704</v>
      </c>
      <c r="F15" s="130"/>
      <c r="G15" s="132">
        <f t="shared" si="8"/>
        <v>0</v>
      </c>
      <c r="H15" s="133"/>
      <c r="I15" s="133"/>
      <c r="J15" s="133"/>
      <c r="K15" s="133"/>
      <c r="L15" s="133"/>
      <c r="M15" s="134"/>
      <c r="O15" s="810" t="s">
        <v>2677</v>
      </c>
      <c r="P15" s="810" t="s">
        <v>2670</v>
      </c>
      <c r="Q15" s="810" t="s">
        <v>2671</v>
      </c>
      <c r="V15" s="810" t="s">
        <v>2677</v>
      </c>
      <c r="W15" s="810" t="s">
        <v>2670</v>
      </c>
      <c r="X15" s="810" t="s">
        <v>2671</v>
      </c>
      <c r="AC15" s="131" t="s">
        <v>2082</v>
      </c>
    </row>
    <row r="16" spans="1:29" ht="18.75" customHeight="1">
      <c r="A16" s="209"/>
      <c r="B16" s="147"/>
      <c r="C16" s="293"/>
      <c r="D16" s="294" t="s">
        <v>508</v>
      </c>
      <c r="E16" s="131" t="s">
        <v>705</v>
      </c>
      <c r="F16" s="135"/>
      <c r="G16" s="132">
        <f t="shared" si="8"/>
        <v>0</v>
      </c>
      <c r="H16" s="133"/>
      <c r="I16" s="133"/>
      <c r="J16" s="133"/>
      <c r="K16" s="133"/>
      <c r="L16" s="133"/>
      <c r="M16" s="134"/>
      <c r="O16" s="810" t="s">
        <v>2667</v>
      </c>
      <c r="P16" s="810" t="s">
        <v>2678</v>
      </c>
      <c r="Q16" s="810" t="s">
        <v>2679</v>
      </c>
      <c r="R16" s="810" t="s">
        <v>2668</v>
      </c>
      <c r="S16" s="810" t="s">
        <v>2669</v>
      </c>
      <c r="V16" s="810" t="s">
        <v>2667</v>
      </c>
      <c r="W16" s="810" t="s">
        <v>2678</v>
      </c>
      <c r="X16" s="810" t="s">
        <v>2679</v>
      </c>
      <c r="Y16" s="810" t="s">
        <v>2668</v>
      </c>
      <c r="Z16" s="810" t="s">
        <v>2669</v>
      </c>
      <c r="AC16" s="131" t="s">
        <v>2083</v>
      </c>
    </row>
    <row r="17" spans="1:29" ht="18.75" customHeight="1">
      <c r="A17" s="161"/>
      <c r="B17" s="127"/>
      <c r="C17" s="304" t="s">
        <v>1275</v>
      </c>
      <c r="D17" s="145" t="s">
        <v>509</v>
      </c>
      <c r="E17" s="88" t="s">
        <v>706</v>
      </c>
      <c r="F17" s="129"/>
      <c r="G17" s="98">
        <f t="shared" si="8"/>
        <v>0</v>
      </c>
      <c r="H17" s="71">
        <f>COUNTIF(Area_v1,"AnM/PL")+COUNTIF(Area_v1,"AnMC/PL")</f>
        <v>0</v>
      </c>
      <c r="I17" s="71">
        <f>COUNTIF(Area_v2,"AnM/PL")+COUNTIF(Area_v2,"AnMC/PL")</f>
        <v>0</v>
      </c>
      <c r="J17" s="71">
        <f>COUNTIF(Area_v3,"AnM/PL")+COUNTIF(Area_v3,"AnMC/PL")</f>
        <v>0</v>
      </c>
      <c r="K17" s="71">
        <f>COUNTIF(Area_v4,"AnM/PL")+COUNTIF(Area_v4,"AnMC/PL")</f>
        <v>0</v>
      </c>
      <c r="L17" s="71">
        <f>COUNTIF(Area_v5,"AnM/PL")+COUNTIF(Area_v5,"AnMC/PL")</f>
        <v>0</v>
      </c>
      <c r="M17" s="71">
        <f>COUNTIF(Area_v6,"AnM/PL")+COUNTIF(Area_v6,"AnMC/PL")</f>
        <v>0</v>
      </c>
      <c r="AC17" s="88" t="s">
        <v>2084</v>
      </c>
    </row>
    <row r="18" spans="1:29" ht="18.75" customHeight="1">
      <c r="A18" s="140" t="s">
        <v>895</v>
      </c>
      <c r="B18" s="110"/>
      <c r="C18" s="303" t="s">
        <v>441</v>
      </c>
      <c r="D18" s="142" t="s">
        <v>510</v>
      </c>
      <c r="E18" s="86" t="s">
        <v>708</v>
      </c>
      <c r="F18" s="100" t="s">
        <v>707</v>
      </c>
      <c r="G18" s="97">
        <f t="shared" si="8"/>
        <v>0</v>
      </c>
      <c r="H18" s="92">
        <f t="shared" ref="H18:H47" si="9">COUNTIF(Area_v1,$C18)</f>
        <v>0</v>
      </c>
      <c r="I18" s="92">
        <f t="shared" ref="I18:I47" si="10">COUNTIF(Area_v2,$C18)</f>
        <v>0</v>
      </c>
      <c r="J18" s="92">
        <f t="shared" ref="J18:J49" si="11">COUNTIF(Area_v3,$C18)</f>
        <v>0</v>
      </c>
      <c r="K18" s="92">
        <f t="shared" ref="K18:K49" si="12">COUNTIF(Area_v4,$C18)</f>
        <v>0</v>
      </c>
      <c r="L18" s="92">
        <f t="shared" ref="L18:L49" si="13">COUNTIF(Area_v5,$C18)</f>
        <v>0</v>
      </c>
      <c r="M18" s="93">
        <f t="shared" ref="M18:M49" si="14">COUNTIF(Area_v6,$C18)</f>
        <v>0</v>
      </c>
      <c r="O18" s="1426" t="s">
        <v>1137</v>
      </c>
      <c r="P18" s="1427"/>
      <c r="Q18" s="1427"/>
      <c r="R18" s="1427"/>
      <c r="S18" s="1427"/>
      <c r="T18" s="1428"/>
      <c r="V18" s="1426" t="s">
        <v>1138</v>
      </c>
      <c r="W18" s="1427"/>
      <c r="X18" s="1427"/>
      <c r="Y18" s="1427"/>
      <c r="Z18" s="1427"/>
      <c r="AA18" s="1428"/>
      <c r="AC18" s="86" t="s">
        <v>2085</v>
      </c>
    </row>
    <row r="19" spans="1:29" ht="18.75" customHeight="1">
      <c r="A19" s="163"/>
      <c r="B19" s="127"/>
      <c r="C19" s="304" t="s">
        <v>232</v>
      </c>
      <c r="D19" s="145" t="s">
        <v>511</v>
      </c>
      <c r="E19" s="88" t="s">
        <v>709</v>
      </c>
      <c r="F19" s="87" t="s">
        <v>707</v>
      </c>
      <c r="G19" s="98">
        <f t="shared" si="8"/>
        <v>4</v>
      </c>
      <c r="H19" s="71">
        <f t="shared" si="9"/>
        <v>2</v>
      </c>
      <c r="I19" s="71">
        <f t="shared" si="10"/>
        <v>2</v>
      </c>
      <c r="J19" s="71">
        <f t="shared" si="11"/>
        <v>0</v>
      </c>
      <c r="K19" s="71">
        <f t="shared" si="12"/>
        <v>0</v>
      </c>
      <c r="L19" s="71">
        <f t="shared" si="13"/>
        <v>0</v>
      </c>
      <c r="M19" s="94">
        <f t="shared" si="14"/>
        <v>0</v>
      </c>
      <c r="O19" s="810" t="s">
        <v>2672</v>
      </c>
      <c r="P19" s="810" t="s">
        <v>2673</v>
      </c>
      <c r="Q19" s="810" t="s">
        <v>2674</v>
      </c>
      <c r="R19" s="810" t="s">
        <v>2675</v>
      </c>
      <c r="S19" s="810" t="s">
        <v>2676</v>
      </c>
      <c r="T19" s="96" t="s">
        <v>486</v>
      </c>
      <c r="U19" s="71"/>
      <c r="V19" s="810" t="s">
        <v>2672</v>
      </c>
      <c r="W19" s="810" t="s">
        <v>2673</v>
      </c>
      <c r="X19" s="810" t="s">
        <v>2674</v>
      </c>
      <c r="Y19" s="810" t="s">
        <v>2675</v>
      </c>
      <c r="Z19" s="810" t="s">
        <v>2676</v>
      </c>
      <c r="AA19" s="96" t="s">
        <v>486</v>
      </c>
      <c r="AC19" s="88" t="s">
        <v>2086</v>
      </c>
    </row>
    <row r="20" spans="1:29" ht="18.75" customHeight="1">
      <c r="A20" s="163"/>
      <c r="B20" s="127"/>
      <c r="C20" s="304" t="s">
        <v>1122</v>
      </c>
      <c r="D20" s="145" t="s">
        <v>1152</v>
      </c>
      <c r="E20" s="88" t="s">
        <v>1132</v>
      </c>
      <c r="F20" s="87" t="s">
        <v>707</v>
      </c>
      <c r="G20" s="98">
        <f t="shared" si="8"/>
        <v>0</v>
      </c>
      <c r="H20" s="71">
        <f t="shared" si="9"/>
        <v>0</v>
      </c>
      <c r="I20" s="71">
        <f t="shared" si="10"/>
        <v>0</v>
      </c>
      <c r="J20" s="71">
        <f t="shared" si="11"/>
        <v>0</v>
      </c>
      <c r="K20" s="71">
        <f t="shared" si="12"/>
        <v>0</v>
      </c>
      <c r="L20" s="71">
        <f t="shared" si="13"/>
        <v>0</v>
      </c>
      <c r="M20" s="94">
        <f t="shared" si="14"/>
        <v>0</v>
      </c>
      <c r="N20" s="366">
        <f>SUM(O20:AA20)</f>
        <v>0</v>
      </c>
      <c r="O20" s="101">
        <f>COUNTIFS('HR Track 1'!$L$5:$L$1219,$C20,'HR Track 1'!$M$5:$M$1219,$O$19)</f>
        <v>0</v>
      </c>
      <c r="P20" s="92">
        <f>COUNTIFS('HR Track 1'!$L$5:$L$1219,$C20,'HR Track 1'!$M$5:$M$1219,$P$19)</f>
        <v>0</v>
      </c>
      <c r="Q20" s="92">
        <f>COUNTIFS('HR Track 1'!$L$5:$L$1219,$C20,'HR Track 1'!$M$5:$M$1219,$Q$19)</f>
        <v>0</v>
      </c>
      <c r="R20" s="92">
        <f>COUNTIFS('HR Track 1'!$L$5:$L$1219,$C20,'HR Track 1'!$M$5:$M$1219,$R$19)</f>
        <v>0</v>
      </c>
      <c r="S20" s="92">
        <f>COUNTIFS('HR Track 1'!$L$5:$L$1219,$C20,'HR Track 1'!$M$5:$M$1219,$S$19)</f>
        <v>0</v>
      </c>
      <c r="T20" s="93">
        <f>COUNTIFS('HR Track 1'!$L$5:$L$1219,$C20,'HR Track 1'!$M$5:$M$1219,$T$19)</f>
        <v>0</v>
      </c>
      <c r="U20" s="71"/>
      <c r="V20" s="101">
        <f>COUNTIFS('HR Track 2'!$L$5:$L$1213,$C20,'HR Track 2'!$M$5:$M$1213,$V$19)</f>
        <v>0</v>
      </c>
      <c r="W20" s="92">
        <f>COUNTIFS('HR Track 2'!$L$5:$L$1213,$C20,'HR Track 2'!$M$5:$M$1213,$W$19)</f>
        <v>0</v>
      </c>
      <c r="X20" s="92">
        <f>COUNTIFS('HR Track 2'!$L$5:$L$1213,$C20,'HR Track 2'!$M$5:$M$1213,$X$19)</f>
        <v>0</v>
      </c>
      <c r="Y20" s="92">
        <f>COUNTIFS('HR Track 2'!$L$5:$L$1213,$C20,'HR Track 2'!$M$5:$M$1213,$Y$19)</f>
        <v>0</v>
      </c>
      <c r="Z20" s="92">
        <f>COUNTIFS('HR Track 2'!$L$5:$L$1213,$C20,'HR Track 2'!$M$5:$M$1213,$Z$19)</f>
        <v>0</v>
      </c>
      <c r="AA20" s="93">
        <f>COUNTIFS('HR Track 2'!$L$5:$L$1213,$C20,'HR Track 2'!$M$5:$M$1213,$AA$19)</f>
        <v>0</v>
      </c>
      <c r="AC20" s="88" t="s">
        <v>2087</v>
      </c>
    </row>
    <row r="21" spans="1:29" ht="18.75" customHeight="1">
      <c r="A21" s="163"/>
      <c r="B21" s="127"/>
      <c r="C21" s="304" t="s">
        <v>233</v>
      </c>
      <c r="D21" s="145" t="s">
        <v>512</v>
      </c>
      <c r="E21" s="88" t="s">
        <v>710</v>
      </c>
      <c r="F21" s="87" t="s">
        <v>707</v>
      </c>
      <c r="G21" s="98">
        <f t="shared" si="8"/>
        <v>4</v>
      </c>
      <c r="H21" s="71">
        <f t="shared" si="9"/>
        <v>2</v>
      </c>
      <c r="I21" s="71">
        <f t="shared" si="10"/>
        <v>2</v>
      </c>
      <c r="J21" s="71">
        <f t="shared" si="11"/>
        <v>0</v>
      </c>
      <c r="K21" s="71">
        <f t="shared" si="12"/>
        <v>0</v>
      </c>
      <c r="L21" s="71">
        <f t="shared" si="13"/>
        <v>0</v>
      </c>
      <c r="M21" s="94">
        <f t="shared" si="14"/>
        <v>0</v>
      </c>
      <c r="N21" s="366"/>
      <c r="O21" s="102"/>
      <c r="P21" s="71"/>
      <c r="Q21" s="71">
        <f>COUNTIFS('HR Track 1'!$L$5:$L$1219,$C21,'HR Track 1'!$M$5:$M$1219,$Q$19)</f>
        <v>0</v>
      </c>
      <c r="R21" s="71">
        <f>COUNTIFS('HR Track 1'!$L$5:$L$1219,$C21,'HR Track 1'!$M$5:$M$1219,$R$19)</f>
        <v>0</v>
      </c>
      <c r="S21" s="71"/>
      <c r="T21" s="94">
        <f>COUNTIFS('HR Track 1'!$L$5:$L$1219,$C21,'HR Track 1'!$M$5:$M$1219,$T$19)</f>
        <v>0</v>
      </c>
      <c r="U21" s="71"/>
      <c r="V21" s="102"/>
      <c r="W21" s="71"/>
      <c r="X21" s="71">
        <f>COUNTIFS('HR Track 2'!$L$5:$L$1213,$C21,'HR Track 2'!$M$5:$M$1213,$X$19)</f>
        <v>0</v>
      </c>
      <c r="Y21" s="71">
        <f>COUNTIFS('HR Track 2'!$L$5:$L$1213,$C21,'HR Track 2'!$M$5:$M$1213,$Y$19)</f>
        <v>0</v>
      </c>
      <c r="Z21" s="71">
        <f>COUNTIFS('HR Track 2'!$L$5:$L$1213,$C21,'HR Track 2'!$M$5:$M$1213,$Z$19)</f>
        <v>0</v>
      </c>
      <c r="AA21" s="94"/>
      <c r="AC21" s="88" t="s">
        <v>2088</v>
      </c>
    </row>
    <row r="22" spans="1:29" ht="18.75" customHeight="1">
      <c r="A22" s="163"/>
      <c r="B22" s="127"/>
      <c r="C22" s="304" t="s">
        <v>1113</v>
      </c>
      <c r="D22" s="145" t="s">
        <v>1146</v>
      </c>
      <c r="E22" s="88" t="s">
        <v>1116</v>
      </c>
      <c r="F22" s="87" t="s">
        <v>707</v>
      </c>
      <c r="G22" s="98">
        <f t="shared" si="8"/>
        <v>0</v>
      </c>
      <c r="H22" s="71">
        <f t="shared" si="9"/>
        <v>0</v>
      </c>
      <c r="I22" s="71">
        <f t="shared" si="10"/>
        <v>0</v>
      </c>
      <c r="J22" s="71">
        <f t="shared" si="11"/>
        <v>0</v>
      </c>
      <c r="K22" s="71">
        <f t="shared" si="12"/>
        <v>0</v>
      </c>
      <c r="L22" s="71">
        <f t="shared" si="13"/>
        <v>0</v>
      </c>
      <c r="M22" s="94">
        <f t="shared" si="14"/>
        <v>0</v>
      </c>
      <c r="N22" s="366"/>
      <c r="O22" s="102"/>
      <c r="P22" s="71"/>
      <c r="Q22" s="71">
        <f>COUNTIFS('HR Track 1'!$L$5:$L$1219,$C22,'HR Track 1'!$M$5:$M$1219,$Q$19)</f>
        <v>0</v>
      </c>
      <c r="R22" s="71">
        <f>COUNTIFS('HR Track 1'!$L$5:$L$1219,$C22,'HR Track 1'!$M$5:$M$1219,$R$19)</f>
        <v>0</v>
      </c>
      <c r="S22" s="71"/>
      <c r="T22" s="94">
        <f>COUNTIFS('HR Track 1'!$L$5:$L$1219,$C22,'HR Track 1'!$M$5:$M$1219,$T$19)</f>
        <v>0</v>
      </c>
      <c r="U22" s="71"/>
      <c r="V22" s="102"/>
      <c r="W22" s="71"/>
      <c r="X22" s="71">
        <f>COUNTIFS('HR Track 2'!$L$5:$L$1213,$C22,'HR Track 2'!$M$5:$M$1213,$X$19)</f>
        <v>0</v>
      </c>
      <c r="Y22" s="71">
        <f>COUNTIFS('HR Track 2'!$L$5:$L$1213,$C22,'HR Track 2'!$M$5:$M$1213,$Y$19)</f>
        <v>0</v>
      </c>
      <c r="Z22" s="71">
        <f>COUNTIFS('HR Track 2'!$L$5:$L$1213,$C22,'HR Track 2'!$M$5:$M$1213,$Z$19)</f>
        <v>0</v>
      </c>
      <c r="AA22" s="94"/>
      <c r="AC22" s="88" t="s">
        <v>2089</v>
      </c>
    </row>
    <row r="23" spans="1:29" ht="18.75" customHeight="1">
      <c r="A23" s="163"/>
      <c r="B23" s="127"/>
      <c r="C23" s="304" t="s">
        <v>1118</v>
      </c>
      <c r="D23" s="145" t="s">
        <v>1173</v>
      </c>
      <c r="E23" s="88" t="s">
        <v>1127</v>
      </c>
      <c r="F23" s="87" t="s">
        <v>707</v>
      </c>
      <c r="G23" s="98">
        <f t="shared" si="8"/>
        <v>26</v>
      </c>
      <c r="H23" s="71">
        <f t="shared" si="9"/>
        <v>13</v>
      </c>
      <c r="I23" s="71">
        <f t="shared" si="10"/>
        <v>13</v>
      </c>
      <c r="J23" s="71">
        <f t="shared" si="11"/>
        <v>0</v>
      </c>
      <c r="K23" s="71">
        <f t="shared" si="12"/>
        <v>0</v>
      </c>
      <c r="L23" s="71">
        <f t="shared" si="13"/>
        <v>0</v>
      </c>
      <c r="M23" s="94">
        <f t="shared" si="14"/>
        <v>0</v>
      </c>
      <c r="N23" s="366">
        <f>SUM(O23:AA23)</f>
        <v>26</v>
      </c>
      <c r="O23" s="102">
        <f>COUNTIFS('HR Track 1'!$L$5:$L$1219,$C23,'HR Track 1'!$M$5:$M$1219,$O$19)</f>
        <v>5</v>
      </c>
      <c r="P23" s="71">
        <f>COUNTIFS('HR Track 1'!$L$5:$L$1219,$C23,'HR Track 1'!$M$5:$M$1219,$P$19)</f>
        <v>3</v>
      </c>
      <c r="Q23" s="71">
        <f>COUNTIFS('HR Track 1'!$L$5:$L$1219,$C23,'HR Track 1'!$M$5:$M$1219,$Q$19)</f>
        <v>1</v>
      </c>
      <c r="R23" s="71">
        <f>COUNTIFS('HR Track 1'!$L$5:$L$1219,$C23,'HR Track 1'!$M$5:$M$1219,$R$19)</f>
        <v>4</v>
      </c>
      <c r="S23" s="71">
        <f>COUNTIFS('HR Track 1'!$L$5:$L$1219,$C23,'HR Track 1'!$M$5:$M$1219,$S$19)</f>
        <v>0</v>
      </c>
      <c r="T23" s="94">
        <f>COUNTIFS('HR Track 1'!$L$5:$L$1219,$C23,'HR Track 1'!$M$5:$M$1219,$T$19)</f>
        <v>0</v>
      </c>
      <c r="U23" s="71"/>
      <c r="V23" s="102">
        <f>COUNTIFS('HR Track 2'!$L$5:$L$1213,$C23,'HR Track 2'!$M$5:$M$1213,$V$19)</f>
        <v>5</v>
      </c>
      <c r="W23" s="71">
        <f>COUNTIFS('HR Track 2'!$L$5:$L$1213,$C23,'HR Track 2'!$M$5:$M$1213,$W$19)</f>
        <v>3</v>
      </c>
      <c r="X23" s="71">
        <f>COUNTIFS('HR Track 2'!$L$5:$L$1213,$C23,'HR Track 2'!$M$5:$M$1213,$X$19)</f>
        <v>1</v>
      </c>
      <c r="Y23" s="71">
        <f>COUNTIFS('HR Track 2'!$L$5:$L$1213,$C23,'HR Track 2'!$M$5:$M$1213,$Y$19)</f>
        <v>3</v>
      </c>
      <c r="Z23" s="71">
        <f>COUNTIFS('HR Track 2'!$L$5:$L$1213,$C23,'HR Track 2'!$M$5:$M$1213,$Z$19)</f>
        <v>1</v>
      </c>
      <c r="AA23" s="94">
        <f>COUNTIFS('HR Track 2'!$L$5:$L$1213,$C23,'HR Track 2'!$M$5:$M$1213,$AA$19)</f>
        <v>0</v>
      </c>
      <c r="AC23" s="88" t="s">
        <v>2090</v>
      </c>
    </row>
    <row r="24" spans="1:29" ht="18.75" customHeight="1">
      <c r="A24" s="163"/>
      <c r="B24" s="127"/>
      <c r="C24" s="304" t="s">
        <v>2265</v>
      </c>
      <c r="D24" s="145" t="s">
        <v>1153</v>
      </c>
      <c r="E24" s="88" t="s">
        <v>2212</v>
      </c>
      <c r="F24" s="87" t="s">
        <v>707</v>
      </c>
      <c r="G24" s="98">
        <f t="shared" si="8"/>
        <v>0</v>
      </c>
      <c r="H24" s="71">
        <f t="shared" si="9"/>
        <v>0</v>
      </c>
      <c r="I24" s="71">
        <f t="shared" si="10"/>
        <v>0</v>
      </c>
      <c r="J24" s="71">
        <f t="shared" si="11"/>
        <v>0</v>
      </c>
      <c r="K24" s="71">
        <f t="shared" si="12"/>
        <v>0</v>
      </c>
      <c r="L24" s="71">
        <f t="shared" si="13"/>
        <v>0</v>
      </c>
      <c r="M24" s="94">
        <f t="shared" si="14"/>
        <v>0</v>
      </c>
      <c r="N24" s="366">
        <f>SUM(O24:AA24)</f>
        <v>0</v>
      </c>
      <c r="O24" s="102">
        <f>COUNTIFS('HR Track 1'!$L$5:$L$1219,$C24,'HR Track 1'!$M$5:$M$1219,$O$19)</f>
        <v>0</v>
      </c>
      <c r="P24" s="71">
        <f>COUNTIFS('HR Track 1'!$L$5:$L$1219,$C24,'HR Track 1'!$M$5:$M$1219,$P$19)</f>
        <v>0</v>
      </c>
      <c r="Q24" s="71">
        <f>COUNTIFS('HR Track 1'!$L$5:$L$1219,$C24,'HR Track 1'!$M$5:$M$1219,$Q$19)</f>
        <v>0</v>
      </c>
      <c r="R24" s="71">
        <f>COUNTIFS('HR Track 1'!$L$5:$L$1219,$C24,'HR Track 1'!$M$5:$M$1219,$R$19)</f>
        <v>0</v>
      </c>
      <c r="S24" s="71">
        <f>COUNTIFS('HR Track 1'!$L$5:$L$1219,$C24,'HR Track 1'!$M$5:$M$1219,$S$19)</f>
        <v>0</v>
      </c>
      <c r="T24" s="94">
        <f>COUNTIFS('HR Track 1'!$L$5:$L$1219,$C24,'HR Track 1'!$M$5:$M$1219,$T$19)</f>
        <v>0</v>
      </c>
      <c r="U24" s="71"/>
      <c r="V24" s="102">
        <f>COUNTIFS('HR Track 2'!$L$5:$L$1213,$C24,'HR Track 2'!$M$5:$M$1213,$V$19)</f>
        <v>0</v>
      </c>
      <c r="W24" s="71">
        <f>COUNTIFS('HR Track 2'!$L$5:$L$1213,$C24,'HR Track 2'!$M$5:$M$1213,$W$19)</f>
        <v>0</v>
      </c>
      <c r="X24" s="71">
        <f>COUNTIFS('HR Track 2'!$L$5:$L$1213,$C24,'HR Track 2'!$M$5:$M$1213,$X$19)</f>
        <v>0</v>
      </c>
      <c r="Y24" s="71">
        <f>COUNTIFS('HR Track 2'!$L$5:$L$1213,$C24,'HR Track 2'!$M$5:$M$1213,$Y$19)</f>
        <v>0</v>
      </c>
      <c r="Z24" s="71">
        <f>COUNTIFS('HR Track 2'!$L$5:$L$1213,$C24,'HR Track 2'!$M$5:$M$1213,$Z$19)</f>
        <v>0</v>
      </c>
      <c r="AA24" s="94">
        <f>COUNTIFS('HR Track 2'!$L$5:$L$1213,$C24,'HR Track 2'!$M$5:$M$1213,$AA$19)</f>
        <v>0</v>
      </c>
      <c r="AC24" s="88" t="s">
        <v>2209</v>
      </c>
    </row>
    <row r="25" spans="1:29" ht="18.75" customHeight="1">
      <c r="A25" s="163"/>
      <c r="B25" s="127"/>
      <c r="C25" s="304" t="s">
        <v>239</v>
      </c>
      <c r="D25" s="145" t="s">
        <v>513</v>
      </c>
      <c r="E25" s="88" t="s">
        <v>711</v>
      </c>
      <c r="F25" s="87" t="s">
        <v>707</v>
      </c>
      <c r="G25" s="98">
        <f t="shared" si="8"/>
        <v>0</v>
      </c>
      <c r="H25" s="71">
        <f>COUNTIF(Area_v1,$C25)</f>
        <v>0</v>
      </c>
      <c r="I25" s="71">
        <f t="shared" si="10"/>
        <v>0</v>
      </c>
      <c r="J25" s="71">
        <f t="shared" si="11"/>
        <v>0</v>
      </c>
      <c r="K25" s="71">
        <f t="shared" si="12"/>
        <v>0</v>
      </c>
      <c r="L25" s="71">
        <f t="shared" si="13"/>
        <v>0</v>
      </c>
      <c r="M25" s="94">
        <f t="shared" si="14"/>
        <v>0</v>
      </c>
      <c r="N25" s="366"/>
      <c r="O25" s="102"/>
      <c r="P25" s="71"/>
      <c r="Q25" s="71">
        <f>COUNTIFS('HR Track 1'!$L$5:$L$1219,$C25,'HR Track 1'!$M$5:$M$1219,$Q$19)</f>
        <v>0</v>
      </c>
      <c r="R25" s="71">
        <f>COUNTIFS('HR Track 1'!$L$5:$L$1219,$C25,'HR Track 1'!$M$5:$M$1219,$R$19)</f>
        <v>0</v>
      </c>
      <c r="S25" s="71"/>
      <c r="T25" s="94">
        <f>COUNTIFS('HR Track 1'!$L$5:$L$1219,$C25,'HR Track 1'!$M$5:$M$1219,$T$19)</f>
        <v>0</v>
      </c>
      <c r="U25" s="71"/>
      <c r="V25" s="102"/>
      <c r="W25" s="71"/>
      <c r="X25" s="71">
        <f>COUNTIFS('HR Track 2'!$L$5:$L$1213,$C25,'HR Track 2'!$M$5:$M$1213,$X$19)</f>
        <v>0</v>
      </c>
      <c r="Y25" s="71">
        <f>COUNTIFS('HR Track 2'!$L$5:$L$1213,$C25,'HR Track 2'!$M$5:$M$1213,$Y$19)</f>
        <v>0</v>
      </c>
      <c r="Z25" s="71">
        <f>COUNTIFS('HR Track 2'!$L$5:$L$1213,$C25,'HR Track 2'!$M$5:$M$1213,$Z$19)</f>
        <v>0</v>
      </c>
      <c r="AA25" s="94"/>
      <c r="AC25" s="88" t="s">
        <v>2091</v>
      </c>
    </row>
    <row r="26" spans="1:29" ht="18.75" customHeight="1">
      <c r="A26" s="163"/>
      <c r="B26" s="127"/>
      <c r="C26" s="304" t="s">
        <v>1114</v>
      </c>
      <c r="D26" s="145" t="s">
        <v>1154</v>
      </c>
      <c r="E26" s="88" t="s">
        <v>1130</v>
      </c>
      <c r="F26" s="87" t="s">
        <v>707</v>
      </c>
      <c r="G26" s="98">
        <f t="shared" si="8"/>
        <v>0</v>
      </c>
      <c r="H26" s="71">
        <f t="shared" si="9"/>
        <v>0</v>
      </c>
      <c r="I26" s="71">
        <f t="shared" si="10"/>
        <v>0</v>
      </c>
      <c r="J26" s="71">
        <f t="shared" si="11"/>
        <v>0</v>
      </c>
      <c r="K26" s="71">
        <f t="shared" si="12"/>
        <v>0</v>
      </c>
      <c r="L26" s="71">
        <f t="shared" si="13"/>
        <v>0</v>
      </c>
      <c r="M26" s="94">
        <f t="shared" si="14"/>
        <v>0</v>
      </c>
      <c r="N26" s="366"/>
      <c r="O26" s="102"/>
      <c r="P26" s="71"/>
      <c r="Q26" s="71">
        <f>COUNTIFS('HR Track 1'!$L$5:$L$1219,$C26,'HR Track 1'!$M$5:$M$1219,$Q$19)</f>
        <v>0</v>
      </c>
      <c r="R26" s="71">
        <f>COUNTIFS('HR Track 1'!$L$5:$L$1219,$C26,'HR Track 1'!$M$5:$M$1219,$R$19)</f>
        <v>0</v>
      </c>
      <c r="S26" s="71"/>
      <c r="T26" s="94">
        <f>COUNTIFS('HR Track 1'!$L$5:$L$1219,$C26,'HR Track 1'!$M$5:$M$1219,$T$19)</f>
        <v>0</v>
      </c>
      <c r="U26" s="71"/>
      <c r="V26" s="102"/>
      <c r="W26" s="71"/>
      <c r="X26" s="71">
        <f>COUNTIFS('HR Track 2'!$L$5:$L$1213,$C26,'HR Track 2'!$M$5:$M$1213,$X$19)</f>
        <v>0</v>
      </c>
      <c r="Y26" s="71">
        <f>COUNTIFS('HR Track 2'!$L$5:$L$1213,$C26,'HR Track 2'!$M$5:$M$1213,$Y$19)</f>
        <v>0</v>
      </c>
      <c r="Z26" s="71">
        <f>COUNTIFS('HR Track 2'!$L$5:$L$1213,$C26,'HR Track 2'!$M$5:$M$1213,$Z$19)</f>
        <v>0</v>
      </c>
      <c r="AA26" s="94"/>
      <c r="AC26" s="88" t="s">
        <v>2092</v>
      </c>
    </row>
    <row r="27" spans="1:29" ht="18.75" customHeight="1">
      <c r="A27" s="163"/>
      <c r="B27" s="127"/>
      <c r="C27" s="304" t="s">
        <v>1120</v>
      </c>
      <c r="D27" s="145" t="s">
        <v>1155</v>
      </c>
      <c r="E27" s="88" t="s">
        <v>1128</v>
      </c>
      <c r="F27" s="87" t="s">
        <v>707</v>
      </c>
      <c r="G27" s="98">
        <f t="shared" si="8"/>
        <v>20</v>
      </c>
      <c r="H27" s="71">
        <f t="shared" si="9"/>
        <v>10</v>
      </c>
      <c r="I27" s="71">
        <f t="shared" si="10"/>
        <v>10</v>
      </c>
      <c r="J27" s="71">
        <f t="shared" si="11"/>
        <v>0</v>
      </c>
      <c r="K27" s="71">
        <f t="shared" si="12"/>
        <v>0</v>
      </c>
      <c r="L27" s="71">
        <f t="shared" si="13"/>
        <v>0</v>
      </c>
      <c r="M27" s="94">
        <f t="shared" si="14"/>
        <v>0</v>
      </c>
      <c r="N27" s="366">
        <f>SUM(O27:AA27)</f>
        <v>20</v>
      </c>
      <c r="O27" s="102">
        <f>COUNTIFS('HR Track 1'!$L$5:$L$1219,$C27,'HR Track 1'!$M$5:$M$1219,$O$19)</f>
        <v>1</v>
      </c>
      <c r="P27" s="71">
        <f>COUNTIFS('HR Track 1'!$L$5:$L$1219,$C27,'HR Track 1'!$M$5:$M$1219,$P$19)</f>
        <v>5</v>
      </c>
      <c r="Q27" s="71">
        <f>COUNTIFS('HR Track 1'!$L$5:$L$1219,$C27,'HR Track 1'!$M$5:$M$1219,$Q$19)</f>
        <v>4</v>
      </c>
      <c r="R27" s="71">
        <f>COUNTIFS('HR Track 1'!$L$5:$L$1219,$C27,'HR Track 1'!$M$5:$M$1219,$R$19)</f>
        <v>0</v>
      </c>
      <c r="S27" s="71">
        <f>COUNTIFS('HR Track 1'!$L$5:$L$1219,$C27,'HR Track 1'!$M$5:$M$1219,$S$19)</f>
        <v>0</v>
      </c>
      <c r="T27" s="94">
        <f>COUNTIFS('HR Track 1'!$L$5:$L$1219,$C27,'HR Track 1'!$M$5:$M$1219,$T$19)</f>
        <v>0</v>
      </c>
      <c r="U27" s="71"/>
      <c r="V27" s="102">
        <f>COUNTIFS('HR Track 2'!$L$5:$L$1213,$C27,'HR Track 2'!$M$5:$M$1213,$V$19)</f>
        <v>1</v>
      </c>
      <c r="W27" s="71">
        <f>COUNTIFS('HR Track 2'!$L$5:$L$1213,$C27,'HR Track 2'!$M$5:$M$1213,$W$19)</f>
        <v>6</v>
      </c>
      <c r="X27" s="71">
        <f>COUNTIFS('HR Track 2'!$L$5:$L$1213,$C27,'HR Track 2'!$M$5:$M$1213,$X$19)</f>
        <v>3</v>
      </c>
      <c r="Y27" s="71">
        <f>COUNTIFS('HR Track 2'!$L$5:$L$1213,$C27,'HR Track 2'!$M$5:$M$1213,$Y$19)</f>
        <v>0</v>
      </c>
      <c r="Z27" s="71">
        <f>COUNTIFS('HR Track 2'!$L$5:$L$1213,$C27,'HR Track 2'!$M$5:$M$1213,$Z$19)</f>
        <v>0</v>
      </c>
      <c r="AA27" s="94">
        <f>COUNTIFS('HR Track 2'!$L$5:$L$1213,$C27,'HR Track 2'!$M$5:$M$1213,$AA$19)</f>
        <v>0</v>
      </c>
      <c r="AC27" s="88" t="s">
        <v>2093</v>
      </c>
    </row>
    <row r="28" spans="1:29" ht="18.75" customHeight="1">
      <c r="A28" s="163"/>
      <c r="B28" s="127"/>
      <c r="C28" s="304" t="s">
        <v>2264</v>
      </c>
      <c r="D28" s="145" t="s">
        <v>1156</v>
      </c>
      <c r="E28" s="88" t="s">
        <v>2211</v>
      </c>
      <c r="F28" s="87" t="s">
        <v>707</v>
      </c>
      <c r="G28" s="98">
        <f t="shared" si="8"/>
        <v>0</v>
      </c>
      <c r="H28" s="71">
        <f t="shared" si="9"/>
        <v>0</v>
      </c>
      <c r="I28" s="71">
        <f t="shared" si="10"/>
        <v>0</v>
      </c>
      <c r="J28" s="71">
        <f t="shared" si="11"/>
        <v>0</v>
      </c>
      <c r="K28" s="71">
        <f t="shared" si="12"/>
        <v>0</v>
      </c>
      <c r="L28" s="71">
        <f t="shared" si="13"/>
        <v>0</v>
      </c>
      <c r="M28" s="94">
        <f t="shared" si="14"/>
        <v>0</v>
      </c>
      <c r="N28" s="366">
        <f>SUM(O28:AA28)</f>
        <v>0</v>
      </c>
      <c r="O28" s="102">
        <f>COUNTIFS('HR Track 1'!$L$5:$L$1219,$C28,'HR Track 1'!$M$5:$M$1219,$O$19)</f>
        <v>0</v>
      </c>
      <c r="P28" s="71">
        <f>COUNTIFS('HR Track 1'!$L$5:$L$1219,$C28,'HR Track 1'!$M$5:$M$1219,$P$19)</f>
        <v>0</v>
      </c>
      <c r="Q28" s="71">
        <f>COUNTIFS('HR Track 1'!$L$5:$L$1219,$C28,'HR Track 1'!$M$5:$M$1219,$Q$19)</f>
        <v>0</v>
      </c>
      <c r="R28" s="71">
        <f>COUNTIFS('HR Track 1'!$L$5:$L$1219,$C28,'HR Track 1'!$M$5:$M$1219,$R$19)</f>
        <v>0</v>
      </c>
      <c r="S28" s="71">
        <f>COUNTIFS('HR Track 1'!$L$5:$L$1219,$C28,'HR Track 1'!$M$5:$M$1219,$S$19)</f>
        <v>0</v>
      </c>
      <c r="T28" s="94">
        <f>COUNTIFS('HR Track 1'!$L$5:$L$1219,$C28,'HR Track 1'!$M$5:$M$1219,$T$19)</f>
        <v>0</v>
      </c>
      <c r="U28" s="71"/>
      <c r="V28" s="102">
        <f>COUNTIFS('HR Track 2'!$L$5:$L$1213,$C28,'HR Track 2'!$M$5:$M$1213,$V$19)</f>
        <v>0</v>
      </c>
      <c r="W28" s="71">
        <f>COUNTIFS('HR Track 2'!$L$5:$L$1213,$C28,'HR Track 2'!$M$5:$M$1213,$W$19)</f>
        <v>0</v>
      </c>
      <c r="X28" s="71">
        <f>COUNTIFS('HR Track 2'!$L$5:$L$1213,$C28,'HR Track 2'!$M$5:$M$1213,$X$19)</f>
        <v>0</v>
      </c>
      <c r="Y28" s="71">
        <f>COUNTIFS('HR Track 2'!$L$5:$L$1213,$C28,'HR Track 2'!$M$5:$M$1213,$Y$19)</f>
        <v>0</v>
      </c>
      <c r="Z28" s="71">
        <f>COUNTIFS('HR Track 2'!$L$5:$L$1213,$C28,'HR Track 2'!$M$5:$M$1213,$Z$19)</f>
        <v>0</v>
      </c>
      <c r="AA28" s="94">
        <f>COUNTIFS('HR Track 2'!$L$5:$L$1213,$C28,'HR Track 2'!$M$5:$M$1213,$AA$19)</f>
        <v>0</v>
      </c>
      <c r="AC28" s="88" t="s">
        <v>2207</v>
      </c>
    </row>
    <row r="29" spans="1:29" ht="18.75" customHeight="1">
      <c r="A29" s="163"/>
      <c r="B29" s="127"/>
      <c r="C29" s="304" t="s">
        <v>238</v>
      </c>
      <c r="D29" s="145" t="s">
        <v>514</v>
      </c>
      <c r="E29" s="88" t="s">
        <v>712</v>
      </c>
      <c r="F29" s="87" t="s">
        <v>707</v>
      </c>
      <c r="G29" s="98">
        <f t="shared" si="8"/>
        <v>0</v>
      </c>
      <c r="H29" s="71">
        <f t="shared" si="9"/>
        <v>0</v>
      </c>
      <c r="I29" s="71">
        <f t="shared" si="10"/>
        <v>0</v>
      </c>
      <c r="J29" s="71">
        <f t="shared" si="11"/>
        <v>0</v>
      </c>
      <c r="K29" s="71">
        <f t="shared" si="12"/>
        <v>0</v>
      </c>
      <c r="L29" s="71">
        <f t="shared" si="13"/>
        <v>0</v>
      </c>
      <c r="M29" s="94">
        <f t="shared" si="14"/>
        <v>0</v>
      </c>
      <c r="N29" s="366"/>
      <c r="O29" s="102"/>
      <c r="P29" s="71"/>
      <c r="Q29" s="71">
        <f>COUNTIFS('HR Track 1'!$L$5:$L$1219,$C29,'HR Track 1'!$M$5:$M$1219,$Q$19)</f>
        <v>0</v>
      </c>
      <c r="R29" s="71">
        <f>COUNTIFS('HR Track 1'!$L$5:$L$1219,$C29,'HR Track 1'!$M$5:$M$1219,$R$19)</f>
        <v>0</v>
      </c>
      <c r="S29" s="71"/>
      <c r="T29" s="94">
        <f>COUNTIFS('HR Track 1'!$L$5:$L$1219,$C29,'HR Track 1'!$M$5:$M$1219,$T$19)</f>
        <v>0</v>
      </c>
      <c r="U29" s="71"/>
      <c r="V29" s="102"/>
      <c r="W29" s="71"/>
      <c r="X29" s="71">
        <f>COUNTIFS('HR Track 2'!$L$5:$L$1213,$C29,'HR Track 2'!$M$5:$M$1213,$X$19)</f>
        <v>0</v>
      </c>
      <c r="Y29" s="71">
        <f>COUNTIFS('HR Track 2'!$L$5:$L$1213,$C29,'HR Track 2'!$M$5:$M$1213,$Y$19)</f>
        <v>0</v>
      </c>
      <c r="Z29" s="71">
        <f>COUNTIFS('HR Track 2'!$L$5:$L$1213,$C29,'HR Track 2'!$M$5:$M$1213,$Z$19)</f>
        <v>0</v>
      </c>
      <c r="AA29" s="94"/>
      <c r="AC29" s="88" t="s">
        <v>2094</v>
      </c>
    </row>
    <row r="30" spans="1:29" ht="18.75" customHeight="1">
      <c r="A30" s="357"/>
      <c r="B30" s="358"/>
      <c r="C30" s="370" t="s">
        <v>1115</v>
      </c>
      <c r="D30" s="287" t="s">
        <v>1157</v>
      </c>
      <c r="E30" s="359" t="s">
        <v>1131</v>
      </c>
      <c r="F30" s="360" t="s">
        <v>707</v>
      </c>
      <c r="G30" s="98">
        <f t="shared" si="8"/>
        <v>0</v>
      </c>
      <c r="H30" s="71">
        <f t="shared" si="9"/>
        <v>0</v>
      </c>
      <c r="I30" s="71">
        <f t="shared" si="10"/>
        <v>0</v>
      </c>
      <c r="J30" s="71">
        <f t="shared" si="11"/>
        <v>0</v>
      </c>
      <c r="K30" s="71">
        <f t="shared" si="12"/>
        <v>0</v>
      </c>
      <c r="L30" s="71">
        <f t="shared" si="13"/>
        <v>0</v>
      </c>
      <c r="M30" s="94">
        <f t="shared" si="14"/>
        <v>0</v>
      </c>
      <c r="N30" s="366"/>
      <c r="O30" s="102"/>
      <c r="P30" s="71"/>
      <c r="Q30" s="71">
        <f>COUNTIFS('HR Track 1'!$L$5:$L$1219,$C30,'HR Track 1'!$M$5:$M$1219,$Q$19)</f>
        <v>0</v>
      </c>
      <c r="R30" s="71">
        <f>COUNTIFS('HR Track 1'!$L$5:$L$1219,$C30,'HR Track 1'!$M$5:$M$1219,$R$19)</f>
        <v>0</v>
      </c>
      <c r="S30" s="71"/>
      <c r="T30" s="94">
        <f>COUNTIFS('HR Track 1'!$L$5:$L$1219,$C30,'HR Track 1'!$M$5:$M$1219,$T$19)</f>
        <v>0</v>
      </c>
      <c r="U30" s="71"/>
      <c r="V30" s="102"/>
      <c r="W30" s="71"/>
      <c r="X30" s="71">
        <f>COUNTIFS('HR Track 2'!$L$5:$L$1213,$C30,'HR Track 2'!$M$5:$M$1213,$X$19)</f>
        <v>0</v>
      </c>
      <c r="Y30" s="71">
        <f>COUNTIFS('HR Track 2'!$L$5:$L$1213,$C30,'HR Track 2'!$M$5:$M$1213,$Y$19)</f>
        <v>0</v>
      </c>
      <c r="Z30" s="71">
        <f>COUNTIFS('HR Track 2'!$L$5:$L$1213,$C30,'HR Track 2'!$M$5:$M$1213,$Z$19)</f>
        <v>0</v>
      </c>
      <c r="AA30" s="94"/>
      <c r="AC30" s="359" t="s">
        <v>2095</v>
      </c>
    </row>
    <row r="31" spans="1:29" ht="18.75" customHeight="1">
      <c r="A31" s="163"/>
      <c r="B31" s="127"/>
      <c r="C31" s="304" t="s">
        <v>1123</v>
      </c>
      <c r="D31" s="145" t="s">
        <v>1158</v>
      </c>
      <c r="E31" s="88" t="s">
        <v>1129</v>
      </c>
      <c r="F31" s="87" t="s">
        <v>707</v>
      </c>
      <c r="G31" s="98">
        <f t="shared" si="8"/>
        <v>4</v>
      </c>
      <c r="H31" s="71">
        <f t="shared" si="9"/>
        <v>2</v>
      </c>
      <c r="I31" s="71">
        <f t="shared" si="10"/>
        <v>2</v>
      </c>
      <c r="J31" s="71">
        <f t="shared" si="11"/>
        <v>0</v>
      </c>
      <c r="K31" s="71">
        <f t="shared" si="12"/>
        <v>0</v>
      </c>
      <c r="L31" s="71">
        <f t="shared" si="13"/>
        <v>0</v>
      </c>
      <c r="M31" s="94">
        <f t="shared" si="14"/>
        <v>0</v>
      </c>
      <c r="N31" s="366">
        <f>SUM(O31:AA31)</f>
        <v>4</v>
      </c>
      <c r="O31" s="102">
        <f>COUNTIFS('HR Track 1'!$L$5:$L$1219,$C31,'HR Track 1'!$M$5:$M$1219,$O$19)</f>
        <v>0</v>
      </c>
      <c r="P31" s="71">
        <f>COUNTIFS('HR Track 1'!$L$5:$L$1219,$C31,'HR Track 1'!$M$5:$M$1219,$P$19)</f>
        <v>0</v>
      </c>
      <c r="Q31" s="71">
        <f>COUNTIFS('HR Track 1'!$L$5:$L$1219,$C31,'HR Track 1'!$M$5:$M$1219,$Q$19)</f>
        <v>2</v>
      </c>
      <c r="R31" s="71">
        <f>COUNTIFS('HR Track 1'!$L$5:$L$1219,$C31,'HR Track 1'!$M$5:$M$1219,$R$19)</f>
        <v>0</v>
      </c>
      <c r="S31" s="71">
        <f>COUNTIFS('HR Track 1'!$L$5:$L$1219,$C31,'HR Track 1'!$M$5:$M$1219,$S$19)</f>
        <v>0</v>
      </c>
      <c r="T31" s="94">
        <f>COUNTIFS('HR Track 1'!$L$5:$L$1219,$C31,'HR Track 1'!$M$5:$M$1219,$T$19)</f>
        <v>0</v>
      </c>
      <c r="U31" s="71"/>
      <c r="V31" s="102">
        <f>COUNTIFS('HR Track 2'!$L$5:$L$1213,$C31,'HR Track 2'!$M$5:$M$1213,$V$19)</f>
        <v>0</v>
      </c>
      <c r="W31" s="71">
        <f>COUNTIFS('HR Track 2'!$L$5:$L$1213,$C31,'HR Track 2'!$M$5:$M$1213,$W$19)</f>
        <v>1</v>
      </c>
      <c r="X31" s="71">
        <f>COUNTIFS('HR Track 2'!$L$5:$L$1213,$C31,'HR Track 2'!$M$5:$M$1213,$X$19)</f>
        <v>1</v>
      </c>
      <c r="Y31" s="71">
        <f>COUNTIFS('HR Track 2'!$L$5:$L$1213,$C31,'HR Track 2'!$M$5:$M$1213,$Y$19)</f>
        <v>0</v>
      </c>
      <c r="Z31" s="71">
        <f>COUNTIFS('HR Track 2'!$L$5:$L$1213,$C31,'HR Track 2'!$M$5:$M$1213,$Z$19)</f>
        <v>0</v>
      </c>
      <c r="AA31" s="94">
        <f>COUNTIFS('HR Track 2'!$L$5:$L$1213,$C31,'HR Track 2'!$M$5:$M$1213,$AA$19)</f>
        <v>0</v>
      </c>
      <c r="AC31" s="88" t="s">
        <v>2096</v>
      </c>
    </row>
    <row r="32" spans="1:29" ht="18.75" customHeight="1">
      <c r="A32" s="149"/>
      <c r="B32" s="111"/>
      <c r="C32" s="305" t="s">
        <v>2263</v>
      </c>
      <c r="D32" s="143" t="s">
        <v>1159</v>
      </c>
      <c r="E32" s="91" t="s">
        <v>2210</v>
      </c>
      <c r="F32" s="89" t="s">
        <v>707</v>
      </c>
      <c r="G32" s="99">
        <f t="shared" si="8"/>
        <v>0</v>
      </c>
      <c r="H32" s="95">
        <f t="shared" si="9"/>
        <v>0</v>
      </c>
      <c r="I32" s="95">
        <f t="shared" si="10"/>
        <v>0</v>
      </c>
      <c r="J32" s="95">
        <f t="shared" si="11"/>
        <v>0</v>
      </c>
      <c r="K32" s="95">
        <f t="shared" si="12"/>
        <v>0</v>
      </c>
      <c r="L32" s="95">
        <f t="shared" si="13"/>
        <v>0</v>
      </c>
      <c r="M32" s="96">
        <f t="shared" si="14"/>
        <v>0</v>
      </c>
      <c r="N32" s="366">
        <f>SUM(O32:AA32)</f>
        <v>0</v>
      </c>
      <c r="O32" s="103">
        <f>COUNTIFS('HR Track 1'!$L$5:$L$1219,$C32,'HR Track 1'!$M$5:$M$1219,$O$19)</f>
        <v>0</v>
      </c>
      <c r="P32" s="95">
        <f>COUNTIFS('HR Track 1'!$L$5:$L$1219,$C32,'HR Track 1'!$M$5:$M$1219,$P$19)</f>
        <v>0</v>
      </c>
      <c r="Q32" s="95">
        <f>COUNTIFS('HR Track 1'!$L$5:$L$1219,$C32,'HR Track 1'!$M$5:$M$1219,$Q$19)</f>
        <v>0</v>
      </c>
      <c r="R32" s="95">
        <f>COUNTIFS('HR Track 1'!$L$5:$L$1219,$C32,'HR Track 1'!$M$5:$M$1219,$R$19)</f>
        <v>0</v>
      </c>
      <c r="S32" s="95">
        <f>COUNTIFS('HR Track 1'!$L$5:$L$1219,$C32,'HR Track 1'!$M$5:$M$1219,$S$19)</f>
        <v>0</v>
      </c>
      <c r="T32" s="96">
        <f>COUNTIFS('HR Track 1'!$L$5:$L$1219,$C32,'HR Track 1'!$M$5:$M$1219,$T$19)</f>
        <v>0</v>
      </c>
      <c r="U32" s="71"/>
      <c r="V32" s="103">
        <f>COUNTIFS('HR Track 2'!$L$5:$L$1213,$C32,'HR Track 2'!$M$5:$M$1213,$V$19)</f>
        <v>0</v>
      </c>
      <c r="W32" s="95">
        <f>COUNTIFS('HR Track 2'!$L$5:$L$1213,$C32,'HR Track 2'!$M$5:$M$1213,$W$19)</f>
        <v>0</v>
      </c>
      <c r="X32" s="95">
        <f>COUNTIFS('HR Track 2'!$L$5:$L$1213,$C32,'HR Track 2'!$M$5:$M$1213,$X$19)</f>
        <v>0</v>
      </c>
      <c r="Y32" s="95">
        <f>COUNTIFS('HR Track 2'!$L$5:$L$1213,$C32,'HR Track 2'!$M$5:$M$1213,$Y$19)</f>
        <v>0</v>
      </c>
      <c r="Z32" s="95">
        <f>COUNTIFS('HR Track 2'!$L$5:$L$1213,$C32,'HR Track 2'!$M$5:$M$1213,$Z$19)</f>
        <v>0</v>
      </c>
      <c r="AA32" s="96">
        <f>COUNTIFS('HR Track 2'!$L$5:$L$1213,$C32,'HR Track 2'!$M$5:$M$1213,$AA$19)</f>
        <v>0</v>
      </c>
      <c r="AC32" s="91" t="s">
        <v>2208</v>
      </c>
    </row>
    <row r="33" spans="1:29" ht="18.75" customHeight="1">
      <c r="A33" s="361"/>
      <c r="B33" s="362"/>
      <c r="C33" s="363" t="s">
        <v>907</v>
      </c>
      <c r="D33" s="286" t="s">
        <v>515</v>
      </c>
      <c r="E33" s="364" t="s">
        <v>713</v>
      </c>
      <c r="F33" s="365" t="s">
        <v>707</v>
      </c>
      <c r="G33" s="98">
        <f t="shared" si="8"/>
        <v>0</v>
      </c>
      <c r="H33" s="71">
        <f t="shared" si="9"/>
        <v>0</v>
      </c>
      <c r="I33" s="71">
        <f t="shared" si="10"/>
        <v>0</v>
      </c>
      <c r="J33" s="71">
        <f t="shared" si="11"/>
        <v>0</v>
      </c>
      <c r="K33" s="71">
        <f t="shared" si="12"/>
        <v>0</v>
      </c>
      <c r="L33" s="71">
        <f t="shared" si="13"/>
        <v>0</v>
      </c>
      <c r="M33" s="94">
        <f t="shared" si="14"/>
        <v>0</v>
      </c>
      <c r="N33" s="366"/>
      <c r="AC33" s="364" t="s">
        <v>2097</v>
      </c>
    </row>
    <row r="34" spans="1:29" ht="18.75" customHeight="1">
      <c r="A34" s="163"/>
      <c r="B34" s="127"/>
      <c r="C34" s="304" t="s">
        <v>908</v>
      </c>
      <c r="D34" s="145" t="s">
        <v>516</v>
      </c>
      <c r="E34" s="88" t="s">
        <v>714</v>
      </c>
      <c r="F34" s="87" t="s">
        <v>707</v>
      </c>
      <c r="G34" s="98">
        <f t="shared" si="8"/>
        <v>0</v>
      </c>
      <c r="H34" s="71">
        <f t="shared" si="9"/>
        <v>0</v>
      </c>
      <c r="I34" s="71">
        <f t="shared" si="10"/>
        <v>0</v>
      </c>
      <c r="J34" s="71">
        <f t="shared" si="11"/>
        <v>0</v>
      </c>
      <c r="K34" s="71">
        <f t="shared" si="12"/>
        <v>0</v>
      </c>
      <c r="L34" s="71">
        <f t="shared" si="13"/>
        <v>0</v>
      </c>
      <c r="M34" s="94">
        <f t="shared" si="14"/>
        <v>0</v>
      </c>
      <c r="N34" s="366"/>
      <c r="AC34" s="88" t="s">
        <v>2098</v>
      </c>
    </row>
    <row r="35" spans="1:29" ht="18.75" customHeight="1">
      <c r="A35" s="163"/>
      <c r="B35" s="127"/>
      <c r="C35" s="304" t="s">
        <v>909</v>
      </c>
      <c r="D35" s="145" t="s">
        <v>517</v>
      </c>
      <c r="E35" s="88" t="s">
        <v>715</v>
      </c>
      <c r="F35" s="87" t="s">
        <v>707</v>
      </c>
      <c r="G35" s="98">
        <f t="shared" si="8"/>
        <v>0</v>
      </c>
      <c r="H35" s="71">
        <f t="shared" si="9"/>
        <v>0</v>
      </c>
      <c r="I35" s="71">
        <f t="shared" si="10"/>
        <v>0</v>
      </c>
      <c r="J35" s="71">
        <f t="shared" si="11"/>
        <v>0</v>
      </c>
      <c r="K35" s="71">
        <f t="shared" si="12"/>
        <v>0</v>
      </c>
      <c r="L35" s="71">
        <f t="shared" si="13"/>
        <v>0</v>
      </c>
      <c r="M35" s="94">
        <f t="shared" si="14"/>
        <v>0</v>
      </c>
      <c r="N35" s="366"/>
      <c r="AC35" s="88" t="s">
        <v>2099</v>
      </c>
    </row>
    <row r="36" spans="1:29" ht="18.75" customHeight="1">
      <c r="A36" s="163"/>
      <c r="B36" s="127"/>
      <c r="C36" s="304" t="s">
        <v>910</v>
      </c>
      <c r="D36" s="145" t="s">
        <v>518</v>
      </c>
      <c r="E36" s="88" t="s">
        <v>716</v>
      </c>
      <c r="F36" s="87" t="s">
        <v>707</v>
      </c>
      <c r="G36" s="98">
        <f t="shared" si="8"/>
        <v>0</v>
      </c>
      <c r="H36" s="71">
        <f t="shared" si="9"/>
        <v>0</v>
      </c>
      <c r="I36" s="71">
        <f t="shared" si="10"/>
        <v>0</v>
      </c>
      <c r="J36" s="71">
        <f t="shared" si="11"/>
        <v>0</v>
      </c>
      <c r="K36" s="71">
        <f t="shared" si="12"/>
        <v>0</v>
      </c>
      <c r="L36" s="71">
        <f t="shared" si="13"/>
        <v>0</v>
      </c>
      <c r="M36" s="94">
        <f t="shared" si="14"/>
        <v>0</v>
      </c>
      <c r="N36" s="366"/>
      <c r="AC36" s="88" t="s">
        <v>2100</v>
      </c>
    </row>
    <row r="37" spans="1:29" ht="18.75" customHeight="1">
      <c r="A37" s="163"/>
      <c r="B37" s="127"/>
      <c r="C37" s="304" t="s">
        <v>911</v>
      </c>
      <c r="D37" s="145" t="s">
        <v>519</v>
      </c>
      <c r="E37" s="88" t="s">
        <v>717</v>
      </c>
      <c r="F37" s="87" t="s">
        <v>707</v>
      </c>
      <c r="G37" s="98">
        <f t="shared" si="8"/>
        <v>0</v>
      </c>
      <c r="H37" s="71">
        <f t="shared" si="9"/>
        <v>0</v>
      </c>
      <c r="I37" s="71">
        <f t="shared" si="10"/>
        <v>0</v>
      </c>
      <c r="J37" s="71">
        <f t="shared" si="11"/>
        <v>0</v>
      </c>
      <c r="K37" s="71">
        <f t="shared" si="12"/>
        <v>0</v>
      </c>
      <c r="L37" s="71">
        <f t="shared" si="13"/>
        <v>0</v>
      </c>
      <c r="M37" s="94">
        <f t="shared" si="14"/>
        <v>0</v>
      </c>
      <c r="N37" s="366"/>
      <c r="AC37" s="88" t="s">
        <v>2101</v>
      </c>
    </row>
    <row r="38" spans="1:29" ht="18.75" customHeight="1">
      <c r="A38" s="163"/>
      <c r="B38" s="127"/>
      <c r="C38" s="304" t="s">
        <v>694</v>
      </c>
      <c r="D38" s="145" t="s">
        <v>520</v>
      </c>
      <c r="E38" s="88" t="s">
        <v>718</v>
      </c>
      <c r="F38" s="87" t="s">
        <v>707</v>
      </c>
      <c r="G38" s="98">
        <f t="shared" si="8"/>
        <v>0</v>
      </c>
      <c r="H38" s="71">
        <f t="shared" si="9"/>
        <v>0</v>
      </c>
      <c r="I38" s="71">
        <f t="shared" si="10"/>
        <v>0</v>
      </c>
      <c r="J38" s="71">
        <f t="shared" si="11"/>
        <v>0</v>
      </c>
      <c r="K38" s="71">
        <f t="shared" si="12"/>
        <v>0</v>
      </c>
      <c r="L38" s="71">
        <f t="shared" si="13"/>
        <v>0</v>
      </c>
      <c r="M38" s="94">
        <f t="shared" si="14"/>
        <v>0</v>
      </c>
      <c r="N38" s="366"/>
      <c r="AC38" s="88" t="s">
        <v>2109</v>
      </c>
    </row>
    <row r="39" spans="1:29" ht="18.75" customHeight="1">
      <c r="A39" s="163"/>
      <c r="B39" s="127"/>
      <c r="C39" s="304" t="s">
        <v>915</v>
      </c>
      <c r="D39" s="145" t="s">
        <v>1160</v>
      </c>
      <c r="E39" s="88" t="s">
        <v>722</v>
      </c>
      <c r="F39" s="87" t="s">
        <v>707</v>
      </c>
      <c r="G39" s="98">
        <f t="shared" si="8"/>
        <v>0</v>
      </c>
      <c r="H39" s="71">
        <f t="shared" si="9"/>
        <v>0</v>
      </c>
      <c r="I39" s="71">
        <f t="shared" si="10"/>
        <v>0</v>
      </c>
      <c r="J39" s="71">
        <f t="shared" si="11"/>
        <v>0</v>
      </c>
      <c r="K39" s="71">
        <f t="shared" si="12"/>
        <v>0</v>
      </c>
      <c r="L39" s="71">
        <f t="shared" si="13"/>
        <v>0</v>
      </c>
      <c r="M39" s="94">
        <f t="shared" si="14"/>
        <v>0</v>
      </c>
      <c r="N39" s="366"/>
      <c r="AC39" s="91" t="s">
        <v>2102</v>
      </c>
    </row>
    <row r="40" spans="1:29" ht="18.75" customHeight="1">
      <c r="A40" s="149"/>
      <c r="B40" s="111"/>
      <c r="C40" s="305" t="s">
        <v>2682</v>
      </c>
      <c r="D40" s="143" t="s">
        <v>2683</v>
      </c>
      <c r="E40" s="91" t="s">
        <v>2684</v>
      </c>
      <c r="F40" s="89" t="s">
        <v>707</v>
      </c>
      <c r="G40" s="99">
        <f>SUM(H40:M40)</f>
        <v>0</v>
      </c>
      <c r="H40" s="95">
        <f>COUNTIF(Area_v1,$C40)</f>
        <v>0</v>
      </c>
      <c r="I40" s="95">
        <f t="shared" si="10"/>
        <v>0</v>
      </c>
      <c r="J40" s="95">
        <f t="shared" si="11"/>
        <v>0</v>
      </c>
      <c r="K40" s="95">
        <f t="shared" si="12"/>
        <v>0</v>
      </c>
      <c r="L40" s="95">
        <f t="shared" si="13"/>
        <v>0</v>
      </c>
      <c r="M40" s="96">
        <f>COUNTIF(Area_v6,$C40)</f>
        <v>0</v>
      </c>
      <c r="N40" s="366"/>
      <c r="AC40" s="91" t="s">
        <v>2700</v>
      </c>
    </row>
    <row r="41" spans="1:29" ht="18.75" customHeight="1">
      <c r="A41" s="163"/>
      <c r="B41" s="127"/>
      <c r="C41" s="304" t="s">
        <v>1098</v>
      </c>
      <c r="D41" s="145" t="s">
        <v>1161</v>
      </c>
      <c r="E41" s="88" t="s">
        <v>1117</v>
      </c>
      <c r="F41" s="87" t="s">
        <v>707</v>
      </c>
      <c r="G41" s="98">
        <f t="shared" si="8"/>
        <v>0</v>
      </c>
      <c r="H41" s="71">
        <f t="shared" si="9"/>
        <v>0</v>
      </c>
      <c r="I41" s="71">
        <f t="shared" si="10"/>
        <v>0</v>
      </c>
      <c r="J41" s="71">
        <f t="shared" si="11"/>
        <v>0</v>
      </c>
      <c r="K41" s="71">
        <f t="shared" si="12"/>
        <v>0</v>
      </c>
      <c r="L41" s="71">
        <f t="shared" si="13"/>
        <v>0</v>
      </c>
      <c r="M41" s="94">
        <f t="shared" si="14"/>
        <v>0</v>
      </c>
      <c r="N41" s="366"/>
      <c r="AC41" s="88" t="s">
        <v>2103</v>
      </c>
    </row>
    <row r="42" spans="1:29" ht="18.75" customHeight="1">
      <c r="A42" s="361"/>
      <c r="B42" s="362"/>
      <c r="C42" s="304" t="s">
        <v>1124</v>
      </c>
      <c r="D42" s="145" t="s">
        <v>1162</v>
      </c>
      <c r="E42" s="88" t="s">
        <v>1125</v>
      </c>
      <c r="F42" s="87" t="s">
        <v>707</v>
      </c>
      <c r="G42" s="98">
        <f t="shared" si="8"/>
        <v>4</v>
      </c>
      <c r="H42" s="71">
        <f t="shared" si="9"/>
        <v>2</v>
      </c>
      <c r="I42" s="71">
        <f t="shared" si="10"/>
        <v>2</v>
      </c>
      <c r="J42" s="71">
        <f t="shared" si="11"/>
        <v>0</v>
      </c>
      <c r="K42" s="71">
        <f t="shared" si="12"/>
        <v>0</v>
      </c>
      <c r="L42" s="71">
        <f t="shared" si="13"/>
        <v>0</v>
      </c>
      <c r="M42" s="94">
        <f t="shared" si="14"/>
        <v>0</v>
      </c>
      <c r="N42" s="366">
        <f>SUM(O42:AA42)</f>
        <v>4</v>
      </c>
      <c r="O42" s="101">
        <f>COUNTIFS('HR Track 1'!$L$5:$L$1219,$C42,'HR Track 1'!$M$5:$M$1219,$O$19)</f>
        <v>0</v>
      </c>
      <c r="P42" s="92">
        <f>COUNTIFS('HR Track 1'!$L$5:$L$1219,$C42,'HR Track 1'!$M$5:$M$1219,$P$19)</f>
        <v>2</v>
      </c>
      <c r="Q42" s="92">
        <f>COUNTIFS('HR Track 1'!$L$5:$L$1219,$C42,'HR Track 1'!$M$5:$M$1219,$Q$19)</f>
        <v>0</v>
      </c>
      <c r="R42" s="92">
        <f>COUNTIFS('HR Track 1'!$L$5:$L$1219,$C42,'HR Track 1'!$M$5:$M$1219,$R$19)</f>
        <v>0</v>
      </c>
      <c r="S42" s="92">
        <f>COUNTIFS('HR Track 1'!$L$5:$L$1219,$C42,'HR Track 1'!$M$5:$M$1219,$S$19)</f>
        <v>0</v>
      </c>
      <c r="T42" s="93">
        <f>COUNTIFS('HR Track 1'!$L$5:$L$1219,$C42,'HR Track 1'!$M$5:$M$1219,$T$19)</f>
        <v>0</v>
      </c>
      <c r="V42" s="101">
        <f>COUNTIFS('HR Track 2'!$L$5:$L$1213,$C42,'HR Track 2'!$M$5:$M$1213,$V$19)</f>
        <v>0</v>
      </c>
      <c r="W42" s="92">
        <f>COUNTIFS('HR Track 2'!$L$5:$L$1213,$C42,'HR Track 2'!$M$5:$M$1213,$W$19)</f>
        <v>2</v>
      </c>
      <c r="X42" s="92">
        <f>COUNTIFS('HR Track 2'!$L$5:$L$1213,$C42,'HR Track 2'!$M$5:$M$1213,$X$19)</f>
        <v>0</v>
      </c>
      <c r="Y42" s="92">
        <f>COUNTIFS('HR Track 2'!$L$5:$L$1213,$C42,'HR Track 2'!$M$5:$M$1213,$Y$19)</f>
        <v>0</v>
      </c>
      <c r="Z42" s="92">
        <f>COUNTIFS('HR Track 2'!$L$5:$L$1213,$C42,'HR Track 2'!$M$5:$M$1213,$Z$19)</f>
        <v>0</v>
      </c>
      <c r="AA42" s="93">
        <f>COUNTIFS('HR Track 2'!$L$5:$L$1213,$C42,'HR Track 2'!$M$5:$M$1213,$AA$19)</f>
        <v>0</v>
      </c>
      <c r="AC42" s="88" t="s">
        <v>2104</v>
      </c>
    </row>
    <row r="43" spans="1:29" ht="18.75" customHeight="1">
      <c r="A43" s="163"/>
      <c r="B43" s="127"/>
      <c r="C43" s="304" t="s">
        <v>1100</v>
      </c>
      <c r="D43" s="145" t="s">
        <v>1163</v>
      </c>
      <c r="E43" s="88" t="s">
        <v>1119</v>
      </c>
      <c r="F43" s="87" t="s">
        <v>707</v>
      </c>
      <c r="G43" s="98">
        <f t="shared" si="8"/>
        <v>0</v>
      </c>
      <c r="H43" s="71">
        <f t="shared" si="9"/>
        <v>0</v>
      </c>
      <c r="I43" s="71">
        <f t="shared" si="10"/>
        <v>0</v>
      </c>
      <c r="J43" s="71">
        <f t="shared" si="11"/>
        <v>0</v>
      </c>
      <c r="K43" s="71">
        <f t="shared" si="12"/>
        <v>0</v>
      </c>
      <c r="L43" s="71">
        <f t="shared" si="13"/>
        <v>0</v>
      </c>
      <c r="M43" s="94">
        <f t="shared" si="14"/>
        <v>0</v>
      </c>
      <c r="N43" s="366"/>
      <c r="O43" s="366"/>
      <c r="P43" s="366"/>
      <c r="Q43" s="366"/>
      <c r="R43" s="366"/>
      <c r="S43" s="366"/>
      <c r="T43" s="366"/>
      <c r="U43" s="366"/>
      <c r="V43" s="366"/>
      <c r="W43" s="366"/>
      <c r="X43" s="366"/>
      <c r="Y43" s="366"/>
      <c r="Z43" s="366"/>
      <c r="AA43" s="366"/>
      <c r="AC43" s="88" t="s">
        <v>2105</v>
      </c>
    </row>
    <row r="44" spans="1:29" ht="18.75" customHeight="1">
      <c r="A44" s="163"/>
      <c r="B44" s="127"/>
      <c r="C44" s="304" t="s">
        <v>1121</v>
      </c>
      <c r="D44" s="145" t="s">
        <v>1164</v>
      </c>
      <c r="E44" s="88" t="s">
        <v>1126</v>
      </c>
      <c r="F44" s="87" t="s">
        <v>707</v>
      </c>
      <c r="G44" s="98">
        <f t="shared" si="8"/>
        <v>0</v>
      </c>
      <c r="H44" s="71">
        <f t="shared" si="9"/>
        <v>0</v>
      </c>
      <c r="I44" s="71">
        <f t="shared" si="10"/>
        <v>0</v>
      </c>
      <c r="J44" s="71">
        <f t="shared" si="11"/>
        <v>0</v>
      </c>
      <c r="K44" s="71">
        <f t="shared" si="12"/>
        <v>0</v>
      </c>
      <c r="L44" s="71">
        <f t="shared" si="13"/>
        <v>0</v>
      </c>
      <c r="M44" s="94">
        <f t="shared" si="14"/>
        <v>0</v>
      </c>
      <c r="N44" s="366">
        <f>SUM(O44:AA44)</f>
        <v>0</v>
      </c>
      <c r="O44" s="103">
        <f>COUNTIFS('HR Track 1'!$L$5:$L$1219,$C44,'HR Track 1'!$M$5:$M$1219,$O$19)</f>
        <v>0</v>
      </c>
      <c r="P44" s="95">
        <f>COUNTIFS('HR Track 1'!$L$5:$L$1219,$C44,'HR Track 1'!$M$5:$M$1219,$P$19)</f>
        <v>0</v>
      </c>
      <c r="Q44" s="95">
        <f>COUNTIFS('HR Track 1'!$L$5:$L$1219,$C44,'HR Track 1'!$M$5:$M$1219,$Q$19)</f>
        <v>0</v>
      </c>
      <c r="R44" s="95">
        <f>COUNTIFS('HR Track 1'!$L$5:$L$1219,$C44,'HR Track 1'!$M$5:$M$1219,$R$19)</f>
        <v>0</v>
      </c>
      <c r="S44" s="95">
        <f>COUNTIFS('HR Track 1'!$L$5:$L$1219,$C44,'HR Track 1'!$M$5:$M$1219,$S$19)</f>
        <v>0</v>
      </c>
      <c r="T44" s="96">
        <f>COUNTIFS('HR Track 1'!$L$5:$L$1219,$C44,'HR Track 1'!$M$5:$M$1219,$T$19)</f>
        <v>0</v>
      </c>
      <c r="V44" s="103">
        <f>COUNTIFS('HR Track 2'!$L$5:$L$1213,$C44,'HR Track 2'!$M$5:$M$1213,$V$19)</f>
        <v>0</v>
      </c>
      <c r="W44" s="95">
        <f>COUNTIFS('HR Track 2'!$L$5:$L$1213,$C44,'HR Track 2'!$M$5:$M$1213,$W$19)</f>
        <v>0</v>
      </c>
      <c r="X44" s="95">
        <f>COUNTIFS('HR Track 2'!$L$5:$L$1213,$C44,'HR Track 2'!$M$5:$M$1213,$X$19)</f>
        <v>0</v>
      </c>
      <c r="Y44" s="95">
        <f>COUNTIFS('HR Track 2'!$L$5:$L$1213,$C44,'HR Track 2'!$M$5:$M$1213,$Y$19)</f>
        <v>0</v>
      </c>
      <c r="Z44" s="95">
        <f>COUNTIFS('HR Track 2'!$L$5:$L$1213,$C44,'HR Track 2'!$M$5:$M$1213,$Z$19)</f>
        <v>0</v>
      </c>
      <c r="AA44" s="96">
        <f>COUNTIFS('HR Track 2'!$L$5:$L$1213,$C44,'HR Track 2'!$M$5:$M$1213,$AA$19)</f>
        <v>0</v>
      </c>
      <c r="AC44" s="88" t="s">
        <v>2106</v>
      </c>
    </row>
    <row r="45" spans="1:29" ht="18.75" customHeight="1">
      <c r="A45" s="163"/>
      <c r="B45" s="127"/>
      <c r="C45" s="304" t="s">
        <v>912</v>
      </c>
      <c r="D45" s="145" t="s">
        <v>1165</v>
      </c>
      <c r="E45" s="88" t="s">
        <v>719</v>
      </c>
      <c r="F45" s="87" t="s">
        <v>707</v>
      </c>
      <c r="G45" s="98">
        <f>+Rebusca_t1(F45)</f>
        <v>0</v>
      </c>
      <c r="H45" s="71">
        <f t="shared" si="9"/>
        <v>0</v>
      </c>
      <c r="I45" s="71">
        <f t="shared" si="10"/>
        <v>0</v>
      </c>
      <c r="J45" s="71">
        <f t="shared" si="11"/>
        <v>0</v>
      </c>
      <c r="K45" s="71">
        <f t="shared" si="12"/>
        <v>0</v>
      </c>
      <c r="L45" s="71">
        <f t="shared" si="13"/>
        <v>0</v>
      </c>
      <c r="M45" s="94">
        <f t="shared" si="14"/>
        <v>0</v>
      </c>
      <c r="AC45" s="88" t="s">
        <v>2110</v>
      </c>
    </row>
    <row r="46" spans="1:29" ht="18.75" customHeight="1">
      <c r="A46" s="163"/>
      <c r="B46" s="127"/>
      <c r="C46" s="304" t="s">
        <v>913</v>
      </c>
      <c r="D46" s="145" t="s">
        <v>1166</v>
      </c>
      <c r="E46" s="88" t="s">
        <v>720</v>
      </c>
      <c r="F46" s="87" t="s">
        <v>707</v>
      </c>
      <c r="G46" s="98">
        <f t="shared" ref="G46:G79" si="15">SUM(H46:M46)</f>
        <v>0</v>
      </c>
      <c r="H46" s="71">
        <f t="shared" si="9"/>
        <v>0</v>
      </c>
      <c r="I46" s="71">
        <f t="shared" si="10"/>
        <v>0</v>
      </c>
      <c r="J46" s="71">
        <f t="shared" si="11"/>
        <v>0</v>
      </c>
      <c r="K46" s="71">
        <f t="shared" si="12"/>
        <v>0</v>
      </c>
      <c r="L46" s="71">
        <f t="shared" si="13"/>
        <v>0</v>
      </c>
      <c r="M46" s="94">
        <f t="shared" si="14"/>
        <v>0</v>
      </c>
      <c r="AC46" s="88" t="s">
        <v>2107</v>
      </c>
    </row>
    <row r="47" spans="1:29" ht="18.75" customHeight="1">
      <c r="A47" s="163"/>
      <c r="B47" s="127"/>
      <c r="C47" s="304" t="s">
        <v>914</v>
      </c>
      <c r="D47" s="145" t="s">
        <v>1167</v>
      </c>
      <c r="E47" s="88" t="s">
        <v>721</v>
      </c>
      <c r="F47" s="87" t="s">
        <v>707</v>
      </c>
      <c r="G47" s="98">
        <f t="shared" si="15"/>
        <v>0</v>
      </c>
      <c r="H47" s="71">
        <f t="shared" si="9"/>
        <v>0</v>
      </c>
      <c r="I47" s="71">
        <f t="shared" si="10"/>
        <v>0</v>
      </c>
      <c r="J47" s="71">
        <f t="shared" si="11"/>
        <v>0</v>
      </c>
      <c r="K47" s="71">
        <f t="shared" si="12"/>
        <v>0</v>
      </c>
      <c r="L47" s="71">
        <f t="shared" si="13"/>
        <v>0</v>
      </c>
      <c r="M47" s="94">
        <f t="shared" si="14"/>
        <v>0</v>
      </c>
      <c r="AC47" s="88" t="s">
        <v>2108</v>
      </c>
    </row>
    <row r="48" spans="1:29" ht="18.75" customHeight="1">
      <c r="A48" s="165"/>
      <c r="B48" s="362"/>
      <c r="C48" s="363" t="s">
        <v>2681</v>
      </c>
      <c r="D48" s="286" t="s">
        <v>2685</v>
      </c>
      <c r="E48" s="88" t="s">
        <v>2686</v>
      </c>
      <c r="F48" s="87" t="s">
        <v>707</v>
      </c>
      <c r="G48" s="98">
        <f t="shared" ref="G48:G49" si="16">SUM(H48:M48)</f>
        <v>4</v>
      </c>
      <c r="H48" s="71">
        <f>COUNTIF(Area_v1,$C48)</f>
        <v>2</v>
      </c>
      <c r="I48" s="71">
        <f>COUNTIF(Area_v2,$C48)</f>
        <v>2</v>
      </c>
      <c r="J48" s="71">
        <f t="shared" si="11"/>
        <v>0</v>
      </c>
      <c r="K48" s="71">
        <f t="shared" si="12"/>
        <v>0</v>
      </c>
      <c r="L48" s="71">
        <f t="shared" si="13"/>
        <v>0</v>
      </c>
      <c r="M48" s="94">
        <f t="shared" si="14"/>
        <v>0</v>
      </c>
      <c r="N48" s="366">
        <f>SUM(O48:AA48)</f>
        <v>4</v>
      </c>
      <c r="O48" s="101">
        <f>COUNTIFS('HR Track 1'!$L$5:$L$1219,$C48,'HR Track 1'!$M$5:$M$1219,$O$19)</f>
        <v>0</v>
      </c>
      <c r="P48" s="92">
        <f>COUNTIFS('HR Track 1'!$L$5:$L$1219,$C48,'HR Track 1'!$M$5:$M$1219,$P$19)</f>
        <v>2</v>
      </c>
      <c r="Q48" s="92">
        <f>COUNTIFS('HR Track 1'!$L$5:$L$1219,$C48,'HR Track 1'!$M$5:$M$1219,$Q$19)</f>
        <v>0</v>
      </c>
      <c r="R48" s="92">
        <f>COUNTIFS('HR Track 1'!$L$5:$L$1219,$C48,'HR Track 1'!$M$5:$M$1219,$R$19)</f>
        <v>0</v>
      </c>
      <c r="S48" s="92">
        <f>COUNTIFS('HR Track 1'!$L$5:$L$1219,$C48,'HR Track 1'!$M$5:$M$1219,$S$19)</f>
        <v>0</v>
      </c>
      <c r="T48" s="93">
        <f>COUNTIFS('HR Track 1'!$L$5:$L$1219,$C48,'HR Track 1'!$M$5:$M$1219,$T$19)</f>
        <v>0</v>
      </c>
      <c r="V48" s="101">
        <f>COUNTIFS('HR Track 2'!$L$5:$L$1213,$C48,'HR Track 2'!$M$5:$M$1213,$V$19)</f>
        <v>0</v>
      </c>
      <c r="W48" s="92">
        <f>COUNTIFS('HR Track 2'!$L$5:$L$1213,$C48,'HR Track 2'!$M$5:$M$1213,$W$19)</f>
        <v>2</v>
      </c>
      <c r="X48" s="92">
        <f>COUNTIFS('HR Track 2'!$L$5:$L$1213,$C48,'HR Track 2'!$M$5:$M$1213,$X$19)</f>
        <v>0</v>
      </c>
      <c r="Y48" s="92">
        <f>COUNTIFS('HR Track 2'!$L$5:$L$1213,$C48,'HR Track 2'!$M$5:$M$1213,$Y$19)</f>
        <v>0</v>
      </c>
      <c r="Z48" s="92">
        <f>COUNTIFS('HR Track 2'!$L$5:$L$1213,$C48,'HR Track 2'!$M$5:$M$1213,$Z$19)</f>
        <v>0</v>
      </c>
      <c r="AA48" s="93">
        <f>COUNTIFS('HR Track 2'!$L$5:$L$1213,$C48,'HR Track 2'!$M$5:$M$1213,$AA$19)</f>
        <v>0</v>
      </c>
      <c r="AC48" s="88" t="s">
        <v>2701</v>
      </c>
    </row>
    <row r="49" spans="1:29" ht="18.75" customHeight="1">
      <c r="A49" s="165"/>
      <c r="B49" s="362"/>
      <c r="C49" s="290" t="s">
        <v>2680</v>
      </c>
      <c r="D49" s="811" t="s">
        <v>2687</v>
      </c>
      <c r="E49" s="91" t="s">
        <v>2688</v>
      </c>
      <c r="F49" s="89" t="s">
        <v>707</v>
      </c>
      <c r="G49" s="98">
        <f t="shared" si="16"/>
        <v>0</v>
      </c>
      <c r="H49" s="71">
        <f>COUNTIF(Area_v1,$C49)</f>
        <v>0</v>
      </c>
      <c r="I49" s="71">
        <f>COUNTIF(Area_v2,$C49)</f>
        <v>0</v>
      </c>
      <c r="J49" s="71">
        <f t="shared" si="11"/>
        <v>0</v>
      </c>
      <c r="K49" s="71">
        <f t="shared" si="12"/>
        <v>0</v>
      </c>
      <c r="L49" s="71">
        <f t="shared" si="13"/>
        <v>0</v>
      </c>
      <c r="M49" s="94">
        <f t="shared" si="14"/>
        <v>0</v>
      </c>
      <c r="N49" s="366">
        <f>SUM(O49:AA49)</f>
        <v>0</v>
      </c>
      <c r="O49" s="103">
        <f>COUNTIFS('HR Track 1'!$L$5:$L$1219,$C49,'HR Track 1'!$M$5:$M$1219,$O$19)</f>
        <v>0</v>
      </c>
      <c r="P49" s="95">
        <f>COUNTIFS('HR Track 1'!$L$5:$L$1219,$C49,'HR Track 1'!$M$5:$M$1219,$P$19)</f>
        <v>0</v>
      </c>
      <c r="Q49" s="95">
        <f>COUNTIFS('HR Track 1'!$L$5:$L$1219,$C49,'HR Track 1'!$M$5:$M$1219,$Q$19)</f>
        <v>0</v>
      </c>
      <c r="R49" s="95">
        <f>COUNTIFS('HR Track 1'!$L$5:$L$1219,$C49,'HR Track 1'!$M$5:$M$1219,$R$19)</f>
        <v>0</v>
      </c>
      <c r="S49" s="95">
        <f>COUNTIFS('HR Track 1'!$L$5:$L$1219,$C49,'HR Track 1'!$M$5:$M$1219,$S$19)</f>
        <v>0</v>
      </c>
      <c r="T49" s="96">
        <f>COUNTIFS('HR Track 1'!$L$5:$L$1219,$C49,'HR Track 1'!$M$5:$M$1219,$T$19)</f>
        <v>0</v>
      </c>
      <c r="V49" s="103">
        <f>COUNTIFS('HR Track 2'!$L$5:$L$1213,$C49,'HR Track 2'!$M$5:$M$1213,$V$19)</f>
        <v>0</v>
      </c>
      <c r="W49" s="95">
        <f>COUNTIFS('HR Track 2'!$L$5:$L$1213,$C49,'HR Track 2'!$M$5:$M$1213,$W$19)</f>
        <v>0</v>
      </c>
      <c r="X49" s="95">
        <f>COUNTIFS('HR Track 2'!$L$5:$L$1213,$C49,'HR Track 2'!$M$5:$M$1213,$X$19)</f>
        <v>0</v>
      </c>
      <c r="Y49" s="95">
        <f>COUNTIFS('HR Track 2'!$L$5:$L$1213,$C49,'HR Track 2'!$M$5:$M$1213,$Y$19)</f>
        <v>0</v>
      </c>
      <c r="Z49" s="95">
        <f>COUNTIFS('HR Track 2'!$L$5:$L$1213,$C49,'HR Track 2'!$M$5:$M$1213,$Z$19)</f>
        <v>0</v>
      </c>
      <c r="AA49" s="96">
        <f>COUNTIFS('HR Track 2'!$L$5:$L$1213,$C49,'HR Track 2'!$M$5:$M$1213,$AA$19)</f>
        <v>0</v>
      </c>
      <c r="AC49" s="88" t="s">
        <v>2702</v>
      </c>
    </row>
    <row r="50" spans="1:29" ht="18.75" customHeight="1">
      <c r="A50" s="173" t="s">
        <v>916</v>
      </c>
      <c r="B50" s="159" t="s">
        <v>918</v>
      </c>
      <c r="C50" s="303"/>
      <c r="D50" s="142" t="s">
        <v>521</v>
      </c>
      <c r="E50" s="104" t="s">
        <v>523</v>
      </c>
      <c r="F50" s="110"/>
      <c r="G50" s="97">
        <f t="shared" si="15"/>
        <v>66</v>
      </c>
      <c r="H50" s="92">
        <f>SUM(H18:H49)</f>
        <v>33</v>
      </c>
      <c r="I50" s="92">
        <f>SUM(I18:I49)</f>
        <v>33</v>
      </c>
      <c r="J50" s="92">
        <f t="shared" ref="J50:M50" si="17">SUM(J18:J47)</f>
        <v>0</v>
      </c>
      <c r="K50" s="92">
        <f t="shared" si="17"/>
        <v>0</v>
      </c>
      <c r="L50" s="92">
        <f t="shared" si="17"/>
        <v>0</v>
      </c>
      <c r="M50" s="93">
        <f t="shared" si="17"/>
        <v>0</v>
      </c>
      <c r="AC50" s="104" t="s">
        <v>2111</v>
      </c>
    </row>
    <row r="51" spans="1:29" ht="18.75" customHeight="1">
      <c r="A51" s="182" t="s">
        <v>917</v>
      </c>
      <c r="B51" s="160" t="s">
        <v>723</v>
      </c>
      <c r="C51" s="305"/>
      <c r="D51" s="143" t="s">
        <v>522</v>
      </c>
      <c r="E51" s="106" t="s">
        <v>524</v>
      </c>
      <c r="F51" s="111" t="s">
        <v>723</v>
      </c>
      <c r="G51" s="99">
        <f t="shared" si="15"/>
        <v>66</v>
      </c>
      <c r="H51" s="95">
        <f t="shared" ref="H51:M51" si="18">+H50</f>
        <v>33</v>
      </c>
      <c r="I51" s="95">
        <f t="shared" si="18"/>
        <v>33</v>
      </c>
      <c r="J51" s="95">
        <f t="shared" si="18"/>
        <v>0</v>
      </c>
      <c r="K51" s="95">
        <f t="shared" si="18"/>
        <v>0</v>
      </c>
      <c r="L51" s="95">
        <f t="shared" si="18"/>
        <v>0</v>
      </c>
      <c r="M51" s="96">
        <f t="shared" si="18"/>
        <v>0</v>
      </c>
      <c r="AC51" s="106" t="s">
        <v>2112</v>
      </c>
    </row>
    <row r="52" spans="1:29" ht="18.75" customHeight="1">
      <c r="A52" s="172" t="s">
        <v>919</v>
      </c>
      <c r="B52" s="155" t="s">
        <v>937</v>
      </c>
      <c r="C52" s="303" t="s">
        <v>921</v>
      </c>
      <c r="D52" s="142" t="s">
        <v>525</v>
      </c>
      <c r="E52" s="86" t="s">
        <v>935</v>
      </c>
      <c r="F52" s="128" t="s">
        <v>724</v>
      </c>
      <c r="G52" s="97">
        <f t="shared" si="15"/>
        <v>0</v>
      </c>
      <c r="H52" s="92">
        <f t="shared" ref="H52:H64" si="19">COUNTIF(Area_v1,$C52)/2</f>
        <v>0</v>
      </c>
      <c r="I52" s="92">
        <f t="shared" ref="I52:I63" si="20">COUNTIF(Area_v2,$C52)/2</f>
        <v>0</v>
      </c>
      <c r="J52" s="92">
        <f t="shared" ref="J52:J63" si="21">COUNTIF(Area_v3,$C52)/2</f>
        <v>0</v>
      </c>
      <c r="K52" s="92">
        <f t="shared" ref="K52:K63" si="22">COUNTIF(Area_v4,$C52)/2</f>
        <v>0</v>
      </c>
      <c r="L52" s="92">
        <f t="shared" ref="L52:L63" si="23">COUNTIF(Area_v5,$C52)/2</f>
        <v>0</v>
      </c>
      <c r="M52" s="93">
        <f t="shared" ref="M52:M63" si="24">COUNTIF(Area_v6,$C52)/2</f>
        <v>0</v>
      </c>
      <c r="AC52" s="86" t="s">
        <v>2113</v>
      </c>
    </row>
    <row r="53" spans="1:29" ht="18.75" customHeight="1">
      <c r="A53" s="165"/>
      <c r="B53" s="156" t="s">
        <v>937</v>
      </c>
      <c r="C53" s="304" t="s">
        <v>922</v>
      </c>
      <c r="D53" s="145" t="s">
        <v>526</v>
      </c>
      <c r="E53" s="88" t="s">
        <v>527</v>
      </c>
      <c r="F53" s="129" t="s">
        <v>724</v>
      </c>
      <c r="G53" s="98">
        <f t="shared" si="15"/>
        <v>0</v>
      </c>
      <c r="H53" s="71">
        <f t="shared" si="19"/>
        <v>0</v>
      </c>
      <c r="I53" s="71">
        <f t="shared" si="20"/>
        <v>0</v>
      </c>
      <c r="J53" s="71">
        <f t="shared" si="21"/>
        <v>0</v>
      </c>
      <c r="K53" s="71">
        <f t="shared" si="22"/>
        <v>0</v>
      </c>
      <c r="L53" s="71">
        <f t="shared" si="23"/>
        <v>0</v>
      </c>
      <c r="M53" s="94">
        <f t="shared" si="24"/>
        <v>0</v>
      </c>
      <c r="AC53" s="88" t="s">
        <v>2114</v>
      </c>
    </row>
    <row r="54" spans="1:29" ht="18.75" customHeight="1">
      <c r="A54" s="166"/>
      <c r="B54" s="156" t="s">
        <v>937</v>
      </c>
      <c r="C54" s="304" t="s">
        <v>929</v>
      </c>
      <c r="D54" s="145" t="s">
        <v>528</v>
      </c>
      <c r="E54" s="88" t="s">
        <v>529</v>
      </c>
      <c r="F54" s="129" t="s">
        <v>724</v>
      </c>
      <c r="G54" s="98">
        <f t="shared" si="15"/>
        <v>0</v>
      </c>
      <c r="H54" s="71">
        <f t="shared" si="19"/>
        <v>0</v>
      </c>
      <c r="I54" s="71">
        <f t="shared" si="20"/>
        <v>0</v>
      </c>
      <c r="J54" s="71">
        <f t="shared" si="21"/>
        <v>0</v>
      </c>
      <c r="K54" s="71">
        <f t="shared" si="22"/>
        <v>0</v>
      </c>
      <c r="L54" s="71">
        <f t="shared" si="23"/>
        <v>0</v>
      </c>
      <c r="M54" s="94">
        <f t="shared" si="24"/>
        <v>0</v>
      </c>
      <c r="AC54" s="88" t="s">
        <v>2115</v>
      </c>
    </row>
    <row r="55" spans="1:29" ht="18.75" customHeight="1">
      <c r="A55" s="166"/>
      <c r="B55" s="156" t="s">
        <v>937</v>
      </c>
      <c r="C55" s="304" t="s">
        <v>930</v>
      </c>
      <c r="D55" s="145" t="s">
        <v>530</v>
      </c>
      <c r="E55" s="88" t="s">
        <v>531</v>
      </c>
      <c r="F55" s="129" t="s">
        <v>724</v>
      </c>
      <c r="G55" s="98">
        <f t="shared" si="15"/>
        <v>0</v>
      </c>
      <c r="H55" s="71">
        <f t="shared" si="19"/>
        <v>0</v>
      </c>
      <c r="I55" s="71">
        <f t="shared" si="20"/>
        <v>0</v>
      </c>
      <c r="J55" s="71">
        <f t="shared" si="21"/>
        <v>0</v>
      </c>
      <c r="K55" s="71">
        <f t="shared" si="22"/>
        <v>0</v>
      </c>
      <c r="L55" s="71">
        <f t="shared" si="23"/>
        <v>0</v>
      </c>
      <c r="M55" s="94">
        <f t="shared" si="24"/>
        <v>0</v>
      </c>
      <c r="AC55" s="88" t="s">
        <v>2116</v>
      </c>
    </row>
    <row r="56" spans="1:29" ht="18.75" customHeight="1">
      <c r="A56" s="166"/>
      <c r="B56" s="156" t="s">
        <v>937</v>
      </c>
      <c r="C56" s="304" t="s">
        <v>931</v>
      </c>
      <c r="D56" s="145" t="s">
        <v>532</v>
      </c>
      <c r="E56" s="88" t="s">
        <v>533</v>
      </c>
      <c r="F56" s="129" t="s">
        <v>724</v>
      </c>
      <c r="G56" s="98">
        <f t="shared" si="15"/>
        <v>0</v>
      </c>
      <c r="H56" s="71">
        <f t="shared" si="19"/>
        <v>0</v>
      </c>
      <c r="I56" s="71">
        <f t="shared" si="20"/>
        <v>0</v>
      </c>
      <c r="J56" s="71">
        <f t="shared" si="21"/>
        <v>0</v>
      </c>
      <c r="K56" s="71">
        <f t="shared" si="22"/>
        <v>0</v>
      </c>
      <c r="L56" s="71">
        <f t="shared" si="23"/>
        <v>0</v>
      </c>
      <c r="M56" s="94">
        <f t="shared" si="24"/>
        <v>0</v>
      </c>
      <c r="AC56" s="88" t="s">
        <v>2117</v>
      </c>
    </row>
    <row r="57" spans="1:29" ht="18.75" customHeight="1">
      <c r="A57" s="166"/>
      <c r="B57" s="156" t="s">
        <v>937</v>
      </c>
      <c r="C57" s="304" t="s">
        <v>932</v>
      </c>
      <c r="D57" s="145" t="s">
        <v>534</v>
      </c>
      <c r="E57" s="88" t="s">
        <v>535</v>
      </c>
      <c r="F57" s="129" t="s">
        <v>724</v>
      </c>
      <c r="G57" s="98">
        <f t="shared" si="15"/>
        <v>0</v>
      </c>
      <c r="H57" s="71">
        <f t="shared" si="19"/>
        <v>0</v>
      </c>
      <c r="I57" s="71">
        <f t="shared" si="20"/>
        <v>0</v>
      </c>
      <c r="J57" s="71">
        <f t="shared" si="21"/>
        <v>0</v>
      </c>
      <c r="K57" s="71">
        <f t="shared" si="22"/>
        <v>0</v>
      </c>
      <c r="L57" s="71">
        <f t="shared" si="23"/>
        <v>0</v>
      </c>
      <c r="M57" s="94">
        <f t="shared" si="24"/>
        <v>0</v>
      </c>
      <c r="AC57" s="88" t="s">
        <v>2118</v>
      </c>
    </row>
    <row r="58" spans="1:29" ht="18.75" customHeight="1">
      <c r="A58" s="166"/>
      <c r="B58" s="156" t="s">
        <v>937</v>
      </c>
      <c r="C58" s="304" t="s">
        <v>933</v>
      </c>
      <c r="D58" s="145" t="s">
        <v>536</v>
      </c>
      <c r="E58" s="88" t="s">
        <v>537</v>
      </c>
      <c r="F58" s="129" t="s">
        <v>724</v>
      </c>
      <c r="G58" s="98">
        <f t="shared" si="15"/>
        <v>0</v>
      </c>
      <c r="H58" s="71">
        <f t="shared" si="19"/>
        <v>0</v>
      </c>
      <c r="I58" s="71">
        <f t="shared" si="20"/>
        <v>0</v>
      </c>
      <c r="J58" s="71">
        <f t="shared" si="21"/>
        <v>0</v>
      </c>
      <c r="K58" s="71">
        <f t="shared" si="22"/>
        <v>0</v>
      </c>
      <c r="L58" s="71">
        <f t="shared" si="23"/>
        <v>0</v>
      </c>
      <c r="M58" s="94">
        <f t="shared" si="24"/>
        <v>0</v>
      </c>
      <c r="AC58" s="88" t="s">
        <v>2119</v>
      </c>
    </row>
    <row r="59" spans="1:29" ht="18.75" customHeight="1">
      <c r="A59" s="166"/>
      <c r="B59" s="156" t="s">
        <v>937</v>
      </c>
      <c r="C59" s="304" t="s">
        <v>934</v>
      </c>
      <c r="D59" s="145" t="s">
        <v>538</v>
      </c>
      <c r="E59" s="88" t="s">
        <v>539</v>
      </c>
      <c r="F59" s="129" t="s">
        <v>724</v>
      </c>
      <c r="G59" s="98">
        <f t="shared" si="15"/>
        <v>0</v>
      </c>
      <c r="H59" s="71">
        <f t="shared" si="19"/>
        <v>0</v>
      </c>
      <c r="I59" s="71">
        <f t="shared" si="20"/>
        <v>0</v>
      </c>
      <c r="J59" s="71">
        <f t="shared" si="21"/>
        <v>0</v>
      </c>
      <c r="K59" s="71">
        <f t="shared" si="22"/>
        <v>0</v>
      </c>
      <c r="L59" s="71">
        <f t="shared" si="23"/>
        <v>0</v>
      </c>
      <c r="M59" s="94">
        <f t="shared" si="24"/>
        <v>0</v>
      </c>
      <c r="AC59" s="88" t="s">
        <v>2120</v>
      </c>
    </row>
    <row r="60" spans="1:29" ht="18.75" customHeight="1">
      <c r="A60" s="166"/>
      <c r="B60" s="156" t="s">
        <v>937</v>
      </c>
      <c r="C60" s="304" t="s">
        <v>925</v>
      </c>
      <c r="D60" s="145" t="s">
        <v>540</v>
      </c>
      <c r="E60" s="88" t="s">
        <v>541</v>
      </c>
      <c r="F60" s="129" t="s">
        <v>723</v>
      </c>
      <c r="G60" s="98">
        <f t="shared" si="15"/>
        <v>0</v>
      </c>
      <c r="H60" s="71">
        <f t="shared" si="19"/>
        <v>0</v>
      </c>
      <c r="I60" s="71">
        <f t="shared" si="20"/>
        <v>0</v>
      </c>
      <c r="J60" s="71">
        <f t="shared" si="21"/>
        <v>0</v>
      </c>
      <c r="K60" s="71">
        <f t="shared" si="22"/>
        <v>0</v>
      </c>
      <c r="L60" s="71">
        <f t="shared" si="23"/>
        <v>0</v>
      </c>
      <c r="M60" s="94">
        <f t="shared" si="24"/>
        <v>0</v>
      </c>
      <c r="AC60" s="88" t="s">
        <v>2121</v>
      </c>
    </row>
    <row r="61" spans="1:29" ht="18.75" customHeight="1">
      <c r="A61" s="166"/>
      <c r="B61" s="156" t="s">
        <v>937</v>
      </c>
      <c r="C61" s="304" t="s">
        <v>926</v>
      </c>
      <c r="D61" s="145" t="s">
        <v>542</v>
      </c>
      <c r="E61" s="88" t="s">
        <v>543</v>
      </c>
      <c r="F61" s="129" t="s">
        <v>723</v>
      </c>
      <c r="G61" s="98">
        <f t="shared" si="15"/>
        <v>0</v>
      </c>
      <c r="H61" s="71">
        <f t="shared" si="19"/>
        <v>0</v>
      </c>
      <c r="I61" s="71">
        <f t="shared" si="20"/>
        <v>0</v>
      </c>
      <c r="J61" s="71">
        <f t="shared" si="21"/>
        <v>0</v>
      </c>
      <c r="K61" s="71">
        <f t="shared" si="22"/>
        <v>0</v>
      </c>
      <c r="L61" s="71">
        <f t="shared" si="23"/>
        <v>0</v>
      </c>
      <c r="M61" s="94">
        <f t="shared" si="24"/>
        <v>0</v>
      </c>
      <c r="AC61" s="88" t="s">
        <v>2122</v>
      </c>
    </row>
    <row r="62" spans="1:29" ht="18.75" customHeight="1">
      <c r="A62" s="166"/>
      <c r="B62" s="156" t="s">
        <v>937</v>
      </c>
      <c r="C62" s="304" t="s">
        <v>927</v>
      </c>
      <c r="D62" s="145" t="s">
        <v>544</v>
      </c>
      <c r="E62" s="88" t="s">
        <v>545</v>
      </c>
      <c r="F62" s="129" t="s">
        <v>723</v>
      </c>
      <c r="G62" s="98">
        <f t="shared" si="15"/>
        <v>0</v>
      </c>
      <c r="H62" s="71">
        <f t="shared" si="19"/>
        <v>0</v>
      </c>
      <c r="I62" s="71">
        <f t="shared" si="20"/>
        <v>0</v>
      </c>
      <c r="J62" s="71">
        <f t="shared" si="21"/>
        <v>0</v>
      </c>
      <c r="K62" s="71">
        <f t="shared" si="22"/>
        <v>0</v>
      </c>
      <c r="L62" s="71">
        <f t="shared" si="23"/>
        <v>0</v>
      </c>
      <c r="M62" s="94">
        <f t="shared" si="24"/>
        <v>0</v>
      </c>
      <c r="AC62" s="88" t="s">
        <v>2123</v>
      </c>
    </row>
    <row r="63" spans="1:29" ht="18.75" customHeight="1">
      <c r="A63" s="166"/>
      <c r="B63" s="156" t="s">
        <v>937</v>
      </c>
      <c r="C63" s="304" t="s">
        <v>928</v>
      </c>
      <c r="D63" s="145" t="s">
        <v>546</v>
      </c>
      <c r="E63" s="88" t="s">
        <v>547</v>
      </c>
      <c r="F63" s="129" t="s">
        <v>723</v>
      </c>
      <c r="G63" s="98">
        <f t="shared" si="15"/>
        <v>0</v>
      </c>
      <c r="H63" s="71">
        <f t="shared" si="19"/>
        <v>0</v>
      </c>
      <c r="I63" s="71">
        <f t="shared" si="20"/>
        <v>0</v>
      </c>
      <c r="J63" s="71">
        <f t="shared" si="21"/>
        <v>0</v>
      </c>
      <c r="K63" s="71">
        <f t="shared" si="22"/>
        <v>0</v>
      </c>
      <c r="L63" s="71">
        <f t="shared" si="23"/>
        <v>0</v>
      </c>
      <c r="M63" s="94">
        <f t="shared" si="24"/>
        <v>0</v>
      </c>
      <c r="AC63" s="88" t="s">
        <v>2124</v>
      </c>
    </row>
    <row r="64" spans="1:29" ht="18.75" customHeight="1">
      <c r="A64" s="166"/>
      <c r="B64" s="87"/>
      <c r="C64" s="304" t="s">
        <v>923</v>
      </c>
      <c r="D64" s="145" t="s">
        <v>726</v>
      </c>
      <c r="E64" s="88" t="s">
        <v>548</v>
      </c>
      <c r="F64" s="129" t="s">
        <v>725</v>
      </c>
      <c r="G64" s="98">
        <f t="shared" si="15"/>
        <v>0</v>
      </c>
      <c r="H64" s="71">
        <f t="shared" si="19"/>
        <v>0</v>
      </c>
      <c r="I64" s="71">
        <f>COUNTIF(Area_v2,$C64)</f>
        <v>0</v>
      </c>
      <c r="J64" s="71">
        <f>COUNTIF(Area_v3,$C64)</f>
        <v>0</v>
      </c>
      <c r="K64" s="71">
        <f>COUNTIF(Area_v4,$C64)</f>
        <v>0</v>
      </c>
      <c r="L64" s="71">
        <f>COUNTIF(Area_v5,$C64)</f>
        <v>0</v>
      </c>
      <c r="M64" s="94">
        <f>COUNTIF(Area_v6,$C64)</f>
        <v>0</v>
      </c>
      <c r="AC64" s="88" t="s">
        <v>2125</v>
      </c>
    </row>
    <row r="65" spans="1:29" ht="18.75" customHeight="1">
      <c r="A65" s="164"/>
      <c r="B65" s="89"/>
      <c r="C65" s="305" t="s">
        <v>924</v>
      </c>
      <c r="D65" s="143" t="s">
        <v>728</v>
      </c>
      <c r="E65" s="91" t="s">
        <v>729</v>
      </c>
      <c r="F65" s="144" t="s">
        <v>727</v>
      </c>
      <c r="G65" s="99">
        <f t="shared" si="15"/>
        <v>0</v>
      </c>
      <c r="H65" s="95">
        <f>COUNTIF(Area_v1,$C65)</f>
        <v>0</v>
      </c>
      <c r="I65" s="95">
        <f>COUNTIF(Area_v2,$C65)</f>
        <v>0</v>
      </c>
      <c r="J65" s="95">
        <f>COUNTIF(Area_v3,$C65)</f>
        <v>0</v>
      </c>
      <c r="K65" s="95">
        <f>COUNTIF(Area_v4,$C65)</f>
        <v>0</v>
      </c>
      <c r="L65" s="95">
        <f>COUNTIF(Area_v5,$C65)</f>
        <v>0</v>
      </c>
      <c r="M65" s="96">
        <f>COUNTIF(Area_v6,$C65)</f>
        <v>0</v>
      </c>
      <c r="AC65" s="91" t="s">
        <v>2126</v>
      </c>
    </row>
    <row r="66" spans="1:29" ht="18.75" customHeight="1">
      <c r="A66" s="170" t="s">
        <v>942</v>
      </c>
      <c r="B66" s="100"/>
      <c r="C66" s="303" t="s">
        <v>938</v>
      </c>
      <c r="D66" s="142" t="s">
        <v>549</v>
      </c>
      <c r="E66" s="86" t="s">
        <v>731</v>
      </c>
      <c r="F66" s="110" t="s">
        <v>730</v>
      </c>
      <c r="G66" s="97">
        <f t="shared" si="15"/>
        <v>0</v>
      </c>
      <c r="H66" s="101">
        <f>COUNTIF(Area_v1,$C66)</f>
        <v>0</v>
      </c>
      <c r="I66" s="92">
        <f>COUNTIF(Area_v2,$C66)</f>
        <v>0</v>
      </c>
      <c r="J66" s="92">
        <f>COUNTIF(Area_v3,$C66)</f>
        <v>0</v>
      </c>
      <c r="K66" s="92">
        <f>COUNTIF(Area_v4,$C66)</f>
        <v>0</v>
      </c>
      <c r="L66" s="92">
        <f>COUNTIF(Area_v5,$C66)</f>
        <v>0</v>
      </c>
      <c r="M66" s="93">
        <f>COUNTIF(Area_v6,$C66)</f>
        <v>0</v>
      </c>
      <c r="AC66" s="494" t="s">
        <v>2629</v>
      </c>
    </row>
    <row r="67" spans="1:29" ht="18.75" customHeight="1">
      <c r="A67" s="163"/>
      <c r="B67" s="157" t="s">
        <v>918</v>
      </c>
      <c r="C67" s="304"/>
      <c r="D67" s="145" t="s">
        <v>550</v>
      </c>
      <c r="E67" s="88" t="s">
        <v>732</v>
      </c>
      <c r="F67" s="127" t="s">
        <v>730</v>
      </c>
      <c r="G67" s="98">
        <f t="shared" si="15"/>
        <v>0</v>
      </c>
      <c r="H67" s="102">
        <f t="shared" ref="H67:M67" si="25">+H66</f>
        <v>0</v>
      </c>
      <c r="I67" s="71">
        <f t="shared" si="25"/>
        <v>0</v>
      </c>
      <c r="J67" s="71">
        <f t="shared" si="25"/>
        <v>0</v>
      </c>
      <c r="K67" s="71">
        <f t="shared" si="25"/>
        <v>0</v>
      </c>
      <c r="L67" s="71">
        <f t="shared" si="25"/>
        <v>0</v>
      </c>
      <c r="M67" s="94">
        <f t="shared" si="25"/>
        <v>0</v>
      </c>
      <c r="AC67" s="495" t="s">
        <v>2626</v>
      </c>
    </row>
    <row r="68" spans="1:29" ht="18.75" customHeight="1">
      <c r="A68" s="163"/>
      <c r="B68" s="87"/>
      <c r="C68" s="304" t="s">
        <v>939</v>
      </c>
      <c r="D68" s="145" t="s">
        <v>551</v>
      </c>
      <c r="E68" s="88" t="s">
        <v>734</v>
      </c>
      <c r="F68" s="127" t="s">
        <v>733</v>
      </c>
      <c r="G68" s="98">
        <f t="shared" si="15"/>
        <v>0</v>
      </c>
      <c r="H68" s="102">
        <f>COUNTIF(Area_v1,$C68)</f>
        <v>0</v>
      </c>
      <c r="I68" s="71">
        <f>COUNTIF(Area_v2,$C68)</f>
        <v>0</v>
      </c>
      <c r="J68" s="71">
        <f>COUNTIF(Area_v3,$C68)</f>
        <v>0</v>
      </c>
      <c r="K68" s="71">
        <f>COUNTIF(Area_v4,$C68)</f>
        <v>0</v>
      </c>
      <c r="L68" s="71">
        <f>COUNTIF(Area_v5,$C68)</f>
        <v>0</v>
      </c>
      <c r="M68" s="94">
        <f>COUNTIF(Area_v6,$C68)</f>
        <v>0</v>
      </c>
      <c r="AC68" s="495" t="s">
        <v>2627</v>
      </c>
    </row>
    <row r="69" spans="1:29" ht="18.75" customHeight="1">
      <c r="A69" s="149"/>
      <c r="B69" s="158" t="s">
        <v>918</v>
      </c>
      <c r="C69" s="305"/>
      <c r="D69" s="143" t="s">
        <v>552</v>
      </c>
      <c r="E69" s="91" t="s">
        <v>735</v>
      </c>
      <c r="F69" s="111" t="s">
        <v>733</v>
      </c>
      <c r="G69" s="99">
        <f t="shared" si="15"/>
        <v>0</v>
      </c>
      <c r="H69" s="103">
        <f t="shared" ref="H69:M69" si="26">+H68</f>
        <v>0</v>
      </c>
      <c r="I69" s="95">
        <f t="shared" si="26"/>
        <v>0</v>
      </c>
      <c r="J69" s="95">
        <f t="shared" si="26"/>
        <v>0</v>
      </c>
      <c r="K69" s="95">
        <f t="shared" si="26"/>
        <v>0</v>
      </c>
      <c r="L69" s="95">
        <f t="shared" si="26"/>
        <v>0</v>
      </c>
      <c r="M69" s="96">
        <f t="shared" si="26"/>
        <v>0</v>
      </c>
      <c r="AC69" s="495" t="s">
        <v>2628</v>
      </c>
    </row>
    <row r="70" spans="1:29" ht="35.25" customHeight="1">
      <c r="A70" s="171" t="s">
        <v>940</v>
      </c>
      <c r="B70" s="83"/>
      <c r="C70" s="306" t="s">
        <v>139</v>
      </c>
      <c r="D70" s="142" t="s">
        <v>553</v>
      </c>
      <c r="E70" s="104" t="s">
        <v>554</v>
      </c>
      <c r="F70" s="83" t="s">
        <v>736</v>
      </c>
      <c r="G70" s="97">
        <f t="shared" si="15"/>
        <v>0</v>
      </c>
      <c r="H70" s="92">
        <f>COUNTIF(Area_v1,$C70)-H72-H74</f>
        <v>0</v>
      </c>
      <c r="I70" s="92">
        <f>COUNTIF(Area_v2,$C70)-I72-I74</f>
        <v>0</v>
      </c>
      <c r="J70" s="92">
        <f>COUNTIF(Area_v3,$C70)-J72-J74</f>
        <v>0</v>
      </c>
      <c r="K70" s="92">
        <f>COUNTIF(Area_v4,$C70)-K72-K74</f>
        <v>0</v>
      </c>
      <c r="L70" s="92">
        <f>COUNTIF(Area_v5,$C70)-L72-L74</f>
        <v>0</v>
      </c>
      <c r="M70" s="93">
        <f>COUNTIF(Area_v6,$C70)-M72-M74</f>
        <v>0</v>
      </c>
      <c r="AC70" s="104" t="s">
        <v>2183</v>
      </c>
    </row>
    <row r="71" spans="1:29" ht="33" customHeight="1">
      <c r="A71" s="150"/>
      <c r="B71" s="82"/>
      <c r="C71" s="307" t="s">
        <v>231</v>
      </c>
      <c r="D71" s="287" t="s">
        <v>555</v>
      </c>
      <c r="E71" s="257" t="s">
        <v>556</v>
      </c>
      <c r="F71" s="82" t="s">
        <v>737</v>
      </c>
      <c r="G71" s="98">
        <f t="shared" si="15"/>
        <v>0</v>
      </c>
      <c r="H71" s="71">
        <f>COUNTIF(Area_v1,$C71)-H73-H75</f>
        <v>0</v>
      </c>
      <c r="I71" s="71">
        <f>COUNTIF(Area_v2,$C71)-I73-I75</f>
        <v>0</v>
      </c>
      <c r="J71" s="71">
        <f>COUNTIF(Area_v3,$C71)-J73-J75</f>
        <v>0</v>
      </c>
      <c r="K71" s="71">
        <f>COUNTIF(Area_v4,$C71)-K73-K75</f>
        <v>0</v>
      </c>
      <c r="L71" s="71">
        <f>COUNTIF(Area_v5,$C71)-L73-L75</f>
        <v>0</v>
      </c>
      <c r="M71" s="94">
        <f>COUNTIF(Area_v6,$C71)-M73-M75</f>
        <v>0</v>
      </c>
      <c r="AC71" s="104" t="s">
        <v>2180</v>
      </c>
    </row>
    <row r="72" spans="1:29" ht="14.4">
      <c r="A72" s="210"/>
      <c r="B72" s="153" t="s">
        <v>906</v>
      </c>
      <c r="C72" s="291"/>
      <c r="D72" s="292" t="s">
        <v>557</v>
      </c>
      <c r="E72" s="221" t="s">
        <v>558</v>
      </c>
      <c r="F72" s="222" t="s">
        <v>736</v>
      </c>
      <c r="G72" s="223">
        <f t="shared" si="15"/>
        <v>0</v>
      </c>
      <c r="H72" s="224"/>
      <c r="I72" s="224"/>
      <c r="J72" s="224"/>
      <c r="K72" s="224"/>
      <c r="L72" s="224"/>
      <c r="M72" s="225"/>
      <c r="AC72" s="221" t="s">
        <v>2181</v>
      </c>
    </row>
    <row r="73" spans="1:29" ht="14.4">
      <c r="A73" s="210"/>
      <c r="B73" s="147"/>
      <c r="C73" s="293"/>
      <c r="D73" s="294" t="s">
        <v>559</v>
      </c>
      <c r="E73" s="211" t="s">
        <v>560</v>
      </c>
      <c r="F73" s="151" t="s">
        <v>737</v>
      </c>
      <c r="G73" s="132">
        <f t="shared" si="15"/>
        <v>0</v>
      </c>
      <c r="H73" s="133"/>
      <c r="I73" s="133"/>
      <c r="J73" s="133"/>
      <c r="K73" s="133"/>
      <c r="L73" s="133"/>
      <c r="M73" s="134"/>
      <c r="AC73" s="211" t="s">
        <v>2182</v>
      </c>
    </row>
    <row r="74" spans="1:29" ht="18.75" customHeight="1">
      <c r="A74" s="212"/>
      <c r="B74" s="146" t="s">
        <v>906</v>
      </c>
      <c r="C74" s="295"/>
      <c r="D74" s="294" t="s">
        <v>561</v>
      </c>
      <c r="E74" s="211" t="s">
        <v>562</v>
      </c>
      <c r="F74" s="151" t="s">
        <v>736</v>
      </c>
      <c r="G74" s="132">
        <f t="shared" si="15"/>
        <v>0</v>
      </c>
      <c r="H74" s="133"/>
      <c r="I74" s="133"/>
      <c r="J74" s="133"/>
      <c r="K74" s="133"/>
      <c r="L74" s="133"/>
      <c r="M74" s="134"/>
      <c r="AC74" s="211" t="s">
        <v>2127</v>
      </c>
    </row>
    <row r="75" spans="1:29" ht="18.75" customHeight="1">
      <c r="A75" s="212"/>
      <c r="B75" s="154"/>
      <c r="C75" s="296"/>
      <c r="D75" s="297" t="s">
        <v>563</v>
      </c>
      <c r="E75" s="216" t="s">
        <v>564</v>
      </c>
      <c r="F75" s="152" t="s">
        <v>737</v>
      </c>
      <c r="G75" s="217">
        <f t="shared" si="15"/>
        <v>0</v>
      </c>
      <c r="H75" s="219"/>
      <c r="I75" s="219"/>
      <c r="J75" s="219"/>
      <c r="K75" s="219"/>
      <c r="L75" s="219"/>
      <c r="M75" s="220"/>
      <c r="AC75" s="216" t="s">
        <v>2128</v>
      </c>
    </row>
    <row r="76" spans="1:29" ht="18.75" customHeight="1">
      <c r="A76" s="150"/>
      <c r="B76" s="107"/>
      <c r="C76" s="185" t="s">
        <v>241</v>
      </c>
      <c r="D76" s="286" t="s">
        <v>565</v>
      </c>
      <c r="E76" s="141" t="s">
        <v>566</v>
      </c>
      <c r="F76" s="84" t="s">
        <v>738</v>
      </c>
      <c r="G76" s="98">
        <f t="shared" si="15"/>
        <v>561</v>
      </c>
      <c r="H76" s="71">
        <f>COUNTIF(Area_v1,$C76)</f>
        <v>273</v>
      </c>
      <c r="I76" s="71">
        <f>COUNTIF(Area_v2,$C76)</f>
        <v>273</v>
      </c>
      <c r="J76" s="71">
        <f>COUNTIF(Area_v3,$C76)</f>
        <v>7</v>
      </c>
      <c r="K76" s="71">
        <f>COUNTIF(Area_v4,$C76)</f>
        <v>8</v>
      </c>
      <c r="L76" s="71">
        <f>COUNTIF(Area_v5,$C76)</f>
        <v>0</v>
      </c>
      <c r="M76" s="94">
        <f>COUNTIF(Area_v6,$C76)</f>
        <v>0</v>
      </c>
      <c r="AC76" s="141" t="s">
        <v>2129</v>
      </c>
    </row>
    <row r="77" spans="1:29" ht="18.75" customHeight="1">
      <c r="A77" s="166"/>
      <c r="B77" s="168" t="s">
        <v>936</v>
      </c>
      <c r="C77" s="190" t="s">
        <v>465</v>
      </c>
      <c r="D77" s="287" t="s">
        <v>565</v>
      </c>
      <c r="E77" s="105" t="s">
        <v>2058</v>
      </c>
      <c r="F77" s="74" t="s">
        <v>738</v>
      </c>
      <c r="G77" s="98">
        <f t="shared" si="15"/>
        <v>208</v>
      </c>
      <c r="H77" s="71">
        <f>COUNTIF(Area_v1,$C77)*2</f>
        <v>96</v>
      </c>
      <c r="I77" s="71">
        <f>COUNTIF(Area_v2,$C77)*2</f>
        <v>96</v>
      </c>
      <c r="J77" s="71">
        <f>COUNTIF(Area_v3,$C77)*2</f>
        <v>8</v>
      </c>
      <c r="K77" s="71">
        <f>COUNTIF(Area_v4,$C77)*2</f>
        <v>8</v>
      </c>
      <c r="L77" s="71">
        <f>COUNTIF(Area_v5,$C77)*2</f>
        <v>0</v>
      </c>
      <c r="M77" s="94">
        <f>COUNTIF(Area_v6,$C77)*2</f>
        <v>0</v>
      </c>
      <c r="AC77" s="105" t="s">
        <v>2130</v>
      </c>
    </row>
    <row r="78" spans="1:29" ht="18.75" customHeight="1">
      <c r="A78" s="167"/>
      <c r="B78" s="169"/>
      <c r="C78" s="186" t="s">
        <v>941</v>
      </c>
      <c r="D78" s="143" t="s">
        <v>950</v>
      </c>
      <c r="E78" s="106" t="s">
        <v>740</v>
      </c>
      <c r="F78" s="90" t="s">
        <v>739</v>
      </c>
      <c r="G78" s="99">
        <f t="shared" si="15"/>
        <v>0</v>
      </c>
      <c r="H78" s="95">
        <f>COUNTIF(Area_v1,$C78)</f>
        <v>0</v>
      </c>
      <c r="I78" s="95">
        <f>COUNTIF(Area_v2,$C78)</f>
        <v>0</v>
      </c>
      <c r="J78" s="95">
        <f>COUNTIF(Area_v3,$C78)</f>
        <v>0</v>
      </c>
      <c r="K78" s="95">
        <f>COUNTIF(Area_v4,$C78)</f>
        <v>0</v>
      </c>
      <c r="L78" s="95">
        <f>COUNTIF(Area_v5,$C78)</f>
        <v>0</v>
      </c>
      <c r="M78" s="96">
        <f>COUNTIF(Area_v6,$C78)</f>
        <v>0</v>
      </c>
      <c r="AC78" s="106" t="s">
        <v>2131</v>
      </c>
    </row>
    <row r="79" spans="1:29" ht="18.75" customHeight="1">
      <c r="A79" s="174"/>
      <c r="B79" s="175"/>
      <c r="C79" s="308"/>
      <c r="D79" s="309" t="s">
        <v>567</v>
      </c>
      <c r="E79" s="180" t="s">
        <v>568</v>
      </c>
      <c r="F79" s="176" t="s">
        <v>741</v>
      </c>
      <c r="G79" s="98">
        <f t="shared" si="15"/>
        <v>-16</v>
      </c>
      <c r="H79" s="71">
        <f t="shared" ref="H79:M79" si="27">SUM(H80:H84)</f>
        <v>-8</v>
      </c>
      <c r="I79" s="71">
        <f t="shared" si="27"/>
        <v>-8</v>
      </c>
      <c r="J79" s="71">
        <f t="shared" si="27"/>
        <v>0</v>
      </c>
      <c r="K79" s="71">
        <f t="shared" si="27"/>
        <v>0</v>
      </c>
      <c r="L79" s="71">
        <f t="shared" si="27"/>
        <v>0</v>
      </c>
      <c r="M79" s="94">
        <f t="shared" si="27"/>
        <v>0</v>
      </c>
      <c r="N79" s="113"/>
      <c r="AC79" s="180" t="s">
        <v>2132</v>
      </c>
    </row>
    <row r="80" spans="1:29" ht="27" customHeight="1">
      <c r="A80" s="177"/>
      <c r="B80" s="178" t="s">
        <v>918</v>
      </c>
      <c r="C80" s="310" t="s">
        <v>949</v>
      </c>
      <c r="D80" s="311" t="s">
        <v>569</v>
      </c>
      <c r="E80" s="181" t="s">
        <v>943</v>
      </c>
      <c r="F80" s="179" t="s">
        <v>741</v>
      </c>
      <c r="G80" s="98">
        <f t="shared" ref="G80:G111" si="28">SUM(H80:M80)</f>
        <v>-8</v>
      </c>
      <c r="H80" s="812">
        <f>COUNTIF(Area_v1,"CP+AnMC")+COUNTIF(Area_v1,"FP+AnMC")-4</f>
        <v>-4</v>
      </c>
      <c r="I80" s="812">
        <f>COUNTIF(Area_v2,"CP+AnMC")+COUNTIF(Area_v2,"FP+AnMC")-4</f>
        <v>-4</v>
      </c>
      <c r="J80" s="71">
        <f>COUNTIF(Area_v3,"CP+AnMC")+COUNTIF(Area_v3,"FP+AnMC")</f>
        <v>0</v>
      </c>
      <c r="K80" s="71">
        <f>COUNTIF(Area_v4,"CP+AnMC")+COUNTIF(Area_v4,"FP+AnMC")</f>
        <v>0</v>
      </c>
      <c r="L80" s="71">
        <f>COUNTIF(Area_v5,"CP+AnMC")+COUNTIF(Area_v5,"FP+AnMC")</f>
        <v>0</v>
      </c>
      <c r="M80" s="94">
        <f>COUNTIF(Area_v6,"CP+AnMC")+COUNTIF(Area_v6,"FP+AnMC")</f>
        <v>0</v>
      </c>
      <c r="N80" s="113"/>
      <c r="AC80" s="181" t="s">
        <v>2133</v>
      </c>
    </row>
    <row r="81" spans="1:29" ht="18.75" customHeight="1">
      <c r="A81" s="177"/>
      <c r="B81" s="614" t="s">
        <v>2480</v>
      </c>
      <c r="C81" s="310" t="s">
        <v>2050</v>
      </c>
      <c r="D81" s="311" t="s">
        <v>570</v>
      </c>
      <c r="E81" s="181" t="s">
        <v>944</v>
      </c>
      <c r="F81" s="179" t="s">
        <v>741</v>
      </c>
      <c r="G81" s="98">
        <f t="shared" si="28"/>
        <v>0</v>
      </c>
      <c r="H81" s="71">
        <f>COUNTIF(Area_v1,$C81)</f>
        <v>0</v>
      </c>
      <c r="I81" s="71">
        <f>COUNTIF(Area_v2,$C81)</f>
        <v>0</v>
      </c>
      <c r="J81" s="71">
        <f>COUNTIF(Area_v3,$C81)</f>
        <v>0</v>
      </c>
      <c r="K81" s="71">
        <f>COUNTIF(Area_v4,$C81)</f>
        <v>0</v>
      </c>
      <c r="L81" s="71">
        <f>COUNTIF(Area_v5,$C81)</f>
        <v>0</v>
      </c>
      <c r="M81" s="94">
        <f>COUNTIF(Area_v6,$C81)</f>
        <v>0</v>
      </c>
      <c r="N81" s="113"/>
      <c r="AC81" s="181" t="s">
        <v>2134</v>
      </c>
    </row>
    <row r="82" spans="1:29" ht="28.95" customHeight="1">
      <c r="A82" s="177"/>
      <c r="B82" s="178"/>
      <c r="C82" s="310" t="s">
        <v>998</v>
      </c>
      <c r="D82" s="311" t="s">
        <v>571</v>
      </c>
      <c r="E82" s="181" t="s">
        <v>945</v>
      </c>
      <c r="F82" s="179" t="s">
        <v>741</v>
      </c>
      <c r="G82" s="98">
        <f t="shared" si="28"/>
        <v>-8</v>
      </c>
      <c r="H82" s="812">
        <f>COUNTIF(Area_v1,"CP+AnMC")+COUNTIF(Area_v1,"FP+AnMC")+COUNTIF(Area_v1,"AnMP")-4-2</f>
        <v>-4</v>
      </c>
      <c r="I82" s="812">
        <f>COUNTIF(Area_v2,"CP+AnMC")+COUNTIF(Area_v2,"FP+AnMC")+COUNTIF(Area_v2,"AnMP")-4-2</f>
        <v>-4</v>
      </c>
      <c r="J82" s="71">
        <f>COUNTIF(Area_v3,"CP+AnMC")+COUNTIF(Area_v3,"FP+AnMC")+COUNTIF(Area_v3,"AnMP")</f>
        <v>0</v>
      </c>
      <c r="K82" s="71">
        <f>COUNTIF(Area_v4,"CP+AnMC")+COUNTIF(Area_v4,"FP+AnMC")+COUNTIF(Area_v4,"AnMP")</f>
        <v>0</v>
      </c>
      <c r="L82" s="71">
        <f>COUNTIF(Area_v5,"CP+AnMC")+COUNTIF(Area_v5,"FP+AnMC")+COUNTIF(Area_v5,"AnMP")</f>
        <v>0</v>
      </c>
      <c r="M82" s="94">
        <f>COUNTIF(Area_v6,"CP+AnMC")+COUNTIF(Area_v6,"FP+AnMC")+COUNTIF(Area_v6,"AnMP")</f>
        <v>0</v>
      </c>
      <c r="N82" s="113"/>
      <c r="AC82" s="181" t="s">
        <v>2135</v>
      </c>
    </row>
    <row r="83" spans="1:29" ht="18.75" customHeight="1">
      <c r="A83" s="177"/>
      <c r="B83" s="614" t="s">
        <v>2480</v>
      </c>
      <c r="C83" s="324" t="s">
        <v>2051</v>
      </c>
      <c r="D83" s="311" t="s">
        <v>572</v>
      </c>
      <c r="E83" s="181" t="s">
        <v>946</v>
      </c>
      <c r="F83" s="179" t="s">
        <v>741</v>
      </c>
      <c r="G83" s="98">
        <f t="shared" si="28"/>
        <v>0</v>
      </c>
      <c r="H83" s="71">
        <f>COUNTIF(Area_v1,$C83)</f>
        <v>0</v>
      </c>
      <c r="I83" s="71">
        <f>COUNTIF(Area_v2,$C83)</f>
        <v>0</v>
      </c>
      <c r="J83" s="71">
        <f>COUNTIF(Area_v3,$C83)</f>
        <v>0</v>
      </c>
      <c r="K83" s="71">
        <f>COUNTIF(Area_v4,$C83)</f>
        <v>0</v>
      </c>
      <c r="L83" s="71">
        <f>COUNTIF(Area_v5,$C83)</f>
        <v>0</v>
      </c>
      <c r="M83" s="94">
        <f>COUNTIF(Area_v6,$C83)</f>
        <v>0</v>
      </c>
      <c r="N83" s="113"/>
      <c r="AC83" s="181" t="s">
        <v>2136</v>
      </c>
    </row>
    <row r="84" spans="1:29" ht="18.75" customHeight="1">
      <c r="A84" s="212"/>
      <c r="B84" s="146" t="s">
        <v>906</v>
      </c>
      <c r="C84" s="295"/>
      <c r="D84" s="294" t="s">
        <v>573</v>
      </c>
      <c r="E84" s="211" t="s">
        <v>574</v>
      </c>
      <c r="F84" s="151" t="s">
        <v>741</v>
      </c>
      <c r="G84" s="132">
        <f t="shared" si="28"/>
        <v>0</v>
      </c>
      <c r="H84" s="133"/>
      <c r="I84" s="133"/>
      <c r="J84" s="133"/>
      <c r="K84" s="133"/>
      <c r="L84" s="133"/>
      <c r="M84" s="134"/>
      <c r="AC84" s="211" t="s">
        <v>2137</v>
      </c>
    </row>
    <row r="85" spans="1:29" ht="18.75" customHeight="1">
      <c r="A85" s="140" t="s">
        <v>897</v>
      </c>
      <c r="B85" s="100"/>
      <c r="C85" s="303" t="s">
        <v>144</v>
      </c>
      <c r="D85" s="142" t="s">
        <v>575</v>
      </c>
      <c r="E85" s="104" t="s">
        <v>576</v>
      </c>
      <c r="F85" s="83" t="s">
        <v>742</v>
      </c>
      <c r="G85" s="97">
        <f t="shared" si="28"/>
        <v>35</v>
      </c>
      <c r="H85" s="92">
        <f t="shared" ref="H85:H93" si="29">COUNTIF(Area_v1,$C85)</f>
        <v>25</v>
      </c>
      <c r="I85" s="92">
        <f t="shared" ref="I85:I93" si="30">COUNTIF(Area_v2,$C85)</f>
        <v>10</v>
      </c>
      <c r="J85" s="92">
        <f t="shared" ref="J85:J93" si="31">COUNTIF(Area_v3,$C85)</f>
        <v>0</v>
      </c>
      <c r="K85" s="92">
        <f t="shared" ref="K85:K93" si="32">COUNTIF(Area_v4,$C85)</f>
        <v>0</v>
      </c>
      <c r="L85" s="92">
        <f t="shared" ref="L85:L93" si="33">COUNTIF(Area_v5,$C85)</f>
        <v>0</v>
      </c>
      <c r="M85" s="93">
        <f t="shared" ref="M85:M93" si="34">COUNTIF(Area_v6,$C85)</f>
        <v>0</v>
      </c>
      <c r="AC85" s="104" t="s">
        <v>2138</v>
      </c>
    </row>
    <row r="86" spans="1:29" ht="18.75" customHeight="1">
      <c r="A86" s="163"/>
      <c r="B86" s="87"/>
      <c r="C86" s="304" t="s">
        <v>145</v>
      </c>
      <c r="D86" s="145" t="s">
        <v>577</v>
      </c>
      <c r="E86" s="105" t="s">
        <v>579</v>
      </c>
      <c r="F86" s="74" t="s">
        <v>743</v>
      </c>
      <c r="G86" s="98">
        <f t="shared" si="28"/>
        <v>39</v>
      </c>
      <c r="H86" s="71">
        <f t="shared" si="29"/>
        <v>12</v>
      </c>
      <c r="I86" s="71">
        <f t="shared" si="30"/>
        <v>27</v>
      </c>
      <c r="J86" s="71">
        <f t="shared" si="31"/>
        <v>0</v>
      </c>
      <c r="K86" s="71">
        <f t="shared" si="32"/>
        <v>0</v>
      </c>
      <c r="L86" s="71">
        <f t="shared" si="33"/>
        <v>0</v>
      </c>
      <c r="M86" s="94">
        <f t="shared" si="34"/>
        <v>0</v>
      </c>
      <c r="AC86" s="105" t="s">
        <v>2139</v>
      </c>
    </row>
    <row r="87" spans="1:29" ht="18.75" customHeight="1">
      <c r="A87" s="163"/>
      <c r="B87" s="87"/>
      <c r="C87" s="304" t="s">
        <v>140</v>
      </c>
      <c r="D87" s="145" t="s">
        <v>578</v>
      </c>
      <c r="E87" s="105" t="s">
        <v>584</v>
      </c>
      <c r="F87" s="74" t="s">
        <v>744</v>
      </c>
      <c r="G87" s="98">
        <f t="shared" si="28"/>
        <v>10</v>
      </c>
      <c r="H87" s="71">
        <f t="shared" si="29"/>
        <v>5</v>
      </c>
      <c r="I87" s="71">
        <f t="shared" si="30"/>
        <v>5</v>
      </c>
      <c r="J87" s="71">
        <f t="shared" si="31"/>
        <v>0</v>
      </c>
      <c r="K87" s="71">
        <f t="shared" si="32"/>
        <v>0</v>
      </c>
      <c r="L87" s="71">
        <f t="shared" si="33"/>
        <v>0</v>
      </c>
      <c r="M87" s="94">
        <f t="shared" si="34"/>
        <v>0</v>
      </c>
      <c r="AC87" s="105" t="s">
        <v>2140</v>
      </c>
    </row>
    <row r="88" spans="1:29" ht="18.75" customHeight="1">
      <c r="A88" s="163"/>
      <c r="B88" s="87"/>
      <c r="C88" s="304" t="s">
        <v>695</v>
      </c>
      <c r="D88" s="145" t="s">
        <v>580</v>
      </c>
      <c r="E88" s="105" t="s">
        <v>746</v>
      </c>
      <c r="F88" s="74" t="s">
        <v>745</v>
      </c>
      <c r="G88" s="98">
        <f t="shared" si="28"/>
        <v>355</v>
      </c>
      <c r="H88" s="71">
        <f t="shared" si="29"/>
        <v>174</v>
      </c>
      <c r="I88" s="71">
        <f t="shared" si="30"/>
        <v>170</v>
      </c>
      <c r="J88" s="71">
        <f t="shared" si="31"/>
        <v>5</v>
      </c>
      <c r="K88" s="71">
        <f t="shared" si="32"/>
        <v>6</v>
      </c>
      <c r="L88" s="71">
        <f t="shared" si="33"/>
        <v>0</v>
      </c>
      <c r="M88" s="94">
        <f t="shared" si="34"/>
        <v>0</v>
      </c>
      <c r="AC88" s="105" t="s">
        <v>2141</v>
      </c>
    </row>
    <row r="89" spans="1:29" ht="18.75" customHeight="1">
      <c r="A89" s="163"/>
      <c r="B89" s="87"/>
      <c r="C89" s="304" t="s">
        <v>696</v>
      </c>
      <c r="D89" s="145" t="s">
        <v>581</v>
      </c>
      <c r="E89" s="105" t="s">
        <v>748</v>
      </c>
      <c r="F89" s="74" t="s">
        <v>747</v>
      </c>
      <c r="G89" s="98">
        <f t="shared" si="28"/>
        <v>351</v>
      </c>
      <c r="H89" s="71">
        <f t="shared" si="29"/>
        <v>159</v>
      </c>
      <c r="I89" s="71">
        <f t="shared" si="30"/>
        <v>164</v>
      </c>
      <c r="J89" s="71">
        <f t="shared" si="31"/>
        <v>14</v>
      </c>
      <c r="K89" s="71">
        <f t="shared" si="32"/>
        <v>14</v>
      </c>
      <c r="L89" s="71">
        <f t="shared" si="33"/>
        <v>0</v>
      </c>
      <c r="M89" s="94">
        <f t="shared" si="34"/>
        <v>0</v>
      </c>
      <c r="AC89" s="105" t="s">
        <v>2142</v>
      </c>
    </row>
    <row r="90" spans="1:29" ht="18.75" customHeight="1">
      <c r="A90" s="163"/>
      <c r="B90" s="87"/>
      <c r="C90" s="304" t="s">
        <v>697</v>
      </c>
      <c r="D90" s="145" t="s">
        <v>582</v>
      </c>
      <c r="E90" s="105" t="s">
        <v>750</v>
      </c>
      <c r="F90" s="74" t="s">
        <v>749</v>
      </c>
      <c r="G90" s="98">
        <f t="shared" si="28"/>
        <v>90</v>
      </c>
      <c r="H90" s="71">
        <f t="shared" si="29"/>
        <v>42</v>
      </c>
      <c r="I90" s="71">
        <f t="shared" si="30"/>
        <v>42</v>
      </c>
      <c r="J90" s="71">
        <f t="shared" si="31"/>
        <v>3</v>
      </c>
      <c r="K90" s="71">
        <f t="shared" si="32"/>
        <v>3</v>
      </c>
      <c r="L90" s="71">
        <f t="shared" si="33"/>
        <v>0</v>
      </c>
      <c r="M90" s="94">
        <f t="shared" si="34"/>
        <v>0</v>
      </c>
      <c r="AC90" s="105" t="s">
        <v>2143</v>
      </c>
    </row>
    <row r="91" spans="1:29" ht="18.75" customHeight="1">
      <c r="A91" s="163"/>
      <c r="B91" s="87"/>
      <c r="C91" s="304" t="s">
        <v>952</v>
      </c>
      <c r="D91" s="145" t="s">
        <v>583</v>
      </c>
      <c r="E91" s="105" t="s">
        <v>751</v>
      </c>
      <c r="F91" s="74" t="s">
        <v>723</v>
      </c>
      <c r="G91" s="98">
        <f t="shared" si="28"/>
        <v>0</v>
      </c>
      <c r="H91" s="71">
        <f t="shared" si="29"/>
        <v>0</v>
      </c>
      <c r="I91" s="71">
        <f t="shared" si="30"/>
        <v>0</v>
      </c>
      <c r="J91" s="71">
        <f t="shared" si="31"/>
        <v>0</v>
      </c>
      <c r="K91" s="71">
        <f t="shared" si="32"/>
        <v>0</v>
      </c>
      <c r="L91" s="71">
        <f t="shared" si="33"/>
        <v>0</v>
      </c>
      <c r="M91" s="94">
        <f t="shared" si="34"/>
        <v>0</v>
      </c>
      <c r="AC91" s="105" t="s">
        <v>2144</v>
      </c>
    </row>
    <row r="92" spans="1:29" ht="18.75" customHeight="1">
      <c r="A92" s="163"/>
      <c r="B92" s="87"/>
      <c r="C92" s="304" t="s">
        <v>953</v>
      </c>
      <c r="D92" s="145" t="s">
        <v>585</v>
      </c>
      <c r="E92" s="105" t="s">
        <v>752</v>
      </c>
      <c r="F92" s="74" t="s">
        <v>723</v>
      </c>
      <c r="G92" s="98">
        <f t="shared" si="28"/>
        <v>0</v>
      </c>
      <c r="H92" s="71">
        <f t="shared" si="29"/>
        <v>0</v>
      </c>
      <c r="I92" s="71">
        <f t="shared" si="30"/>
        <v>0</v>
      </c>
      <c r="J92" s="71">
        <f t="shared" si="31"/>
        <v>0</v>
      </c>
      <c r="K92" s="71">
        <f t="shared" si="32"/>
        <v>0</v>
      </c>
      <c r="L92" s="71">
        <f t="shared" si="33"/>
        <v>0</v>
      </c>
      <c r="M92" s="94">
        <f t="shared" si="34"/>
        <v>0</v>
      </c>
      <c r="AC92" s="105" t="s">
        <v>2145</v>
      </c>
    </row>
    <row r="93" spans="1:29" ht="18.75" customHeight="1">
      <c r="A93" s="149"/>
      <c r="B93" s="89"/>
      <c r="C93" s="305" t="s">
        <v>954</v>
      </c>
      <c r="D93" s="143" t="s">
        <v>586</v>
      </c>
      <c r="E93" s="106" t="s">
        <v>753</v>
      </c>
      <c r="F93" s="90" t="s">
        <v>723</v>
      </c>
      <c r="G93" s="99">
        <f t="shared" si="28"/>
        <v>0</v>
      </c>
      <c r="H93" s="95">
        <f t="shared" si="29"/>
        <v>0</v>
      </c>
      <c r="I93" s="95">
        <f t="shared" si="30"/>
        <v>0</v>
      </c>
      <c r="J93" s="95">
        <f t="shared" si="31"/>
        <v>0</v>
      </c>
      <c r="K93" s="95">
        <f t="shared" si="32"/>
        <v>0</v>
      </c>
      <c r="L93" s="95">
        <f t="shared" si="33"/>
        <v>0</v>
      </c>
      <c r="M93" s="96">
        <f t="shared" si="34"/>
        <v>0</v>
      </c>
      <c r="AC93" s="106" t="s">
        <v>2146</v>
      </c>
    </row>
    <row r="94" spans="1:29" ht="18.75" customHeight="1">
      <c r="A94" s="140" t="s">
        <v>951</v>
      </c>
      <c r="B94" s="285" t="s">
        <v>957</v>
      </c>
      <c r="C94" s="288"/>
      <c r="D94" s="142" t="s">
        <v>587</v>
      </c>
      <c r="E94" s="141" t="s">
        <v>755</v>
      </c>
      <c r="F94" s="84" t="s">
        <v>754</v>
      </c>
      <c r="G94" s="98">
        <f t="shared" si="28"/>
        <v>10</v>
      </c>
      <c r="H94" s="101">
        <f>COUNTIF(m2_v1,$C$85)+COUNTIF(m2_v1,$C$86)+COUNTIF(m2_v1,$C$87)</f>
        <v>5</v>
      </c>
      <c r="I94" s="92">
        <f>COUNTIF(m2_v2,$C$85)+COUNTIF(m2_v2,$C$86)+COUNTIF(m2_v2,$C$87)</f>
        <v>5</v>
      </c>
      <c r="J94" s="92">
        <f>COUNTIF(m2_v3,$C$85)+COUNTIF(m2_v3,$C$86)+COUNTIF(m2_v3,$C$87)</f>
        <v>0</v>
      </c>
      <c r="K94" s="92">
        <f>COUNTIF(m2_v4,$C$85)+COUNTIF(m2_v4,$C$86)+COUNTIF(m2_v4,$C$87)</f>
        <v>0</v>
      </c>
      <c r="L94" s="92">
        <f>COUNTIF(m2_v5,$C$85)+COUNTIF(m2_v5,$C$86)+COUNTIF(m2_v5,$C$87)</f>
        <v>0</v>
      </c>
      <c r="M94" s="93">
        <f>COUNTIF(m2_v6,$C$85)+COUNTIF(m2_v6,$C$86)+COUNTIF(m2_v6,$C$87)</f>
        <v>0</v>
      </c>
      <c r="AC94" s="141" t="s">
        <v>2147</v>
      </c>
    </row>
    <row r="95" spans="1:29" ht="18.75" customHeight="1">
      <c r="A95" s="150"/>
      <c r="C95" s="289"/>
      <c r="D95" s="145" t="s">
        <v>588</v>
      </c>
      <c r="E95" s="105" t="s">
        <v>955</v>
      </c>
      <c r="F95" s="74" t="s">
        <v>754</v>
      </c>
      <c r="G95" s="98">
        <f t="shared" si="28"/>
        <v>8</v>
      </c>
      <c r="H95" s="814"/>
      <c r="I95" s="812"/>
      <c r="J95" s="71">
        <f>COUNTIF('HR Track 3'!O5:O58,$C$88)+COUNTIF('HR Track 3'!O5:O58,$C$89)+COUNTIF('HR Track 3'!O5:O58,$C$90)</f>
        <v>4</v>
      </c>
      <c r="K95" s="71">
        <f>COUNTIF('HR Track 4'!O5:O60,$C$88)+COUNTIF('HR Track 4'!O5:O60,$C$89)+COUNTIF('HR Track 4'!O5:O60,$C$90)</f>
        <v>4</v>
      </c>
      <c r="L95" s="71">
        <f>COUNTIF(m2_v5,$C$88)+COUNTIF(m2_v5,$C$89)+COUNTIF(m2_v5,$C$90)</f>
        <v>0</v>
      </c>
      <c r="M95" s="94">
        <f>COUNTIF(m2_v6,$C$88)+COUNTIF(m2_v6,$C$89)+COUNTIF(m2_v6,$C$90)</f>
        <v>0</v>
      </c>
      <c r="AC95" s="105" t="s">
        <v>2148</v>
      </c>
    </row>
    <row r="96" spans="1:29" ht="18.75" customHeight="1">
      <c r="A96" s="150"/>
      <c r="B96" s="107"/>
      <c r="C96" s="290"/>
      <c r="D96" s="287" t="s">
        <v>588</v>
      </c>
      <c r="E96" s="257" t="s">
        <v>956</v>
      </c>
      <c r="F96" s="82" t="s">
        <v>754</v>
      </c>
      <c r="G96" s="98">
        <f t="shared" si="28"/>
        <v>0</v>
      </c>
      <c r="H96" s="102">
        <f>COUNTIF(m2_v1,$C$91)+COUNTIF(m2_v1,$C$92)+COUNTIF(m2_v1,$C$93)</f>
        <v>0</v>
      </c>
      <c r="I96" s="71">
        <f>COUNTIF(m2_v2,$C$91)+COUNTIF(m2_v2,$C$92)+COUNTIF(m2_v2,$C$93)</f>
        <v>0</v>
      </c>
      <c r="J96" s="71">
        <f>COUNTIF(m2_v3,$C$91)+COUNTIF(m2_v3,$C$92)+COUNTIF(m2_v3,$C$93)</f>
        <v>0</v>
      </c>
      <c r="K96" s="71">
        <f>COUNTIF(m2_v4,$C$91)+COUNTIF(m2_v4,$C$92)+COUNTIF(m2_v4,$C$93)</f>
        <v>0</v>
      </c>
      <c r="L96" s="71">
        <f>COUNTIF(m2_v5,$C$91)+COUNTIF(m2_v5,$C$92)+COUNTIF(m2_v5,$C$93)</f>
        <v>0</v>
      </c>
      <c r="M96" s="94">
        <f>COUNTIF(m2_v6,$C$91)+COUNTIF(m2_v6,$C$92)+COUNTIF(m2_v6,$C$93)</f>
        <v>0</v>
      </c>
      <c r="AC96" s="257" t="s">
        <v>2149</v>
      </c>
    </row>
    <row r="97" spans="1:29" ht="18.75" customHeight="1">
      <c r="A97" s="140" t="s">
        <v>2571</v>
      </c>
      <c r="B97" s="304"/>
      <c r="C97" s="304" t="s">
        <v>2530</v>
      </c>
      <c r="D97" s="142" t="s">
        <v>756</v>
      </c>
      <c r="E97" s="104" t="s">
        <v>757</v>
      </c>
      <c r="F97" s="83" t="s">
        <v>723</v>
      </c>
      <c r="G97" s="97">
        <f t="shared" si="28"/>
        <v>1</v>
      </c>
      <c r="H97" s="101">
        <f>COUNTIF(Area_v1,$C97)</f>
        <v>1</v>
      </c>
      <c r="I97" s="92">
        <f>COUNTIF(Area_v2,$C97)</f>
        <v>0</v>
      </c>
      <c r="J97" s="92">
        <f>COUNTIF(Area_v3,$C97)</f>
        <v>0</v>
      </c>
      <c r="K97" s="92">
        <f>COUNTIF(Area_v4,$C97)</f>
        <v>0</v>
      </c>
      <c r="L97" s="92">
        <f>COUNTIF(Area_v5,$C97)</f>
        <v>0</v>
      </c>
      <c r="M97" s="93">
        <f>COUNTIF(Area_v6,$C97)</f>
        <v>0</v>
      </c>
      <c r="AC97" s="104" t="s">
        <v>2150</v>
      </c>
    </row>
    <row r="98" spans="1:29" ht="18.75" customHeight="1">
      <c r="A98" s="150"/>
      <c r="C98" s="304" t="s">
        <v>2531</v>
      </c>
      <c r="D98" s="145" t="s">
        <v>758</v>
      </c>
      <c r="E98" s="105" t="s">
        <v>759</v>
      </c>
      <c r="F98" s="74" t="s">
        <v>723</v>
      </c>
      <c r="G98" s="98">
        <f t="shared" si="28"/>
        <v>2</v>
      </c>
      <c r="H98" s="102">
        <f>COUNTIF(Area_v1,$C98)</f>
        <v>0</v>
      </c>
      <c r="I98" s="71">
        <f>COUNTIF(Area_v2,$C98)</f>
        <v>0</v>
      </c>
      <c r="J98" s="71">
        <f>COUNTIF(Area_v3,$C98)</f>
        <v>1</v>
      </c>
      <c r="K98" s="71">
        <f>COUNTIF(Area_v4,$C98)</f>
        <v>1</v>
      </c>
      <c r="L98" s="71">
        <f>COUNTIF(Area_v5,$C98)</f>
        <v>0</v>
      </c>
      <c r="M98" s="94">
        <f>COUNTIF(Area_v6,$C98)</f>
        <v>0</v>
      </c>
      <c r="AC98" s="105" t="s">
        <v>2151</v>
      </c>
    </row>
    <row r="99" spans="1:29" ht="18.75" customHeight="1">
      <c r="A99" s="212"/>
      <c r="B99" s="153" t="s">
        <v>906</v>
      </c>
      <c r="C99" s="293" t="s">
        <v>2558</v>
      </c>
      <c r="D99" s="294" t="s">
        <v>760</v>
      </c>
      <c r="E99" s="211" t="s">
        <v>761</v>
      </c>
      <c r="F99" s="151" t="s">
        <v>723</v>
      </c>
      <c r="G99" s="132">
        <f t="shared" si="28"/>
        <v>0</v>
      </c>
      <c r="H99" s="214"/>
      <c r="I99" s="133"/>
      <c r="J99" s="133"/>
      <c r="K99" s="133"/>
      <c r="L99" s="133"/>
      <c r="M99" s="134"/>
      <c r="AC99" s="211" t="s">
        <v>2152</v>
      </c>
    </row>
    <row r="100" spans="1:29" ht="18.75" customHeight="1">
      <c r="A100" s="215"/>
      <c r="B100" s="154"/>
      <c r="C100" s="296" t="s">
        <v>2558</v>
      </c>
      <c r="D100" s="297" t="s">
        <v>762</v>
      </c>
      <c r="E100" s="216" t="s">
        <v>763</v>
      </c>
      <c r="F100" s="152" t="s">
        <v>723</v>
      </c>
      <c r="G100" s="217">
        <f t="shared" si="28"/>
        <v>8</v>
      </c>
      <c r="H100" s="218">
        <v>4</v>
      </c>
      <c r="I100" s="219">
        <v>4</v>
      </c>
      <c r="J100" s="219"/>
      <c r="K100" s="219"/>
      <c r="L100" s="219"/>
      <c r="M100" s="220"/>
      <c r="AC100" s="216" t="s">
        <v>2153</v>
      </c>
    </row>
    <row r="101" spans="1:29" ht="18.75" customHeight="1">
      <c r="A101" s="85" t="s">
        <v>898</v>
      </c>
      <c r="C101" s="306"/>
      <c r="D101" s="142" t="s">
        <v>589</v>
      </c>
      <c r="E101" s="104" t="s">
        <v>764</v>
      </c>
      <c r="F101" s="83" t="s">
        <v>723</v>
      </c>
      <c r="G101" s="367">
        <f t="shared" si="28"/>
        <v>44.787500000000001</v>
      </c>
      <c r="H101" s="368">
        <f>+SUM(cantones_v1)/1000</f>
        <v>21.184000000000001</v>
      </c>
      <c r="I101" s="368">
        <f>+SUM(cantones_v2)/1000</f>
        <v>21.1965</v>
      </c>
      <c r="J101" s="368">
        <f>+SUM(cantones_v3)/1000</f>
        <v>1.2010000000000001</v>
      </c>
      <c r="K101" s="368">
        <f>+SUM(cantones_v4)/1000</f>
        <v>1.206</v>
      </c>
      <c r="L101" s="368">
        <f>+SUM(cantones_v5)/1000</f>
        <v>0</v>
      </c>
      <c r="M101" s="369">
        <f>+SUM(cantones_v6)/1000</f>
        <v>0</v>
      </c>
      <c r="AC101" s="104" t="s">
        <v>2154</v>
      </c>
    </row>
    <row r="102" spans="1:29" ht="18.75" customHeight="1">
      <c r="A102" s="150"/>
      <c r="B102" s="1433" t="s">
        <v>918</v>
      </c>
      <c r="C102" s="185"/>
      <c r="D102" s="145" t="s">
        <v>590</v>
      </c>
      <c r="E102" s="105" t="s">
        <v>104</v>
      </c>
      <c r="F102" s="74" t="s">
        <v>765</v>
      </c>
      <c r="G102" s="98">
        <f t="shared" si="28"/>
        <v>4711</v>
      </c>
      <c r="H102" s="71">
        <f t="shared" ref="H102:M102" si="35">+ROUND(140*H101,0)-H103</f>
        <v>2226</v>
      </c>
      <c r="I102" s="71">
        <f t="shared" si="35"/>
        <v>2226</v>
      </c>
      <c r="J102" s="71">
        <f t="shared" si="35"/>
        <v>130</v>
      </c>
      <c r="K102" s="71">
        <f t="shared" si="35"/>
        <v>129</v>
      </c>
      <c r="L102" s="71">
        <f t="shared" si="35"/>
        <v>0</v>
      </c>
      <c r="M102" s="94">
        <f t="shared" si="35"/>
        <v>0</v>
      </c>
      <c r="AC102" s="105" t="s">
        <v>2155</v>
      </c>
    </row>
    <row r="103" spans="1:29" ht="18.75" customHeight="1">
      <c r="A103" s="150"/>
      <c r="B103" s="1434"/>
      <c r="C103" s="312"/>
      <c r="D103" s="145" t="s">
        <v>591</v>
      </c>
      <c r="E103" s="105" t="s">
        <v>105</v>
      </c>
      <c r="F103" s="74" t="s">
        <v>765</v>
      </c>
      <c r="G103" s="98">
        <f t="shared" si="28"/>
        <v>1560</v>
      </c>
      <c r="H103" s="71">
        <f t="shared" ref="H103:M103" si="36">2*H104</f>
        <v>740</v>
      </c>
      <c r="I103" s="71">
        <f t="shared" si="36"/>
        <v>742</v>
      </c>
      <c r="J103" s="71">
        <f t="shared" si="36"/>
        <v>38</v>
      </c>
      <c r="K103" s="71">
        <f t="shared" si="36"/>
        <v>40</v>
      </c>
      <c r="L103" s="71">
        <f t="shared" si="36"/>
        <v>0</v>
      </c>
      <c r="M103" s="94">
        <f t="shared" si="36"/>
        <v>0</v>
      </c>
      <c r="AC103" s="105" t="s">
        <v>2156</v>
      </c>
    </row>
    <row r="104" spans="1:29" ht="18.75" customHeight="1">
      <c r="A104" s="150"/>
      <c r="B104" s="1435"/>
      <c r="C104" s="312"/>
      <c r="D104" s="145" t="s">
        <v>592</v>
      </c>
      <c r="E104" s="105" t="s">
        <v>767</v>
      </c>
      <c r="F104" s="74" t="s">
        <v>766</v>
      </c>
      <c r="G104" s="98">
        <f t="shared" si="28"/>
        <v>780</v>
      </c>
      <c r="H104" s="71">
        <f t="shared" ref="H104:M104" si="37">+H85+H86+H88+H89+H91+H92</f>
        <v>370</v>
      </c>
      <c r="I104" s="71">
        <f t="shared" si="37"/>
        <v>371</v>
      </c>
      <c r="J104" s="71">
        <f t="shared" si="37"/>
        <v>19</v>
      </c>
      <c r="K104" s="71">
        <f t="shared" si="37"/>
        <v>20</v>
      </c>
      <c r="L104" s="71">
        <f t="shared" si="37"/>
        <v>0</v>
      </c>
      <c r="M104" s="94">
        <f t="shared" si="37"/>
        <v>0</v>
      </c>
      <c r="AC104" s="105" t="s">
        <v>2157</v>
      </c>
    </row>
    <row r="105" spans="1:29" ht="18.75" customHeight="1">
      <c r="A105" s="150"/>
      <c r="B105" s="74"/>
      <c r="C105" s="312" t="s">
        <v>958</v>
      </c>
      <c r="D105" s="145" t="s">
        <v>593</v>
      </c>
      <c r="E105" s="105" t="s">
        <v>159</v>
      </c>
      <c r="F105" s="74" t="s">
        <v>768</v>
      </c>
      <c r="G105" s="98">
        <f t="shared" si="28"/>
        <v>0</v>
      </c>
      <c r="H105" s="71">
        <f>COUNTIF(Area_v1,$C105)</f>
        <v>0</v>
      </c>
      <c r="I105" s="71">
        <f t="shared" ref="I105:I110" si="38">COUNTIF(Area_v2,$C105)</f>
        <v>0</v>
      </c>
      <c r="J105" s="71">
        <f t="shared" ref="J105:J110" si="39">COUNTIF(Area_v3,$C105)</f>
        <v>0</v>
      </c>
      <c r="K105" s="71">
        <f t="shared" ref="K105:K110" si="40">COUNTIF(Area_v4,$C105)</f>
        <v>0</v>
      </c>
      <c r="L105" s="71">
        <f t="shared" ref="L105:L110" si="41">COUNTIF(Area_v5,$C105)</f>
        <v>0</v>
      </c>
      <c r="M105" s="94">
        <f t="shared" ref="M105:M110" si="42">COUNTIF(Area_v6,$C105)</f>
        <v>0</v>
      </c>
      <c r="AC105" s="105" t="s">
        <v>2158</v>
      </c>
    </row>
    <row r="106" spans="1:29" ht="18.75" customHeight="1">
      <c r="A106" s="150"/>
      <c r="B106" s="74"/>
      <c r="C106" s="312" t="s">
        <v>959</v>
      </c>
      <c r="D106" s="145" t="s">
        <v>594</v>
      </c>
      <c r="E106" s="105" t="s">
        <v>595</v>
      </c>
      <c r="F106" s="74" t="s">
        <v>769</v>
      </c>
      <c r="G106" s="98">
        <f t="shared" si="28"/>
        <v>0</v>
      </c>
      <c r="H106" s="71">
        <f t="shared" ref="H106:H110" si="43">COUNTIF(Area_v1,$C106)</f>
        <v>0</v>
      </c>
      <c r="I106" s="71">
        <f t="shared" si="38"/>
        <v>0</v>
      </c>
      <c r="J106" s="71">
        <f t="shared" si="39"/>
        <v>0</v>
      </c>
      <c r="K106" s="71">
        <f t="shared" si="40"/>
        <v>0</v>
      </c>
      <c r="L106" s="71">
        <f t="shared" si="41"/>
        <v>0</v>
      </c>
      <c r="M106" s="94">
        <f t="shared" si="42"/>
        <v>0</v>
      </c>
      <c r="AC106" s="105" t="s">
        <v>2159</v>
      </c>
    </row>
    <row r="107" spans="1:29" ht="18.75" customHeight="1">
      <c r="A107" s="150"/>
      <c r="B107" s="74"/>
      <c r="C107" s="312" t="s">
        <v>996</v>
      </c>
      <c r="D107" s="145" t="s">
        <v>596</v>
      </c>
      <c r="E107" s="105" t="s">
        <v>106</v>
      </c>
      <c r="F107" s="74" t="s">
        <v>770</v>
      </c>
      <c r="G107" s="98">
        <f t="shared" si="28"/>
        <v>2</v>
      </c>
      <c r="H107" s="71">
        <f t="shared" si="43"/>
        <v>1</v>
      </c>
      <c r="I107" s="71">
        <f t="shared" si="38"/>
        <v>1</v>
      </c>
      <c r="J107" s="71">
        <f t="shared" si="39"/>
        <v>0</v>
      </c>
      <c r="K107" s="71">
        <f t="shared" si="40"/>
        <v>0</v>
      </c>
      <c r="L107" s="71">
        <f t="shared" si="41"/>
        <v>0</v>
      </c>
      <c r="M107" s="94">
        <f t="shared" si="42"/>
        <v>0</v>
      </c>
      <c r="AC107" s="105" t="s">
        <v>1034</v>
      </c>
    </row>
    <row r="108" spans="1:29" ht="18.75" customHeight="1">
      <c r="A108" s="150"/>
      <c r="B108" s="74"/>
      <c r="C108" s="312" t="s">
        <v>960</v>
      </c>
      <c r="D108" s="145" t="s">
        <v>597</v>
      </c>
      <c r="E108" s="105" t="s">
        <v>108</v>
      </c>
      <c r="F108" s="74" t="s">
        <v>771</v>
      </c>
      <c r="G108" s="98">
        <f t="shared" si="28"/>
        <v>70</v>
      </c>
      <c r="H108" s="71">
        <f t="shared" si="43"/>
        <v>35</v>
      </c>
      <c r="I108" s="71">
        <f t="shared" si="38"/>
        <v>35</v>
      </c>
      <c r="J108" s="71">
        <f t="shared" si="39"/>
        <v>0</v>
      </c>
      <c r="K108" s="71">
        <f t="shared" si="40"/>
        <v>0</v>
      </c>
      <c r="L108" s="71">
        <f t="shared" si="41"/>
        <v>0</v>
      </c>
      <c r="M108" s="94">
        <f t="shared" si="42"/>
        <v>0</v>
      </c>
      <c r="AC108" s="105" t="s">
        <v>2160</v>
      </c>
    </row>
    <row r="109" spans="1:29" ht="18.75" customHeight="1">
      <c r="A109" s="150"/>
      <c r="B109" s="74"/>
      <c r="C109" s="312" t="s">
        <v>961</v>
      </c>
      <c r="D109" s="145" t="s">
        <v>598</v>
      </c>
      <c r="E109" s="105" t="s">
        <v>109</v>
      </c>
      <c r="F109" s="74" t="s">
        <v>772</v>
      </c>
      <c r="G109" s="98">
        <f t="shared" si="28"/>
        <v>4</v>
      </c>
      <c r="H109" s="71">
        <f t="shared" si="43"/>
        <v>0</v>
      </c>
      <c r="I109" s="71">
        <f t="shared" si="38"/>
        <v>0</v>
      </c>
      <c r="J109" s="71">
        <f t="shared" si="39"/>
        <v>2</v>
      </c>
      <c r="K109" s="71">
        <f t="shared" si="40"/>
        <v>2</v>
      </c>
      <c r="L109" s="71">
        <f t="shared" si="41"/>
        <v>0</v>
      </c>
      <c r="M109" s="94">
        <f t="shared" si="42"/>
        <v>0</v>
      </c>
      <c r="AC109" s="105" t="s">
        <v>2161</v>
      </c>
    </row>
    <row r="110" spans="1:29" ht="18.75" customHeight="1">
      <c r="A110" s="150"/>
      <c r="B110" s="74"/>
      <c r="C110" s="312" t="s">
        <v>999</v>
      </c>
      <c r="D110" s="145" t="s">
        <v>599</v>
      </c>
      <c r="E110" s="105" t="s">
        <v>110</v>
      </c>
      <c r="F110" s="74" t="s">
        <v>773</v>
      </c>
      <c r="G110" s="98">
        <f t="shared" si="28"/>
        <v>46</v>
      </c>
      <c r="H110" s="71">
        <f t="shared" si="43"/>
        <v>22</v>
      </c>
      <c r="I110" s="71">
        <f t="shared" si="38"/>
        <v>22</v>
      </c>
      <c r="J110" s="71">
        <f t="shared" si="39"/>
        <v>1</v>
      </c>
      <c r="K110" s="71">
        <f t="shared" si="40"/>
        <v>1</v>
      </c>
      <c r="L110" s="71">
        <f t="shared" si="41"/>
        <v>0</v>
      </c>
      <c r="M110" s="94">
        <f t="shared" si="42"/>
        <v>0</v>
      </c>
      <c r="AC110" s="105" t="s">
        <v>2162</v>
      </c>
    </row>
    <row r="111" spans="1:29" ht="18.75" customHeight="1">
      <c r="A111" s="150"/>
      <c r="B111" s="168"/>
      <c r="C111" s="312" t="s">
        <v>1133</v>
      </c>
      <c r="D111" s="145" t="s">
        <v>600</v>
      </c>
      <c r="E111" s="105" t="s">
        <v>975</v>
      </c>
      <c r="F111" s="74" t="s">
        <v>723</v>
      </c>
      <c r="G111" s="98">
        <f t="shared" si="28"/>
        <v>0</v>
      </c>
      <c r="H111" s="71">
        <f>COUNTIF(Area_v1,$C111)</f>
        <v>0</v>
      </c>
      <c r="I111" s="71">
        <f>COUNTIF(Area_v2,$C111)</f>
        <v>0</v>
      </c>
      <c r="J111" s="71">
        <f>COUNTIF(Area_v3,$C111)</f>
        <v>0</v>
      </c>
      <c r="K111" s="71">
        <f>COUNTIF(Area_v4,$C111)</f>
        <v>0</v>
      </c>
      <c r="L111" s="71">
        <f>COUNTIF(Area_v5,$C111)*2</f>
        <v>0</v>
      </c>
      <c r="M111" s="94">
        <f>COUNTIF(Area_v6,$C111)*2</f>
        <v>0</v>
      </c>
      <c r="AC111" s="105" t="s">
        <v>2163</v>
      </c>
    </row>
    <row r="112" spans="1:29" ht="18.75" customHeight="1">
      <c r="A112" s="237"/>
      <c r="B112" s="74"/>
      <c r="C112" s="312"/>
      <c r="D112" s="145" t="s">
        <v>601</v>
      </c>
      <c r="E112" s="105" t="s">
        <v>602</v>
      </c>
      <c r="F112" s="74" t="s">
        <v>774</v>
      </c>
      <c r="G112" s="98">
        <f t="shared" ref="G112:G124" si="44">SUM(H112:M112)</f>
        <v>0</v>
      </c>
      <c r="H112" s="71">
        <f t="shared" ref="H112:M112" si="45">+H111</f>
        <v>0</v>
      </c>
      <c r="I112" s="71">
        <f t="shared" si="45"/>
        <v>0</v>
      </c>
      <c r="J112" s="71">
        <f t="shared" si="45"/>
        <v>0</v>
      </c>
      <c r="K112" s="71">
        <f t="shared" si="45"/>
        <v>0</v>
      </c>
      <c r="L112" s="71">
        <f t="shared" si="45"/>
        <v>0</v>
      </c>
      <c r="M112" s="94">
        <f t="shared" si="45"/>
        <v>0</v>
      </c>
      <c r="AC112" s="105" t="s">
        <v>2164</v>
      </c>
    </row>
    <row r="113" spans="1:29" ht="18.75" customHeight="1">
      <c r="A113" s="226" t="s">
        <v>976</v>
      </c>
      <c r="B113" s="233" t="s">
        <v>906</v>
      </c>
      <c r="C113" s="229"/>
      <c r="D113" s="292" t="s">
        <v>775</v>
      </c>
      <c r="E113" s="221" t="s">
        <v>776</v>
      </c>
      <c r="F113" s="222" t="s">
        <v>723</v>
      </c>
      <c r="G113" s="223">
        <f t="shared" si="44"/>
        <v>0</v>
      </c>
      <c r="H113" s="224"/>
      <c r="I113" s="224"/>
      <c r="J113" s="224"/>
      <c r="K113" s="224"/>
      <c r="L113" s="224"/>
      <c r="M113" s="225"/>
      <c r="AC113" s="221" t="s">
        <v>2168</v>
      </c>
    </row>
    <row r="114" spans="1:29" ht="14.4">
      <c r="A114" s="227"/>
      <c r="B114" s="234"/>
      <c r="C114" s="230"/>
      <c r="D114" s="294" t="s">
        <v>777</v>
      </c>
      <c r="E114" s="211" t="s">
        <v>778</v>
      </c>
      <c r="F114" s="151" t="s">
        <v>765</v>
      </c>
      <c r="G114" s="132">
        <f t="shared" si="44"/>
        <v>0</v>
      </c>
      <c r="H114" s="133"/>
      <c r="I114" s="133"/>
      <c r="J114" s="133"/>
      <c r="K114" s="133"/>
      <c r="L114" s="133"/>
      <c r="M114" s="134"/>
      <c r="AC114" s="211" t="s">
        <v>2167</v>
      </c>
    </row>
    <row r="115" spans="1:29" ht="14.4">
      <c r="A115" s="227"/>
      <c r="B115" s="235"/>
      <c r="C115" s="313"/>
      <c r="D115" s="294" t="s">
        <v>779</v>
      </c>
      <c r="E115" s="211" t="s">
        <v>780</v>
      </c>
      <c r="F115" s="151" t="s">
        <v>727</v>
      </c>
      <c r="G115" s="132">
        <f t="shared" si="44"/>
        <v>0</v>
      </c>
      <c r="H115" s="133"/>
      <c r="I115" s="133"/>
      <c r="J115" s="133"/>
      <c r="K115" s="133"/>
      <c r="L115" s="133"/>
      <c r="M115" s="134"/>
      <c r="AC115" s="211" t="s">
        <v>2166</v>
      </c>
    </row>
    <row r="116" spans="1:29" ht="14.4">
      <c r="A116" s="227"/>
      <c r="B116" s="235"/>
      <c r="C116" s="313"/>
      <c r="D116" s="294" t="s">
        <v>781</v>
      </c>
      <c r="E116" s="211" t="s">
        <v>782</v>
      </c>
      <c r="F116" s="151" t="s">
        <v>727</v>
      </c>
      <c r="G116" s="132">
        <f t="shared" si="44"/>
        <v>0</v>
      </c>
      <c r="H116" s="133"/>
      <c r="I116" s="133"/>
      <c r="J116" s="133"/>
      <c r="K116" s="133"/>
      <c r="L116" s="133"/>
      <c r="M116" s="134"/>
      <c r="AC116" s="211" t="s">
        <v>2165</v>
      </c>
    </row>
    <row r="117" spans="1:29" ht="14.4">
      <c r="A117" s="228"/>
      <c r="B117" s="236"/>
      <c r="C117" s="314"/>
      <c r="D117" s="297" t="s">
        <v>783</v>
      </c>
      <c r="E117" s="216" t="s">
        <v>784</v>
      </c>
      <c r="F117" s="152" t="s">
        <v>727</v>
      </c>
      <c r="G117" s="217">
        <f t="shared" si="44"/>
        <v>0</v>
      </c>
      <c r="H117" s="219"/>
      <c r="I117" s="219"/>
      <c r="J117" s="219"/>
      <c r="K117" s="219"/>
      <c r="L117" s="219"/>
      <c r="M117" s="220"/>
      <c r="AC117" s="216" t="s">
        <v>2169</v>
      </c>
    </row>
    <row r="118" spans="1:29" ht="18.75" customHeight="1">
      <c r="A118" s="238" t="s">
        <v>899</v>
      </c>
      <c r="B118" s="82"/>
      <c r="C118" s="307"/>
      <c r="D118" s="184" t="s">
        <v>603</v>
      </c>
      <c r="E118" s="191" t="s">
        <v>604</v>
      </c>
      <c r="F118" s="109" t="s">
        <v>723</v>
      </c>
      <c r="G118" s="97">
        <f t="shared" si="44"/>
        <v>49.8</v>
      </c>
      <c r="H118" s="92">
        <f>+'HR Track 1'!$BL$8</f>
        <v>23.9</v>
      </c>
      <c r="I118" s="92">
        <f>+'HR Track 2'!$BL$8</f>
        <v>23.9</v>
      </c>
      <c r="J118" s="92">
        <f>+'HR Track 3'!$BL$8</f>
        <v>1</v>
      </c>
      <c r="K118" s="92">
        <f>+'HR Track 4'!$BL$8</f>
        <v>1</v>
      </c>
      <c r="L118" s="92">
        <f>+'HR Track 5'!$BL$8</f>
        <v>0</v>
      </c>
      <c r="M118" s="92">
        <f>+'HR Track 6'!$BL$8</f>
        <v>0</v>
      </c>
      <c r="AC118" s="191" t="s">
        <v>2170</v>
      </c>
    </row>
    <row r="119" spans="1:29" ht="22.95" customHeight="1">
      <c r="A119" s="226"/>
      <c r="B119" s="187" t="s">
        <v>906</v>
      </c>
      <c r="C119" s="229"/>
      <c r="D119" s="292" t="s">
        <v>605</v>
      </c>
      <c r="E119" s="221" t="s">
        <v>785</v>
      </c>
      <c r="F119" s="222" t="s">
        <v>723</v>
      </c>
      <c r="G119" s="223">
        <f t="shared" si="44"/>
        <v>0</v>
      </c>
      <c r="H119" s="224"/>
      <c r="I119" s="224"/>
      <c r="J119" s="224"/>
      <c r="K119" s="224"/>
      <c r="L119" s="224"/>
      <c r="M119" s="225"/>
      <c r="AC119" s="221" t="s">
        <v>2171</v>
      </c>
    </row>
    <row r="120" spans="1:29" ht="29.4" customHeight="1">
      <c r="A120" s="227" t="s">
        <v>967</v>
      </c>
      <c r="B120" s="188"/>
      <c r="C120" s="230"/>
      <c r="D120" s="294" t="s">
        <v>786</v>
      </c>
      <c r="E120" s="211" t="s">
        <v>787</v>
      </c>
      <c r="F120" s="151" t="s">
        <v>723</v>
      </c>
      <c r="G120" s="132">
        <f t="shared" si="44"/>
        <v>0</v>
      </c>
      <c r="H120" s="133"/>
      <c r="I120" s="133"/>
      <c r="J120" s="133"/>
      <c r="K120" s="133"/>
      <c r="L120" s="133"/>
      <c r="M120" s="134"/>
      <c r="AC120" s="211" t="s">
        <v>2443</v>
      </c>
    </row>
    <row r="121" spans="1:29" ht="18.75" customHeight="1">
      <c r="A121" s="228"/>
      <c r="B121" s="189"/>
      <c r="C121" s="231"/>
      <c r="D121" s="297" t="s">
        <v>788</v>
      </c>
      <c r="E121" s="216" t="s">
        <v>789</v>
      </c>
      <c r="F121" s="152" t="s">
        <v>723</v>
      </c>
      <c r="G121" s="217">
        <f t="shared" si="44"/>
        <v>0</v>
      </c>
      <c r="H121" s="219"/>
      <c r="I121" s="219"/>
      <c r="J121" s="219"/>
      <c r="K121" s="219"/>
      <c r="L121" s="219"/>
      <c r="M121" s="220"/>
      <c r="AC121" s="216" t="s">
        <v>2172</v>
      </c>
    </row>
    <row r="122" spans="1:29" ht="18.75" customHeight="1">
      <c r="A122" s="195" t="s">
        <v>2570</v>
      </c>
      <c r="B122" s="100"/>
      <c r="C122" s="306"/>
      <c r="D122" s="286" t="s">
        <v>606</v>
      </c>
      <c r="E122" s="141" t="s">
        <v>607</v>
      </c>
      <c r="F122" s="84" t="s">
        <v>790</v>
      </c>
      <c r="G122" s="98">
        <f t="shared" si="44"/>
        <v>0</v>
      </c>
      <c r="H122" s="102"/>
      <c r="J122" s="71"/>
      <c r="L122" s="71"/>
      <c r="M122" s="94"/>
      <c r="AC122" s="232" t="s">
        <v>2176</v>
      </c>
    </row>
    <row r="123" spans="1:29" ht="18.75" customHeight="1">
      <c r="A123" s="676" t="s">
        <v>904</v>
      </c>
      <c r="B123" s="87"/>
      <c r="C123" s="312"/>
      <c r="D123" s="145" t="s">
        <v>608</v>
      </c>
      <c r="E123" s="105" t="s">
        <v>103</v>
      </c>
      <c r="F123" s="74" t="s">
        <v>791</v>
      </c>
      <c r="G123" s="98">
        <f t="shared" si="44"/>
        <v>0</v>
      </c>
      <c r="H123" s="102"/>
      <c r="J123" s="71"/>
      <c r="L123" s="71"/>
      <c r="M123" s="94"/>
      <c r="AC123" s="193" t="s">
        <v>2175</v>
      </c>
    </row>
    <row r="124" spans="1:29" ht="18.75" customHeight="1">
      <c r="A124" s="163"/>
      <c r="B124" s="87"/>
      <c r="C124" s="312"/>
      <c r="D124" s="145" t="s">
        <v>609</v>
      </c>
      <c r="E124" s="105" t="s">
        <v>792</v>
      </c>
      <c r="F124" s="74" t="s">
        <v>790</v>
      </c>
      <c r="G124" s="98">
        <f t="shared" si="44"/>
        <v>0</v>
      </c>
      <c r="H124" s="102"/>
      <c r="J124" s="71"/>
      <c r="L124" s="71"/>
      <c r="M124" s="94"/>
      <c r="AC124" s="193" t="s">
        <v>2173</v>
      </c>
    </row>
    <row r="125" spans="1:29" ht="18.75" customHeight="1">
      <c r="A125" s="163"/>
      <c r="B125" s="87"/>
      <c r="C125" s="312"/>
      <c r="D125" s="145" t="s">
        <v>1095</v>
      </c>
      <c r="E125" s="105" t="s">
        <v>1096</v>
      </c>
      <c r="F125" s="74" t="s">
        <v>790</v>
      </c>
      <c r="G125" s="98"/>
      <c r="H125" s="102"/>
      <c r="J125" s="71"/>
      <c r="L125" s="71"/>
      <c r="M125" s="94"/>
      <c r="AC125" s="193" t="s">
        <v>2174</v>
      </c>
    </row>
    <row r="126" spans="1:29" ht="18.75" customHeight="1">
      <c r="A126" s="163"/>
      <c r="B126" s="87"/>
      <c r="C126" s="312"/>
      <c r="D126" s="145" t="s">
        <v>610</v>
      </c>
      <c r="E126" s="105" t="s">
        <v>793</v>
      </c>
      <c r="F126" s="74" t="s">
        <v>723</v>
      </c>
      <c r="G126" s="98">
        <f t="shared" ref="G126:G164" si="46">SUM(H126:M126)</f>
        <v>0</v>
      </c>
      <c r="H126" s="102"/>
      <c r="J126" s="71"/>
      <c r="L126" s="71"/>
      <c r="M126" s="94"/>
      <c r="AC126" s="193" t="s">
        <v>2177</v>
      </c>
    </row>
    <row r="127" spans="1:29" ht="18.75" customHeight="1">
      <c r="A127" s="163"/>
      <c r="B127" s="87"/>
      <c r="C127" s="312"/>
      <c r="D127" s="145" t="s">
        <v>611</v>
      </c>
      <c r="E127" s="105" t="s">
        <v>795</v>
      </c>
      <c r="F127" s="74" t="s">
        <v>794</v>
      </c>
      <c r="G127" s="98">
        <f t="shared" si="46"/>
        <v>0</v>
      </c>
      <c r="H127" s="102"/>
      <c r="J127" s="71"/>
      <c r="L127" s="71"/>
      <c r="M127" s="94"/>
      <c r="AC127" s="193" t="s">
        <v>2192</v>
      </c>
    </row>
    <row r="128" spans="1:29" ht="18.75" customHeight="1">
      <c r="A128" s="163"/>
      <c r="B128" s="87"/>
      <c r="C128" s="312"/>
      <c r="D128" s="145" t="s">
        <v>612</v>
      </c>
      <c r="E128" s="105" t="s">
        <v>796</v>
      </c>
      <c r="F128" s="74" t="s">
        <v>794</v>
      </c>
      <c r="G128" s="98">
        <f t="shared" si="46"/>
        <v>0</v>
      </c>
      <c r="H128" s="102"/>
      <c r="J128" s="71"/>
      <c r="L128" s="71"/>
      <c r="M128" s="94"/>
      <c r="AC128" s="193" t="s">
        <v>2193</v>
      </c>
    </row>
    <row r="129" spans="1:29" ht="18.75" customHeight="1">
      <c r="A129" s="163"/>
      <c r="B129" s="87"/>
      <c r="C129" s="312"/>
      <c r="D129" s="145" t="s">
        <v>613</v>
      </c>
      <c r="E129" s="105" t="s">
        <v>614</v>
      </c>
      <c r="F129" s="74" t="s">
        <v>797</v>
      </c>
      <c r="G129" s="98">
        <f t="shared" si="46"/>
        <v>0</v>
      </c>
      <c r="H129" s="102"/>
      <c r="J129" s="71"/>
      <c r="L129" s="71"/>
      <c r="M129" s="94"/>
      <c r="AC129" s="193" t="s">
        <v>2179</v>
      </c>
    </row>
    <row r="130" spans="1:29" ht="14.4">
      <c r="A130" s="163"/>
      <c r="B130" s="87"/>
      <c r="C130" s="312"/>
      <c r="D130" s="145" t="s">
        <v>615</v>
      </c>
      <c r="E130" s="105" t="s">
        <v>616</v>
      </c>
      <c r="F130" s="74" t="s">
        <v>797</v>
      </c>
      <c r="G130" s="98">
        <f t="shared" si="46"/>
        <v>0</v>
      </c>
      <c r="H130" s="102"/>
      <c r="J130" s="71"/>
      <c r="L130" s="71"/>
      <c r="M130" s="94"/>
      <c r="AC130" s="193" t="s">
        <v>2178</v>
      </c>
    </row>
    <row r="131" spans="1:29" ht="14.4">
      <c r="A131" s="163"/>
      <c r="B131" s="87"/>
      <c r="C131" s="312"/>
      <c r="D131" s="145" t="s">
        <v>617</v>
      </c>
      <c r="E131" s="105" t="s">
        <v>618</v>
      </c>
      <c r="F131" s="74" t="s">
        <v>798</v>
      </c>
      <c r="G131" s="98">
        <f t="shared" si="46"/>
        <v>0</v>
      </c>
      <c r="H131" s="102"/>
      <c r="J131" s="71"/>
      <c r="L131" s="71"/>
      <c r="M131" s="94"/>
      <c r="AC131" s="193" t="s">
        <v>2185</v>
      </c>
    </row>
    <row r="132" spans="1:29" ht="14.4">
      <c r="A132" s="163"/>
      <c r="B132" s="87"/>
      <c r="C132" s="312"/>
      <c r="D132" s="145" t="s">
        <v>619</v>
      </c>
      <c r="E132" s="105" t="s">
        <v>620</v>
      </c>
      <c r="F132" s="74" t="s">
        <v>798</v>
      </c>
      <c r="G132" s="98">
        <f t="shared" si="46"/>
        <v>0</v>
      </c>
      <c r="H132" s="102"/>
      <c r="J132" s="71"/>
      <c r="L132" s="71"/>
      <c r="M132" s="94"/>
      <c r="AC132" s="193" t="s">
        <v>2184</v>
      </c>
    </row>
    <row r="133" spans="1:29" ht="14.4">
      <c r="A133" s="163"/>
      <c r="B133" s="87"/>
      <c r="C133" s="312"/>
      <c r="D133" s="145" t="s">
        <v>621</v>
      </c>
      <c r="E133" s="105" t="s">
        <v>622</v>
      </c>
      <c r="F133" s="74" t="s">
        <v>723</v>
      </c>
      <c r="G133" s="98">
        <f t="shared" si="46"/>
        <v>0</v>
      </c>
      <c r="H133" s="102"/>
      <c r="J133" s="71"/>
      <c r="L133" s="71"/>
      <c r="M133" s="94"/>
      <c r="AC133" s="193" t="s">
        <v>2187</v>
      </c>
    </row>
    <row r="134" spans="1:29" ht="14.4">
      <c r="A134" s="163"/>
      <c r="B134" s="87"/>
      <c r="C134" s="312"/>
      <c r="D134" s="145" t="s">
        <v>623</v>
      </c>
      <c r="E134" s="105" t="s">
        <v>624</v>
      </c>
      <c r="F134" s="74" t="s">
        <v>723</v>
      </c>
      <c r="G134" s="98">
        <f t="shared" si="46"/>
        <v>0</v>
      </c>
      <c r="H134" s="102"/>
      <c r="J134" s="71"/>
      <c r="L134" s="71"/>
      <c r="M134" s="94"/>
      <c r="AC134" s="193" t="s">
        <v>2186</v>
      </c>
    </row>
    <row r="135" spans="1:29" ht="14.4">
      <c r="A135" s="149"/>
      <c r="B135" s="89"/>
      <c r="C135" s="186"/>
      <c r="D135" s="143" t="s">
        <v>625</v>
      </c>
      <c r="E135" s="106" t="s">
        <v>626</v>
      </c>
      <c r="F135" s="90" t="s">
        <v>799</v>
      </c>
      <c r="G135" s="99">
        <f t="shared" si="46"/>
        <v>0</v>
      </c>
      <c r="H135" s="103"/>
      <c r="I135" s="95"/>
      <c r="J135" s="95"/>
      <c r="K135" s="95"/>
      <c r="L135" s="95"/>
      <c r="M135" s="96"/>
      <c r="AC135" s="194" t="s">
        <v>2194</v>
      </c>
    </row>
    <row r="136" spans="1:29" ht="18.75" customHeight="1">
      <c r="A136" s="166"/>
      <c r="B136" s="213" t="s">
        <v>968</v>
      </c>
      <c r="C136" s="329"/>
      <c r="D136" s="184" t="s">
        <v>627</v>
      </c>
      <c r="E136" s="105" t="s">
        <v>800</v>
      </c>
      <c r="F136" s="74" t="s">
        <v>723</v>
      </c>
      <c r="G136" s="98">
        <f t="shared" si="46"/>
        <v>0</v>
      </c>
      <c r="H136" s="71">
        <f>+'HR Track 1'!$BL$13</f>
        <v>0</v>
      </c>
      <c r="I136" s="71">
        <f>+'HR Track 2'!$BL$13</f>
        <v>0</v>
      </c>
      <c r="J136" s="71">
        <f>+'HR Track 3'!$BL$13</f>
        <v>0</v>
      </c>
      <c r="K136" s="71">
        <f>+'HR Track 4'!$BL$13</f>
        <v>0</v>
      </c>
      <c r="L136" s="71">
        <f>+'HR Track 5'!$BL$13</f>
        <v>0</v>
      </c>
      <c r="M136" s="71">
        <f>+'HR Track 6'!$BL$13</f>
        <v>0</v>
      </c>
      <c r="AC136" s="105" t="s">
        <v>2188</v>
      </c>
    </row>
    <row r="137" spans="1:29" ht="18.75" customHeight="1">
      <c r="A137" s="265"/>
      <c r="B137" s="239"/>
      <c r="C137" s="330"/>
      <c r="D137" s="331" t="s">
        <v>628</v>
      </c>
      <c r="E137" s="255" t="s">
        <v>629</v>
      </c>
      <c r="F137" s="245" t="s">
        <v>723</v>
      </c>
      <c r="G137" s="240">
        <f t="shared" si="46"/>
        <v>0</v>
      </c>
      <c r="H137" s="242"/>
      <c r="I137" s="242"/>
      <c r="J137" s="242"/>
      <c r="K137" s="242"/>
      <c r="L137" s="242"/>
      <c r="M137" s="243"/>
      <c r="AC137" s="255" t="s">
        <v>2189</v>
      </c>
    </row>
    <row r="138" spans="1:29" ht="18.75" customHeight="1">
      <c r="A138" s="150"/>
      <c r="B138" s="74"/>
      <c r="C138" s="332" t="s">
        <v>979</v>
      </c>
      <c r="D138" s="333" t="s">
        <v>630</v>
      </c>
      <c r="E138" s="105" t="s">
        <v>978</v>
      </c>
      <c r="F138" s="74" t="s">
        <v>723</v>
      </c>
      <c r="G138" s="98">
        <f t="shared" si="46"/>
        <v>0</v>
      </c>
      <c r="H138" s="71">
        <f>COUNTIF(Area_v1,$C138)</f>
        <v>0</v>
      </c>
      <c r="I138" s="71">
        <f>COUNTIF(Area_v2,$C138)</f>
        <v>0</v>
      </c>
      <c r="J138" s="71">
        <f>COUNTIF(Area_v3,$C138)</f>
        <v>0</v>
      </c>
      <c r="K138" s="71">
        <f>COUNTIF(Area_v4,$C138)</f>
        <v>0</v>
      </c>
      <c r="L138" s="71">
        <f>COUNTIF(Area_v5,$C138)</f>
        <v>0</v>
      </c>
      <c r="M138" s="94">
        <f>COUNTIF(Area_v6,$C138)</f>
        <v>0</v>
      </c>
      <c r="AC138" s="105" t="s">
        <v>2190</v>
      </c>
    </row>
    <row r="139" spans="1:29" ht="18.75" customHeight="1">
      <c r="A139" s="150"/>
      <c r="B139" s="74"/>
      <c r="C139" s="185" t="s">
        <v>2056</v>
      </c>
      <c r="D139" s="286" t="s">
        <v>631</v>
      </c>
      <c r="E139" s="105" t="s">
        <v>802</v>
      </c>
      <c r="F139" s="74" t="s">
        <v>801</v>
      </c>
      <c r="G139" s="98">
        <f t="shared" si="46"/>
        <v>86</v>
      </c>
      <c r="H139" s="71">
        <f>COUNTIF(Area_v1,"RW1")+COUNTIF(Area_v1,"RW2")*2</f>
        <v>43</v>
      </c>
      <c r="I139" s="71">
        <f>COUNTIF(Area_v2,"RW1")+COUNTIF(Area_v2,"RW2")*2</f>
        <v>43</v>
      </c>
      <c r="J139" s="71">
        <f>COUNTIF(Area_v3,"RW1")+COUNTIF(Area_v3,"RW2")*2</f>
        <v>0</v>
      </c>
      <c r="K139" s="71">
        <f>COUNTIF(Area_v4,"RW1")+COUNTIF(Area_v4,"RW2")*2</f>
        <v>0</v>
      </c>
      <c r="L139" s="71">
        <f>COUNTIF(Area_v5,"RW1")+COUNTIF(Area_v5,"RW2")*2</f>
        <v>0</v>
      </c>
      <c r="M139" s="94">
        <f>COUNTIF(Area_v6,"RW1")+COUNTIF(Area_v6,"RW2")*2</f>
        <v>0</v>
      </c>
      <c r="AC139" s="105" t="s">
        <v>2191</v>
      </c>
    </row>
    <row r="140" spans="1:29" ht="30" customHeight="1">
      <c r="B140" s="266" t="s">
        <v>2532</v>
      </c>
      <c r="C140" s="312" t="s">
        <v>2050</v>
      </c>
      <c r="D140" s="145" t="s">
        <v>632</v>
      </c>
      <c r="E140" s="105" t="s">
        <v>980</v>
      </c>
      <c r="F140" s="74" t="s">
        <v>803</v>
      </c>
      <c r="G140" s="98">
        <f t="shared" si="46"/>
        <v>0</v>
      </c>
      <c r="H140" s="71">
        <f>COUNTIF(Area_v1,$C140)</f>
        <v>0</v>
      </c>
      <c r="I140" s="71">
        <f>COUNTIF(Area_v2,$C140)</f>
        <v>0</v>
      </c>
      <c r="J140" s="71">
        <f>COUNTIF(Area_v3,$C140)</f>
        <v>0</v>
      </c>
      <c r="K140" s="71">
        <f>COUNTIF(Area_v4,$C140)</f>
        <v>0</v>
      </c>
      <c r="L140" s="71">
        <f>COUNTIF(Area_v5,$C140)*2</f>
        <v>0</v>
      </c>
      <c r="M140" s="94">
        <f>COUNTIF(Area_v6,$C140)*2</f>
        <v>0</v>
      </c>
      <c r="AC140" s="105" t="s">
        <v>2195</v>
      </c>
    </row>
    <row r="141" spans="1:29" ht="29.4" customHeight="1">
      <c r="A141" s="150"/>
      <c r="B141" s="74"/>
      <c r="C141" s="312" t="s">
        <v>2528</v>
      </c>
      <c r="D141" s="145" t="s">
        <v>633</v>
      </c>
      <c r="E141" s="105" t="s">
        <v>2527</v>
      </c>
      <c r="F141" s="74" t="s">
        <v>801</v>
      </c>
      <c r="G141" s="98">
        <f t="shared" si="46"/>
        <v>258</v>
      </c>
      <c r="H141" s="71">
        <f>COUNTIF(Area_v1,"RW1T-S")+COUNTIF(Area_v1,"RW2T-SC")+COUNTIF(Area_v1,"RW2T-S")*2</f>
        <v>123</v>
      </c>
      <c r="I141" s="71">
        <f>COUNTIF(Area_v2,"RW1T-S")+COUNTIF(Area_v2,"RW2T-SC")+COUNTIF(Area_v2,"RW2T-S")*2</f>
        <v>121</v>
      </c>
      <c r="J141" s="71">
        <f>COUNTIF(Area_v3,"RW1T-S")+COUNTIF(Area_v3,"RW2T-SC")+COUNTIF(Area_v3,"RW2T-S")*2</f>
        <v>7</v>
      </c>
      <c r="K141" s="71">
        <f>COUNTIF(Area_v4,"RW1T-S")+COUNTIF(Area_v4,"RW2T-SC")+COUNTIF(Area_v4,"RW2T-S")*2</f>
        <v>7</v>
      </c>
      <c r="L141" s="71">
        <f>COUNTIF(Area_v5,"RW1T-S")+COUNTIF(Area_v5,"RW2T-SC")+COUNTIF(Area_v5,"RW2T-S")*2</f>
        <v>0</v>
      </c>
      <c r="M141" s="71">
        <f>COUNTIF(Area_v6,"RW1T-S")+COUNTIF(Area_v6,"RW2T-SC")+COUNTIF(Area_v6,"RW2T-S")*2</f>
        <v>0</v>
      </c>
      <c r="AC141" s="105" t="s">
        <v>2574</v>
      </c>
    </row>
    <row r="142" spans="1:29" ht="29.4" customHeight="1">
      <c r="A142" s="150"/>
      <c r="B142" s="74"/>
      <c r="C142" s="312" t="s">
        <v>2576</v>
      </c>
      <c r="D142" s="145" t="s">
        <v>2529</v>
      </c>
      <c r="E142" s="105" t="s">
        <v>2526</v>
      </c>
      <c r="F142" s="74"/>
      <c r="G142" s="98">
        <f t="shared" ref="G142" si="47">SUM(H142:M142)</f>
        <v>664</v>
      </c>
      <c r="H142" s="71">
        <f>COUNTIF(Area_v1,"RW1T-C")+COUNTIF(Area_v1,"RW2T-SC")+COUNTIF(Area_v1,"RW2T-C")*2</f>
        <v>321</v>
      </c>
      <c r="I142" s="71">
        <f>COUNTIF(Area_v2,"RW1T-C")+COUNTIF(Area_v2,"RW2T-SC")+COUNTIF(Area_v2,"RW2T-C")*2</f>
        <v>320</v>
      </c>
      <c r="J142" s="71">
        <f>COUNTIF(Area_v3,"RW1T-C")+COUNTIF(Area_v3,"RW2T-SC")+COUNTIF(Area_v3,"RW2T-C")*2</f>
        <v>11</v>
      </c>
      <c r="K142" s="71">
        <f>COUNTIF(Area_v4,"RW1T-C")+COUNTIF(Area_v4,"RW2T-SC")+COUNTIF(Area_v4,"RW2T-C")*2</f>
        <v>12</v>
      </c>
      <c r="L142" s="71">
        <f>COUNTIF(Area_v5,"RW1T-C")+COUNTIF(Area_v5,"RW2T-SC")+COUNTIF(Area_v5,"RW2T-C")*2</f>
        <v>0</v>
      </c>
      <c r="M142" s="71">
        <f>COUNTIF(Area_v6,"RW1T-C")+COUNTIF(Area_v6,"RW2T-SC")+COUNTIF(Area_v6,"RW2T-C")*2</f>
        <v>0</v>
      </c>
      <c r="AC142" s="105" t="s">
        <v>2575</v>
      </c>
    </row>
    <row r="143" spans="1:29" ht="32.4" customHeight="1">
      <c r="A143" s="150"/>
      <c r="B143" s="266" t="s">
        <v>2533</v>
      </c>
      <c r="C143" s="312" t="s">
        <v>2053</v>
      </c>
      <c r="D143" s="145" t="s">
        <v>634</v>
      </c>
      <c r="E143" s="105" t="s">
        <v>982</v>
      </c>
      <c r="F143" s="74" t="s">
        <v>804</v>
      </c>
      <c r="G143" s="98">
        <f t="shared" si="46"/>
        <v>72</v>
      </c>
      <c r="H143" s="71">
        <f>COUNTIF(Area_v1,$C$143)*2</f>
        <v>34</v>
      </c>
      <c r="I143" s="71">
        <f>COUNTIF(Area_v2,C143)*2</f>
        <v>32</v>
      </c>
      <c r="J143" s="71">
        <f>COUNTIF(Area_v3,$C$143)*2</f>
        <v>2</v>
      </c>
      <c r="K143" s="71">
        <f>COUNTIF(Area_v4,$C$143)*2</f>
        <v>4</v>
      </c>
      <c r="L143" s="71">
        <f>COUNTIF(Area_v5,$C$143)*2</f>
        <v>0</v>
      </c>
      <c r="M143" s="71">
        <f>COUNTIF(Area_v6,$C$143)*2</f>
        <v>0</v>
      </c>
      <c r="AC143" s="105" t="s">
        <v>2196</v>
      </c>
    </row>
    <row r="144" spans="1:29" ht="18.75" customHeight="1">
      <c r="A144" s="267"/>
      <c r="B144" s="247"/>
      <c r="C144" s="316"/>
      <c r="D144" s="317" t="s">
        <v>805</v>
      </c>
      <c r="E144" s="268" t="s">
        <v>92</v>
      </c>
      <c r="F144" s="247" t="s">
        <v>723</v>
      </c>
      <c r="G144" s="248">
        <f t="shared" si="46"/>
        <v>0</v>
      </c>
      <c r="H144" s="250"/>
      <c r="I144" s="250"/>
      <c r="J144" s="250"/>
      <c r="K144" s="250"/>
      <c r="L144" s="250"/>
      <c r="M144" s="251"/>
      <c r="AC144" s="268" t="s">
        <v>2197</v>
      </c>
    </row>
    <row r="145" spans="1:29" ht="30" customHeight="1">
      <c r="A145" s="254" t="s">
        <v>2569</v>
      </c>
      <c r="B145" s="253"/>
      <c r="C145" s="318" t="s">
        <v>977</v>
      </c>
      <c r="D145" s="142" t="s">
        <v>635</v>
      </c>
      <c r="E145" s="114" t="s">
        <v>111</v>
      </c>
      <c r="F145" s="112" t="s">
        <v>806</v>
      </c>
      <c r="G145" s="97">
        <f t="shared" si="46"/>
        <v>88</v>
      </c>
      <c r="H145" s="71">
        <f>COUNTIF(Area_v1,$C145)-H146</f>
        <v>41</v>
      </c>
      <c r="I145" s="71">
        <f>COUNTIF(Area_v2,$C145)-I146</f>
        <v>41</v>
      </c>
      <c r="J145" s="71">
        <f>COUNTIF(Area_v3,$C145)-J146</f>
        <v>3</v>
      </c>
      <c r="K145" s="71">
        <f>COUNTIF(Area_v4,$C145)-K146</f>
        <v>3</v>
      </c>
      <c r="L145" s="71">
        <f>COUNTIF(Area_v5,$C145)-L146</f>
        <v>0</v>
      </c>
      <c r="M145" s="94">
        <f>COUNTIF(Area_v6,$C145)-M146</f>
        <v>0</v>
      </c>
      <c r="N145" s="113"/>
      <c r="AC145" s="114" t="s">
        <v>2199</v>
      </c>
    </row>
    <row r="146" spans="1:29" ht="18.75" customHeight="1">
      <c r="A146" s="252"/>
      <c r="B146" s="266" t="s">
        <v>981</v>
      </c>
      <c r="C146" s="307" t="s">
        <v>984</v>
      </c>
      <c r="D146" s="287" t="s">
        <v>636</v>
      </c>
      <c r="E146" s="257" t="s">
        <v>122</v>
      </c>
      <c r="F146" s="82" t="s">
        <v>807</v>
      </c>
      <c r="G146" s="98">
        <f t="shared" si="46"/>
        <v>28</v>
      </c>
      <c r="H146" s="71">
        <f>COUNTIF(Area_v1,$C146)*2</f>
        <v>12</v>
      </c>
      <c r="I146" s="71">
        <f>COUNTIF(Area_v2,$C146)*2</f>
        <v>12</v>
      </c>
      <c r="J146" s="71">
        <f>COUNTIF(Area_v3,$C146)*2</f>
        <v>2</v>
      </c>
      <c r="K146" s="71">
        <f>COUNTIF(Area_v4,$C146)*2</f>
        <v>2</v>
      </c>
      <c r="L146" s="71">
        <f>COUNTIF(Area_v5,$C146)*2</f>
        <v>0</v>
      </c>
      <c r="M146" s="94">
        <f>COUNTIF(Area_v6,$C146)*2</f>
        <v>0</v>
      </c>
      <c r="AC146" s="114" t="s">
        <v>2200</v>
      </c>
    </row>
    <row r="147" spans="1:29" ht="18.75" customHeight="1">
      <c r="A147" s="258"/>
      <c r="B147" s="259" t="s">
        <v>906</v>
      </c>
      <c r="C147" s="319"/>
      <c r="D147" s="320" t="s">
        <v>637</v>
      </c>
      <c r="E147" s="260" t="s">
        <v>638</v>
      </c>
      <c r="F147" s="261" t="s">
        <v>808</v>
      </c>
      <c r="G147" s="262">
        <f t="shared" si="46"/>
        <v>0</v>
      </c>
      <c r="H147" s="263"/>
      <c r="I147" s="263"/>
      <c r="J147" s="263"/>
      <c r="K147" s="263"/>
      <c r="L147" s="263"/>
      <c r="M147" s="264"/>
      <c r="AC147" s="260" t="s">
        <v>2198</v>
      </c>
    </row>
    <row r="148" spans="1:29" ht="18.75" customHeight="1">
      <c r="A148" s="252"/>
      <c r="B148" s="213" t="s">
        <v>968</v>
      </c>
      <c r="C148" s="185" t="s">
        <v>983</v>
      </c>
      <c r="D148" s="286" t="s">
        <v>809</v>
      </c>
      <c r="E148" s="141" t="s">
        <v>115</v>
      </c>
      <c r="F148" s="84" t="s">
        <v>723</v>
      </c>
      <c r="G148" s="98">
        <f t="shared" si="46"/>
        <v>0</v>
      </c>
      <c r="J148" s="71"/>
      <c r="L148" s="71"/>
      <c r="M148" s="94"/>
      <c r="AC148" s="141" t="s">
        <v>2201</v>
      </c>
    </row>
    <row r="149" spans="1:29" ht="18.75" customHeight="1">
      <c r="A149" s="167"/>
      <c r="B149" s="90"/>
      <c r="C149" s="186"/>
      <c r="D149" s="143" t="s">
        <v>811</v>
      </c>
      <c r="E149" s="106" t="s">
        <v>2202</v>
      </c>
      <c r="F149" s="90" t="s">
        <v>810</v>
      </c>
      <c r="G149" s="99">
        <f t="shared" si="46"/>
        <v>0</v>
      </c>
      <c r="H149" s="95"/>
      <c r="I149" s="95"/>
      <c r="J149" s="95"/>
      <c r="K149" s="95"/>
      <c r="L149" s="95"/>
      <c r="M149" s="96"/>
      <c r="AC149" s="106" t="s">
        <v>2203</v>
      </c>
    </row>
    <row r="150" spans="1:29" ht="18.75" customHeight="1">
      <c r="A150" s="270"/>
      <c r="B150" s="271" t="s">
        <v>981</v>
      </c>
      <c r="C150" s="321" t="s">
        <v>984</v>
      </c>
      <c r="D150" s="142" t="s">
        <v>639</v>
      </c>
      <c r="E150" s="104" t="s">
        <v>813</v>
      </c>
      <c r="F150" s="83" t="s">
        <v>812</v>
      </c>
      <c r="G150" s="97">
        <f t="shared" si="46"/>
        <v>28</v>
      </c>
      <c r="H150" s="92">
        <f t="shared" ref="H150:M150" si="48">+H146</f>
        <v>12</v>
      </c>
      <c r="I150" s="92">
        <f t="shared" si="48"/>
        <v>12</v>
      </c>
      <c r="J150" s="92">
        <f t="shared" si="48"/>
        <v>2</v>
      </c>
      <c r="K150" s="92">
        <f t="shared" si="48"/>
        <v>2</v>
      </c>
      <c r="L150" s="92">
        <f t="shared" si="48"/>
        <v>0</v>
      </c>
      <c r="M150" s="93">
        <f t="shared" si="48"/>
        <v>0</v>
      </c>
      <c r="AC150" s="104" t="s">
        <v>2204</v>
      </c>
    </row>
    <row r="151" spans="1:29" ht="18.75" customHeight="1">
      <c r="A151" s="150"/>
      <c r="B151" s="266" t="s">
        <v>981</v>
      </c>
      <c r="C151" s="307" t="s">
        <v>984</v>
      </c>
      <c r="D151" s="145" t="s">
        <v>640</v>
      </c>
      <c r="E151" s="105" t="s">
        <v>814</v>
      </c>
      <c r="F151" s="74" t="s">
        <v>812</v>
      </c>
      <c r="G151" s="98">
        <f t="shared" si="46"/>
        <v>28</v>
      </c>
      <c r="H151" s="71">
        <f t="shared" ref="H151:M151" si="49">+H150</f>
        <v>12</v>
      </c>
      <c r="I151" s="71">
        <f t="shared" si="49"/>
        <v>12</v>
      </c>
      <c r="J151" s="71">
        <f t="shared" si="49"/>
        <v>2</v>
      </c>
      <c r="K151" s="71">
        <f t="shared" si="49"/>
        <v>2</v>
      </c>
      <c r="L151" s="71">
        <f t="shared" si="49"/>
        <v>0</v>
      </c>
      <c r="M151" s="94">
        <f t="shared" si="49"/>
        <v>0</v>
      </c>
      <c r="AC151" s="105" t="s">
        <v>2205</v>
      </c>
    </row>
    <row r="152" spans="1:29" ht="18.75" customHeight="1">
      <c r="A152" s="265"/>
      <c r="B152" s="245"/>
      <c r="C152" s="322"/>
      <c r="D152" s="315" t="s">
        <v>641</v>
      </c>
      <c r="E152" s="255" t="s">
        <v>815</v>
      </c>
      <c r="F152" s="245" t="s">
        <v>723</v>
      </c>
      <c r="G152" s="240">
        <f t="shared" si="46"/>
        <v>0</v>
      </c>
      <c r="H152" s="242"/>
      <c r="I152" s="242"/>
      <c r="J152" s="242"/>
      <c r="K152" s="242"/>
      <c r="L152" s="242"/>
      <c r="M152" s="243"/>
      <c r="AC152" s="255" t="s">
        <v>2206</v>
      </c>
    </row>
    <row r="153" spans="1:29" ht="18.75" customHeight="1">
      <c r="A153" s="150"/>
      <c r="B153" s="74"/>
      <c r="C153" s="312" t="s">
        <v>985</v>
      </c>
      <c r="D153" s="145" t="s">
        <v>642</v>
      </c>
      <c r="E153" s="105" t="s">
        <v>1147</v>
      </c>
      <c r="F153" s="74" t="s">
        <v>816</v>
      </c>
      <c r="G153" s="98">
        <f t="shared" si="46"/>
        <v>4</v>
      </c>
      <c r="H153" s="71">
        <f>COUNTIF(Area_v1,$C153)</f>
        <v>2</v>
      </c>
      <c r="I153" s="71">
        <f>COUNTIF(Area_v2,$C153)</f>
        <v>0</v>
      </c>
      <c r="J153" s="71">
        <f>COUNTIF(Area_v3,$C153)</f>
        <v>1</v>
      </c>
      <c r="K153" s="71">
        <f>COUNTIF(Area_v4,$C153)</f>
        <v>1</v>
      </c>
      <c r="L153" s="71">
        <f>COUNTIF(Area_v5,$C153)</f>
        <v>0</v>
      </c>
      <c r="M153" s="94">
        <f>COUNTIF(Area_v6,$C153)</f>
        <v>0</v>
      </c>
      <c r="AC153" s="105" t="s">
        <v>2213</v>
      </c>
    </row>
    <row r="154" spans="1:29" ht="32.25" customHeight="1">
      <c r="A154" s="167"/>
      <c r="B154" s="90"/>
      <c r="C154" s="186" t="s">
        <v>986</v>
      </c>
      <c r="D154" s="143" t="s">
        <v>643</v>
      </c>
      <c r="E154" s="143" t="s">
        <v>817</v>
      </c>
      <c r="F154" s="90" t="s">
        <v>723</v>
      </c>
      <c r="G154" s="99">
        <f t="shared" si="46"/>
        <v>0</v>
      </c>
      <c r="H154" s="95">
        <f>COUNTIF(Area_v1,$C154)</f>
        <v>0</v>
      </c>
      <c r="I154" s="95">
        <f>COUNTIF(Area_v2,$C154)</f>
        <v>0</v>
      </c>
      <c r="J154" s="95">
        <f>COUNTIF(Area_v3,$C154)</f>
        <v>0</v>
      </c>
      <c r="K154" s="95">
        <f>COUNTIF(Area_v4,$C154)</f>
        <v>0</v>
      </c>
      <c r="L154" s="95">
        <f>COUNTIF(Area_v5,$C154)</f>
        <v>0</v>
      </c>
      <c r="M154" s="96">
        <f>COUNTIF(Area_v6,$C154)</f>
        <v>0</v>
      </c>
      <c r="AC154" s="496" t="s">
        <v>817</v>
      </c>
    </row>
    <row r="155" spans="1:29" ht="56.25" customHeight="1">
      <c r="A155" s="254" t="s">
        <v>987</v>
      </c>
      <c r="B155" s="1429" t="s">
        <v>1006</v>
      </c>
      <c r="C155" s="323" t="s">
        <v>2450</v>
      </c>
      <c r="D155" s="309" t="s">
        <v>644</v>
      </c>
      <c r="E155" s="180" t="s">
        <v>119</v>
      </c>
      <c r="F155" s="176">
        <v>6680</v>
      </c>
      <c r="G155" s="98">
        <f t="shared" si="46"/>
        <v>1</v>
      </c>
      <c r="H155" s="71">
        <f>COUNTIF(Area_v1,"Disc*")+COUNTIF(Area_v1,"PP-2")+COUNTIF(Area_v1,"PP-4")*5+COUNTIF(Area_v1,"FS/PP-2")+COUNTIF(Area_v1,"FS/PP-3")*3-H159</f>
        <v>0</v>
      </c>
      <c r="I155" s="71">
        <f>COUNTIF(Area_v2,"Disc*")-I159</f>
        <v>1</v>
      </c>
      <c r="J155" s="71">
        <f>COUNTIF(Area_v3,"Disc*")-J159</f>
        <v>0</v>
      </c>
      <c r="K155" s="71">
        <f>COUNTIF(Area_v4,"Disc*")-K159</f>
        <v>0</v>
      </c>
      <c r="L155" s="71">
        <f>COUNTIF(Area_v5,"Disc*")</f>
        <v>0</v>
      </c>
      <c r="M155" s="94">
        <f>COUNTIF(Area_v6,"Disc*")</f>
        <v>0</v>
      </c>
      <c r="N155" s="113"/>
      <c r="AC155" s="180" t="s">
        <v>2214</v>
      </c>
    </row>
    <row r="156" spans="1:29" ht="28.8">
      <c r="A156" s="150"/>
      <c r="B156" s="1430"/>
      <c r="C156" s="312" t="s">
        <v>2451</v>
      </c>
      <c r="D156" s="309" t="s">
        <v>645</v>
      </c>
      <c r="E156" s="180" t="s">
        <v>120</v>
      </c>
      <c r="F156" s="74">
        <v>6682</v>
      </c>
      <c r="G156" s="98">
        <f t="shared" si="46"/>
        <v>0</v>
      </c>
      <c r="H156" s="71">
        <f>COUNTIF(Area_v1,"*FS-1*")+COUNTIF(Area_v1,"*FS/PP-2*")*2+COUNTIF(Area_v1,"*FS/PP-3*")*2+COUNTIF(Area_v1,"LoadB")</f>
        <v>0</v>
      </c>
      <c r="I156" s="71">
        <f>COUNTIF(Area_v2,"*FS-1*")+COUNTIF(Area_v2,"LoadB")</f>
        <v>0</v>
      </c>
      <c r="J156" s="71">
        <f>COUNTIF(Area_v3,"*FS-1*")+COUNTIF(Area_v3,"LoadB")</f>
        <v>0</v>
      </c>
      <c r="K156" s="71">
        <f>COUNTIF(Area_v4,"*FS-1*")+COUNTIF(Area_v4,"LoadB")</f>
        <v>0</v>
      </c>
      <c r="L156" s="71">
        <f>+COUNTIF(Area_v5,"LoadB")</f>
        <v>0</v>
      </c>
      <c r="M156" s="94">
        <f>+COUNTIF(Area_v6,"LoadB")</f>
        <v>0</v>
      </c>
      <c r="AC156" s="180" t="s">
        <v>2218</v>
      </c>
    </row>
    <row r="157" spans="1:29" ht="41.25" customHeight="1">
      <c r="A157" s="150"/>
      <c r="B157" s="74"/>
      <c r="C157" s="312" t="s">
        <v>1005</v>
      </c>
      <c r="D157" s="145" t="s">
        <v>646</v>
      </c>
      <c r="E157" s="105" t="s">
        <v>818</v>
      </c>
      <c r="F157" s="74" t="s">
        <v>723</v>
      </c>
      <c r="G157" s="98">
        <f t="shared" si="46"/>
        <v>0</v>
      </c>
      <c r="H157" s="71">
        <f>COUNTIF(Area_v1,$C157)</f>
        <v>0</v>
      </c>
      <c r="I157" s="71">
        <f>COUNTIF(Area_v2,$C157)</f>
        <v>0</v>
      </c>
      <c r="J157" s="71">
        <f>COUNTIF(Area_v3,$C157)</f>
        <v>0</v>
      </c>
      <c r="K157" s="71">
        <f>COUNTIF(Area_v4,$C157)</f>
        <v>0</v>
      </c>
      <c r="L157" s="71">
        <f>COUNTIF(Area_v5,$C157)</f>
        <v>0</v>
      </c>
      <c r="M157" s="94">
        <f>COUNTIF(Area_v6,$C157)</f>
        <v>0</v>
      </c>
      <c r="AC157" s="180" t="s">
        <v>2219</v>
      </c>
    </row>
    <row r="158" spans="1:29" ht="14.4">
      <c r="A158" s="237"/>
      <c r="B158" s="82"/>
      <c r="C158" s="307" t="s">
        <v>2539</v>
      </c>
      <c r="D158" s="287" t="s">
        <v>647</v>
      </c>
      <c r="E158" s="257" t="s">
        <v>2552</v>
      </c>
      <c r="F158" s="82">
        <v>6173</v>
      </c>
      <c r="G158" s="98">
        <f t="shared" si="46"/>
        <v>16</v>
      </c>
      <c r="H158" s="71">
        <f>COUNTIF(Area_v1,"ED")+COUNTIF(Area_v1,"ED/T")</f>
        <v>7</v>
      </c>
      <c r="I158" s="71">
        <f>COUNTIF(Area_v2,"ED")+COUNTIF(Area_v2,"ED/T")</f>
        <v>7</v>
      </c>
      <c r="J158" s="71">
        <f>COUNTIF(Area_v3,"ED")+COUNTIF(Area_v3,"ED/T")</f>
        <v>1</v>
      </c>
      <c r="K158" s="71">
        <f>COUNTIF(Area_v4,"ED")+COUNTIF(Area_v4,"ED/T")</f>
        <v>1</v>
      </c>
      <c r="L158" s="71">
        <f>COUNTIF(Area_v5,"ED")+COUNTIF(Area_v5,"ED/T")</f>
        <v>0</v>
      </c>
      <c r="M158" s="94">
        <f>COUNTIF(Area_v6,"ED")+COUNTIF(Area_v6,"ED/T")</f>
        <v>0</v>
      </c>
      <c r="AC158" s="257" t="s">
        <v>2573</v>
      </c>
    </row>
    <row r="159" spans="1:29" ht="14.4">
      <c r="A159" s="371"/>
      <c r="B159" s="372"/>
      <c r="C159" s="312" t="s">
        <v>1004</v>
      </c>
      <c r="D159" s="287" t="s">
        <v>1148</v>
      </c>
      <c r="E159" s="671" t="s">
        <v>1149</v>
      </c>
      <c r="F159" s="372">
        <v>6172</v>
      </c>
      <c r="G159" s="98">
        <f t="shared" si="46"/>
        <v>0</v>
      </c>
      <c r="H159" s="95">
        <f>COUNTIF(Area_v1,$C159)</f>
        <v>0</v>
      </c>
      <c r="I159" s="95">
        <f>COUNTIF(Area_v2,$C159)</f>
        <v>0</v>
      </c>
      <c r="J159" s="95">
        <f>COUNTIF(Area_v3,$C159)</f>
        <v>0</v>
      </c>
      <c r="K159" s="95">
        <f>COUNTIF(Area_v4,$C159)</f>
        <v>0</v>
      </c>
      <c r="L159" s="95">
        <f>COUNTIF(Area_v5,$C159)</f>
        <v>0</v>
      </c>
      <c r="M159" s="96">
        <f>COUNTIF(Area_v6,$C159)</f>
        <v>0</v>
      </c>
      <c r="AC159" s="671" t="s">
        <v>2215</v>
      </c>
    </row>
    <row r="160" spans="1:29" ht="26.4" customHeight="1">
      <c r="A160" s="345" t="s">
        <v>991</v>
      </c>
      <c r="B160" s="112"/>
      <c r="C160" s="318" t="s">
        <v>1008</v>
      </c>
      <c r="D160" s="346" t="s">
        <v>649</v>
      </c>
      <c r="E160" s="114" t="s">
        <v>2540</v>
      </c>
      <c r="F160" s="112" t="s">
        <v>820</v>
      </c>
      <c r="G160" s="97">
        <f t="shared" si="46"/>
        <v>1</v>
      </c>
      <c r="H160" s="101">
        <f>COUNTIF(Area_v1,"Disc*")-H161-H164-H166</f>
        <v>0</v>
      </c>
      <c r="I160" s="92">
        <f>COUNTIF(Area_v2,"Disc*")-I161-I164-I166</f>
        <v>1</v>
      </c>
      <c r="J160" s="92">
        <f>COUNTIF(Area_v3,"Disc*")-J161-J164-J166</f>
        <v>0</v>
      </c>
      <c r="K160" s="92">
        <f>COUNTIF(Area_v4,"Disc*")-K161-K164-K166</f>
        <v>0</v>
      </c>
      <c r="L160" s="71">
        <f>COUNTIF(Area_v5,"Disc*")-L161-L164-L166</f>
        <v>0</v>
      </c>
      <c r="M160" s="94">
        <f>COUNTIF(Area_v6,"Disc*")-M161-M164-M166</f>
        <v>0</v>
      </c>
      <c r="N160" s="113"/>
      <c r="AC160" s="114" t="s">
        <v>2220</v>
      </c>
    </row>
    <row r="161" spans="1:29" ht="14.4">
      <c r="A161" s="150"/>
      <c r="B161" s="312"/>
      <c r="C161" s="312"/>
      <c r="D161" s="145" t="s">
        <v>651</v>
      </c>
      <c r="E161" s="105" t="s">
        <v>2541</v>
      </c>
      <c r="F161" s="74" t="s">
        <v>820</v>
      </c>
      <c r="G161" s="98">
        <f t="shared" si="46"/>
        <v>0</v>
      </c>
      <c r="J161" s="71"/>
      <c r="L161" s="71"/>
      <c r="M161" s="94"/>
      <c r="AC161" s="114" t="s">
        <v>2221</v>
      </c>
    </row>
    <row r="162" spans="1:29" ht="36.6" customHeight="1">
      <c r="A162" s="150"/>
      <c r="B162" s="74"/>
      <c r="C162" s="312" t="s">
        <v>1009</v>
      </c>
      <c r="D162" s="145" t="s">
        <v>652</v>
      </c>
      <c r="E162" s="105" t="s">
        <v>2630</v>
      </c>
      <c r="F162" s="74">
        <v>6175</v>
      </c>
      <c r="G162" s="98">
        <f t="shared" si="46"/>
        <v>0</v>
      </c>
      <c r="H162" s="71">
        <f>COUNTIF(Area_v1,$C162)</f>
        <v>0</v>
      </c>
      <c r="I162" s="71">
        <f>COUNTIF(Area_v2,$C162)</f>
        <v>0</v>
      </c>
      <c r="J162" s="71">
        <f>COUNTIF(Area_v3,$C162)</f>
        <v>0</v>
      </c>
      <c r="K162" s="71">
        <f>COUNTIF(Area_v4,$C162)</f>
        <v>0</v>
      </c>
      <c r="L162" s="71">
        <f>COUNTIF(Area_v5,$C162)</f>
        <v>0</v>
      </c>
      <c r="M162" s="94">
        <f>COUNTIF(Area_v6,$C162)</f>
        <v>0</v>
      </c>
      <c r="AC162" s="105" t="s">
        <v>2224</v>
      </c>
    </row>
    <row r="163" spans="1:29" ht="28.8">
      <c r="A163" s="150"/>
      <c r="B163" s="74"/>
      <c r="C163" s="312" t="s">
        <v>1010</v>
      </c>
      <c r="D163" s="145" t="s">
        <v>653</v>
      </c>
      <c r="E163" s="105" t="s">
        <v>2631</v>
      </c>
      <c r="F163" s="74" t="s">
        <v>723</v>
      </c>
      <c r="G163" s="98">
        <f t="shared" si="46"/>
        <v>0</v>
      </c>
      <c r="H163" s="71">
        <f>COUNTIF(Area_v1,$C163)</f>
        <v>0</v>
      </c>
      <c r="I163" s="71">
        <f>COUNTIF(Area_v2,$C163)</f>
        <v>0</v>
      </c>
      <c r="J163" s="71">
        <f>COUNTIF(Area_v3,$C163)</f>
        <v>0</v>
      </c>
      <c r="K163" s="71">
        <f>COUNTIF(Area_v4,$C163)</f>
        <v>0</v>
      </c>
      <c r="L163" s="71">
        <f>COUNTIF(Area_v5,$C163)</f>
        <v>0</v>
      </c>
      <c r="M163" s="94">
        <f>COUNTIF(Area_v6,$C163)</f>
        <v>0</v>
      </c>
      <c r="AA163" s="105"/>
      <c r="AC163" s="105" t="s">
        <v>2632</v>
      </c>
    </row>
    <row r="164" spans="1:29" ht="14.4">
      <c r="A164" s="87"/>
      <c r="B164" s="74"/>
      <c r="C164" s="312" t="s">
        <v>1004</v>
      </c>
      <c r="D164" s="145" t="s">
        <v>654</v>
      </c>
      <c r="E164" s="105" t="s">
        <v>822</v>
      </c>
      <c r="F164" s="74">
        <v>6172</v>
      </c>
      <c r="G164" s="98">
        <f t="shared" si="46"/>
        <v>0</v>
      </c>
      <c r="H164" s="71">
        <f>COUNTIF(Area_v1,$C164)</f>
        <v>0</v>
      </c>
      <c r="I164" s="71">
        <f>COUNTIF(Area_v2,$C164)</f>
        <v>0</v>
      </c>
      <c r="J164" s="71">
        <f>COUNTIF(Area_v3,$C164)</f>
        <v>0</v>
      </c>
      <c r="K164" s="71">
        <f>COUNTIF(Area_v4,$C164)</f>
        <v>0</v>
      </c>
      <c r="L164" s="71">
        <f>COUNTIF(Area_v5,$C164)</f>
        <v>0</v>
      </c>
      <c r="M164" s="94">
        <f>COUNTIF(Area_v6,$C164)</f>
        <v>0</v>
      </c>
      <c r="AC164" s="105" t="s">
        <v>2222</v>
      </c>
    </row>
    <row r="165" spans="1:29" ht="14.4">
      <c r="A165" s="150"/>
      <c r="B165" s="74"/>
      <c r="C165" s="312" t="s">
        <v>1002</v>
      </c>
      <c r="D165" s="145" t="s">
        <v>823</v>
      </c>
      <c r="E165" s="105" t="s">
        <v>824</v>
      </c>
      <c r="F165" s="74">
        <v>6173</v>
      </c>
      <c r="G165" s="98">
        <f t="shared" ref="G165:G166" si="50">SUM(H165:M165)</f>
        <v>16</v>
      </c>
      <c r="H165" s="807">
        <f>H158</f>
        <v>7</v>
      </c>
      <c r="I165" s="807">
        <f t="shared" ref="I165:K165" si="51">I158</f>
        <v>7</v>
      </c>
      <c r="J165" s="71">
        <f t="shared" si="51"/>
        <v>1</v>
      </c>
      <c r="K165" s="71">
        <f t="shared" si="51"/>
        <v>1</v>
      </c>
      <c r="L165" s="71">
        <f>COUNTIF(Area_v5,$C165)</f>
        <v>0</v>
      </c>
      <c r="M165" s="94">
        <f>COUNTIF(Area_v6,$C165)</f>
        <v>0</v>
      </c>
      <c r="AC165" s="105" t="s">
        <v>2223</v>
      </c>
    </row>
    <row r="166" spans="1:29" ht="28.8">
      <c r="A166" s="150"/>
      <c r="B166" s="808" t="s">
        <v>2666</v>
      </c>
      <c r="C166" s="312" t="s">
        <v>2466</v>
      </c>
      <c r="D166" s="145" t="s">
        <v>2542</v>
      </c>
      <c r="E166" s="105" t="s">
        <v>2543</v>
      </c>
      <c r="F166" s="74"/>
      <c r="G166" s="98">
        <f t="shared" si="50"/>
        <v>0</v>
      </c>
      <c r="J166" s="71"/>
      <c r="L166" s="71">
        <f>COUNTIF(Area_v5,$C166)</f>
        <v>0</v>
      </c>
      <c r="M166" s="94">
        <f>COUNTIF(Area_v6,$C166)</f>
        <v>0</v>
      </c>
      <c r="AC166" s="105" t="s">
        <v>2572</v>
      </c>
    </row>
    <row r="167" spans="1:29" ht="14.4">
      <c r="A167" s="150"/>
      <c r="B167" s="74"/>
      <c r="C167" s="312"/>
      <c r="D167" s="145" t="s">
        <v>1150</v>
      </c>
      <c r="E167" s="105" t="s">
        <v>1151</v>
      </c>
      <c r="F167" s="74"/>
      <c r="G167" s="98"/>
      <c r="J167" s="71"/>
      <c r="L167" s="71"/>
      <c r="M167" s="94"/>
      <c r="AC167" s="105" t="s">
        <v>2225</v>
      </c>
    </row>
    <row r="168" spans="1:29" ht="28.8">
      <c r="A168" s="150"/>
      <c r="B168" s="74"/>
      <c r="C168" s="312" t="s">
        <v>1003</v>
      </c>
      <c r="D168" s="145" t="s">
        <v>825</v>
      </c>
      <c r="E168" s="105" t="s">
        <v>826</v>
      </c>
      <c r="F168" s="74" t="s">
        <v>821</v>
      </c>
      <c r="G168" s="98">
        <f t="shared" ref="G168:G206" si="52">SUM(H168:M168)</f>
        <v>0</v>
      </c>
      <c r="H168" s="71">
        <f>COUNTIF(Area_v1,C168)</f>
        <v>0</v>
      </c>
      <c r="J168" s="71"/>
      <c r="L168" s="71"/>
      <c r="M168" s="94"/>
      <c r="AC168" s="105" t="s">
        <v>2226</v>
      </c>
    </row>
    <row r="169" spans="1:29" ht="28.8">
      <c r="A169" s="150"/>
      <c r="B169" s="74"/>
      <c r="C169" s="312" t="s">
        <v>1013</v>
      </c>
      <c r="D169" s="145" t="s">
        <v>830</v>
      </c>
      <c r="E169" s="105" t="s">
        <v>831</v>
      </c>
      <c r="F169" s="74" t="s">
        <v>829</v>
      </c>
      <c r="G169" s="98">
        <f t="shared" si="52"/>
        <v>0</v>
      </c>
      <c r="H169" s="71">
        <f>COUNTIF(Area_v1,C169)</f>
        <v>0</v>
      </c>
      <c r="J169" s="71"/>
      <c r="L169" s="71"/>
      <c r="M169" s="94"/>
      <c r="AC169" s="105" t="s">
        <v>2227</v>
      </c>
    </row>
    <row r="170" spans="1:29" ht="14.4">
      <c r="A170" s="150"/>
      <c r="B170" s="74"/>
      <c r="C170" s="312" t="s">
        <v>1007</v>
      </c>
      <c r="D170" s="145" t="s">
        <v>827</v>
      </c>
      <c r="E170" s="105" t="s">
        <v>828</v>
      </c>
      <c r="F170" s="74">
        <v>6179</v>
      </c>
      <c r="G170" s="98">
        <f t="shared" si="52"/>
        <v>0</v>
      </c>
      <c r="H170" s="71">
        <f>COUNTIF(Area_v1,C170)</f>
        <v>0</v>
      </c>
      <c r="J170" s="71"/>
      <c r="L170" s="71"/>
      <c r="M170" s="94"/>
      <c r="AC170" s="105" t="s">
        <v>2228</v>
      </c>
    </row>
    <row r="171" spans="1:29" ht="14.4">
      <c r="A171" s="167"/>
      <c r="B171" s="90"/>
      <c r="C171" s="186" t="s">
        <v>1012</v>
      </c>
      <c r="D171" s="143" t="s">
        <v>833</v>
      </c>
      <c r="E171" s="106" t="s">
        <v>1011</v>
      </c>
      <c r="F171" s="90" t="s">
        <v>832</v>
      </c>
      <c r="G171" s="99">
        <f t="shared" si="52"/>
        <v>0</v>
      </c>
      <c r="H171" s="71">
        <f>COUNTIF(Area_v1,C171)</f>
        <v>0</v>
      </c>
      <c r="I171" s="95"/>
      <c r="J171" s="95"/>
      <c r="K171" s="95"/>
      <c r="L171" s="95"/>
      <c r="M171" s="96"/>
      <c r="AC171" s="106" t="s">
        <v>2229</v>
      </c>
    </row>
    <row r="172" spans="1:29" ht="14.4">
      <c r="A172" s="256" t="s">
        <v>992</v>
      </c>
      <c r="B172" s="344"/>
      <c r="C172" s="343"/>
      <c r="D172" s="142" t="s">
        <v>834</v>
      </c>
      <c r="E172" s="104" t="s">
        <v>648</v>
      </c>
      <c r="F172" s="336" t="s">
        <v>723</v>
      </c>
      <c r="G172" s="97">
        <f t="shared" si="52"/>
        <v>5</v>
      </c>
      <c r="H172" s="803">
        <f>+H160+H161+H162+H163+H166*2+2</f>
        <v>2</v>
      </c>
      <c r="I172" s="804">
        <f>+I160+I161+I162+I163+I166*2+2</f>
        <v>3</v>
      </c>
      <c r="J172" s="92">
        <f t="shared" ref="J172:M172" si="53">+J160+J161+J162+J163+J166*2</f>
        <v>0</v>
      </c>
      <c r="K172" s="92">
        <f t="shared" si="53"/>
        <v>0</v>
      </c>
      <c r="L172" s="71">
        <f t="shared" si="53"/>
        <v>0</v>
      </c>
      <c r="M172" s="94">
        <f t="shared" si="53"/>
        <v>0</v>
      </c>
      <c r="AC172" s="104" t="s">
        <v>2230</v>
      </c>
    </row>
    <row r="173" spans="1:29" ht="14.4">
      <c r="A173" s="150"/>
      <c r="B173" s="334"/>
      <c r="C173" s="190"/>
      <c r="D173" s="145" t="s">
        <v>835</v>
      </c>
      <c r="E173" s="105" t="s">
        <v>836</v>
      </c>
      <c r="F173" s="337" t="s">
        <v>723</v>
      </c>
      <c r="G173" s="98">
        <f t="shared" si="52"/>
        <v>0</v>
      </c>
      <c r="H173" s="102">
        <f>+H168*3+H169*5+H170+H171*5</f>
        <v>0</v>
      </c>
      <c r="I173" s="71">
        <f>+I168*3+I169*5+I171*5</f>
        <v>0</v>
      </c>
      <c r="J173" s="71">
        <f>+J168*3+J169*5+J171*5</f>
        <v>0</v>
      </c>
      <c r="K173" s="71">
        <f>+K168*3+K169*5+K171*5</f>
        <v>0</v>
      </c>
      <c r="L173" s="71">
        <f>+L168*3+L169*5+L171*5</f>
        <v>0</v>
      </c>
      <c r="M173" s="94">
        <f>+M168*3+M169*5+M171*5</f>
        <v>0</v>
      </c>
      <c r="AC173" s="105" t="s">
        <v>2231</v>
      </c>
    </row>
    <row r="174" spans="1:29" ht="18.75" customHeight="1">
      <c r="A174" s="167"/>
      <c r="B174" s="169"/>
      <c r="C174" s="335"/>
      <c r="D174" s="143" t="s">
        <v>837</v>
      </c>
      <c r="E174" s="106" t="s">
        <v>838</v>
      </c>
      <c r="F174" s="338" t="s">
        <v>723</v>
      </c>
      <c r="G174" s="99">
        <f t="shared" si="52"/>
        <v>12</v>
      </c>
      <c r="H174" s="805">
        <f>+H164+H165-2</f>
        <v>5</v>
      </c>
      <c r="I174" s="806">
        <f>+I164+I165-2</f>
        <v>5</v>
      </c>
      <c r="J174" s="95">
        <f t="shared" ref="J174:M174" si="54">+J164+J165</f>
        <v>1</v>
      </c>
      <c r="K174" s="95">
        <f t="shared" si="54"/>
        <v>1</v>
      </c>
      <c r="L174" s="95">
        <f t="shared" si="54"/>
        <v>0</v>
      </c>
      <c r="M174" s="96">
        <f t="shared" si="54"/>
        <v>0</v>
      </c>
      <c r="AC174" s="106" t="s">
        <v>2232</v>
      </c>
    </row>
    <row r="175" spans="1:29" ht="18.75" customHeight="1">
      <c r="A175" s="256" t="s">
        <v>993</v>
      </c>
      <c r="B175" s="344"/>
      <c r="C175" s="339"/>
      <c r="D175" s="286" t="s">
        <v>840</v>
      </c>
      <c r="E175" s="141" t="s">
        <v>650</v>
      </c>
      <c r="F175" s="84" t="s">
        <v>839</v>
      </c>
      <c r="G175" s="98">
        <f t="shared" si="52"/>
        <v>17</v>
      </c>
      <c r="H175" s="92">
        <f>+H160+H161+H162+H163+H164+H165+H167+H170+H166*2</f>
        <v>7</v>
      </c>
      <c r="I175" s="92">
        <f t="shared" ref="I175:M175" si="55">+I160+I161+I162+I163+I164+I165+I167+I170+I166*2</f>
        <v>8</v>
      </c>
      <c r="J175" s="92">
        <f t="shared" si="55"/>
        <v>1</v>
      </c>
      <c r="K175" s="92">
        <f t="shared" si="55"/>
        <v>1</v>
      </c>
      <c r="L175" s="92">
        <f t="shared" si="55"/>
        <v>0</v>
      </c>
      <c r="M175" s="93">
        <f t="shared" si="55"/>
        <v>0</v>
      </c>
      <c r="AC175" s="141" t="s">
        <v>2244</v>
      </c>
    </row>
    <row r="176" spans="1:29" ht="18.75" customHeight="1">
      <c r="A176" s="342"/>
      <c r="B176" s="340"/>
      <c r="C176" s="341"/>
      <c r="D176" s="145" t="s">
        <v>842</v>
      </c>
      <c r="E176" s="105" t="s">
        <v>843</v>
      </c>
      <c r="F176" s="74" t="s">
        <v>841</v>
      </c>
      <c r="G176" s="98">
        <f t="shared" si="52"/>
        <v>0</v>
      </c>
      <c r="H176" s="102">
        <f t="shared" ref="H176:M176" si="56">+H168</f>
        <v>0</v>
      </c>
      <c r="I176" s="71">
        <f t="shared" si="56"/>
        <v>0</v>
      </c>
      <c r="J176" s="71">
        <f t="shared" si="56"/>
        <v>0</v>
      </c>
      <c r="K176" s="71">
        <f t="shared" si="56"/>
        <v>0</v>
      </c>
      <c r="L176" s="71">
        <f t="shared" si="56"/>
        <v>0</v>
      </c>
      <c r="M176" s="94">
        <f t="shared" si="56"/>
        <v>0</v>
      </c>
      <c r="AC176" s="105" t="s">
        <v>2245</v>
      </c>
    </row>
    <row r="177" spans="1:29" ht="18.75" customHeight="1">
      <c r="A177" s="252"/>
      <c r="B177" s="84"/>
      <c r="C177" s="185"/>
      <c r="D177" s="145" t="s">
        <v>844</v>
      </c>
      <c r="E177" s="105" t="s">
        <v>845</v>
      </c>
      <c r="F177" s="74" t="s">
        <v>841</v>
      </c>
      <c r="G177" s="98">
        <f t="shared" si="52"/>
        <v>0</v>
      </c>
      <c r="H177" s="102">
        <f t="shared" ref="H177:M177" si="57">+H169+H171</f>
        <v>0</v>
      </c>
      <c r="I177" s="71">
        <f t="shared" si="57"/>
        <v>0</v>
      </c>
      <c r="J177" s="71">
        <f t="shared" si="57"/>
        <v>0</v>
      </c>
      <c r="K177" s="71">
        <f t="shared" si="57"/>
        <v>0</v>
      </c>
      <c r="L177" s="71">
        <f t="shared" si="57"/>
        <v>0</v>
      </c>
      <c r="M177" s="94">
        <f t="shared" si="57"/>
        <v>0</v>
      </c>
      <c r="AC177" s="105" t="s">
        <v>2246</v>
      </c>
    </row>
    <row r="178" spans="1:29" ht="18.75" customHeight="1">
      <c r="A178" s="269" t="s">
        <v>994</v>
      </c>
      <c r="B178" s="74"/>
      <c r="C178" s="312" t="s">
        <v>2453</v>
      </c>
      <c r="D178" s="145" t="s">
        <v>846</v>
      </c>
      <c r="E178" s="105" t="s">
        <v>121</v>
      </c>
      <c r="F178" s="74">
        <v>6684</v>
      </c>
      <c r="G178" s="98">
        <f t="shared" si="52"/>
        <v>0</v>
      </c>
      <c r="H178" s="71">
        <f>+COUNTIF(Area_v1,$C$178)</f>
        <v>0</v>
      </c>
      <c r="I178" s="71">
        <f>COUNTIF(Area_v2,$C$178)</f>
        <v>0</v>
      </c>
      <c r="J178" s="71">
        <f>COUNTIF(Area_v3,$C$178)</f>
        <v>0</v>
      </c>
      <c r="K178" s="71">
        <f>COUNTIF(Area_v4,$C$178)</f>
        <v>0</v>
      </c>
      <c r="L178" s="71">
        <f>COUNTIF(Area_v5,$C$178)</f>
        <v>0</v>
      </c>
      <c r="M178" s="94">
        <f>COUNTIF(Area_v6,$C$178)</f>
        <v>0</v>
      </c>
      <c r="AC178" s="105" t="s">
        <v>2216</v>
      </c>
    </row>
    <row r="179" spans="1:29" ht="18.75" customHeight="1">
      <c r="A179" s="167"/>
      <c r="B179" s="90"/>
      <c r="C179" s="186" t="s">
        <v>2456</v>
      </c>
      <c r="D179" s="143" t="s">
        <v>847</v>
      </c>
      <c r="E179" s="106" t="s">
        <v>848</v>
      </c>
      <c r="F179" s="90"/>
      <c r="G179" s="99">
        <f t="shared" si="52"/>
        <v>4</v>
      </c>
      <c r="H179" s="71">
        <f>COUNTIF(Area_v1,$C179)</f>
        <v>1</v>
      </c>
      <c r="I179" s="71">
        <f>COUNTIF(Area_v2,$C179)</f>
        <v>1</v>
      </c>
      <c r="J179" s="71">
        <f>COUNTIF(Area_v3,$C179)</f>
        <v>1</v>
      </c>
      <c r="K179" s="71">
        <f>COUNTIF(Area_v4,$C179)</f>
        <v>1</v>
      </c>
      <c r="L179" s="71">
        <f>COUNTIF(Area_v5,$C179)</f>
        <v>0</v>
      </c>
      <c r="M179" s="94">
        <f>COUNTIF(Area_v6,$C179)</f>
        <v>0</v>
      </c>
      <c r="AC179" s="106" t="s">
        <v>2217</v>
      </c>
    </row>
    <row r="180" spans="1:29" ht="18.75" customHeight="1">
      <c r="A180" s="85" t="s">
        <v>900</v>
      </c>
      <c r="B180" s="83"/>
      <c r="C180" s="306"/>
      <c r="D180" s="142" t="s">
        <v>850</v>
      </c>
      <c r="E180" s="104" t="s">
        <v>112</v>
      </c>
      <c r="F180" s="83" t="s">
        <v>849</v>
      </c>
      <c r="G180" s="97">
        <f t="shared" si="52"/>
        <v>39</v>
      </c>
      <c r="H180" s="92">
        <f>+ROUND(('HR Track 1'!BL10)/0.45,0)</f>
        <v>39</v>
      </c>
      <c r="I180" s="92"/>
      <c r="J180" s="92"/>
      <c r="K180" s="92"/>
      <c r="L180" s="92"/>
      <c r="M180" s="93"/>
      <c r="AC180" s="104" t="s">
        <v>2233</v>
      </c>
    </row>
    <row r="181" spans="1:29" ht="18.75" customHeight="1">
      <c r="A181" s="150"/>
      <c r="B181" s="74"/>
      <c r="C181" s="312"/>
      <c r="D181" s="145" t="s">
        <v>852</v>
      </c>
      <c r="E181" s="105" t="s">
        <v>113</v>
      </c>
      <c r="F181" s="74" t="s">
        <v>851</v>
      </c>
      <c r="G181" s="98">
        <f t="shared" si="52"/>
        <v>156</v>
      </c>
      <c r="H181" s="71">
        <f>2*H180</f>
        <v>78</v>
      </c>
      <c r="I181" s="71">
        <f>+H181</f>
        <v>78</v>
      </c>
      <c r="J181" s="71"/>
      <c r="L181" s="71"/>
      <c r="M181" s="94"/>
      <c r="AC181" s="105" t="s">
        <v>2234</v>
      </c>
    </row>
    <row r="182" spans="1:29" ht="18.75" customHeight="1">
      <c r="A182" s="150"/>
      <c r="B182" s="74"/>
      <c r="C182" s="347" t="s">
        <v>1014</v>
      </c>
      <c r="D182" s="145" t="s">
        <v>854</v>
      </c>
      <c r="E182" s="105" t="s">
        <v>655</v>
      </c>
      <c r="F182" s="74" t="s">
        <v>853</v>
      </c>
      <c r="G182" s="98">
        <f t="shared" si="52"/>
        <v>665</v>
      </c>
      <c r="H182" s="71">
        <f>COUNTIF(Area_v1,"S1T")+COUNTIF(Area_v1,"S2T")</f>
        <v>321</v>
      </c>
      <c r="I182" s="71">
        <f>COUNTIF(Area_v2,"S1T")+COUNTIF(Area_v2,"S2T")</f>
        <v>321</v>
      </c>
      <c r="J182" s="71">
        <f>COUNTIF(Area_v3,"S1T")+COUNTIF(Area_v3,"S2T")</f>
        <v>11</v>
      </c>
      <c r="K182" s="71">
        <f>COUNTIF(Area_v4,"S1T")+COUNTIF(Area_v4,"S2T")</f>
        <v>12</v>
      </c>
      <c r="L182" s="71">
        <f>COUNTIF(Area_v5,"S1T")+COUNTIF(Area_v5,"S2T")</f>
        <v>0</v>
      </c>
      <c r="M182" s="94">
        <f>COUNTIF(Area_v6,"S1T")+COUNTIF(Area_v6,"S2T")</f>
        <v>0</v>
      </c>
      <c r="AC182" s="105" t="s">
        <v>2235</v>
      </c>
    </row>
    <row r="183" spans="1:29" ht="18.75" customHeight="1">
      <c r="A183" s="150"/>
      <c r="B183" s="74"/>
      <c r="C183" s="347" t="s">
        <v>948</v>
      </c>
      <c r="D183" s="145" t="s">
        <v>855</v>
      </c>
      <c r="E183" s="105" t="s">
        <v>656</v>
      </c>
      <c r="F183" s="74" t="s">
        <v>723</v>
      </c>
      <c r="G183" s="98">
        <f t="shared" si="52"/>
        <v>70</v>
      </c>
      <c r="H183" s="71">
        <f>COUNTIF(Area_v1,$C183)</f>
        <v>35</v>
      </c>
      <c r="I183" s="71">
        <f>COUNTIF(Area_v2,$C183)</f>
        <v>35</v>
      </c>
      <c r="J183" s="71">
        <f>COUNTIF(Area_v3,$C183)</f>
        <v>0</v>
      </c>
      <c r="K183" s="71">
        <f>COUNTIF(Area_v4,$C183)</f>
        <v>0</v>
      </c>
      <c r="L183" s="71">
        <f>COUNTIF(Area_v5,$C183)</f>
        <v>0</v>
      </c>
      <c r="M183" s="94">
        <f>COUNTIF(Area_v6,$C183)</f>
        <v>0</v>
      </c>
      <c r="AC183" s="105" t="s">
        <v>2236</v>
      </c>
    </row>
    <row r="184" spans="1:29" ht="18.75" customHeight="1">
      <c r="A184" s="150"/>
      <c r="B184" s="74"/>
      <c r="C184" s="347" t="s">
        <v>947</v>
      </c>
      <c r="D184" s="145" t="s">
        <v>856</v>
      </c>
      <c r="E184" s="105" t="s">
        <v>657</v>
      </c>
      <c r="F184" s="74" t="s">
        <v>723</v>
      </c>
      <c r="G184" s="98">
        <f t="shared" si="52"/>
        <v>4</v>
      </c>
      <c r="H184" s="71">
        <f>COUNTIF(Area_v1,$C184)</f>
        <v>0</v>
      </c>
      <c r="I184" s="71">
        <f>COUNTIF(Area_v2,$C184)</f>
        <v>0</v>
      </c>
      <c r="J184" s="71">
        <f>COUNTIF(Area_v3,$C184)</f>
        <v>2</v>
      </c>
      <c r="K184" s="71">
        <f>COUNTIF(Area_v4,$C184)</f>
        <v>2</v>
      </c>
      <c r="L184" s="71">
        <f>COUNTIF(Area_v5,$C184)</f>
        <v>0</v>
      </c>
      <c r="M184" s="94">
        <f>COUNTIF(Area_v6,$C184)</f>
        <v>0</v>
      </c>
      <c r="AC184" s="105" t="s">
        <v>2237</v>
      </c>
    </row>
    <row r="185" spans="1:29" ht="18.75" customHeight="1">
      <c r="A185" s="150"/>
      <c r="B185" s="74"/>
      <c r="C185" s="347" t="s">
        <v>997</v>
      </c>
      <c r="D185" s="145" t="s">
        <v>857</v>
      </c>
      <c r="E185" s="105" t="s">
        <v>658</v>
      </c>
      <c r="F185" s="74" t="s">
        <v>723</v>
      </c>
      <c r="G185" s="98">
        <f t="shared" si="52"/>
        <v>46</v>
      </c>
      <c r="H185" s="71">
        <f>COUNTIF(Area_v1,$C185)</f>
        <v>22</v>
      </c>
      <c r="I185" s="71">
        <f>COUNTIF(Area_v2,$C185)</f>
        <v>22</v>
      </c>
      <c r="J185" s="71">
        <f>COUNTIF(Area_v3,$C185)</f>
        <v>1</v>
      </c>
      <c r="K185" s="71">
        <f>COUNTIF(Area_v4,$C185)</f>
        <v>1</v>
      </c>
      <c r="L185" s="71">
        <f>COUNTIF(Area_v5,$C185)</f>
        <v>0</v>
      </c>
      <c r="M185" s="94">
        <f>COUNTIF(Area_v6,$C185)</f>
        <v>0</v>
      </c>
      <c r="AC185" s="105" t="s">
        <v>2238</v>
      </c>
    </row>
    <row r="186" spans="1:29" ht="18.75" customHeight="1">
      <c r="A186" s="150"/>
      <c r="B186" s="74"/>
      <c r="C186" s="312"/>
      <c r="D186" s="145" t="s">
        <v>858</v>
      </c>
      <c r="E186" s="105" t="s">
        <v>659</v>
      </c>
      <c r="F186" s="74" t="s">
        <v>723</v>
      </c>
      <c r="G186" s="98">
        <f t="shared" si="52"/>
        <v>681</v>
      </c>
      <c r="H186" s="71">
        <f>+H182</f>
        <v>321</v>
      </c>
      <c r="I186" s="71">
        <f>+I182</f>
        <v>321</v>
      </c>
      <c r="J186" s="71">
        <f>+J182</f>
        <v>11</v>
      </c>
      <c r="K186" s="71">
        <f>COUNTIF(Area_v4,$C186)</f>
        <v>28</v>
      </c>
      <c r="L186" s="71">
        <f>COUNTIF(Area_v5,$C186)</f>
        <v>0</v>
      </c>
      <c r="M186" s="94">
        <f>COUNTIF(Area_v6,$C186)</f>
        <v>0</v>
      </c>
      <c r="AC186" s="105" t="s">
        <v>2239</v>
      </c>
    </row>
    <row r="187" spans="1:29" ht="28.95" customHeight="1">
      <c r="A187" s="150"/>
      <c r="B187" s="74"/>
      <c r="C187" s="312"/>
      <c r="D187" s="145" t="s">
        <v>860</v>
      </c>
      <c r="E187" s="105" t="s">
        <v>114</v>
      </c>
      <c r="F187" s="74" t="s">
        <v>859</v>
      </c>
      <c r="G187" s="98">
        <f t="shared" si="52"/>
        <v>66</v>
      </c>
      <c r="H187" s="71">
        <f>ROUND('HR Track 1'!BL22/0.45,0)*2</f>
        <v>66</v>
      </c>
      <c r="J187" s="71"/>
      <c r="L187" s="71"/>
      <c r="M187" s="94"/>
      <c r="AC187" s="105" t="s">
        <v>2240</v>
      </c>
    </row>
    <row r="188" spans="1:29" ht="18.75" customHeight="1">
      <c r="A188" s="150"/>
      <c r="B188" s="74"/>
      <c r="C188" s="312" t="s">
        <v>2479</v>
      </c>
      <c r="D188" s="145" t="s">
        <v>861</v>
      </c>
      <c r="E188" s="105" t="s">
        <v>116</v>
      </c>
      <c r="F188" s="74" t="s">
        <v>723</v>
      </c>
      <c r="G188" s="98">
        <f t="shared" si="52"/>
        <v>58</v>
      </c>
      <c r="H188" s="71">
        <f>COUNTIF(Area_v1,$C188)</f>
        <v>29</v>
      </c>
      <c r="I188" s="71">
        <f>COUNTIF(Area_v2,$C188)</f>
        <v>29</v>
      </c>
      <c r="J188" s="71">
        <f>COUNTIF(Area_v3,$C188)</f>
        <v>0</v>
      </c>
      <c r="K188" s="71">
        <f>COUNTIF(Area_v4,$C188)</f>
        <v>0</v>
      </c>
      <c r="L188" s="71">
        <f>COUNTIF(Area_v5,$C188)</f>
        <v>0</v>
      </c>
      <c r="M188" s="94">
        <f>COUNTIF(Area_v6,$C188)</f>
        <v>0</v>
      </c>
      <c r="AC188" s="105" t="s">
        <v>2242</v>
      </c>
    </row>
    <row r="189" spans="1:29" ht="18.75" customHeight="1">
      <c r="A189" s="265"/>
      <c r="B189" s="245"/>
      <c r="C189" s="322"/>
      <c r="D189" s="315" t="s">
        <v>863</v>
      </c>
      <c r="E189" s="255" t="s">
        <v>117</v>
      </c>
      <c r="F189" s="245" t="s">
        <v>862</v>
      </c>
      <c r="G189" s="240">
        <f t="shared" si="52"/>
        <v>16</v>
      </c>
      <c r="H189" s="242">
        <f>4*2</f>
        <v>8</v>
      </c>
      <c r="I189" s="242">
        <f>4*2</f>
        <v>8</v>
      </c>
      <c r="J189" s="242"/>
      <c r="K189" s="242"/>
      <c r="L189" s="242"/>
      <c r="M189" s="243"/>
      <c r="AC189" s="255" t="s">
        <v>2241</v>
      </c>
    </row>
    <row r="190" spans="1:29" ht="18.75" customHeight="1">
      <c r="A190" s="265"/>
      <c r="B190" s="245"/>
      <c r="C190" s="322"/>
      <c r="D190" s="315" t="s">
        <v>864</v>
      </c>
      <c r="E190" s="255" t="s">
        <v>118</v>
      </c>
      <c r="F190" s="245" t="s">
        <v>723</v>
      </c>
      <c r="G190" s="240">
        <f t="shared" si="52"/>
        <v>0</v>
      </c>
      <c r="H190" s="242"/>
      <c r="I190" s="242"/>
      <c r="J190" s="242"/>
      <c r="K190" s="242"/>
      <c r="L190" s="242"/>
      <c r="M190" s="243"/>
      <c r="AC190" s="255" t="s">
        <v>2243</v>
      </c>
    </row>
    <row r="191" spans="1:29" ht="18.75" customHeight="1">
      <c r="A191" s="265"/>
      <c r="B191" s="245"/>
      <c r="C191" s="322"/>
      <c r="D191" s="315" t="s">
        <v>660</v>
      </c>
      <c r="E191" s="255" t="s">
        <v>865</v>
      </c>
      <c r="F191" s="245" t="s">
        <v>723</v>
      </c>
      <c r="G191" s="240">
        <f t="shared" si="52"/>
        <v>0</v>
      </c>
      <c r="H191" s="242"/>
      <c r="I191" s="242"/>
      <c r="J191" s="242"/>
      <c r="K191" s="242"/>
      <c r="L191" s="242"/>
      <c r="M191" s="243"/>
      <c r="AC191" s="255" t="s">
        <v>2247</v>
      </c>
    </row>
    <row r="192" spans="1:29" ht="18.75" customHeight="1">
      <c r="A192" s="265"/>
      <c r="B192" s="245"/>
      <c r="C192" s="322"/>
      <c r="D192" s="315" t="s">
        <v>866</v>
      </c>
      <c r="E192" s="255" t="s">
        <v>867</v>
      </c>
      <c r="F192" s="245" t="s">
        <v>723</v>
      </c>
      <c r="G192" s="240">
        <f t="shared" si="52"/>
        <v>0</v>
      </c>
      <c r="H192" s="242"/>
      <c r="I192" s="242"/>
      <c r="J192" s="242"/>
      <c r="K192" s="242"/>
      <c r="L192" s="242"/>
      <c r="M192" s="243"/>
      <c r="AC192" s="255" t="s">
        <v>2248</v>
      </c>
    </row>
    <row r="193" spans="1:29" ht="18.75" customHeight="1">
      <c r="A193" s="355"/>
      <c r="B193" s="356"/>
      <c r="C193" s="312" t="s">
        <v>2479</v>
      </c>
      <c r="D193" s="145" t="s">
        <v>868</v>
      </c>
      <c r="E193" s="105" t="s">
        <v>661</v>
      </c>
      <c r="F193" s="74" t="s">
        <v>723</v>
      </c>
      <c r="G193" s="98">
        <f t="shared" si="52"/>
        <v>58</v>
      </c>
      <c r="H193" s="71">
        <f>COUNTIF(Area_v1,$C193)</f>
        <v>29</v>
      </c>
      <c r="I193" s="71">
        <f>COUNTIF(Area_v2,$C193)</f>
        <v>29</v>
      </c>
      <c r="J193" s="71">
        <f>COUNTIF(Area_v3,$C193)</f>
        <v>0</v>
      </c>
      <c r="K193" s="71">
        <f>COUNTIF(Area_v4,$C193)</f>
        <v>0</v>
      </c>
      <c r="L193" s="71">
        <f>COUNTIF(Area_v5,$C193)</f>
        <v>0</v>
      </c>
      <c r="M193" s="94">
        <f>COUNTIF(Area_v6,$C193)</f>
        <v>0</v>
      </c>
      <c r="AC193" s="105" t="s">
        <v>2249</v>
      </c>
    </row>
    <row r="194" spans="1:29" ht="18.75" customHeight="1">
      <c r="A194" s="265"/>
      <c r="B194" s="245"/>
      <c r="C194" s="322"/>
      <c r="D194" s="315" t="s">
        <v>870</v>
      </c>
      <c r="E194" s="255" t="s">
        <v>202</v>
      </c>
      <c r="F194" s="245" t="s">
        <v>869</v>
      </c>
      <c r="G194" s="240">
        <f t="shared" si="52"/>
        <v>0</v>
      </c>
      <c r="H194" s="242"/>
      <c r="I194" s="242"/>
      <c r="J194" s="242"/>
      <c r="K194" s="242"/>
      <c r="L194" s="242"/>
      <c r="M194" s="243"/>
      <c r="AC194" s="255" t="s">
        <v>2250</v>
      </c>
    </row>
    <row r="195" spans="1:29" ht="18.75" customHeight="1">
      <c r="A195" s="265"/>
      <c r="B195" s="245"/>
      <c r="C195" s="322"/>
      <c r="D195" s="315" t="s">
        <v>871</v>
      </c>
      <c r="E195" s="255" t="s">
        <v>101</v>
      </c>
      <c r="F195" s="245" t="s">
        <v>723</v>
      </c>
      <c r="G195" s="240">
        <f t="shared" si="52"/>
        <v>0</v>
      </c>
      <c r="H195" s="242"/>
      <c r="I195" s="242"/>
      <c r="J195" s="242"/>
      <c r="K195" s="242"/>
      <c r="L195" s="242"/>
      <c r="M195" s="243"/>
      <c r="AC195" s="255" t="s">
        <v>2251</v>
      </c>
    </row>
    <row r="196" spans="1:29" ht="18.75" customHeight="1">
      <c r="A196" s="85" t="s">
        <v>989</v>
      </c>
      <c r="B196" s="245"/>
      <c r="C196" s="322"/>
      <c r="D196" s="315" t="s">
        <v>872</v>
      </c>
      <c r="E196" s="255" t="s">
        <v>873</v>
      </c>
      <c r="F196" s="245" t="s">
        <v>723</v>
      </c>
      <c r="G196" s="240">
        <f t="shared" si="52"/>
        <v>0</v>
      </c>
      <c r="H196" s="242"/>
      <c r="I196" s="242"/>
      <c r="J196" s="242"/>
      <c r="K196" s="242"/>
      <c r="L196" s="242"/>
      <c r="M196" s="243"/>
      <c r="AC196" s="255" t="s">
        <v>2254</v>
      </c>
    </row>
    <row r="197" spans="1:29" ht="18.75" customHeight="1">
      <c r="A197" s="265"/>
      <c r="B197" s="245"/>
      <c r="C197" s="322"/>
      <c r="D197" s="315" t="s">
        <v>874</v>
      </c>
      <c r="E197" s="255" t="s">
        <v>875</v>
      </c>
      <c r="F197" s="245" t="s">
        <v>723</v>
      </c>
      <c r="G197" s="240">
        <f t="shared" si="52"/>
        <v>0</v>
      </c>
      <c r="H197" s="242"/>
      <c r="I197" s="242"/>
      <c r="J197" s="242"/>
      <c r="K197" s="242"/>
      <c r="L197" s="242"/>
      <c r="M197" s="243"/>
      <c r="AC197" s="255" t="s">
        <v>2252</v>
      </c>
    </row>
    <row r="198" spans="1:29" ht="18.75" customHeight="1">
      <c r="A198" s="265"/>
      <c r="B198" s="245"/>
      <c r="C198" s="322"/>
      <c r="D198" s="315" t="s">
        <v>876</v>
      </c>
      <c r="E198" s="255" t="s">
        <v>877</v>
      </c>
      <c r="F198" s="245" t="s">
        <v>723</v>
      </c>
      <c r="G198" s="240">
        <f t="shared" si="52"/>
        <v>0</v>
      </c>
      <c r="H198" s="242"/>
      <c r="I198" s="242"/>
      <c r="J198" s="242"/>
      <c r="K198" s="242"/>
      <c r="L198" s="242"/>
      <c r="M198" s="243"/>
      <c r="AC198" s="255" t="s">
        <v>2253</v>
      </c>
    </row>
    <row r="199" spans="1:29" ht="18.75" customHeight="1">
      <c r="A199" s="265"/>
      <c r="B199" s="245"/>
      <c r="C199" s="322"/>
      <c r="D199" s="315" t="s">
        <v>878</v>
      </c>
      <c r="E199" s="255" t="s">
        <v>879</v>
      </c>
      <c r="F199" s="245" t="s">
        <v>723</v>
      </c>
      <c r="G199" s="240">
        <f t="shared" si="52"/>
        <v>0</v>
      </c>
      <c r="H199" s="242"/>
      <c r="I199" s="242"/>
      <c r="J199" s="242"/>
      <c r="K199" s="242"/>
      <c r="L199" s="242"/>
      <c r="M199" s="243"/>
      <c r="AC199" s="255" t="s">
        <v>2255</v>
      </c>
    </row>
    <row r="200" spans="1:29" ht="18.75" customHeight="1">
      <c r="A200" s="85" t="s">
        <v>990</v>
      </c>
      <c r="B200" s="348"/>
      <c r="C200" s="349"/>
      <c r="D200" s="350" t="s">
        <v>880</v>
      </c>
      <c r="E200" s="351" t="s">
        <v>988</v>
      </c>
      <c r="F200" s="348" t="s">
        <v>723</v>
      </c>
      <c r="G200" s="352">
        <f t="shared" si="52"/>
        <v>0</v>
      </c>
      <c r="H200" s="353"/>
      <c r="I200" s="353"/>
      <c r="J200" s="353"/>
      <c r="K200" s="353"/>
      <c r="L200" s="353"/>
      <c r="M200" s="354"/>
      <c r="AC200" s="351" t="s">
        <v>2256</v>
      </c>
    </row>
    <row r="201" spans="1:29" ht="18.75" customHeight="1">
      <c r="A201" s="272" t="s">
        <v>896</v>
      </c>
      <c r="B201" s="273" t="s">
        <v>906</v>
      </c>
      <c r="C201" s="274"/>
      <c r="D201" s="275" t="s">
        <v>881</v>
      </c>
      <c r="E201" s="275" t="s">
        <v>882</v>
      </c>
      <c r="F201" s="276" t="s">
        <v>723</v>
      </c>
      <c r="G201" s="240">
        <f t="shared" si="52"/>
        <v>0</v>
      </c>
      <c r="H201" s="241"/>
      <c r="I201" s="242"/>
      <c r="J201" s="242"/>
      <c r="K201" s="242"/>
      <c r="L201" s="242"/>
      <c r="M201" s="243"/>
      <c r="AC201" s="275" t="s">
        <v>2257</v>
      </c>
    </row>
    <row r="202" spans="1:29" ht="18.75" customHeight="1">
      <c r="A202" s="244"/>
      <c r="B202" s="277"/>
      <c r="C202" s="278"/>
      <c r="D202" s="279" t="s">
        <v>883</v>
      </c>
      <c r="E202" s="279" t="s">
        <v>884</v>
      </c>
      <c r="F202" s="280" t="s">
        <v>723</v>
      </c>
      <c r="G202" s="240">
        <f t="shared" si="52"/>
        <v>0</v>
      </c>
      <c r="H202" s="241"/>
      <c r="I202" s="242"/>
      <c r="J202" s="242"/>
      <c r="K202" s="242"/>
      <c r="L202" s="242"/>
      <c r="M202" s="243"/>
      <c r="AC202" s="279" t="s">
        <v>2258</v>
      </c>
    </row>
    <row r="203" spans="1:29" ht="18.75" customHeight="1">
      <c r="A203" s="244"/>
      <c r="B203" s="277"/>
      <c r="C203" s="278"/>
      <c r="D203" s="279" t="s">
        <v>885</v>
      </c>
      <c r="E203" s="279" t="s">
        <v>886</v>
      </c>
      <c r="F203" s="280" t="s">
        <v>723</v>
      </c>
      <c r="G203" s="240">
        <f t="shared" si="52"/>
        <v>0</v>
      </c>
      <c r="H203" s="241"/>
      <c r="I203" s="242"/>
      <c r="J203" s="242"/>
      <c r="K203" s="242"/>
      <c r="L203" s="242"/>
      <c r="M203" s="243"/>
      <c r="AC203" s="279" t="s">
        <v>2261</v>
      </c>
    </row>
    <row r="204" spans="1:29" ht="14.4">
      <c r="A204" s="244"/>
      <c r="B204" s="277"/>
      <c r="C204" s="278"/>
      <c r="D204" s="279" t="s">
        <v>887</v>
      </c>
      <c r="E204" s="279" t="s">
        <v>888</v>
      </c>
      <c r="F204" s="280" t="s">
        <v>723</v>
      </c>
      <c r="G204" s="240">
        <f t="shared" si="52"/>
        <v>0</v>
      </c>
      <c r="H204" s="241"/>
      <c r="I204" s="242"/>
      <c r="J204" s="242"/>
      <c r="K204" s="242"/>
      <c r="L204" s="242"/>
      <c r="M204" s="243"/>
      <c r="AC204" s="279" t="s">
        <v>2259</v>
      </c>
    </row>
    <row r="205" spans="1:29" ht="18.75" customHeight="1">
      <c r="A205" s="244"/>
      <c r="B205" s="277"/>
      <c r="C205" s="278"/>
      <c r="D205" s="279" t="s">
        <v>889</v>
      </c>
      <c r="E205" s="279" t="s">
        <v>890</v>
      </c>
      <c r="F205" s="280" t="s">
        <v>723</v>
      </c>
      <c r="G205" s="240">
        <f t="shared" si="52"/>
        <v>0</v>
      </c>
      <c r="H205" s="241"/>
      <c r="I205" s="242"/>
      <c r="J205" s="242"/>
      <c r="K205" s="242"/>
      <c r="L205" s="242"/>
      <c r="M205" s="243"/>
      <c r="AC205" s="279" t="s">
        <v>2260</v>
      </c>
    </row>
    <row r="206" spans="1:29" ht="14.4">
      <c r="A206" s="246"/>
      <c r="B206" s="281"/>
      <c r="C206" s="282"/>
      <c r="D206" s="283" t="s">
        <v>891</v>
      </c>
      <c r="E206" s="283" t="s">
        <v>892</v>
      </c>
      <c r="F206" s="284" t="s">
        <v>723</v>
      </c>
      <c r="G206" s="248">
        <f t="shared" si="52"/>
        <v>0</v>
      </c>
      <c r="H206" s="249"/>
      <c r="I206" s="250"/>
      <c r="J206" s="250"/>
      <c r="K206" s="250"/>
      <c r="L206" s="250"/>
      <c r="M206" s="251"/>
      <c r="AC206" s="283" t="s">
        <v>2262</v>
      </c>
    </row>
    <row r="207" spans="1:29" ht="18.75" customHeight="1">
      <c r="J207" s="71"/>
      <c r="L207" s="71"/>
      <c r="M207" s="71"/>
    </row>
    <row r="208" spans="1:29" ht="18.75" customHeight="1">
      <c r="J208" s="71"/>
      <c r="L208" s="71"/>
      <c r="M208" s="71"/>
    </row>
    <row r="209" spans="8:8" ht="18.75" customHeight="1"/>
    <row r="210" spans="8:8" ht="37.200000000000003" customHeight="1">
      <c r="H210" s="183"/>
    </row>
    <row r="211" spans="8:8" ht="18.75" customHeight="1"/>
    <row r="212" spans="8:8" ht="18.75" customHeight="1"/>
    <row r="213" spans="8:8" ht="18.75" customHeight="1"/>
    <row r="214" spans="8:8" ht="18.75" customHeight="1"/>
    <row r="215" spans="8:8" ht="18.75" customHeight="1"/>
    <row r="216" spans="8:8" ht="18.75" customHeight="1"/>
    <row r="217" spans="8:8" ht="18.75" customHeight="1"/>
    <row r="218" spans="8:8" ht="18.75" customHeight="1"/>
    <row r="219" spans="8:8" ht="18.75" customHeight="1"/>
    <row r="220" spans="8:8" ht="18.75" customHeight="1"/>
    <row r="221" spans="8:8" ht="18.75" customHeight="1"/>
    <row r="222" spans="8:8" ht="18.75" customHeight="1"/>
    <row r="223" spans="8:8" ht="18.75" customHeight="1"/>
    <row r="224" spans="8: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</sheetData>
  <mergeCells count="5">
    <mergeCell ref="O18:T18"/>
    <mergeCell ref="V18:AA18"/>
    <mergeCell ref="B155:B156"/>
    <mergeCell ref="A12:A13"/>
    <mergeCell ref="B102:B104"/>
  </mergeCells>
  <printOptions horizontalCentered="1" gridLines="1"/>
  <pageMargins left="0.39370078740157483" right="0.39370078740157483" top="0.39370078740157483" bottom="0.39370078740157483" header="0.39370078740157483" footer="0"/>
  <pageSetup paperSize="9" scale="87" fitToHeight="0" orientation="landscape" r:id="rId1"/>
  <headerFooter alignWithMargins="0">
    <oddHeader>&amp;C&amp;"Arial,Negrita"&amp;12TRAYECTO: L11&amp;R&amp;D</oddHeader>
    <oddFooter>&amp;L&amp;F&amp;C&amp;P DE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/>
  <dimension ref="A1:J2047"/>
  <sheetViews>
    <sheetView showZeros="0" zoomScale="80" zoomScaleNormal="80" workbookViewId="0">
      <pane xSplit="2" ySplit="3" topLeftCell="C4" activePane="bottomRight" state="frozen"/>
      <selection activeCell="J175" sqref="J175"/>
      <selection pane="topRight" activeCell="J175" sqref="J175"/>
      <selection pane="bottomLeft" activeCell="J175" sqref="J175"/>
      <selection pane="bottomRight" activeCell="J175" sqref="J175"/>
    </sheetView>
  </sheetViews>
  <sheetFormatPr baseColWidth="10" defaultColWidth="12.5546875" defaultRowHeight="14.4"/>
  <cols>
    <col min="1" max="1" width="14.109375" style="450" customWidth="1"/>
    <col min="2" max="2" width="4.88671875" style="433" customWidth="1"/>
    <col min="3" max="3" width="58.6640625" style="438" customWidth="1"/>
    <col min="4" max="4" width="12.5546875" style="434" hidden="1" customWidth="1"/>
    <col min="5" max="5" width="12.33203125" style="434" hidden="1" customWidth="1"/>
    <col min="6" max="6" width="17.109375" style="433" customWidth="1"/>
    <col min="7" max="7" width="12.5546875" style="613" customWidth="1"/>
    <col min="8" max="8" width="17.44140625" style="491" customWidth="1"/>
    <col min="9" max="9" width="12.5546875" style="434"/>
    <col min="10" max="10" width="67.88671875" style="438" customWidth="1"/>
    <col min="11" max="16384" width="12.5546875" style="434"/>
  </cols>
  <sheetData>
    <row r="1" spans="1:10" s="428" customFormat="1" ht="27" hidden="1" customHeight="1">
      <c r="A1" s="439"/>
      <c r="B1" s="426"/>
      <c r="C1" s="435"/>
      <c r="D1" s="426"/>
      <c r="E1" s="427"/>
      <c r="G1" s="595"/>
      <c r="H1" s="488"/>
      <c r="J1" s="435"/>
    </row>
    <row r="2" spans="1:10" s="428" customFormat="1" ht="20.399999999999999" customHeight="1">
      <c r="A2" s="440"/>
      <c r="B2" s="429"/>
      <c r="C2" s="436"/>
      <c r="D2" s="430"/>
      <c r="F2" s="431"/>
      <c r="G2" s="596"/>
      <c r="H2" s="488"/>
      <c r="J2" s="436"/>
    </row>
    <row r="3" spans="1:10" s="428" customFormat="1" ht="30.6" customHeight="1" thickBot="1">
      <c r="A3" s="451" t="s">
        <v>146</v>
      </c>
      <c r="B3" s="452" t="s">
        <v>147</v>
      </c>
      <c r="C3" s="453" t="s">
        <v>199</v>
      </c>
      <c r="D3" s="454" t="s">
        <v>148</v>
      </c>
      <c r="E3" s="455" t="s">
        <v>200</v>
      </c>
      <c r="F3" s="456" t="s">
        <v>1168</v>
      </c>
      <c r="G3" s="597" t="s">
        <v>203</v>
      </c>
      <c r="H3" s="488"/>
      <c r="J3" s="453" t="s">
        <v>2268</v>
      </c>
    </row>
    <row r="4" spans="1:10" s="428" customFormat="1" ht="18.600000000000001" customHeight="1">
      <c r="A4" s="441"/>
      <c r="B4" s="373"/>
      <c r="C4" s="376"/>
      <c r="D4" s="413"/>
      <c r="E4" s="375"/>
      <c r="F4" s="374"/>
      <c r="G4" s="598"/>
      <c r="H4" s="488"/>
      <c r="J4" s="376"/>
    </row>
    <row r="5" spans="1:10" s="428" customFormat="1" ht="20.399999999999999" hidden="1" customHeight="1">
      <c r="A5" s="441"/>
      <c r="B5" s="373"/>
      <c r="C5" s="377"/>
      <c r="D5" s="413"/>
      <c r="E5" s="375"/>
      <c r="F5" s="373"/>
      <c r="G5" s="599"/>
      <c r="H5" s="488"/>
      <c r="J5" s="377"/>
    </row>
    <row r="6" spans="1:10" s="428" customFormat="1" ht="20.399999999999999" customHeight="1">
      <c r="A6" s="442"/>
      <c r="B6" s="378"/>
      <c r="C6" s="377" t="s">
        <v>244</v>
      </c>
      <c r="D6" s="413"/>
      <c r="E6" s="375"/>
      <c r="F6" s="373"/>
      <c r="G6" s="599"/>
      <c r="H6" s="813" t="s">
        <v>2698</v>
      </c>
      <c r="J6" s="377" t="s">
        <v>244</v>
      </c>
    </row>
    <row r="7" spans="1:10" s="428" customFormat="1" ht="18" customHeight="1">
      <c r="A7" s="442"/>
      <c r="B7" s="378"/>
      <c r="C7" s="377"/>
      <c r="D7" s="413"/>
      <c r="E7" s="375"/>
      <c r="F7" s="373"/>
      <c r="G7" s="599"/>
      <c r="H7" s="813" t="s">
        <v>2699</v>
      </c>
      <c r="J7" s="377"/>
    </row>
    <row r="8" spans="1:10" s="428" customFormat="1" ht="20.399999999999999" customHeight="1">
      <c r="A8" s="442"/>
      <c r="B8" s="378"/>
      <c r="C8" s="377" t="s">
        <v>245</v>
      </c>
      <c r="D8" s="413"/>
      <c r="E8" s="375"/>
      <c r="F8" s="373"/>
      <c r="G8" s="599"/>
      <c r="H8" s="813"/>
      <c r="J8" s="377" t="s">
        <v>2269</v>
      </c>
    </row>
    <row r="9" spans="1:10" s="428" customFormat="1" ht="20.399999999999999" customHeight="1">
      <c r="A9" s="442"/>
      <c r="B9" s="378"/>
      <c r="C9" s="57"/>
      <c r="D9" s="414"/>
      <c r="E9" s="379"/>
      <c r="F9" s="378"/>
      <c r="G9" s="600"/>
      <c r="H9" s="488"/>
      <c r="J9" s="57"/>
    </row>
    <row r="10" spans="1:10" s="428" customFormat="1" ht="20.399999999999999" customHeight="1">
      <c r="A10" s="442"/>
      <c r="B10" s="378"/>
      <c r="C10" s="403" t="s">
        <v>246</v>
      </c>
      <c r="D10" s="413"/>
      <c r="E10" s="375"/>
      <c r="F10" s="380"/>
      <c r="G10" s="601"/>
      <c r="H10" s="488"/>
      <c r="J10" s="403" t="s">
        <v>2270</v>
      </c>
    </row>
    <row r="11" spans="1:10" s="428" customFormat="1" ht="30" customHeight="1">
      <c r="A11" s="442" t="s">
        <v>247</v>
      </c>
      <c r="B11" s="378" t="s">
        <v>147</v>
      </c>
      <c r="C11" s="57" t="s">
        <v>201</v>
      </c>
      <c r="D11" s="415">
        <v>15.65</v>
      </c>
      <c r="E11" s="382" t="e">
        <f>#REF!*D11</f>
        <v>#REF!</v>
      </c>
      <c r="F11" s="473" t="s">
        <v>699</v>
      </c>
      <c r="G11" s="602"/>
      <c r="H11" s="488"/>
      <c r="J11" s="57" t="s">
        <v>2271</v>
      </c>
    </row>
    <row r="12" spans="1:10" s="428" customFormat="1" ht="30" customHeight="1">
      <c r="A12" s="442" t="s">
        <v>248</v>
      </c>
      <c r="B12" s="378" t="s">
        <v>147</v>
      </c>
      <c r="C12" s="57" t="s">
        <v>204</v>
      </c>
      <c r="D12" s="415">
        <v>151.05000000000001</v>
      </c>
      <c r="E12" s="382" t="e">
        <f>D12*#REF!</f>
        <v>#REF!</v>
      </c>
      <c r="F12" s="473" t="s">
        <v>1274</v>
      </c>
      <c r="G12" s="602"/>
      <c r="H12" s="488"/>
      <c r="J12" s="57" t="s">
        <v>2371</v>
      </c>
    </row>
    <row r="13" spans="1:10" s="428" customFormat="1" ht="30" customHeight="1">
      <c r="A13" s="442" t="s">
        <v>249</v>
      </c>
      <c r="B13" s="378" t="s">
        <v>147</v>
      </c>
      <c r="C13" s="57" t="s">
        <v>205</v>
      </c>
      <c r="D13" s="415">
        <v>151.05000000000001</v>
      </c>
      <c r="E13" s="382" t="e">
        <f>D13*#REF!</f>
        <v>#REF!</v>
      </c>
      <c r="F13" s="473" t="s">
        <v>509</v>
      </c>
      <c r="G13" s="602"/>
      <c r="H13" s="488"/>
      <c r="J13" s="57" t="s">
        <v>2272</v>
      </c>
    </row>
    <row r="14" spans="1:10" s="428" customFormat="1" ht="30" customHeight="1">
      <c r="A14" s="442" t="s">
        <v>1169</v>
      </c>
      <c r="B14" s="378" t="s">
        <v>147</v>
      </c>
      <c r="C14" s="57" t="s">
        <v>1171</v>
      </c>
      <c r="D14" s="416"/>
      <c r="E14" s="13"/>
      <c r="F14" s="383" t="s">
        <v>504</v>
      </c>
      <c r="G14" s="602">
        <f>+Rebusca_t1(F14)</f>
        <v>0</v>
      </c>
      <c r="H14" s="488"/>
      <c r="J14" s="57" t="s">
        <v>2273</v>
      </c>
    </row>
    <row r="15" spans="1:10" s="428" customFormat="1" ht="30" customHeight="1">
      <c r="A15" s="442" t="s">
        <v>1170</v>
      </c>
      <c r="B15" s="378" t="s">
        <v>147</v>
      </c>
      <c r="C15" s="57" t="s">
        <v>1172</v>
      </c>
      <c r="D15" s="417"/>
      <c r="E15" s="382"/>
      <c r="F15" s="383" t="s">
        <v>503</v>
      </c>
      <c r="G15" s="602">
        <f>+Rebusca_t1(F15)</f>
        <v>0</v>
      </c>
      <c r="H15" s="488"/>
      <c r="J15" s="57" t="s">
        <v>2274</v>
      </c>
    </row>
    <row r="16" spans="1:10" s="428" customFormat="1" ht="21" customHeight="1" thickBot="1">
      <c r="A16" s="443"/>
      <c r="B16" s="401"/>
      <c r="C16" s="408" t="s">
        <v>250</v>
      </c>
      <c r="D16" s="418"/>
      <c r="E16" s="386" t="e">
        <f>E11+E12+E13</f>
        <v>#REF!</v>
      </c>
      <c r="F16" s="387"/>
      <c r="G16" s="603"/>
      <c r="H16" s="488"/>
      <c r="J16" s="408" t="s">
        <v>2275</v>
      </c>
    </row>
    <row r="17" spans="1:10" s="428" customFormat="1" ht="20.399999999999999" customHeight="1">
      <c r="A17" s="442"/>
      <c r="B17" s="378"/>
      <c r="C17" s="377"/>
      <c r="D17" s="419"/>
      <c r="E17" s="388"/>
      <c r="F17" s="385"/>
      <c r="G17" s="604"/>
      <c r="H17" s="488"/>
      <c r="J17" s="377"/>
    </row>
    <row r="18" spans="1:10" s="428" customFormat="1" ht="20.399999999999999" hidden="1" customHeight="1">
      <c r="A18" s="442"/>
      <c r="B18" s="378"/>
      <c r="C18" s="403" t="s">
        <v>251</v>
      </c>
      <c r="D18" s="419"/>
      <c r="E18" s="388"/>
      <c r="F18" s="385"/>
      <c r="G18" s="604"/>
      <c r="H18" s="488"/>
      <c r="J18" s="403" t="s">
        <v>2276</v>
      </c>
    </row>
    <row r="19" spans="1:10" s="428" customFormat="1" ht="42" hidden="1" customHeight="1">
      <c r="A19" s="442" t="s">
        <v>252</v>
      </c>
      <c r="B19" s="378" t="s">
        <v>147</v>
      </c>
      <c r="C19" s="57" t="s">
        <v>242</v>
      </c>
      <c r="D19" s="415">
        <v>926.4</v>
      </c>
      <c r="E19" s="382" t="e">
        <f>#REF!*D19</f>
        <v>#REF!</v>
      </c>
      <c r="F19" s="381"/>
      <c r="G19" s="605"/>
      <c r="H19" s="488"/>
      <c r="J19" s="57" t="s">
        <v>2372</v>
      </c>
    </row>
    <row r="20" spans="1:10" s="428" customFormat="1" ht="42" hidden="1" customHeight="1">
      <c r="A20" s="442" t="s">
        <v>253</v>
      </c>
      <c r="B20" s="378" t="s">
        <v>147</v>
      </c>
      <c r="C20" s="57" t="s">
        <v>243</v>
      </c>
      <c r="D20" s="420">
        <v>1445.45</v>
      </c>
      <c r="E20" s="382" t="e">
        <f>#REF!*D20</f>
        <v>#REF!</v>
      </c>
      <c r="F20" s="381"/>
      <c r="G20" s="605"/>
      <c r="H20" s="488"/>
      <c r="J20" s="57" t="s">
        <v>2373</v>
      </c>
    </row>
    <row r="21" spans="1:10" s="428" customFormat="1" ht="42" hidden="1" customHeight="1">
      <c r="A21" s="442" t="s">
        <v>457</v>
      </c>
      <c r="B21" s="378" t="s">
        <v>147</v>
      </c>
      <c r="C21" s="57" t="s">
        <v>460</v>
      </c>
      <c r="D21" s="420">
        <v>1500</v>
      </c>
      <c r="E21" s="12" t="e">
        <f>#REF!*D21</f>
        <v>#REF!</v>
      </c>
      <c r="F21" s="381"/>
      <c r="G21" s="605"/>
      <c r="H21" s="488"/>
      <c r="J21" s="57" t="s">
        <v>2374</v>
      </c>
    </row>
    <row r="22" spans="1:10" s="428" customFormat="1" ht="42" hidden="1" customHeight="1">
      <c r="A22" s="442" t="s">
        <v>458</v>
      </c>
      <c r="B22" s="378" t="s">
        <v>147</v>
      </c>
      <c r="C22" s="57" t="s">
        <v>461</v>
      </c>
      <c r="D22" s="420"/>
      <c r="E22" s="12"/>
      <c r="F22" s="381"/>
      <c r="G22" s="605"/>
      <c r="H22" s="488"/>
      <c r="J22" s="57" t="s">
        <v>2375</v>
      </c>
    </row>
    <row r="23" spans="1:10" s="428" customFormat="1" ht="42" hidden="1" customHeight="1">
      <c r="A23" s="442" t="s">
        <v>459</v>
      </c>
      <c r="B23" s="378" t="s">
        <v>147</v>
      </c>
      <c r="C23" s="57" t="s">
        <v>462</v>
      </c>
      <c r="D23" s="420"/>
      <c r="E23" s="12"/>
      <c r="F23" s="381"/>
      <c r="G23" s="605"/>
      <c r="H23" s="488"/>
      <c r="J23" s="57" t="s">
        <v>2376</v>
      </c>
    </row>
    <row r="24" spans="1:10" s="428" customFormat="1" ht="42" hidden="1" customHeight="1">
      <c r="A24" s="442" t="s">
        <v>254</v>
      </c>
      <c r="B24" s="378" t="s">
        <v>147</v>
      </c>
      <c r="C24" s="57" t="s">
        <v>206</v>
      </c>
      <c r="D24" s="415">
        <v>788.99</v>
      </c>
      <c r="E24" s="382" t="e">
        <f>#REF!*D24</f>
        <v>#REF!</v>
      </c>
      <c r="F24" s="381"/>
      <c r="G24" s="605"/>
      <c r="H24" s="488"/>
      <c r="J24" s="57" t="s">
        <v>2277</v>
      </c>
    </row>
    <row r="25" spans="1:10" s="428" customFormat="1" ht="42" hidden="1" customHeight="1">
      <c r="A25" s="442" t="s">
        <v>255</v>
      </c>
      <c r="B25" s="378" t="s">
        <v>147</v>
      </c>
      <c r="C25" s="57" t="s">
        <v>207</v>
      </c>
      <c r="D25" s="415">
        <v>788.99</v>
      </c>
      <c r="E25" s="382" t="e">
        <f>#REF!*D25</f>
        <v>#REF!</v>
      </c>
      <c r="F25" s="381"/>
      <c r="G25" s="605"/>
      <c r="H25" s="488"/>
      <c r="J25" s="57" t="s">
        <v>2278</v>
      </c>
    </row>
    <row r="26" spans="1:10" s="428" customFormat="1" ht="30" hidden="1" customHeight="1">
      <c r="A26" s="442" t="s">
        <v>256</v>
      </c>
      <c r="B26" s="378" t="s">
        <v>147</v>
      </c>
      <c r="C26" s="57" t="s">
        <v>208</v>
      </c>
      <c r="D26" s="415">
        <v>325.52999999999997</v>
      </c>
      <c r="E26" s="382" t="e">
        <f>#REF!*D26</f>
        <v>#REF!</v>
      </c>
      <c r="F26" s="381"/>
      <c r="G26" s="605"/>
      <c r="H26" s="488"/>
      <c r="J26" s="57" t="s">
        <v>2279</v>
      </c>
    </row>
    <row r="27" spans="1:10" s="428" customFormat="1" ht="20.399999999999999" hidden="1" customHeight="1">
      <c r="A27" s="442" t="s">
        <v>257</v>
      </c>
      <c r="B27" s="378"/>
      <c r="C27" s="57" t="s">
        <v>209</v>
      </c>
      <c r="D27" s="415">
        <v>325.52999999999997</v>
      </c>
      <c r="E27" s="382" t="e">
        <f>#REF!*D27</f>
        <v>#REF!</v>
      </c>
      <c r="F27" s="381"/>
      <c r="G27" s="605"/>
      <c r="H27" s="488"/>
      <c r="J27" s="57" t="s">
        <v>2280</v>
      </c>
    </row>
    <row r="28" spans="1:10" s="428" customFormat="1" ht="30" hidden="1" customHeight="1">
      <c r="A28" s="442" t="s">
        <v>258</v>
      </c>
      <c r="B28" s="378" t="s">
        <v>147</v>
      </c>
      <c r="C28" s="57" t="s">
        <v>57</v>
      </c>
      <c r="D28" s="415">
        <v>189.75</v>
      </c>
      <c r="E28" s="12"/>
      <c r="F28" s="381"/>
      <c r="G28" s="605"/>
      <c r="H28" s="488"/>
      <c r="J28" s="57" t="s">
        <v>2377</v>
      </c>
    </row>
    <row r="29" spans="1:10" s="428" customFormat="1" ht="30" hidden="1" customHeight="1">
      <c r="A29" s="442" t="s">
        <v>259</v>
      </c>
      <c r="B29" s="378" t="s">
        <v>147</v>
      </c>
      <c r="C29" s="57" t="s">
        <v>58</v>
      </c>
      <c r="D29" s="415">
        <v>217.43</v>
      </c>
      <c r="E29" s="12"/>
      <c r="F29" s="381"/>
      <c r="G29" s="605"/>
      <c r="H29" s="488"/>
      <c r="J29" s="57" t="s">
        <v>2378</v>
      </c>
    </row>
    <row r="30" spans="1:10" s="428" customFormat="1" ht="30" hidden="1" customHeight="1">
      <c r="A30" s="442" t="s">
        <v>260</v>
      </c>
      <c r="B30" s="378" t="s">
        <v>147</v>
      </c>
      <c r="C30" s="57" t="s">
        <v>149</v>
      </c>
      <c r="D30" s="415">
        <v>179.24</v>
      </c>
      <c r="E30" s="12"/>
      <c r="F30" s="381"/>
      <c r="G30" s="605"/>
      <c r="H30" s="488"/>
      <c r="J30" s="57" t="s">
        <v>2281</v>
      </c>
    </row>
    <row r="31" spans="1:10" s="428" customFormat="1" ht="21" hidden="1" customHeight="1" thickBot="1">
      <c r="A31" s="442"/>
      <c r="B31" s="378"/>
      <c r="C31" s="403" t="s">
        <v>261</v>
      </c>
      <c r="D31" s="418"/>
      <c r="E31" s="386" t="e">
        <f>SUM(E19:E30)</f>
        <v>#REF!</v>
      </c>
      <c r="F31" s="387"/>
      <c r="G31" s="603"/>
      <c r="H31" s="488"/>
      <c r="J31" s="403" t="s">
        <v>2282</v>
      </c>
    </row>
    <row r="32" spans="1:10" s="428" customFormat="1" ht="20.399999999999999" hidden="1" customHeight="1">
      <c r="A32" s="442"/>
      <c r="B32" s="378"/>
      <c r="C32" s="377" t="s">
        <v>262</v>
      </c>
      <c r="D32" s="419"/>
      <c r="E32" s="388"/>
      <c r="F32" s="385"/>
      <c r="G32" s="604"/>
      <c r="H32" s="488"/>
      <c r="J32" s="377" t="s">
        <v>2283</v>
      </c>
    </row>
    <row r="33" spans="1:10" s="428" customFormat="1" ht="20.399999999999999" hidden="1" customHeight="1">
      <c r="A33" s="442"/>
      <c r="B33" s="378"/>
      <c r="C33" s="377"/>
      <c r="D33" s="419"/>
      <c r="E33" s="388"/>
      <c r="F33" s="385"/>
      <c r="G33" s="604"/>
      <c r="H33" s="488"/>
      <c r="J33" s="377"/>
    </row>
    <row r="34" spans="1:10" s="428" customFormat="1" ht="20.399999999999999" customHeight="1">
      <c r="A34" s="442"/>
      <c r="B34" s="378"/>
      <c r="C34" s="377" t="s">
        <v>263</v>
      </c>
      <c r="D34" s="419"/>
      <c r="E34" s="388"/>
      <c r="F34" s="385"/>
      <c r="G34" s="604"/>
      <c r="H34" s="488"/>
      <c r="J34" s="377" t="s">
        <v>2284</v>
      </c>
    </row>
    <row r="35" spans="1:10" s="428" customFormat="1" ht="20.399999999999999" customHeight="1">
      <c r="A35" s="442"/>
      <c r="B35" s="378"/>
      <c r="C35" s="377"/>
      <c r="D35" s="419"/>
      <c r="E35" s="388"/>
      <c r="F35" s="385"/>
      <c r="G35" s="604"/>
      <c r="H35" s="488"/>
      <c r="J35" s="377"/>
    </row>
    <row r="36" spans="1:10" s="428" customFormat="1" ht="30" customHeight="1">
      <c r="A36" s="442"/>
      <c r="B36" s="378"/>
      <c r="C36" s="403" t="s">
        <v>264</v>
      </c>
      <c r="D36" s="419"/>
      <c r="E36" s="388"/>
      <c r="F36" s="385"/>
      <c r="G36" s="604"/>
      <c r="H36" s="488"/>
      <c r="J36" s="403" t="s">
        <v>2379</v>
      </c>
    </row>
    <row r="37" spans="1:10" s="428" customFormat="1" ht="30" customHeight="1">
      <c r="A37" s="442" t="s">
        <v>265</v>
      </c>
      <c r="B37" s="378" t="s">
        <v>147</v>
      </c>
      <c r="C37" s="57" t="s">
        <v>1183</v>
      </c>
      <c r="D37" s="415">
        <v>541.97</v>
      </c>
      <c r="E37" s="382" t="e">
        <f>#REF!*D37</f>
        <v>#REF!</v>
      </c>
      <c r="F37" s="383" t="s">
        <v>510</v>
      </c>
      <c r="G37" s="602">
        <f>+Rebusca_t1(F37)</f>
        <v>0</v>
      </c>
      <c r="H37" s="488"/>
      <c r="J37" s="57" t="s">
        <v>2380</v>
      </c>
    </row>
    <row r="38" spans="1:10" s="428" customFormat="1" ht="20.399999999999999" customHeight="1">
      <c r="A38" s="444" t="s">
        <v>1180</v>
      </c>
      <c r="B38" s="409"/>
      <c r="C38" s="410" t="s">
        <v>1184</v>
      </c>
      <c r="D38" s="415"/>
      <c r="E38" s="382"/>
      <c r="F38" s="457" t="s">
        <v>1276</v>
      </c>
      <c r="G38" s="606">
        <f t="shared" ref="G38:G40" si="0">+Rebusca_t1(F38)</f>
        <v>0</v>
      </c>
      <c r="H38" s="488"/>
      <c r="J38" s="410" t="s">
        <v>2381</v>
      </c>
    </row>
    <row r="39" spans="1:10" s="428" customFormat="1" ht="20.399999999999999" customHeight="1">
      <c r="A39" s="444" t="s">
        <v>1181</v>
      </c>
      <c r="B39" s="409"/>
      <c r="C39" s="410" t="s">
        <v>1185</v>
      </c>
      <c r="D39" s="415"/>
      <c r="E39" s="382"/>
      <c r="F39" s="457" t="s">
        <v>1277</v>
      </c>
      <c r="G39" s="606">
        <f t="shared" si="0"/>
        <v>0</v>
      </c>
      <c r="H39" s="488"/>
      <c r="J39" s="410" t="s">
        <v>2382</v>
      </c>
    </row>
    <row r="40" spans="1:10" s="428" customFormat="1" ht="20.399999999999999" customHeight="1">
      <c r="A40" s="444" t="s">
        <v>1182</v>
      </c>
      <c r="B40" s="409"/>
      <c r="C40" s="410" t="s">
        <v>1186</v>
      </c>
      <c r="D40" s="415"/>
      <c r="E40" s="382"/>
      <c r="F40" s="457" t="s">
        <v>1278</v>
      </c>
      <c r="G40" s="606">
        <f t="shared" si="0"/>
        <v>0</v>
      </c>
      <c r="H40" s="488"/>
      <c r="J40" s="410" t="s">
        <v>2383</v>
      </c>
    </row>
    <row r="41" spans="1:10" s="428" customFormat="1" ht="30" customHeight="1">
      <c r="A41" s="442" t="s">
        <v>266</v>
      </c>
      <c r="B41" s="378" t="s">
        <v>147</v>
      </c>
      <c r="C41" s="57" t="s">
        <v>1195</v>
      </c>
      <c r="D41" s="415">
        <v>541.97</v>
      </c>
      <c r="E41" s="382" t="e">
        <f>#REF!*D41</f>
        <v>#REF!</v>
      </c>
      <c r="F41" s="383" t="s">
        <v>511</v>
      </c>
      <c r="G41" s="602">
        <f>+Rebusca_t1(F41)</f>
        <v>4</v>
      </c>
      <c r="H41" s="488"/>
      <c r="J41" s="57" t="s">
        <v>2384</v>
      </c>
    </row>
    <row r="42" spans="1:10" s="428" customFormat="1" ht="20.399999999999999" customHeight="1">
      <c r="A42" s="444" t="s">
        <v>1191</v>
      </c>
      <c r="B42" s="409"/>
      <c r="C42" s="410" t="s">
        <v>1188</v>
      </c>
      <c r="D42" s="415"/>
      <c r="E42" s="382"/>
      <c r="F42" s="457" t="s">
        <v>1152</v>
      </c>
      <c r="G42" s="606">
        <f t="shared" ref="G42:G62" si="1">+Rebusca_t1(F42)</f>
        <v>0</v>
      </c>
      <c r="H42" s="488"/>
      <c r="J42" s="410" t="s">
        <v>2385</v>
      </c>
    </row>
    <row r="43" spans="1:10" s="428" customFormat="1" ht="20.399999999999999" customHeight="1">
      <c r="A43" s="444" t="s">
        <v>1192</v>
      </c>
      <c r="B43" s="409"/>
      <c r="C43" s="410" t="s">
        <v>1189</v>
      </c>
      <c r="D43" s="415"/>
      <c r="E43" s="382"/>
      <c r="F43" s="457" t="s">
        <v>1193</v>
      </c>
      <c r="G43" s="606">
        <f>+Rebusca_t1(F43)</f>
        <v>0</v>
      </c>
      <c r="H43" s="488"/>
      <c r="J43" s="410" t="s">
        <v>2386</v>
      </c>
    </row>
    <row r="44" spans="1:10" s="428" customFormat="1" ht="20.399999999999999" customHeight="1">
      <c r="A44" s="444" t="s">
        <v>1187</v>
      </c>
      <c r="B44" s="409"/>
      <c r="C44" s="410" t="s">
        <v>1190</v>
      </c>
      <c r="D44" s="415"/>
      <c r="E44" s="382"/>
      <c r="F44" s="457" t="s">
        <v>1194</v>
      </c>
      <c r="G44" s="606">
        <f t="shared" si="1"/>
        <v>0</v>
      </c>
      <c r="H44" s="488"/>
      <c r="J44" s="410" t="s">
        <v>2387</v>
      </c>
    </row>
    <row r="45" spans="1:10" s="428" customFormat="1" ht="30" customHeight="1">
      <c r="A45" s="444" t="s">
        <v>1211</v>
      </c>
      <c r="B45" s="409" t="s">
        <v>147</v>
      </c>
      <c r="C45" s="410" t="s">
        <v>1209</v>
      </c>
      <c r="D45" s="420"/>
      <c r="E45" s="382"/>
      <c r="F45" s="457" t="s">
        <v>1161</v>
      </c>
      <c r="G45" s="606">
        <f>+Rebusca_t1(F45)</f>
        <v>0</v>
      </c>
      <c r="H45" s="488"/>
      <c r="J45" s="410" t="s">
        <v>2388</v>
      </c>
    </row>
    <row r="46" spans="1:10" s="428" customFormat="1" ht="30" customHeight="1">
      <c r="A46" s="444" t="s">
        <v>2638</v>
      </c>
      <c r="B46" s="409" t="s">
        <v>147</v>
      </c>
      <c r="C46" s="410" t="s">
        <v>2639</v>
      </c>
      <c r="D46" s="420"/>
      <c r="E46" s="382"/>
      <c r="F46" s="457" t="s">
        <v>1162</v>
      </c>
      <c r="G46" s="606">
        <f>+Rebusca_t1(F46)</f>
        <v>4</v>
      </c>
      <c r="H46" s="488"/>
      <c r="J46" s="410" t="s">
        <v>2635</v>
      </c>
    </row>
    <row r="47" spans="1:10" s="428" customFormat="1" ht="30" customHeight="1">
      <c r="A47" s="442" t="s">
        <v>267</v>
      </c>
      <c r="B47" s="378" t="s">
        <v>147</v>
      </c>
      <c r="C47" s="57" t="s">
        <v>1196</v>
      </c>
      <c r="D47" s="415">
        <v>1078.52</v>
      </c>
      <c r="E47" s="382" t="e">
        <f>#REF!*D47</f>
        <v>#REF!</v>
      </c>
      <c r="F47" s="383" t="s">
        <v>512</v>
      </c>
      <c r="G47" s="602">
        <f t="shared" si="1"/>
        <v>4</v>
      </c>
      <c r="H47" s="488"/>
      <c r="J47" s="57" t="s">
        <v>2389</v>
      </c>
    </row>
    <row r="48" spans="1:10" s="428" customFormat="1" ht="20.399999999999999" customHeight="1">
      <c r="A48" s="444" t="s">
        <v>1197</v>
      </c>
      <c r="B48" s="409"/>
      <c r="C48" s="410" t="s">
        <v>1199</v>
      </c>
      <c r="D48" s="415"/>
      <c r="E48" s="382"/>
      <c r="F48" s="457" t="s">
        <v>1173</v>
      </c>
      <c r="G48" s="606">
        <f t="shared" si="1"/>
        <v>26</v>
      </c>
      <c r="H48" s="488"/>
      <c r="J48" s="410" t="s">
        <v>2390</v>
      </c>
    </row>
    <row r="49" spans="1:10" s="428" customFormat="1" ht="20.399999999999999" customHeight="1">
      <c r="A49" s="444" t="s">
        <v>1198</v>
      </c>
      <c r="B49" s="409"/>
      <c r="C49" s="410" t="s">
        <v>1200</v>
      </c>
      <c r="D49" s="415"/>
      <c r="E49" s="382"/>
      <c r="F49" s="457" t="s">
        <v>1146</v>
      </c>
      <c r="G49" s="606">
        <f t="shared" si="1"/>
        <v>0</v>
      </c>
      <c r="H49" s="488"/>
      <c r="J49" s="410" t="s">
        <v>2391</v>
      </c>
    </row>
    <row r="50" spans="1:10" s="428" customFormat="1" ht="20.399999999999999" customHeight="1">
      <c r="A50" s="444" t="s">
        <v>1202</v>
      </c>
      <c r="B50" s="409"/>
      <c r="C50" s="410" t="s">
        <v>1201</v>
      </c>
      <c r="D50" s="415"/>
      <c r="E50" s="382"/>
      <c r="F50" s="457" t="s">
        <v>1153</v>
      </c>
      <c r="G50" s="606">
        <f t="shared" si="1"/>
        <v>0</v>
      </c>
      <c r="H50" s="488"/>
      <c r="J50" s="410" t="s">
        <v>2392</v>
      </c>
    </row>
    <row r="51" spans="1:10" s="428" customFormat="1" ht="30" customHeight="1">
      <c r="A51" s="444" t="s">
        <v>1177</v>
      </c>
      <c r="B51" s="409" t="s">
        <v>147</v>
      </c>
      <c r="C51" s="410" t="s">
        <v>1210</v>
      </c>
      <c r="D51" s="420"/>
      <c r="E51" s="382"/>
      <c r="F51" s="457" t="s">
        <v>1163</v>
      </c>
      <c r="G51" s="606">
        <f t="shared" si="1"/>
        <v>0</v>
      </c>
      <c r="H51" s="488"/>
      <c r="J51" s="410" t="s">
        <v>2393</v>
      </c>
    </row>
    <row r="52" spans="1:10" s="428" customFormat="1" ht="30" customHeight="1">
      <c r="A52" s="444" t="s">
        <v>2640</v>
      </c>
      <c r="B52" s="409" t="s">
        <v>147</v>
      </c>
      <c r="C52" s="410" t="s">
        <v>2641</v>
      </c>
      <c r="D52" s="420"/>
      <c r="E52" s="382"/>
      <c r="F52" s="457" t="s">
        <v>1164</v>
      </c>
      <c r="G52" s="606">
        <f t="shared" si="1"/>
        <v>0</v>
      </c>
      <c r="H52" s="488"/>
      <c r="J52" s="410" t="s">
        <v>2636</v>
      </c>
    </row>
    <row r="53" spans="1:10" s="428" customFormat="1" ht="30" customHeight="1">
      <c r="A53" s="443" t="s">
        <v>268</v>
      </c>
      <c r="B53" s="389" t="s">
        <v>147</v>
      </c>
      <c r="C53" s="57" t="s">
        <v>1203</v>
      </c>
      <c r="D53" s="415">
        <v>1078.52</v>
      </c>
      <c r="E53" s="382" t="e">
        <f>#REF!*D53</f>
        <v>#REF!</v>
      </c>
      <c r="F53" s="383" t="s">
        <v>513</v>
      </c>
      <c r="G53" s="602">
        <f t="shared" si="1"/>
        <v>0</v>
      </c>
      <c r="H53" s="488"/>
      <c r="J53" s="57" t="s">
        <v>2394</v>
      </c>
    </row>
    <row r="54" spans="1:10" s="428" customFormat="1" ht="20.399999999999999" customHeight="1">
      <c r="A54" s="444" t="s">
        <v>1212</v>
      </c>
      <c r="B54" s="409"/>
      <c r="C54" s="410" t="s">
        <v>1214</v>
      </c>
      <c r="D54" s="415"/>
      <c r="E54" s="382"/>
      <c r="F54" s="457" t="s">
        <v>1155</v>
      </c>
      <c r="G54" s="606">
        <f t="shared" si="1"/>
        <v>20</v>
      </c>
      <c r="H54" s="488"/>
      <c r="J54" s="410" t="s">
        <v>2395</v>
      </c>
    </row>
    <row r="55" spans="1:10" s="428" customFormat="1" ht="20.399999999999999" customHeight="1">
      <c r="A55" s="444" t="s">
        <v>1213</v>
      </c>
      <c r="B55" s="409"/>
      <c r="C55" s="410" t="s">
        <v>1215</v>
      </c>
      <c r="D55" s="415"/>
      <c r="E55" s="382"/>
      <c r="F55" s="457" t="s">
        <v>1154</v>
      </c>
      <c r="G55" s="606">
        <f t="shared" si="1"/>
        <v>0</v>
      </c>
      <c r="H55" s="488"/>
      <c r="J55" s="410" t="s">
        <v>2396</v>
      </c>
    </row>
    <row r="56" spans="1:10" s="428" customFormat="1" ht="20.399999999999999" customHeight="1">
      <c r="A56" s="444" t="s">
        <v>1219</v>
      </c>
      <c r="B56" s="409"/>
      <c r="C56" s="410" t="s">
        <v>1216</v>
      </c>
      <c r="D56" s="415"/>
      <c r="E56" s="382"/>
      <c r="F56" s="457" t="s">
        <v>1156</v>
      </c>
      <c r="G56" s="606">
        <f t="shared" si="1"/>
        <v>0</v>
      </c>
      <c r="H56" s="488"/>
      <c r="J56" s="410" t="s">
        <v>2637</v>
      </c>
    </row>
    <row r="57" spans="1:10" s="428" customFormat="1" ht="20.399999999999999" customHeight="1">
      <c r="A57" s="444" t="s">
        <v>2689</v>
      </c>
      <c r="B57" s="409"/>
      <c r="C57" s="410" t="s">
        <v>2690</v>
      </c>
      <c r="D57" s="415"/>
      <c r="E57" s="382"/>
      <c r="F57" s="457" t="s">
        <v>2685</v>
      </c>
      <c r="G57" s="606">
        <f>+Rebusca_t1(F57)</f>
        <v>4</v>
      </c>
      <c r="H57" s="488"/>
      <c r="J57" s="410" t="s">
        <v>2691</v>
      </c>
    </row>
    <row r="58" spans="1:10" s="428" customFormat="1" ht="30" customHeight="1">
      <c r="A58" s="443" t="s">
        <v>269</v>
      </c>
      <c r="B58" s="389" t="s">
        <v>147</v>
      </c>
      <c r="C58" s="57" t="s">
        <v>1204</v>
      </c>
      <c r="D58" s="420">
        <v>591.14</v>
      </c>
      <c r="E58" s="382" t="e">
        <f>#REF!*D58</f>
        <v>#REF!</v>
      </c>
      <c r="F58" s="383" t="s">
        <v>514</v>
      </c>
      <c r="G58" s="602">
        <f t="shared" si="1"/>
        <v>0</v>
      </c>
      <c r="H58" s="488"/>
      <c r="J58" s="57" t="s">
        <v>2397</v>
      </c>
    </row>
    <row r="59" spans="1:10" s="428" customFormat="1" ht="20.399999999999999" customHeight="1">
      <c r="A59" s="444" t="s">
        <v>1217</v>
      </c>
      <c r="B59" s="409"/>
      <c r="C59" s="410" t="s">
        <v>1221</v>
      </c>
      <c r="D59" s="420"/>
      <c r="E59" s="382"/>
      <c r="F59" s="457" t="s">
        <v>1158</v>
      </c>
      <c r="G59" s="606">
        <f t="shared" si="1"/>
        <v>4</v>
      </c>
      <c r="H59" s="488"/>
      <c r="J59" s="410" t="s">
        <v>2398</v>
      </c>
    </row>
    <row r="60" spans="1:10" s="428" customFormat="1" ht="20.399999999999999" customHeight="1">
      <c r="A60" s="444" t="s">
        <v>1218</v>
      </c>
      <c r="B60" s="409"/>
      <c r="C60" s="410" t="s">
        <v>1222</v>
      </c>
      <c r="D60" s="420"/>
      <c r="E60" s="382"/>
      <c r="F60" s="457" t="s">
        <v>1157</v>
      </c>
      <c r="G60" s="606">
        <f t="shared" si="1"/>
        <v>0</v>
      </c>
      <c r="H60" s="488"/>
      <c r="J60" s="410" t="s">
        <v>2399</v>
      </c>
    </row>
    <row r="61" spans="1:10" s="428" customFormat="1" ht="20.399999999999999" customHeight="1">
      <c r="A61" s="444" t="s">
        <v>1220</v>
      </c>
      <c r="B61" s="409"/>
      <c r="C61" s="410" t="s">
        <v>1223</v>
      </c>
      <c r="D61" s="420"/>
      <c r="E61" s="382"/>
      <c r="F61" s="457" t="s">
        <v>1159</v>
      </c>
      <c r="G61" s="606">
        <f t="shared" si="1"/>
        <v>0</v>
      </c>
      <c r="H61" s="488"/>
      <c r="J61" s="410" t="s">
        <v>2400</v>
      </c>
    </row>
    <row r="62" spans="1:10" s="428" customFormat="1" ht="20.399999999999999" customHeight="1">
      <c r="A62" s="444" t="s">
        <v>2692</v>
      </c>
      <c r="B62" s="409"/>
      <c r="C62" s="410" t="s">
        <v>2693</v>
      </c>
      <c r="D62" s="420"/>
      <c r="E62" s="382"/>
      <c r="F62" s="457" t="s">
        <v>2687</v>
      </c>
      <c r="G62" s="606">
        <f t="shared" si="1"/>
        <v>8</v>
      </c>
      <c r="H62" s="488"/>
      <c r="J62" s="410" t="s">
        <v>2694</v>
      </c>
    </row>
    <row r="63" spans="1:10" s="428" customFormat="1" ht="30" customHeight="1">
      <c r="A63" s="442" t="s">
        <v>270</v>
      </c>
      <c r="B63" s="378" t="s">
        <v>147</v>
      </c>
      <c r="C63" s="57" t="s">
        <v>1205</v>
      </c>
      <c r="D63" s="415">
        <v>1018.03</v>
      </c>
      <c r="E63" s="382" t="e">
        <f>#REF!*D63</f>
        <v>#REF!</v>
      </c>
      <c r="F63" s="383" t="s">
        <v>515</v>
      </c>
      <c r="G63" s="602">
        <f>+Rebusca_t1(F63)</f>
        <v>0</v>
      </c>
      <c r="H63" s="488"/>
      <c r="J63" s="57" t="s">
        <v>2401</v>
      </c>
    </row>
    <row r="64" spans="1:10" s="428" customFormat="1" ht="30" customHeight="1">
      <c r="A64" s="442" t="s">
        <v>271</v>
      </c>
      <c r="B64" s="378" t="s">
        <v>147</v>
      </c>
      <c r="C64" s="57" t="s">
        <v>1206</v>
      </c>
      <c r="D64" s="415">
        <v>2231.69</v>
      </c>
      <c r="E64" s="382" t="e">
        <f>#REF!*D64</f>
        <v>#REF!</v>
      </c>
      <c r="F64" s="383" t="s">
        <v>516</v>
      </c>
      <c r="G64" s="602">
        <f t="shared" ref="G64:G69" si="2">+Rebusca_t1(F64)</f>
        <v>0</v>
      </c>
      <c r="H64" s="488"/>
      <c r="J64" s="57" t="s">
        <v>2402</v>
      </c>
    </row>
    <row r="65" spans="1:10" s="428" customFormat="1" ht="30" customHeight="1">
      <c r="A65" s="443" t="s">
        <v>272</v>
      </c>
      <c r="B65" s="389" t="s">
        <v>147</v>
      </c>
      <c r="C65" s="57" t="s">
        <v>1207</v>
      </c>
      <c r="D65" s="415">
        <v>2231.69</v>
      </c>
      <c r="E65" s="382" t="e">
        <f>#REF!*D65</f>
        <v>#REF!</v>
      </c>
      <c r="F65" s="383" t="s">
        <v>517</v>
      </c>
      <c r="G65" s="602">
        <f t="shared" si="2"/>
        <v>0</v>
      </c>
      <c r="H65" s="488"/>
      <c r="J65" s="57" t="s">
        <v>2403</v>
      </c>
    </row>
    <row r="66" spans="1:10" s="428" customFormat="1" ht="30" customHeight="1">
      <c r="A66" s="443" t="s">
        <v>273</v>
      </c>
      <c r="B66" s="389" t="s">
        <v>147</v>
      </c>
      <c r="C66" s="57" t="s">
        <v>1208</v>
      </c>
      <c r="D66" s="420">
        <v>1018.03</v>
      </c>
      <c r="E66" s="382" t="e">
        <f>#REF!*D66</f>
        <v>#REF!</v>
      </c>
      <c r="F66" s="383" t="s">
        <v>519</v>
      </c>
      <c r="G66" s="602">
        <f t="shared" si="2"/>
        <v>0</v>
      </c>
      <c r="H66" s="488"/>
      <c r="J66" s="57" t="s">
        <v>2404</v>
      </c>
    </row>
    <row r="67" spans="1:10" s="428" customFormat="1" ht="30" customHeight="1">
      <c r="A67" s="443" t="s">
        <v>274</v>
      </c>
      <c r="B67" s="389" t="s">
        <v>147</v>
      </c>
      <c r="C67" s="57" t="s">
        <v>444</v>
      </c>
      <c r="D67" s="415">
        <v>1000</v>
      </c>
      <c r="E67" s="382" t="e">
        <f>#REF!*D67</f>
        <v>#REF!</v>
      </c>
      <c r="F67" s="383" t="s">
        <v>1165</v>
      </c>
      <c r="G67" s="602">
        <f t="shared" si="2"/>
        <v>0</v>
      </c>
      <c r="H67" s="488"/>
      <c r="J67" s="57" t="s">
        <v>2405</v>
      </c>
    </row>
    <row r="68" spans="1:10" s="428" customFormat="1" ht="30" customHeight="1">
      <c r="A68" s="443" t="s">
        <v>275</v>
      </c>
      <c r="B68" s="389" t="s">
        <v>147</v>
      </c>
      <c r="C68" s="57" t="s">
        <v>442</v>
      </c>
      <c r="D68" s="415">
        <v>600</v>
      </c>
      <c r="E68" s="382" t="e">
        <f>#REF!*D68</f>
        <v>#REF!</v>
      </c>
      <c r="F68" s="383" t="s">
        <v>1166</v>
      </c>
      <c r="G68" s="602">
        <f t="shared" si="2"/>
        <v>0</v>
      </c>
      <c r="H68" s="488"/>
      <c r="J68" s="57" t="s">
        <v>2406</v>
      </c>
    </row>
    <row r="69" spans="1:10" s="428" customFormat="1" ht="30" customHeight="1">
      <c r="A69" s="443" t="s">
        <v>276</v>
      </c>
      <c r="B69" s="389" t="s">
        <v>147</v>
      </c>
      <c r="C69" s="57" t="s">
        <v>449</v>
      </c>
      <c r="D69" s="415"/>
      <c r="E69" s="382"/>
      <c r="F69" s="383" t="s">
        <v>1167</v>
      </c>
      <c r="G69" s="602">
        <f t="shared" si="2"/>
        <v>0</v>
      </c>
      <c r="H69" s="488"/>
      <c r="J69" s="57" t="s">
        <v>2407</v>
      </c>
    </row>
    <row r="70" spans="1:10" s="428" customFormat="1" ht="30" customHeight="1">
      <c r="A70" s="443" t="s">
        <v>277</v>
      </c>
      <c r="B70" s="389" t="s">
        <v>147</v>
      </c>
      <c r="C70" s="57" t="s">
        <v>443</v>
      </c>
      <c r="D70" s="415">
        <v>1831.88</v>
      </c>
      <c r="E70" s="382" t="e">
        <f>#REF!*D70</f>
        <v>#REF!</v>
      </c>
      <c r="F70" s="383" t="s">
        <v>1160</v>
      </c>
      <c r="G70" s="602">
        <f>+Rebusca_t1(F70)</f>
        <v>0</v>
      </c>
      <c r="H70" s="488"/>
      <c r="J70" s="57" t="s">
        <v>2408</v>
      </c>
    </row>
    <row r="71" spans="1:10" s="428" customFormat="1" ht="30" customHeight="1">
      <c r="A71" s="444" t="s">
        <v>2695</v>
      </c>
      <c r="B71" s="409" t="s">
        <v>147</v>
      </c>
      <c r="C71" s="410" t="s">
        <v>2696</v>
      </c>
      <c r="D71" s="420">
        <v>1831.88</v>
      </c>
      <c r="E71" s="382" t="e">
        <f>#REF!*D71</f>
        <v>#REF!</v>
      </c>
      <c r="F71" s="457" t="s">
        <v>2683</v>
      </c>
      <c r="G71" s="602">
        <f>+Rebusca_t1(F71)</f>
        <v>0</v>
      </c>
      <c r="H71" s="488"/>
      <c r="J71" s="57" t="s">
        <v>2697</v>
      </c>
    </row>
    <row r="72" spans="1:10" s="428" customFormat="1" ht="30" customHeight="1">
      <c r="A72" s="443" t="s">
        <v>278</v>
      </c>
      <c r="B72" s="389" t="s">
        <v>150</v>
      </c>
      <c r="C72" s="57" t="s">
        <v>445</v>
      </c>
      <c r="D72" s="415">
        <v>121.99</v>
      </c>
      <c r="E72" s="382" t="e">
        <f>#REF!*D72</f>
        <v>#REF!</v>
      </c>
      <c r="F72" s="383" t="s">
        <v>1279</v>
      </c>
      <c r="G72" s="602">
        <f>+Rebusca_t1("C-250")*11+Rebusca_t1("C-251")*13+Rebusca_t1("C-252")*15</f>
        <v>0</v>
      </c>
      <c r="H72" s="488"/>
      <c r="J72" s="57" t="s">
        <v>2285</v>
      </c>
    </row>
    <row r="73" spans="1:10" s="428" customFormat="1" ht="30" customHeight="1">
      <c r="A73" s="442" t="s">
        <v>279</v>
      </c>
      <c r="B73" s="378" t="s">
        <v>150</v>
      </c>
      <c r="C73" s="57" t="s">
        <v>446</v>
      </c>
      <c r="D73" s="415">
        <v>138.5</v>
      </c>
      <c r="E73" s="382" t="e">
        <f>#REF!*D73</f>
        <v>#REF!</v>
      </c>
      <c r="F73" s="383" t="s">
        <v>1280</v>
      </c>
      <c r="G73" s="602">
        <f>+Rebusca_t1("C-253")*17+Rebusca_t1("C-254")*19</f>
        <v>0</v>
      </c>
      <c r="H73" s="488"/>
      <c r="J73" s="57" t="s">
        <v>2286</v>
      </c>
    </row>
    <row r="74" spans="1:10" s="428" customFormat="1" ht="30" customHeight="1">
      <c r="A74" s="442" t="s">
        <v>280</v>
      </c>
      <c r="B74" s="378" t="s">
        <v>150</v>
      </c>
      <c r="C74" s="57" t="s">
        <v>447</v>
      </c>
      <c r="D74" s="415">
        <v>180.6</v>
      </c>
      <c r="E74" s="382" t="e">
        <f>#REF!*D74</f>
        <v>#REF!</v>
      </c>
      <c r="F74" s="383" t="s">
        <v>1281</v>
      </c>
      <c r="G74" s="602">
        <f>+Rebusca_t1("C-255")*21+Rebusca_t1("C-256")*23+Rebusca_t1("C-257")*25</f>
        <v>0</v>
      </c>
      <c r="H74" s="488"/>
      <c r="J74" s="57" t="s">
        <v>2287</v>
      </c>
    </row>
    <row r="75" spans="1:10" s="428" customFormat="1" ht="30" customHeight="1">
      <c r="A75" s="442" t="s">
        <v>281</v>
      </c>
      <c r="B75" s="378" t="s">
        <v>150</v>
      </c>
      <c r="C75" s="57" t="s">
        <v>448</v>
      </c>
      <c r="D75" s="415">
        <v>225.75</v>
      </c>
      <c r="E75" s="382" t="e">
        <f>#REF!*D75</f>
        <v>#REF!</v>
      </c>
      <c r="F75" s="383" t="s">
        <v>540</v>
      </c>
      <c r="G75" s="602">
        <f>+Rebusca_t1("C-258")*30</f>
        <v>0</v>
      </c>
      <c r="H75" s="488"/>
      <c r="J75" s="57" t="s">
        <v>2288</v>
      </c>
    </row>
    <row r="76" spans="1:10" s="428" customFormat="1" ht="20.399999999999999" customHeight="1">
      <c r="A76" s="442" t="s">
        <v>282</v>
      </c>
      <c r="B76" s="378" t="s">
        <v>172</v>
      </c>
      <c r="C76" s="57" t="s">
        <v>450</v>
      </c>
      <c r="D76" s="415"/>
      <c r="E76" s="382"/>
      <c r="F76" s="383" t="s">
        <v>1282</v>
      </c>
      <c r="G76" s="602">
        <f>+Rebusca_t1("C-259")*35+Rebusca_t1("C-260")*40</f>
        <v>0</v>
      </c>
      <c r="H76" s="488"/>
      <c r="J76" s="57" t="s">
        <v>2289</v>
      </c>
    </row>
    <row r="77" spans="1:10" s="428" customFormat="1" ht="30" customHeight="1">
      <c r="A77" s="442" t="s">
        <v>283</v>
      </c>
      <c r="B77" s="378" t="s">
        <v>147</v>
      </c>
      <c r="C77" s="57" t="s">
        <v>54</v>
      </c>
      <c r="D77" s="415">
        <v>100</v>
      </c>
      <c r="E77" s="382" t="e">
        <f>#REF!*D77</f>
        <v>#REF!</v>
      </c>
      <c r="F77" s="383" t="s">
        <v>950</v>
      </c>
      <c r="G77" s="602">
        <f t="shared" ref="G77" si="3">+Rebusca_t1(F77)</f>
        <v>0</v>
      </c>
      <c r="H77" s="488"/>
      <c r="J77" s="57" t="s">
        <v>2409</v>
      </c>
    </row>
    <row r="78" spans="1:10" s="428" customFormat="1" ht="37.5" customHeight="1">
      <c r="A78" s="442" t="s">
        <v>284</v>
      </c>
      <c r="B78" s="378" t="s">
        <v>147</v>
      </c>
      <c r="C78" s="57" t="s">
        <v>1288</v>
      </c>
      <c r="D78" s="415">
        <v>236.87</v>
      </c>
      <c r="E78" s="382" t="e">
        <f>#REF!*D78</f>
        <v>#REF!</v>
      </c>
      <c r="F78" s="383" t="s">
        <v>553</v>
      </c>
      <c r="G78" s="602">
        <f t="shared" ref="G78" si="4">+Rebusca_t1(F78)</f>
        <v>0</v>
      </c>
      <c r="H78" s="488"/>
      <c r="J78" s="57" t="s">
        <v>2438</v>
      </c>
    </row>
    <row r="79" spans="1:10" s="428" customFormat="1" ht="30" customHeight="1">
      <c r="A79" s="444" t="s">
        <v>1286</v>
      </c>
      <c r="B79" s="409" t="s">
        <v>147</v>
      </c>
      <c r="C79" s="410" t="s">
        <v>1289</v>
      </c>
      <c r="D79" s="415">
        <v>236.87</v>
      </c>
      <c r="E79" s="382" t="e">
        <f>#REF!*D79</f>
        <v>#REF!</v>
      </c>
      <c r="F79" s="457" t="s">
        <v>557</v>
      </c>
      <c r="G79" s="606">
        <f t="shared" ref="G79:G80" si="5">+Rebusca_t1(F79)</f>
        <v>0</v>
      </c>
      <c r="H79" s="488"/>
      <c r="J79" s="410" t="s">
        <v>2439</v>
      </c>
    </row>
    <row r="80" spans="1:10" s="428" customFormat="1" ht="30" customHeight="1">
      <c r="A80" s="444" t="s">
        <v>1287</v>
      </c>
      <c r="B80" s="409" t="s">
        <v>147</v>
      </c>
      <c r="C80" s="410" t="s">
        <v>1290</v>
      </c>
      <c r="D80" s="415">
        <v>236.87</v>
      </c>
      <c r="E80" s="382" t="e">
        <f>#REF!*D80</f>
        <v>#REF!</v>
      </c>
      <c r="F80" s="457" t="s">
        <v>561</v>
      </c>
      <c r="G80" s="606">
        <f t="shared" si="5"/>
        <v>0</v>
      </c>
      <c r="H80" s="488"/>
      <c r="J80" s="410" t="s">
        <v>2290</v>
      </c>
    </row>
    <row r="81" spans="1:10" s="428" customFormat="1" ht="30" customHeight="1">
      <c r="A81" s="442" t="s">
        <v>285</v>
      </c>
      <c r="B81" s="378" t="s">
        <v>147</v>
      </c>
      <c r="C81" s="57" t="s">
        <v>1293</v>
      </c>
      <c r="D81" s="415">
        <v>316.64</v>
      </c>
      <c r="E81" s="382" t="e">
        <f>#REF!*D81</f>
        <v>#REF!</v>
      </c>
      <c r="F81" s="383" t="s">
        <v>555</v>
      </c>
      <c r="G81" s="602">
        <f>+Rebusca_t1(F81)</f>
        <v>0</v>
      </c>
      <c r="H81" s="488" t="s">
        <v>2059</v>
      </c>
      <c r="J81" s="57" t="s">
        <v>2440</v>
      </c>
    </row>
    <row r="82" spans="1:10" s="428" customFormat="1" ht="30" customHeight="1">
      <c r="A82" s="444" t="s">
        <v>1291</v>
      </c>
      <c r="B82" s="409" t="s">
        <v>147</v>
      </c>
      <c r="C82" s="410" t="s">
        <v>1294</v>
      </c>
      <c r="D82" s="415">
        <v>317.64</v>
      </c>
      <c r="E82" s="382" t="e">
        <f>#REF!*D82</f>
        <v>#REF!</v>
      </c>
      <c r="F82" s="457" t="s">
        <v>559</v>
      </c>
      <c r="G82" s="606">
        <f t="shared" ref="G82:G83" si="6">+Rebusca_t1(F82)</f>
        <v>0</v>
      </c>
      <c r="H82" s="488"/>
      <c r="J82" s="410" t="s">
        <v>2441</v>
      </c>
    </row>
    <row r="83" spans="1:10" s="428" customFormat="1" ht="30" customHeight="1">
      <c r="A83" s="444" t="s">
        <v>1292</v>
      </c>
      <c r="B83" s="409" t="s">
        <v>147</v>
      </c>
      <c r="C83" s="410" t="s">
        <v>1295</v>
      </c>
      <c r="D83" s="415">
        <v>318.64</v>
      </c>
      <c r="E83" s="382" t="e">
        <f>#REF!*D83</f>
        <v>#REF!</v>
      </c>
      <c r="F83" s="457" t="s">
        <v>563</v>
      </c>
      <c r="G83" s="606">
        <f t="shared" si="6"/>
        <v>0</v>
      </c>
      <c r="H83" s="488"/>
      <c r="J83" s="410" t="s">
        <v>2291</v>
      </c>
    </row>
    <row r="84" spans="1:10" s="428" customFormat="1" ht="30" customHeight="1">
      <c r="A84" s="442" t="s">
        <v>286</v>
      </c>
      <c r="B84" s="378" t="s">
        <v>147</v>
      </c>
      <c r="C84" s="57" t="s">
        <v>69</v>
      </c>
      <c r="D84" s="415">
        <v>320.42</v>
      </c>
      <c r="E84" s="382" t="e">
        <f>#REF!*D84</f>
        <v>#REF!</v>
      </c>
      <c r="F84" s="383" t="s">
        <v>241</v>
      </c>
      <c r="G84" s="602">
        <f>+Rebusca_t1("S1T")</f>
        <v>561</v>
      </c>
      <c r="H84" s="488"/>
      <c r="J84" s="57" t="s">
        <v>2292</v>
      </c>
    </row>
    <row r="85" spans="1:10" s="428" customFormat="1" ht="30" customHeight="1">
      <c r="A85" s="442" t="s">
        <v>287</v>
      </c>
      <c r="B85" s="378" t="s">
        <v>147</v>
      </c>
      <c r="C85" s="57" t="s">
        <v>70</v>
      </c>
      <c r="D85" s="415">
        <v>350</v>
      </c>
      <c r="E85" s="382" t="e">
        <f>#REF!*D85</f>
        <v>#REF!</v>
      </c>
      <c r="F85" s="383" t="s">
        <v>465</v>
      </c>
      <c r="G85" s="602">
        <f>+Rebusca_t1("S2T")/2</f>
        <v>104</v>
      </c>
      <c r="H85" s="489" t="s">
        <v>2060</v>
      </c>
      <c r="J85" s="57" t="s">
        <v>2293</v>
      </c>
    </row>
    <row r="86" spans="1:10" s="428" customFormat="1" ht="30" customHeight="1">
      <c r="A86" s="442" t="s">
        <v>288</v>
      </c>
      <c r="B86" s="378" t="s">
        <v>147</v>
      </c>
      <c r="C86" s="57" t="s">
        <v>1224</v>
      </c>
      <c r="D86" s="415">
        <v>271.44</v>
      </c>
      <c r="E86" s="382" t="e">
        <f>#REF!*D86</f>
        <v>#REF!</v>
      </c>
      <c r="F86" s="383" t="s">
        <v>567</v>
      </c>
      <c r="G86" s="602"/>
      <c r="H86" s="488"/>
      <c r="J86" s="57" t="s">
        <v>2294</v>
      </c>
    </row>
    <row r="87" spans="1:10" s="428" customFormat="1" ht="20.399999999999999" customHeight="1">
      <c r="A87" s="444" t="s">
        <v>1225</v>
      </c>
      <c r="B87" s="409"/>
      <c r="C87" s="410" t="s">
        <v>1226</v>
      </c>
      <c r="D87" s="421"/>
      <c r="E87" s="384"/>
      <c r="F87" s="457" t="s">
        <v>1268</v>
      </c>
      <c r="G87" s="606">
        <f>+Rebusca_t1("c-281")+Rebusca_t1("c-282")</f>
        <v>-8</v>
      </c>
      <c r="H87" s="488"/>
      <c r="J87" s="410" t="s">
        <v>2295</v>
      </c>
    </row>
    <row r="88" spans="1:10" s="428" customFormat="1" ht="20.399999999999999" customHeight="1">
      <c r="A88" s="444" t="s">
        <v>1228</v>
      </c>
      <c r="B88" s="409"/>
      <c r="C88" s="410" t="s">
        <v>1227</v>
      </c>
      <c r="D88" s="421"/>
      <c r="E88" s="384"/>
      <c r="F88" s="457" t="s">
        <v>1269</v>
      </c>
      <c r="G88" s="606">
        <f>+Rebusca_t1("c-283")+Rebusca_t1("c-284")</f>
        <v>-8</v>
      </c>
      <c r="H88" s="488"/>
      <c r="J88" s="410" t="s">
        <v>2296</v>
      </c>
    </row>
    <row r="89" spans="1:10" s="428" customFormat="1" ht="21" customHeight="1" thickBot="1">
      <c r="A89" s="442"/>
      <c r="B89" s="378"/>
      <c r="C89" s="403" t="s">
        <v>289</v>
      </c>
      <c r="D89" s="418"/>
      <c r="E89" s="386" t="e">
        <f>SUM(E37:E86)</f>
        <v>#REF!</v>
      </c>
      <c r="F89" s="385"/>
      <c r="G89" s="604"/>
      <c r="H89" s="488"/>
      <c r="J89" s="403" t="s">
        <v>2297</v>
      </c>
    </row>
    <row r="90" spans="1:10" s="428" customFormat="1" ht="20.399999999999999" customHeight="1">
      <c r="A90" s="442"/>
      <c r="B90" s="378"/>
      <c r="C90" s="377"/>
      <c r="D90" s="419"/>
      <c r="E90" s="388"/>
      <c r="F90" s="385"/>
      <c r="G90" s="604"/>
      <c r="H90" s="488"/>
      <c r="J90" s="377"/>
    </row>
    <row r="91" spans="1:10" s="428" customFormat="1" ht="20.399999999999999" hidden="1" customHeight="1">
      <c r="A91" s="442"/>
      <c r="B91" s="378"/>
      <c r="C91" s="403" t="s">
        <v>451</v>
      </c>
      <c r="D91" s="419"/>
      <c r="E91" s="388"/>
      <c r="F91" s="385"/>
      <c r="G91" s="604"/>
      <c r="H91" s="488"/>
      <c r="J91" s="403" t="s">
        <v>2410</v>
      </c>
    </row>
    <row r="92" spans="1:10" s="432" customFormat="1" ht="30" hidden="1" customHeight="1">
      <c r="A92" s="443" t="s">
        <v>290</v>
      </c>
      <c r="B92" s="389" t="s">
        <v>147</v>
      </c>
      <c r="C92" s="404" t="s">
        <v>455</v>
      </c>
      <c r="D92" s="422">
        <v>146.63999999999999</v>
      </c>
      <c r="E92" s="390" t="e">
        <f>#REF!*D92</f>
        <v>#REF!</v>
      </c>
      <c r="F92" s="383"/>
      <c r="G92" s="602"/>
      <c r="H92" s="490"/>
      <c r="J92" s="404" t="s">
        <v>2411</v>
      </c>
    </row>
    <row r="93" spans="1:10" s="432" customFormat="1" ht="30" hidden="1" customHeight="1">
      <c r="A93" s="443" t="s">
        <v>291</v>
      </c>
      <c r="B93" s="389" t="s">
        <v>147</v>
      </c>
      <c r="C93" s="404" t="s">
        <v>456</v>
      </c>
      <c r="D93" s="422">
        <v>176.49</v>
      </c>
      <c r="E93" s="390" t="e">
        <f>#REF!*D93</f>
        <v>#REF!</v>
      </c>
      <c r="F93" s="383"/>
      <c r="G93" s="602"/>
      <c r="H93" s="490"/>
      <c r="J93" s="404" t="s">
        <v>2412</v>
      </c>
    </row>
    <row r="94" spans="1:10" s="428" customFormat="1" ht="30" hidden="1" customHeight="1">
      <c r="A94" s="443" t="s">
        <v>292</v>
      </c>
      <c r="B94" s="389" t="s">
        <v>147</v>
      </c>
      <c r="C94" s="404" t="s">
        <v>425</v>
      </c>
      <c r="D94" s="415"/>
      <c r="E94" s="391"/>
      <c r="F94" s="383"/>
      <c r="G94" s="602"/>
      <c r="H94" s="488"/>
      <c r="J94" s="404" t="s">
        <v>2413</v>
      </c>
    </row>
    <row r="95" spans="1:10" s="428" customFormat="1" ht="30" hidden="1" customHeight="1">
      <c r="A95" s="443" t="s">
        <v>293</v>
      </c>
      <c r="B95" s="389" t="s">
        <v>147</v>
      </c>
      <c r="C95" s="404" t="s">
        <v>424</v>
      </c>
      <c r="D95" s="415"/>
      <c r="E95" s="391"/>
      <c r="F95" s="383"/>
      <c r="G95" s="602"/>
      <c r="H95" s="488"/>
      <c r="J95" s="404" t="s">
        <v>2414</v>
      </c>
    </row>
    <row r="96" spans="1:10" s="432" customFormat="1" ht="30" hidden="1" customHeight="1">
      <c r="A96" s="443" t="s">
        <v>418</v>
      </c>
      <c r="B96" s="389" t="s">
        <v>147</v>
      </c>
      <c r="C96" s="404" t="s">
        <v>453</v>
      </c>
      <c r="D96" s="422"/>
      <c r="E96" s="390"/>
      <c r="F96" s="383"/>
      <c r="G96" s="602"/>
      <c r="H96" s="490"/>
      <c r="J96" s="404" t="s">
        <v>2415</v>
      </c>
    </row>
    <row r="97" spans="1:10" s="428" customFormat="1" ht="30" hidden="1" customHeight="1">
      <c r="A97" s="443" t="s">
        <v>419</v>
      </c>
      <c r="B97" s="389" t="s">
        <v>147</v>
      </c>
      <c r="C97" s="404" t="s">
        <v>59</v>
      </c>
      <c r="D97" s="415">
        <v>189.82</v>
      </c>
      <c r="E97" s="391" t="e">
        <f>#REF!*D97</f>
        <v>#REF!</v>
      </c>
      <c r="F97" s="383"/>
      <c r="G97" s="602"/>
      <c r="H97" s="488"/>
      <c r="J97" s="404" t="s">
        <v>2416</v>
      </c>
    </row>
    <row r="98" spans="1:10" s="428" customFormat="1" ht="30" hidden="1" customHeight="1">
      <c r="A98" s="443" t="s">
        <v>452</v>
      </c>
      <c r="B98" s="389" t="s">
        <v>147</v>
      </c>
      <c r="C98" s="404" t="s">
        <v>71</v>
      </c>
      <c r="D98" s="420">
        <v>1798.78</v>
      </c>
      <c r="E98" s="391" t="e">
        <f>#REF!*D98</f>
        <v>#REF!</v>
      </c>
      <c r="F98" s="383"/>
      <c r="G98" s="602"/>
      <c r="H98" s="488"/>
      <c r="J98" s="404" t="s">
        <v>71</v>
      </c>
    </row>
    <row r="99" spans="1:10" s="428" customFormat="1" ht="30" hidden="1" customHeight="1">
      <c r="A99" s="443" t="s">
        <v>420</v>
      </c>
      <c r="B99" s="389" t="s">
        <v>147</v>
      </c>
      <c r="C99" s="404" t="s">
        <v>72</v>
      </c>
      <c r="D99" s="420">
        <v>2298.88</v>
      </c>
      <c r="E99" s="13" t="e">
        <f>#REF!*D99</f>
        <v>#REF!</v>
      </c>
      <c r="F99" s="383"/>
      <c r="G99" s="602"/>
      <c r="H99" s="488"/>
      <c r="J99" s="404" t="s">
        <v>72</v>
      </c>
    </row>
    <row r="100" spans="1:10" s="428" customFormat="1" ht="30" hidden="1" customHeight="1">
      <c r="A100" s="442" t="s">
        <v>421</v>
      </c>
      <c r="B100" s="378" t="s">
        <v>147</v>
      </c>
      <c r="C100" s="57" t="s">
        <v>73</v>
      </c>
      <c r="D100" s="420">
        <v>2298.88</v>
      </c>
      <c r="E100" s="391" t="e">
        <f>#REF!*D100</f>
        <v>#REF!</v>
      </c>
      <c r="F100" s="381"/>
      <c r="G100" s="605"/>
      <c r="H100" s="488"/>
      <c r="J100" s="57" t="s">
        <v>73</v>
      </c>
    </row>
    <row r="101" spans="1:10" s="428" customFormat="1" ht="30" hidden="1" customHeight="1">
      <c r="A101" s="442" t="s">
        <v>294</v>
      </c>
      <c r="B101" s="378" t="s">
        <v>147</v>
      </c>
      <c r="C101" s="57" t="s">
        <v>74</v>
      </c>
      <c r="D101" s="420">
        <v>2298.88</v>
      </c>
      <c r="E101" s="13" t="e">
        <f>#REF!*D101</f>
        <v>#REF!</v>
      </c>
      <c r="F101" s="381"/>
      <c r="G101" s="605"/>
      <c r="H101" s="488"/>
      <c r="J101" s="57" t="s">
        <v>74</v>
      </c>
    </row>
    <row r="102" spans="1:10" s="428" customFormat="1" ht="30" hidden="1" customHeight="1">
      <c r="A102" s="442" t="s">
        <v>295</v>
      </c>
      <c r="B102" s="378" t="s">
        <v>147</v>
      </c>
      <c r="C102" s="57" t="s">
        <v>454</v>
      </c>
      <c r="D102" s="420"/>
      <c r="E102" s="13"/>
      <c r="F102" s="381"/>
      <c r="G102" s="605"/>
      <c r="H102" s="488"/>
      <c r="J102" s="57" t="s">
        <v>454</v>
      </c>
    </row>
    <row r="103" spans="1:10" s="428" customFormat="1" ht="30" hidden="1" customHeight="1">
      <c r="A103" s="442" t="s">
        <v>296</v>
      </c>
      <c r="B103" s="378" t="s">
        <v>147</v>
      </c>
      <c r="C103" s="57" t="s">
        <v>464</v>
      </c>
      <c r="D103" s="420"/>
      <c r="E103" s="13"/>
      <c r="F103" s="381"/>
      <c r="G103" s="605"/>
      <c r="H103" s="488"/>
      <c r="J103" s="57" t="s">
        <v>2417</v>
      </c>
    </row>
    <row r="104" spans="1:10" s="428" customFormat="1" ht="30" hidden="1" customHeight="1">
      <c r="A104" s="442" t="s">
        <v>297</v>
      </c>
      <c r="B104" s="378" t="s">
        <v>147</v>
      </c>
      <c r="C104" s="57" t="s">
        <v>75</v>
      </c>
      <c r="D104" s="415">
        <v>421.39</v>
      </c>
      <c r="E104" s="13" t="e">
        <f>#REF!*D104</f>
        <v>#REF!</v>
      </c>
      <c r="F104" s="381"/>
      <c r="G104" s="605"/>
      <c r="H104" s="488"/>
      <c r="J104" s="57" t="s">
        <v>75</v>
      </c>
    </row>
    <row r="105" spans="1:10" s="428" customFormat="1" ht="30" hidden="1" customHeight="1">
      <c r="A105" s="442" t="s">
        <v>422</v>
      </c>
      <c r="B105" s="378" t="s">
        <v>147</v>
      </c>
      <c r="C105" s="57" t="s">
        <v>76</v>
      </c>
      <c r="D105" s="415">
        <v>450</v>
      </c>
      <c r="E105" s="13" t="e">
        <f>#REF!*D105</f>
        <v>#REF!</v>
      </c>
      <c r="F105" s="381"/>
      <c r="G105" s="605"/>
      <c r="H105" s="488"/>
      <c r="J105" s="57" t="s">
        <v>76</v>
      </c>
    </row>
    <row r="106" spans="1:10" s="428" customFormat="1" ht="30" hidden="1" customHeight="1">
      <c r="A106" s="442" t="s">
        <v>423</v>
      </c>
      <c r="B106" s="378" t="s">
        <v>147</v>
      </c>
      <c r="C106" s="57" t="s">
        <v>77</v>
      </c>
      <c r="D106" s="415">
        <v>238.62</v>
      </c>
      <c r="E106" s="13" t="e">
        <f>#REF!*D106</f>
        <v>#REF!</v>
      </c>
      <c r="F106" s="381"/>
      <c r="G106" s="605"/>
      <c r="H106" s="488"/>
      <c r="J106" s="57" t="s">
        <v>77</v>
      </c>
    </row>
    <row r="107" spans="1:10" s="428" customFormat="1" ht="30" hidden="1" customHeight="1">
      <c r="A107" s="442" t="s">
        <v>298</v>
      </c>
      <c r="B107" s="378" t="s">
        <v>147</v>
      </c>
      <c r="C107" s="57" t="s">
        <v>78</v>
      </c>
      <c r="D107" s="415">
        <v>477.24</v>
      </c>
      <c r="E107" s="391" t="e">
        <f>#REF!*D107</f>
        <v>#REF!</v>
      </c>
      <c r="F107" s="381"/>
      <c r="G107" s="605"/>
      <c r="H107" s="488"/>
      <c r="J107" s="57" t="s">
        <v>78</v>
      </c>
    </row>
    <row r="108" spans="1:10" s="428" customFormat="1" ht="30" hidden="1" customHeight="1">
      <c r="A108" s="442" t="s">
        <v>299</v>
      </c>
      <c r="B108" s="378" t="s">
        <v>147</v>
      </c>
      <c r="C108" s="57" t="s">
        <v>151</v>
      </c>
      <c r="D108" s="415">
        <v>103.93</v>
      </c>
      <c r="E108" s="13" t="e">
        <f>#REF!*D108</f>
        <v>#REF!</v>
      </c>
      <c r="F108" s="381"/>
      <c r="G108" s="605"/>
      <c r="H108" s="488"/>
      <c r="J108" s="57" t="s">
        <v>151</v>
      </c>
    </row>
    <row r="109" spans="1:10" s="428" customFormat="1" ht="30.6" hidden="1" customHeight="1" thickBot="1">
      <c r="A109" s="442" t="s">
        <v>463</v>
      </c>
      <c r="B109" s="378" t="s">
        <v>147</v>
      </c>
      <c r="C109" s="57" t="s">
        <v>152</v>
      </c>
      <c r="D109" s="415">
        <v>4.8899999999999997</v>
      </c>
      <c r="E109" s="391" t="e">
        <f>#REF!*D109</f>
        <v>#REF!</v>
      </c>
      <c r="F109" s="381"/>
      <c r="G109" s="605"/>
      <c r="H109" s="488"/>
      <c r="J109" s="57" t="s">
        <v>2418</v>
      </c>
    </row>
    <row r="110" spans="1:10" s="428" customFormat="1" ht="21" hidden="1" customHeight="1" thickBot="1">
      <c r="A110" s="442"/>
      <c r="B110" s="378"/>
      <c r="C110" s="403" t="s">
        <v>300</v>
      </c>
      <c r="D110" s="418"/>
      <c r="E110" s="392" t="e">
        <f>SUM(E92:E109)</f>
        <v>#REF!</v>
      </c>
      <c r="F110" s="387"/>
      <c r="G110" s="603"/>
      <c r="H110" s="488"/>
      <c r="J110" s="403" t="s">
        <v>300</v>
      </c>
    </row>
    <row r="111" spans="1:10" s="428" customFormat="1" ht="20.399999999999999" hidden="1" customHeight="1">
      <c r="A111" s="442"/>
      <c r="B111" s="378"/>
      <c r="C111" s="377" t="s">
        <v>301</v>
      </c>
      <c r="D111" s="419"/>
      <c r="E111" s="388"/>
      <c r="F111" s="385"/>
      <c r="G111" s="604"/>
      <c r="H111" s="488"/>
      <c r="J111" s="377" t="s">
        <v>2419</v>
      </c>
    </row>
    <row r="112" spans="1:10" s="428" customFormat="1" ht="20.399999999999999" hidden="1" customHeight="1">
      <c r="A112" s="442"/>
      <c r="B112" s="378"/>
      <c r="C112" s="403"/>
      <c r="D112" s="419"/>
      <c r="E112" s="388"/>
      <c r="F112" s="385"/>
      <c r="G112" s="604"/>
      <c r="H112" s="488"/>
      <c r="J112" s="403"/>
    </row>
    <row r="113" spans="1:10" s="428" customFormat="1" ht="20.399999999999999" customHeight="1">
      <c r="A113" s="442"/>
      <c r="B113" s="378"/>
      <c r="C113" s="377" t="s">
        <v>302</v>
      </c>
      <c r="D113" s="419"/>
      <c r="E113" s="388"/>
      <c r="F113" s="385"/>
      <c r="G113" s="604"/>
      <c r="H113" s="488"/>
      <c r="J113" s="377" t="s">
        <v>2298</v>
      </c>
    </row>
    <row r="114" spans="1:10" s="428" customFormat="1" ht="20.399999999999999" customHeight="1">
      <c r="A114" s="442"/>
      <c r="B114" s="378"/>
      <c r="C114" s="403"/>
      <c r="D114" s="419"/>
      <c r="E114" s="388"/>
      <c r="F114" s="385"/>
      <c r="G114" s="604"/>
      <c r="H114" s="488"/>
      <c r="J114" s="403"/>
    </row>
    <row r="115" spans="1:10" s="428" customFormat="1" ht="30" customHeight="1">
      <c r="A115" s="442"/>
      <c r="B115" s="378"/>
      <c r="C115" s="403" t="s">
        <v>303</v>
      </c>
      <c r="D115" s="419"/>
      <c r="E115" s="388"/>
      <c r="F115" s="385"/>
      <c r="G115" s="604"/>
      <c r="H115" s="488"/>
      <c r="J115" s="403" t="s">
        <v>2299</v>
      </c>
    </row>
    <row r="116" spans="1:10" s="428" customFormat="1" ht="30" customHeight="1">
      <c r="A116" s="442" t="s">
        <v>304</v>
      </c>
      <c r="B116" s="378" t="s">
        <v>147</v>
      </c>
      <c r="C116" s="57" t="s">
        <v>1229</v>
      </c>
      <c r="D116" s="415">
        <v>345.48</v>
      </c>
      <c r="E116" s="382" t="e">
        <f>#REF!*D116</f>
        <v>#REF!</v>
      </c>
      <c r="F116" s="383"/>
      <c r="G116" s="602"/>
      <c r="H116" s="488"/>
      <c r="J116" s="57" t="s">
        <v>2300</v>
      </c>
    </row>
    <row r="117" spans="1:10" s="428" customFormat="1" ht="30" customHeight="1">
      <c r="A117" s="444" t="s">
        <v>1230</v>
      </c>
      <c r="B117" s="409" t="s">
        <v>147</v>
      </c>
      <c r="C117" s="410" t="s">
        <v>1233</v>
      </c>
      <c r="D117" s="415"/>
      <c r="E117" s="382"/>
      <c r="F117" s="457" t="s">
        <v>575</v>
      </c>
      <c r="G117" s="606">
        <f>+Rebusca_t1("C-301")</f>
        <v>35</v>
      </c>
      <c r="H117" s="488"/>
      <c r="J117" s="410" t="s">
        <v>2301</v>
      </c>
    </row>
    <row r="118" spans="1:10" s="428" customFormat="1" ht="30" customHeight="1">
      <c r="A118" s="444" t="s">
        <v>1231</v>
      </c>
      <c r="B118" s="409" t="s">
        <v>147</v>
      </c>
      <c r="C118" s="410" t="s">
        <v>746</v>
      </c>
      <c r="D118" s="415"/>
      <c r="E118" s="382"/>
      <c r="F118" s="457" t="s">
        <v>580</v>
      </c>
      <c r="G118" s="606">
        <f>+Rebusca_t1("C-304")</f>
        <v>355</v>
      </c>
      <c r="H118" s="488"/>
      <c r="J118" s="410" t="s">
        <v>2302</v>
      </c>
    </row>
    <row r="119" spans="1:10" s="428" customFormat="1" ht="30" customHeight="1">
      <c r="A119" s="444" t="s">
        <v>1232</v>
      </c>
      <c r="B119" s="409" t="s">
        <v>147</v>
      </c>
      <c r="C119" s="410" t="s">
        <v>1234</v>
      </c>
      <c r="D119" s="415"/>
      <c r="E119" s="382"/>
      <c r="F119" s="457" t="s">
        <v>583</v>
      </c>
      <c r="G119" s="606">
        <f>+Rebusca_t1("C-307")</f>
        <v>0</v>
      </c>
      <c r="H119" s="488"/>
      <c r="J119" s="410" t="s">
        <v>2303</v>
      </c>
    </row>
    <row r="120" spans="1:10" s="428" customFormat="1" ht="30" customHeight="1">
      <c r="A120" s="442" t="s">
        <v>305</v>
      </c>
      <c r="B120" s="378" t="s">
        <v>147</v>
      </c>
      <c r="C120" s="57" t="s">
        <v>1235</v>
      </c>
      <c r="D120" s="415">
        <v>323.64999999999998</v>
      </c>
      <c r="E120" s="382" t="e">
        <f>#REF!*D120</f>
        <v>#REF!</v>
      </c>
      <c r="F120" s="383" t="s">
        <v>1273</v>
      </c>
      <c r="G120" s="602"/>
      <c r="H120" s="488"/>
      <c r="J120" s="57" t="s">
        <v>2304</v>
      </c>
    </row>
    <row r="121" spans="1:10" s="428" customFormat="1" ht="30" customHeight="1">
      <c r="A121" s="444" t="s">
        <v>1239</v>
      </c>
      <c r="B121" s="409" t="s">
        <v>147</v>
      </c>
      <c r="C121" s="410" t="s">
        <v>1236</v>
      </c>
      <c r="D121" s="415"/>
      <c r="E121" s="382"/>
      <c r="F121" s="457" t="s">
        <v>577</v>
      </c>
      <c r="G121" s="606">
        <f>+Rebusca_t1(F121)</f>
        <v>39</v>
      </c>
      <c r="H121" s="488"/>
      <c r="J121" s="410" t="s">
        <v>2305</v>
      </c>
    </row>
    <row r="122" spans="1:10" s="428" customFormat="1" ht="30" customHeight="1">
      <c r="A122" s="444" t="s">
        <v>1240</v>
      </c>
      <c r="B122" s="409" t="s">
        <v>147</v>
      </c>
      <c r="C122" s="410" t="s">
        <v>748</v>
      </c>
      <c r="D122" s="415"/>
      <c r="E122" s="382"/>
      <c r="F122" s="457" t="s">
        <v>581</v>
      </c>
      <c r="G122" s="606">
        <f t="shared" ref="G122:G123" si="7">+Rebusca_t1(F122)</f>
        <v>351</v>
      </c>
      <c r="H122" s="488"/>
      <c r="J122" s="410" t="s">
        <v>2306</v>
      </c>
    </row>
    <row r="123" spans="1:10" s="428" customFormat="1" ht="30" customHeight="1">
      <c r="A123" s="444" t="s">
        <v>1241</v>
      </c>
      <c r="B123" s="409" t="s">
        <v>147</v>
      </c>
      <c r="C123" s="410" t="s">
        <v>1237</v>
      </c>
      <c r="D123" s="415"/>
      <c r="E123" s="382"/>
      <c r="F123" s="457" t="s">
        <v>1238</v>
      </c>
      <c r="G123" s="606">
        <f t="shared" si="7"/>
        <v>0</v>
      </c>
      <c r="H123" s="488"/>
      <c r="J123" s="410" t="s">
        <v>2307</v>
      </c>
    </row>
    <row r="124" spans="1:10" s="428" customFormat="1" ht="30" customHeight="1">
      <c r="A124" s="442" t="s">
        <v>306</v>
      </c>
      <c r="B124" s="378" t="s">
        <v>147</v>
      </c>
      <c r="C124" s="57" t="s">
        <v>102</v>
      </c>
      <c r="D124" s="415">
        <v>317.44</v>
      </c>
      <c r="E124" s="382" t="e">
        <f>#REF!*D124</f>
        <v>#REF!</v>
      </c>
      <c r="F124" s="383" t="s">
        <v>1174</v>
      </c>
      <c r="G124" s="602"/>
      <c r="H124" s="488"/>
      <c r="J124" s="57" t="s">
        <v>2308</v>
      </c>
    </row>
    <row r="125" spans="1:10" s="428" customFormat="1" ht="30" customHeight="1">
      <c r="A125" s="444" t="s">
        <v>1242</v>
      </c>
      <c r="B125" s="409" t="s">
        <v>147</v>
      </c>
      <c r="C125" s="410" t="s">
        <v>1245</v>
      </c>
      <c r="D125" s="415"/>
      <c r="E125" s="382"/>
      <c r="F125" s="457" t="s">
        <v>578</v>
      </c>
      <c r="G125" s="606">
        <f t="shared" ref="G125:G127" si="8">+Rebusca_t1(F125)</f>
        <v>10</v>
      </c>
      <c r="H125" s="488"/>
      <c r="J125" s="410" t="s">
        <v>2309</v>
      </c>
    </row>
    <row r="126" spans="1:10" s="428" customFormat="1" ht="30" customHeight="1">
      <c r="A126" s="444" t="s">
        <v>1243</v>
      </c>
      <c r="B126" s="409" t="s">
        <v>147</v>
      </c>
      <c r="C126" s="410" t="s">
        <v>1246</v>
      </c>
      <c r="D126" s="415"/>
      <c r="E126" s="382"/>
      <c r="F126" s="457" t="s">
        <v>582</v>
      </c>
      <c r="G126" s="606">
        <f t="shared" si="8"/>
        <v>90</v>
      </c>
      <c r="H126" s="488"/>
      <c r="J126" s="410" t="s">
        <v>2310</v>
      </c>
    </row>
    <row r="127" spans="1:10" s="428" customFormat="1" ht="30" customHeight="1">
      <c r="A127" s="444" t="s">
        <v>1244</v>
      </c>
      <c r="B127" s="409" t="s">
        <v>147</v>
      </c>
      <c r="C127" s="410" t="s">
        <v>1247</v>
      </c>
      <c r="D127" s="415"/>
      <c r="E127" s="382"/>
      <c r="F127" s="457" t="s">
        <v>586</v>
      </c>
      <c r="G127" s="606">
        <f t="shared" si="8"/>
        <v>0</v>
      </c>
      <c r="H127" s="488"/>
      <c r="J127" s="410" t="s">
        <v>2311</v>
      </c>
    </row>
    <row r="128" spans="1:10" s="428" customFormat="1" ht="30" customHeight="1">
      <c r="A128" s="442" t="s">
        <v>307</v>
      </c>
      <c r="B128" s="378" t="s">
        <v>147</v>
      </c>
      <c r="C128" s="57" t="s">
        <v>64</v>
      </c>
      <c r="D128" s="415"/>
      <c r="E128" s="382"/>
      <c r="F128" s="383" t="s">
        <v>587</v>
      </c>
      <c r="G128" s="602">
        <f>+Rebusca_t1("C-310")</f>
        <v>10</v>
      </c>
      <c r="H128" s="488"/>
      <c r="J128" s="57" t="s">
        <v>2420</v>
      </c>
    </row>
    <row r="129" spans="1:10" s="428" customFormat="1" ht="30" customHeight="1">
      <c r="A129" s="442" t="s">
        <v>308</v>
      </c>
      <c r="B129" s="378" t="s">
        <v>147</v>
      </c>
      <c r="C129" s="57" t="s">
        <v>65</v>
      </c>
      <c r="D129" s="415">
        <v>220.92</v>
      </c>
      <c r="E129" s="382" t="e">
        <f>#REF!*D129</f>
        <v>#REF!</v>
      </c>
      <c r="F129" s="383" t="s">
        <v>588</v>
      </c>
      <c r="G129" s="602"/>
      <c r="H129" s="488"/>
      <c r="J129" s="57" t="s">
        <v>2312</v>
      </c>
    </row>
    <row r="130" spans="1:10" s="428" customFormat="1" ht="30.6" customHeight="1" thickBot="1">
      <c r="A130" s="442" t="s">
        <v>426</v>
      </c>
      <c r="B130" s="378" t="s">
        <v>147</v>
      </c>
      <c r="C130" s="57" t="s">
        <v>240</v>
      </c>
      <c r="D130" s="421"/>
      <c r="E130" s="384"/>
      <c r="F130" s="383" t="s">
        <v>950</v>
      </c>
      <c r="G130" s="602">
        <f>+Rebusca_t1(F130)</f>
        <v>0</v>
      </c>
      <c r="H130" s="488"/>
      <c r="J130" s="57" t="s">
        <v>2313</v>
      </c>
    </row>
    <row r="131" spans="1:10" s="428" customFormat="1" ht="21" customHeight="1" thickBot="1">
      <c r="A131" s="442"/>
      <c r="B131" s="378"/>
      <c r="C131" s="403" t="s">
        <v>309</v>
      </c>
      <c r="D131" s="418"/>
      <c r="E131" s="392" t="e">
        <f>SUM(E116:E129)</f>
        <v>#REF!</v>
      </c>
      <c r="F131" s="383"/>
      <c r="G131" s="602"/>
      <c r="H131" s="488"/>
      <c r="J131" s="403" t="s">
        <v>2314</v>
      </c>
    </row>
    <row r="132" spans="1:10" s="428" customFormat="1" ht="20.399999999999999" customHeight="1">
      <c r="A132" s="442"/>
      <c r="B132" s="378"/>
      <c r="C132" s="377"/>
      <c r="D132" s="419"/>
      <c r="E132" s="388"/>
      <c r="F132" s="387"/>
      <c r="G132" s="603"/>
      <c r="H132" s="488"/>
      <c r="J132" s="377"/>
    </row>
    <row r="133" spans="1:10" s="428" customFormat="1" ht="30" hidden="1" customHeight="1">
      <c r="A133" s="442"/>
      <c r="B133" s="378"/>
      <c r="C133" s="403" t="s">
        <v>310</v>
      </c>
      <c r="D133" s="419"/>
      <c r="E133" s="388"/>
      <c r="F133" s="385"/>
      <c r="G133" s="604"/>
      <c r="H133" s="488"/>
      <c r="J133" s="403" t="s">
        <v>310</v>
      </c>
    </row>
    <row r="134" spans="1:10" s="428" customFormat="1" ht="30" hidden="1" customHeight="1">
      <c r="A134" s="442" t="s">
        <v>311</v>
      </c>
      <c r="B134" s="378" t="s">
        <v>147</v>
      </c>
      <c r="C134" s="57" t="s">
        <v>153</v>
      </c>
      <c r="D134" s="415">
        <v>140.08000000000001</v>
      </c>
      <c r="E134" s="382" t="e">
        <f>#REF!*D134</f>
        <v>#REF!</v>
      </c>
      <c r="F134" s="381"/>
      <c r="G134" s="605"/>
      <c r="H134" s="488"/>
      <c r="J134" s="57" t="s">
        <v>153</v>
      </c>
    </row>
    <row r="135" spans="1:10" s="428" customFormat="1" ht="30" hidden="1" customHeight="1">
      <c r="A135" s="442" t="s">
        <v>312</v>
      </c>
      <c r="B135" s="378" t="s">
        <v>147</v>
      </c>
      <c r="C135" s="57" t="s">
        <v>154</v>
      </c>
      <c r="D135" s="415">
        <v>286.39</v>
      </c>
      <c r="E135" s="382" t="e">
        <f>#REF!*D135</f>
        <v>#REF!</v>
      </c>
      <c r="F135" s="381"/>
      <c r="G135" s="605"/>
      <c r="H135" s="488"/>
      <c r="J135" s="57" t="s">
        <v>154</v>
      </c>
    </row>
    <row r="136" spans="1:10" s="428" customFormat="1" ht="30" hidden="1" customHeight="1">
      <c r="A136" s="442" t="s">
        <v>313</v>
      </c>
      <c r="B136" s="378" t="s">
        <v>147</v>
      </c>
      <c r="C136" s="57" t="s">
        <v>155</v>
      </c>
      <c r="D136" s="415">
        <v>378.57</v>
      </c>
      <c r="E136" s="382" t="e">
        <f>#REF!*D136</f>
        <v>#REF!</v>
      </c>
      <c r="F136" s="381"/>
      <c r="G136" s="605"/>
      <c r="H136" s="488"/>
      <c r="J136" s="57" t="s">
        <v>155</v>
      </c>
    </row>
    <row r="137" spans="1:10" s="428" customFormat="1" ht="30" hidden="1" customHeight="1">
      <c r="A137" s="442" t="s">
        <v>314</v>
      </c>
      <c r="B137" s="378" t="s">
        <v>147</v>
      </c>
      <c r="C137" s="57" t="s">
        <v>156</v>
      </c>
      <c r="D137" s="415">
        <v>186.36</v>
      </c>
      <c r="E137" s="382" t="e">
        <f>#REF!*D137</f>
        <v>#REF!</v>
      </c>
      <c r="F137" s="381"/>
      <c r="G137" s="605"/>
      <c r="H137" s="488"/>
      <c r="J137" s="57" t="s">
        <v>156</v>
      </c>
    </row>
    <row r="138" spans="1:10" s="428" customFormat="1" ht="42" hidden="1" customHeight="1">
      <c r="A138" s="442" t="s">
        <v>315</v>
      </c>
      <c r="B138" s="378" t="s">
        <v>147</v>
      </c>
      <c r="C138" s="57" t="s">
        <v>157</v>
      </c>
      <c r="D138" s="415">
        <v>368.7</v>
      </c>
      <c r="E138" s="382" t="e">
        <f>#REF!*D138</f>
        <v>#REF!</v>
      </c>
      <c r="F138" s="381"/>
      <c r="G138" s="605"/>
      <c r="H138" s="488"/>
      <c r="J138" s="57" t="s">
        <v>157</v>
      </c>
    </row>
    <row r="139" spans="1:10" s="428" customFormat="1" ht="30.6" hidden="1" customHeight="1" thickBot="1">
      <c r="A139" s="442" t="s">
        <v>427</v>
      </c>
      <c r="B139" s="378" t="s">
        <v>147</v>
      </c>
      <c r="C139" s="57" t="s">
        <v>428</v>
      </c>
      <c r="D139" s="421"/>
      <c r="E139" s="384"/>
      <c r="F139" s="381"/>
      <c r="G139" s="605"/>
      <c r="H139" s="488"/>
      <c r="J139" s="57" t="s">
        <v>428</v>
      </c>
    </row>
    <row r="140" spans="1:10" s="428" customFormat="1" ht="21" hidden="1" customHeight="1" thickBot="1">
      <c r="A140" s="442"/>
      <c r="B140" s="378"/>
      <c r="C140" s="403" t="s">
        <v>316</v>
      </c>
      <c r="D140" s="418"/>
      <c r="E140" s="392" t="e">
        <f>SUM(E134:E138)</f>
        <v>#REF!</v>
      </c>
      <c r="F140" s="385"/>
      <c r="G140" s="604"/>
      <c r="H140" s="488"/>
      <c r="J140" s="403" t="s">
        <v>316</v>
      </c>
    </row>
    <row r="141" spans="1:10" s="428" customFormat="1" ht="20.399999999999999" hidden="1" customHeight="1">
      <c r="A141" s="442"/>
      <c r="B141" s="378"/>
      <c r="C141" s="377" t="s">
        <v>317</v>
      </c>
      <c r="D141" s="415"/>
      <c r="E141" s="12"/>
      <c r="F141" s="381"/>
      <c r="G141" s="605"/>
      <c r="H141" s="488"/>
      <c r="J141" s="377" t="s">
        <v>317</v>
      </c>
    </row>
    <row r="142" spans="1:10" s="428" customFormat="1" ht="20.399999999999999" hidden="1" customHeight="1">
      <c r="A142" s="442"/>
      <c r="B142" s="378"/>
      <c r="C142" s="377"/>
      <c r="D142" s="415"/>
      <c r="E142" s="12"/>
      <c r="F142" s="381"/>
      <c r="G142" s="605"/>
      <c r="H142" s="488"/>
      <c r="J142" s="377"/>
    </row>
    <row r="143" spans="1:10" s="428" customFormat="1" ht="20.399999999999999" customHeight="1">
      <c r="A143" s="442"/>
      <c r="B143" s="378"/>
      <c r="C143" s="377" t="s">
        <v>318</v>
      </c>
      <c r="D143" s="415"/>
      <c r="E143" s="12"/>
      <c r="F143" s="381"/>
      <c r="G143" s="605"/>
      <c r="H143" s="488"/>
      <c r="J143" s="377" t="s">
        <v>2315</v>
      </c>
    </row>
    <row r="144" spans="1:10" s="428" customFormat="1" ht="20.399999999999999" customHeight="1">
      <c r="A144" s="442"/>
      <c r="B144" s="378"/>
      <c r="C144" s="403"/>
      <c r="D144" s="415"/>
      <c r="E144" s="12"/>
      <c r="F144" s="381"/>
      <c r="G144" s="605"/>
      <c r="H144" s="488"/>
      <c r="J144" s="403"/>
    </row>
    <row r="145" spans="1:10" s="428" customFormat="1" ht="20.399999999999999" customHeight="1">
      <c r="A145" s="442"/>
      <c r="B145" s="378"/>
      <c r="C145" s="403" t="s">
        <v>319</v>
      </c>
      <c r="D145" s="419"/>
      <c r="E145" s="388"/>
      <c r="F145" s="385"/>
      <c r="G145" s="604"/>
      <c r="H145" s="488"/>
      <c r="J145" s="403" t="s">
        <v>2316</v>
      </c>
    </row>
    <row r="146" spans="1:10" s="428" customFormat="1" ht="30" customHeight="1">
      <c r="A146" s="442" t="s">
        <v>320</v>
      </c>
      <c r="B146" s="378" t="s">
        <v>158</v>
      </c>
      <c r="C146" s="57" t="s">
        <v>79</v>
      </c>
      <c r="D146" s="420">
        <v>11530.49</v>
      </c>
      <c r="E146" s="382" t="e">
        <f>D146*#REF!</f>
        <v>#REF!</v>
      </c>
      <c r="F146" s="411" t="s">
        <v>589</v>
      </c>
      <c r="G146" s="607">
        <f>+Rebusca_t1(F146)</f>
        <v>44.787500000000001</v>
      </c>
      <c r="H146" s="488"/>
      <c r="J146" s="57" t="s">
        <v>2317</v>
      </c>
    </row>
    <row r="147" spans="1:10" s="428" customFormat="1" ht="30" customHeight="1">
      <c r="A147" s="442" t="s">
        <v>321</v>
      </c>
      <c r="B147" s="378" t="s">
        <v>147</v>
      </c>
      <c r="C147" s="57" t="s">
        <v>80</v>
      </c>
      <c r="D147" s="415">
        <v>11.76</v>
      </c>
      <c r="E147" s="382" t="e">
        <f>D147*#REF!</f>
        <v>#REF!</v>
      </c>
      <c r="F147" s="383" t="s">
        <v>590</v>
      </c>
      <c r="G147" s="602">
        <f t="shared" ref="G147:G156" si="9">+Rebusca_t1(F147)</f>
        <v>4711</v>
      </c>
      <c r="H147" s="488"/>
      <c r="J147" s="57" t="s">
        <v>2318</v>
      </c>
    </row>
    <row r="148" spans="1:10" s="428" customFormat="1" ht="30" customHeight="1">
      <c r="A148" s="442" t="s">
        <v>322</v>
      </c>
      <c r="B148" s="378" t="s">
        <v>147</v>
      </c>
      <c r="C148" s="57" t="s">
        <v>81</v>
      </c>
      <c r="D148" s="415">
        <v>11.54</v>
      </c>
      <c r="E148" s="382" t="e">
        <f>D148*#REF!</f>
        <v>#REF!</v>
      </c>
      <c r="F148" s="383" t="s">
        <v>591</v>
      </c>
      <c r="G148" s="602">
        <f t="shared" si="9"/>
        <v>1560</v>
      </c>
      <c r="H148" s="488"/>
      <c r="J148" s="57" t="s">
        <v>2319</v>
      </c>
    </row>
    <row r="149" spans="1:10" s="428" customFormat="1">
      <c r="A149" s="445" t="s">
        <v>323</v>
      </c>
      <c r="B149" s="395" t="s">
        <v>147</v>
      </c>
      <c r="C149" s="405" t="s">
        <v>82</v>
      </c>
      <c r="D149" s="423">
        <v>61.32</v>
      </c>
      <c r="E149" s="382" t="e">
        <f>D149*#REF!</f>
        <v>#REF!</v>
      </c>
      <c r="F149" s="383" t="s">
        <v>592</v>
      </c>
      <c r="G149" s="602">
        <f t="shared" si="9"/>
        <v>780</v>
      </c>
      <c r="H149" s="488"/>
      <c r="J149" s="405" t="s">
        <v>2157</v>
      </c>
    </row>
    <row r="150" spans="1:10" s="428" customFormat="1" ht="30" customHeight="1">
      <c r="A150" s="442" t="s">
        <v>324</v>
      </c>
      <c r="B150" s="378" t="s">
        <v>147</v>
      </c>
      <c r="C150" s="57" t="s">
        <v>159</v>
      </c>
      <c r="D150" s="420">
        <v>3487.1</v>
      </c>
      <c r="E150" s="382" t="e">
        <f>D150*#REF!</f>
        <v>#REF!</v>
      </c>
      <c r="F150" s="383" t="s">
        <v>593</v>
      </c>
      <c r="G150" s="602">
        <f t="shared" si="9"/>
        <v>0</v>
      </c>
      <c r="H150" s="488"/>
      <c r="J150" s="57" t="s">
        <v>2320</v>
      </c>
    </row>
    <row r="151" spans="1:10" s="428" customFormat="1" ht="30" customHeight="1">
      <c r="A151" s="442" t="s">
        <v>325</v>
      </c>
      <c r="B151" s="378" t="s">
        <v>147</v>
      </c>
      <c r="C151" s="57" t="s">
        <v>160</v>
      </c>
      <c r="D151" s="415">
        <v>775.29</v>
      </c>
      <c r="E151" s="382" t="e">
        <f>D151*#REF!</f>
        <v>#REF!</v>
      </c>
      <c r="F151" s="383" t="s">
        <v>594</v>
      </c>
      <c r="G151" s="602">
        <f t="shared" si="9"/>
        <v>0</v>
      </c>
      <c r="H151" s="488"/>
      <c r="J151" s="57" t="s">
        <v>2321</v>
      </c>
    </row>
    <row r="152" spans="1:10" s="428" customFormat="1" ht="30" customHeight="1">
      <c r="A152" s="442" t="s">
        <v>326</v>
      </c>
      <c r="B152" s="378" t="s">
        <v>147</v>
      </c>
      <c r="C152" s="57" t="s">
        <v>161</v>
      </c>
      <c r="D152" s="415">
        <v>751.22</v>
      </c>
      <c r="E152" s="382" t="e">
        <f>D152*#REF!</f>
        <v>#REF!</v>
      </c>
      <c r="F152" s="383" t="s">
        <v>596</v>
      </c>
      <c r="G152" s="602">
        <f t="shared" si="9"/>
        <v>2</v>
      </c>
      <c r="H152" s="488"/>
      <c r="J152" s="57" t="s">
        <v>2322</v>
      </c>
    </row>
    <row r="153" spans="1:10" s="428" customFormat="1" ht="30" customHeight="1">
      <c r="A153" s="442" t="s">
        <v>327</v>
      </c>
      <c r="B153" s="378" t="s">
        <v>147</v>
      </c>
      <c r="C153" s="57" t="s">
        <v>108</v>
      </c>
      <c r="D153" s="420">
        <v>4695.59</v>
      </c>
      <c r="E153" s="382" t="e">
        <f>D153*#REF!</f>
        <v>#REF!</v>
      </c>
      <c r="F153" s="383" t="s">
        <v>597</v>
      </c>
      <c r="G153" s="602">
        <f t="shared" si="9"/>
        <v>70</v>
      </c>
      <c r="H153" s="488"/>
      <c r="J153" s="57" t="s">
        <v>2323</v>
      </c>
    </row>
    <row r="154" spans="1:10" s="428" customFormat="1" ht="30" customHeight="1">
      <c r="A154" s="442" t="s">
        <v>328</v>
      </c>
      <c r="B154" s="378" t="s">
        <v>147</v>
      </c>
      <c r="C154" s="57" t="s">
        <v>109</v>
      </c>
      <c r="D154" s="415">
        <v>851.5</v>
      </c>
      <c r="E154" s="382" t="e">
        <f>D154*#REF!</f>
        <v>#REF!</v>
      </c>
      <c r="F154" s="383" t="s">
        <v>598</v>
      </c>
      <c r="G154" s="602">
        <f t="shared" si="9"/>
        <v>4</v>
      </c>
      <c r="H154" s="488"/>
      <c r="J154" s="57" t="s">
        <v>2324</v>
      </c>
    </row>
    <row r="155" spans="1:10" s="428" customFormat="1" ht="30" customHeight="1">
      <c r="A155" s="442" t="s">
        <v>329</v>
      </c>
      <c r="B155" s="378" t="s">
        <v>147</v>
      </c>
      <c r="C155" s="57" t="s">
        <v>162</v>
      </c>
      <c r="D155" s="415">
        <v>863.12</v>
      </c>
      <c r="E155" s="382" t="e">
        <f>D155*#REF!</f>
        <v>#REF!</v>
      </c>
      <c r="F155" s="383" t="s">
        <v>599</v>
      </c>
      <c r="G155" s="602">
        <f t="shared" si="9"/>
        <v>46</v>
      </c>
      <c r="H155" s="488"/>
      <c r="J155" s="57" t="s">
        <v>2325</v>
      </c>
    </row>
    <row r="156" spans="1:10" s="428" customFormat="1" ht="42.6" customHeight="1" thickBot="1">
      <c r="A156" s="442" t="s">
        <v>330</v>
      </c>
      <c r="B156" s="378" t="s">
        <v>147</v>
      </c>
      <c r="C156" s="57" t="s">
        <v>163</v>
      </c>
      <c r="D156" s="420">
        <v>4432.2700000000004</v>
      </c>
      <c r="E156" s="391" t="e">
        <f>D156*#REF!</f>
        <v>#REF!</v>
      </c>
      <c r="F156" s="383" t="s">
        <v>600</v>
      </c>
      <c r="G156" s="602">
        <f t="shared" si="9"/>
        <v>28</v>
      </c>
      <c r="H156" s="488"/>
      <c r="J156" s="57" t="s">
        <v>2326</v>
      </c>
    </row>
    <row r="157" spans="1:10" s="428" customFormat="1" ht="21" customHeight="1" thickBot="1">
      <c r="A157" s="442"/>
      <c r="B157" s="378"/>
      <c r="C157" s="403" t="s">
        <v>331</v>
      </c>
      <c r="D157" s="421"/>
      <c r="E157" s="392" t="e">
        <f>SUM(E146:E156)</f>
        <v>#REF!</v>
      </c>
      <c r="F157" s="381"/>
      <c r="G157" s="605"/>
      <c r="H157" s="488"/>
      <c r="J157" s="403" t="s">
        <v>2327</v>
      </c>
    </row>
    <row r="158" spans="1:10" s="428" customFormat="1" ht="20.399999999999999" customHeight="1">
      <c r="A158" s="442"/>
      <c r="B158" s="378"/>
      <c r="C158" s="57"/>
      <c r="D158" s="415"/>
      <c r="E158" s="12"/>
      <c r="F158" s="381"/>
      <c r="G158" s="605"/>
      <c r="H158" s="488"/>
      <c r="J158" s="57"/>
    </row>
    <row r="159" spans="1:10" s="428" customFormat="1" ht="20.399999999999999" hidden="1" customHeight="1">
      <c r="A159" s="442"/>
      <c r="B159" s="378"/>
      <c r="C159" s="403" t="s">
        <v>332</v>
      </c>
      <c r="D159" s="415"/>
      <c r="E159" s="12"/>
      <c r="F159" s="381"/>
      <c r="G159" s="605"/>
      <c r="H159" s="488"/>
      <c r="J159" s="403" t="s">
        <v>332</v>
      </c>
    </row>
    <row r="160" spans="1:10" s="428" customFormat="1" ht="30" hidden="1" customHeight="1">
      <c r="A160" s="442" t="s">
        <v>333</v>
      </c>
      <c r="B160" s="378" t="s">
        <v>158</v>
      </c>
      <c r="C160" s="57" t="s">
        <v>83</v>
      </c>
      <c r="D160" s="420">
        <v>13635.93</v>
      </c>
      <c r="E160" s="382" t="e">
        <f>D160*#REF!</f>
        <v>#REF!</v>
      </c>
      <c r="F160" s="393"/>
      <c r="G160" s="608"/>
      <c r="H160" s="488"/>
      <c r="J160" s="57" t="s">
        <v>83</v>
      </c>
    </row>
    <row r="161" spans="1:10" s="428" customFormat="1" ht="30" hidden="1" customHeight="1">
      <c r="A161" s="442" t="s">
        <v>334</v>
      </c>
      <c r="B161" s="378" t="s">
        <v>158</v>
      </c>
      <c r="C161" s="57" t="s">
        <v>84</v>
      </c>
      <c r="D161" s="420">
        <v>14642.12</v>
      </c>
      <c r="E161" s="382" t="e">
        <f>D161*#REF!</f>
        <v>#REF!</v>
      </c>
      <c r="F161" s="381"/>
      <c r="G161" s="605"/>
      <c r="H161" s="488"/>
      <c r="J161" s="57" t="s">
        <v>84</v>
      </c>
    </row>
    <row r="162" spans="1:10" s="428" customFormat="1" ht="54" hidden="1" customHeight="1">
      <c r="A162" s="442" t="s">
        <v>335</v>
      </c>
      <c r="B162" s="378" t="s">
        <v>158</v>
      </c>
      <c r="C162" s="57" t="s">
        <v>164</v>
      </c>
      <c r="D162" s="420">
        <v>2298.96</v>
      </c>
      <c r="E162" s="382" t="e">
        <f>D162*#REF!</f>
        <v>#REF!</v>
      </c>
      <c r="F162" s="381"/>
      <c r="G162" s="605"/>
      <c r="H162" s="488"/>
      <c r="J162" s="57" t="s">
        <v>164</v>
      </c>
    </row>
    <row r="163" spans="1:10" s="428" customFormat="1" ht="30" hidden="1" customHeight="1">
      <c r="A163" s="442" t="s">
        <v>336</v>
      </c>
      <c r="B163" s="378" t="s">
        <v>147</v>
      </c>
      <c r="C163" s="57" t="s">
        <v>165</v>
      </c>
      <c r="D163" s="415">
        <v>234.92</v>
      </c>
      <c r="E163" s="382" t="e">
        <f>D163*#REF!</f>
        <v>#REF!</v>
      </c>
      <c r="F163" s="394"/>
      <c r="G163" s="609"/>
      <c r="H163" s="488"/>
      <c r="J163" s="57" t="s">
        <v>165</v>
      </c>
    </row>
    <row r="164" spans="1:10" s="428" customFormat="1" ht="30" hidden="1" customHeight="1">
      <c r="A164" s="442" t="s">
        <v>337</v>
      </c>
      <c r="B164" s="378" t="s">
        <v>147</v>
      </c>
      <c r="C164" s="57" t="s">
        <v>166</v>
      </c>
      <c r="D164" s="415">
        <v>715.86</v>
      </c>
      <c r="E164" s="382" t="e">
        <f>D164*#REF!</f>
        <v>#REF!</v>
      </c>
      <c r="F164" s="394"/>
      <c r="G164" s="609"/>
      <c r="H164" s="488"/>
      <c r="J164" s="57" t="s">
        <v>166</v>
      </c>
    </row>
    <row r="165" spans="1:10" s="428" customFormat="1" ht="30" hidden="1" customHeight="1">
      <c r="A165" s="442" t="s">
        <v>338</v>
      </c>
      <c r="B165" s="378" t="s">
        <v>147</v>
      </c>
      <c r="C165" s="57" t="s">
        <v>167</v>
      </c>
      <c r="D165" s="415">
        <v>548.64</v>
      </c>
      <c r="E165" s="382" t="e">
        <f>D165*#REF!</f>
        <v>#REF!</v>
      </c>
      <c r="F165" s="394"/>
      <c r="G165" s="609"/>
      <c r="H165" s="488"/>
      <c r="J165" s="57" t="s">
        <v>167</v>
      </c>
    </row>
    <row r="166" spans="1:10" s="428" customFormat="1" ht="30" hidden="1" customHeight="1">
      <c r="A166" s="442" t="s">
        <v>339</v>
      </c>
      <c r="B166" s="378" t="s">
        <v>147</v>
      </c>
      <c r="C166" s="57" t="s">
        <v>168</v>
      </c>
      <c r="D166" s="420">
        <v>2512.15</v>
      </c>
      <c r="E166" s="382" t="e">
        <f>D166*#REF!</f>
        <v>#REF!</v>
      </c>
      <c r="F166" s="394"/>
      <c r="G166" s="609"/>
      <c r="H166" s="488"/>
      <c r="J166" s="57" t="s">
        <v>168</v>
      </c>
    </row>
    <row r="167" spans="1:10" s="428" customFormat="1" ht="30.6" hidden="1" customHeight="1" thickBot="1">
      <c r="A167" s="442" t="s">
        <v>340</v>
      </c>
      <c r="B167" s="378" t="s">
        <v>147</v>
      </c>
      <c r="C167" s="57" t="s">
        <v>169</v>
      </c>
      <c r="D167" s="420">
        <v>1252.42</v>
      </c>
      <c r="E167" s="391" t="e">
        <f>D167*#REF!</f>
        <v>#REF!</v>
      </c>
      <c r="F167" s="381"/>
      <c r="G167" s="605"/>
      <c r="H167" s="488"/>
      <c r="J167" s="57" t="s">
        <v>169</v>
      </c>
    </row>
    <row r="168" spans="1:10" s="428" customFormat="1" ht="21" hidden="1" customHeight="1" thickBot="1">
      <c r="A168" s="442"/>
      <c r="B168" s="378"/>
      <c r="C168" s="403" t="s">
        <v>341</v>
      </c>
      <c r="D168" s="421"/>
      <c r="E168" s="392" t="e">
        <f>SUM(E160:E167)</f>
        <v>#REF!</v>
      </c>
      <c r="F168" s="381"/>
      <c r="G168" s="605"/>
      <c r="H168" s="488"/>
      <c r="J168" s="403" t="s">
        <v>341</v>
      </c>
    </row>
    <row r="169" spans="1:10" s="428" customFormat="1" ht="20.399999999999999" hidden="1" customHeight="1">
      <c r="A169" s="442"/>
      <c r="B169" s="378"/>
      <c r="C169" s="377" t="s">
        <v>342</v>
      </c>
      <c r="D169" s="415"/>
      <c r="E169" s="12"/>
      <c r="F169" s="381"/>
      <c r="G169" s="605"/>
      <c r="H169" s="488"/>
      <c r="J169" s="377" t="s">
        <v>342</v>
      </c>
    </row>
    <row r="170" spans="1:10" s="428" customFormat="1" ht="20.399999999999999" hidden="1" customHeight="1">
      <c r="A170" s="442"/>
      <c r="B170" s="378"/>
      <c r="C170" s="377"/>
      <c r="D170" s="415"/>
      <c r="E170" s="12"/>
      <c r="F170" s="381"/>
      <c r="G170" s="605"/>
      <c r="H170" s="488"/>
      <c r="J170" s="377"/>
    </row>
    <row r="171" spans="1:10" s="428" customFormat="1" ht="20.399999999999999" customHeight="1">
      <c r="A171" s="442"/>
      <c r="B171" s="378"/>
      <c r="C171" s="377" t="s">
        <v>343</v>
      </c>
      <c r="D171" s="415"/>
      <c r="E171" s="12"/>
      <c r="F171" s="381"/>
      <c r="G171" s="605"/>
      <c r="H171" s="488"/>
      <c r="J171" s="377" t="s">
        <v>2328</v>
      </c>
    </row>
    <row r="172" spans="1:10" s="428" customFormat="1" ht="20.399999999999999" customHeight="1">
      <c r="A172" s="442"/>
      <c r="B172" s="378"/>
      <c r="C172" s="403"/>
      <c r="D172" s="415"/>
      <c r="E172" s="12"/>
      <c r="F172" s="381"/>
      <c r="G172" s="605"/>
      <c r="H172" s="488"/>
      <c r="J172" s="403"/>
    </row>
    <row r="173" spans="1:10" s="428" customFormat="1" ht="30" customHeight="1">
      <c r="A173" s="442"/>
      <c r="B173" s="378"/>
      <c r="C173" s="403" t="s">
        <v>344</v>
      </c>
      <c r="D173" s="415"/>
      <c r="E173" s="12"/>
      <c r="F173" s="381"/>
      <c r="G173" s="605"/>
      <c r="H173" s="488"/>
      <c r="J173" s="403" t="s">
        <v>2329</v>
      </c>
    </row>
    <row r="174" spans="1:10" s="428" customFormat="1" ht="30" customHeight="1">
      <c r="A174" s="442" t="s">
        <v>345</v>
      </c>
      <c r="B174" s="378" t="s">
        <v>158</v>
      </c>
      <c r="C174" s="57" t="s">
        <v>400</v>
      </c>
      <c r="D174" s="420">
        <v>2415.0300000000002</v>
      </c>
      <c r="E174" s="382" t="e">
        <f>#REF!*D174</f>
        <v>#REF!</v>
      </c>
      <c r="F174" s="383" t="s">
        <v>603</v>
      </c>
      <c r="G174" s="602">
        <f t="shared" ref="G174:G177" si="10">+Rebusca_t1(F174)</f>
        <v>49.8</v>
      </c>
      <c r="H174" s="488"/>
      <c r="J174" s="57" t="s">
        <v>2330</v>
      </c>
    </row>
    <row r="175" spans="1:10" s="428" customFormat="1" ht="30" customHeight="1">
      <c r="A175" s="459" t="s">
        <v>346</v>
      </c>
      <c r="B175" s="409" t="s">
        <v>158</v>
      </c>
      <c r="C175" s="410" t="s">
        <v>401</v>
      </c>
      <c r="D175" s="460">
        <v>2415.0300000000002</v>
      </c>
      <c r="E175" s="461" t="e">
        <f>#REF!*D175</f>
        <v>#REF!</v>
      </c>
      <c r="F175" s="458"/>
      <c r="G175" s="610"/>
      <c r="H175" s="488"/>
      <c r="J175" s="410" t="s">
        <v>2331</v>
      </c>
    </row>
    <row r="176" spans="1:10" s="428" customFormat="1" ht="30" customHeight="1">
      <c r="A176" s="442" t="s">
        <v>347</v>
      </c>
      <c r="B176" s="378" t="s">
        <v>158</v>
      </c>
      <c r="C176" s="57" t="s">
        <v>415</v>
      </c>
      <c r="D176" s="420">
        <v>7833.97</v>
      </c>
      <c r="E176" s="382"/>
      <c r="F176" s="394" t="s">
        <v>605</v>
      </c>
      <c r="G176" s="602">
        <f t="shared" si="10"/>
        <v>0</v>
      </c>
      <c r="H176" s="488"/>
      <c r="J176" s="57" t="s">
        <v>2332</v>
      </c>
    </row>
    <row r="177" spans="1:10" s="428" customFormat="1" ht="30" customHeight="1">
      <c r="A177" s="442" t="s">
        <v>348</v>
      </c>
      <c r="B177" s="378" t="s">
        <v>158</v>
      </c>
      <c r="C177" s="57" t="s">
        <v>417</v>
      </c>
      <c r="D177" s="420">
        <v>27862.42</v>
      </c>
      <c r="E177" s="382" t="e">
        <f>#REF!*D177</f>
        <v>#REF!</v>
      </c>
      <c r="F177" s="396" t="s">
        <v>786</v>
      </c>
      <c r="G177" s="602">
        <f t="shared" si="10"/>
        <v>0</v>
      </c>
      <c r="H177" s="488"/>
      <c r="J177" s="57" t="s">
        <v>2442</v>
      </c>
    </row>
    <row r="178" spans="1:10" s="428" customFormat="1" ht="30" customHeight="1">
      <c r="A178" s="442" t="s">
        <v>349</v>
      </c>
      <c r="B178" s="378" t="s">
        <v>147</v>
      </c>
      <c r="C178" s="57" t="s">
        <v>402</v>
      </c>
      <c r="D178" s="415">
        <v>132.35</v>
      </c>
      <c r="E178" s="382" t="e">
        <f>#REF!*D178</f>
        <v>#REF!</v>
      </c>
      <c r="F178" s="383" t="s">
        <v>632</v>
      </c>
      <c r="G178" s="602">
        <f t="shared" ref="G178:G180" si="11">+Rebusca_t1(F178)</f>
        <v>0</v>
      </c>
      <c r="H178" s="488"/>
      <c r="J178" s="57" t="s">
        <v>2333</v>
      </c>
    </row>
    <row r="179" spans="1:10" s="428" customFormat="1" ht="30" customHeight="1">
      <c r="A179" s="442" t="s">
        <v>350</v>
      </c>
      <c r="B179" s="378" t="s">
        <v>147</v>
      </c>
      <c r="C179" s="57" t="s">
        <v>403</v>
      </c>
      <c r="D179" s="415">
        <v>150</v>
      </c>
      <c r="E179" s="382" t="e">
        <f>#REF!*D179</f>
        <v>#REF!</v>
      </c>
      <c r="F179" s="462"/>
      <c r="G179" s="609"/>
      <c r="H179" s="488"/>
      <c r="J179" s="57" t="s">
        <v>2334</v>
      </c>
    </row>
    <row r="180" spans="1:10" s="428" customFormat="1" ht="30" customHeight="1">
      <c r="A180" s="442" t="s">
        <v>351</v>
      </c>
      <c r="B180" s="378" t="s">
        <v>147</v>
      </c>
      <c r="C180" s="57" t="s">
        <v>404</v>
      </c>
      <c r="D180" s="415">
        <v>132.35</v>
      </c>
      <c r="E180" s="382" t="e">
        <f>#REF!*D180</f>
        <v>#REF!</v>
      </c>
      <c r="F180" s="394" t="s">
        <v>611</v>
      </c>
      <c r="G180" s="602">
        <f t="shared" si="11"/>
        <v>0</v>
      </c>
      <c r="H180" s="488"/>
      <c r="J180" s="57" t="s">
        <v>2335</v>
      </c>
    </row>
    <row r="181" spans="1:10" s="428" customFormat="1" ht="30" customHeight="1">
      <c r="A181" s="442" t="s">
        <v>352</v>
      </c>
      <c r="B181" s="378" t="s">
        <v>147</v>
      </c>
      <c r="C181" s="57" t="s">
        <v>416</v>
      </c>
      <c r="D181" s="415">
        <v>141.87</v>
      </c>
      <c r="E181" s="382" t="e">
        <f>#REF!*D181</f>
        <v>#REF!</v>
      </c>
      <c r="F181" s="394" t="s">
        <v>612</v>
      </c>
      <c r="G181" s="602">
        <f t="shared" ref="G181" si="12">+Rebusca_t1(F181)</f>
        <v>0</v>
      </c>
      <c r="H181" s="488"/>
      <c r="J181" s="57" t="s">
        <v>2336</v>
      </c>
    </row>
    <row r="182" spans="1:10" s="428" customFormat="1" ht="30" customHeight="1">
      <c r="A182" s="442" t="s">
        <v>353</v>
      </c>
      <c r="B182" s="389" t="s">
        <v>147</v>
      </c>
      <c r="C182" s="404" t="s">
        <v>405</v>
      </c>
      <c r="D182" s="415">
        <v>75.069999999999993</v>
      </c>
      <c r="E182" s="382" t="e">
        <f>#REF!*D182</f>
        <v>#REF!</v>
      </c>
      <c r="F182" s="383" t="s">
        <v>634</v>
      </c>
      <c r="G182" s="602">
        <f t="shared" ref="G182" si="13">+Rebusca_t1(F182)</f>
        <v>72</v>
      </c>
      <c r="H182" s="488"/>
      <c r="J182" s="57" t="s">
        <v>2337</v>
      </c>
    </row>
    <row r="183" spans="1:10" s="428" customFormat="1" ht="30" customHeight="1">
      <c r="A183" s="442" t="s">
        <v>354</v>
      </c>
      <c r="B183" s="397" t="s">
        <v>147</v>
      </c>
      <c r="C183" s="406" t="s">
        <v>406</v>
      </c>
      <c r="D183" s="415">
        <v>100</v>
      </c>
      <c r="E183" s="382" t="e">
        <f>#REF!*D183</f>
        <v>#REF!</v>
      </c>
      <c r="F183" s="462"/>
      <c r="G183" s="609"/>
      <c r="H183" s="488"/>
      <c r="J183" s="57" t="s">
        <v>2338</v>
      </c>
    </row>
    <row r="184" spans="1:10" s="428" customFormat="1" ht="30" customHeight="1">
      <c r="A184" s="442" t="s">
        <v>355</v>
      </c>
      <c r="B184" s="398" t="s">
        <v>147</v>
      </c>
      <c r="C184" s="407" t="s">
        <v>85</v>
      </c>
      <c r="D184" s="423">
        <v>291.33999999999997</v>
      </c>
      <c r="E184" s="382" t="e">
        <f>#REF!*D184</f>
        <v>#REF!</v>
      </c>
      <c r="F184" s="394" t="s">
        <v>625</v>
      </c>
      <c r="G184" s="602">
        <f t="shared" ref="G184" si="14">+Rebusca_t1(F184)</f>
        <v>0</v>
      </c>
      <c r="H184" s="488"/>
      <c r="J184" s="57" t="s">
        <v>2339</v>
      </c>
    </row>
    <row r="185" spans="1:10" s="428" customFormat="1" ht="30" customHeight="1">
      <c r="A185" s="442" t="s">
        <v>356</v>
      </c>
      <c r="B185" s="378" t="s">
        <v>147</v>
      </c>
      <c r="C185" s="57" t="s">
        <v>407</v>
      </c>
      <c r="D185" s="415">
        <v>7.89</v>
      </c>
      <c r="E185" s="382" t="e">
        <f>#REF!*D185</f>
        <v>#REF!</v>
      </c>
      <c r="F185" s="383" t="s">
        <v>631</v>
      </c>
      <c r="G185" s="602">
        <f t="shared" ref="G185" si="15">+Rebusca_t1(F185)</f>
        <v>86</v>
      </c>
      <c r="H185" s="488"/>
      <c r="J185" s="57" t="s">
        <v>2421</v>
      </c>
    </row>
    <row r="186" spans="1:10" s="428" customFormat="1" ht="30" customHeight="1">
      <c r="A186" s="442" t="s">
        <v>357</v>
      </c>
      <c r="B186" s="378" t="s">
        <v>147</v>
      </c>
      <c r="C186" s="57" t="s">
        <v>408</v>
      </c>
      <c r="D186" s="415">
        <v>10</v>
      </c>
      <c r="E186" s="382" t="e">
        <f>#REF!*D186</f>
        <v>#REF!</v>
      </c>
      <c r="F186" s="394"/>
      <c r="G186" s="609"/>
      <c r="H186" s="488"/>
      <c r="J186" s="57" t="s">
        <v>2422</v>
      </c>
    </row>
    <row r="187" spans="1:10" s="428" customFormat="1" ht="30" customHeight="1">
      <c r="A187" s="442" t="s">
        <v>358</v>
      </c>
      <c r="B187" s="378" t="s">
        <v>147</v>
      </c>
      <c r="C187" s="57" t="s">
        <v>2535</v>
      </c>
      <c r="D187" s="415">
        <v>7.89</v>
      </c>
      <c r="E187" s="382" t="e">
        <f>#REF!*D187</f>
        <v>#REF!</v>
      </c>
      <c r="F187" s="383" t="s">
        <v>633</v>
      </c>
      <c r="G187" s="602">
        <f>+Rebusca_t1(F187)</f>
        <v>258</v>
      </c>
      <c r="H187" s="488"/>
      <c r="J187" s="57" t="s">
        <v>2534</v>
      </c>
    </row>
    <row r="188" spans="1:10" s="428" customFormat="1" ht="30" customHeight="1">
      <c r="A188" s="459" t="s">
        <v>2537</v>
      </c>
      <c r="B188" s="409" t="s">
        <v>147</v>
      </c>
      <c r="C188" s="410" t="s">
        <v>2536</v>
      </c>
      <c r="D188" s="460">
        <v>7.89</v>
      </c>
      <c r="E188" s="461" t="e">
        <f>#REF!*D188</f>
        <v>#REF!</v>
      </c>
      <c r="F188" s="458" t="s">
        <v>2529</v>
      </c>
      <c r="G188" s="610">
        <f>+Rebusca_t1(F188)</f>
        <v>664</v>
      </c>
      <c r="H188" s="488"/>
      <c r="J188" s="410" t="s">
        <v>2538</v>
      </c>
    </row>
    <row r="189" spans="1:10" s="428" customFormat="1" ht="30" customHeight="1">
      <c r="A189" s="442" t="s">
        <v>359</v>
      </c>
      <c r="B189" s="378" t="s">
        <v>147</v>
      </c>
      <c r="C189" s="57" t="s">
        <v>409</v>
      </c>
      <c r="D189" s="415">
        <v>10</v>
      </c>
      <c r="E189" s="382" t="e">
        <f>#REF!*D189</f>
        <v>#REF!</v>
      </c>
      <c r="F189" s="462"/>
      <c r="G189" s="609"/>
      <c r="H189" s="488"/>
      <c r="J189" s="57" t="s">
        <v>2340</v>
      </c>
    </row>
    <row r="190" spans="1:10" s="428" customFormat="1" ht="30" customHeight="1">
      <c r="A190" s="442" t="s">
        <v>360</v>
      </c>
      <c r="B190" s="378" t="s">
        <v>147</v>
      </c>
      <c r="C190" s="57" t="s">
        <v>86</v>
      </c>
      <c r="D190" s="417">
        <v>187.18</v>
      </c>
      <c r="E190" s="382" t="e">
        <f>#REF!*D190</f>
        <v>#REF!</v>
      </c>
      <c r="F190" s="383" t="s">
        <v>613</v>
      </c>
      <c r="G190" s="602">
        <f t="shared" ref="G190" si="16">+Rebusca_t1(F190)</f>
        <v>0</v>
      </c>
      <c r="H190" s="488"/>
      <c r="J190" s="57" t="s">
        <v>2178</v>
      </c>
    </row>
    <row r="191" spans="1:10" s="428" customFormat="1" ht="30" customHeight="1">
      <c r="A191" s="442" t="s">
        <v>361</v>
      </c>
      <c r="B191" s="378" t="s">
        <v>147</v>
      </c>
      <c r="C191" s="57" t="s">
        <v>87</v>
      </c>
      <c r="D191" s="423">
        <v>57.22</v>
      </c>
      <c r="E191" s="382" t="e">
        <f>#REF!*D191</f>
        <v>#REF!</v>
      </c>
      <c r="F191" s="383" t="s">
        <v>609</v>
      </c>
      <c r="G191" s="602">
        <f t="shared" ref="G191" si="17">+Rebusca_t1(F191)</f>
        <v>0</v>
      </c>
      <c r="H191" s="488"/>
      <c r="J191" s="57" t="s">
        <v>2173</v>
      </c>
    </row>
    <row r="192" spans="1:10" s="428" customFormat="1" ht="30" customHeight="1">
      <c r="A192" s="442" t="s">
        <v>362</v>
      </c>
      <c r="B192" s="378" t="s">
        <v>147</v>
      </c>
      <c r="C192" s="57" t="s">
        <v>88</v>
      </c>
      <c r="D192" s="415">
        <v>70.69</v>
      </c>
      <c r="E192" s="382" t="e">
        <f>#REF!*D192</f>
        <v>#REF!</v>
      </c>
      <c r="F192" s="383" t="s">
        <v>1095</v>
      </c>
      <c r="G192" s="602">
        <f t="shared" ref="G192:G195" si="18">+Rebusca_t1(F192)</f>
        <v>0</v>
      </c>
      <c r="H192" s="488"/>
      <c r="J192" s="57" t="s">
        <v>2174</v>
      </c>
    </row>
    <row r="193" spans="1:10" s="428" customFormat="1" ht="30" customHeight="1">
      <c r="A193" s="442" t="s">
        <v>363</v>
      </c>
      <c r="B193" s="378" t="s">
        <v>147</v>
      </c>
      <c r="C193" s="57" t="s">
        <v>1284</v>
      </c>
      <c r="D193" s="415">
        <v>145.71</v>
      </c>
      <c r="E193" s="382" t="e">
        <f>#REF!*D193</f>
        <v>#REF!</v>
      </c>
      <c r="F193" s="383" t="s">
        <v>617</v>
      </c>
      <c r="G193" s="602">
        <f t="shared" si="18"/>
        <v>0</v>
      </c>
      <c r="H193" s="488"/>
      <c r="J193" s="57" t="s">
        <v>2341</v>
      </c>
    </row>
    <row r="194" spans="1:10" s="428" customFormat="1" ht="30" customHeight="1">
      <c r="A194" s="459" t="s">
        <v>1283</v>
      </c>
      <c r="B194" s="409" t="s">
        <v>147</v>
      </c>
      <c r="C194" s="410" t="s">
        <v>1285</v>
      </c>
      <c r="D194" s="460">
        <v>145.71</v>
      </c>
      <c r="E194" s="461" t="e">
        <f>#REF!*D194</f>
        <v>#REF!</v>
      </c>
      <c r="F194" s="458" t="s">
        <v>619</v>
      </c>
      <c r="G194" s="610">
        <f t="shared" si="18"/>
        <v>0</v>
      </c>
      <c r="H194" s="488"/>
      <c r="J194" s="410" t="s">
        <v>2184</v>
      </c>
    </row>
    <row r="195" spans="1:10" s="428" customFormat="1" ht="30" customHeight="1">
      <c r="A195" s="442" t="s">
        <v>364</v>
      </c>
      <c r="B195" s="378" t="s">
        <v>147</v>
      </c>
      <c r="C195" s="57" t="s">
        <v>410</v>
      </c>
      <c r="D195" s="415">
        <v>58.55</v>
      </c>
      <c r="E195" s="382" t="e">
        <f>#REF!*D195</f>
        <v>#REF!</v>
      </c>
      <c r="F195" s="383" t="s">
        <v>606</v>
      </c>
      <c r="G195" s="602">
        <f t="shared" si="18"/>
        <v>0</v>
      </c>
      <c r="H195" s="488"/>
      <c r="J195" s="57" t="s">
        <v>2176</v>
      </c>
    </row>
    <row r="196" spans="1:10" s="428" customFormat="1" ht="30" customHeight="1">
      <c r="A196" s="442" t="s">
        <v>365</v>
      </c>
      <c r="B196" s="395" t="s">
        <v>147</v>
      </c>
      <c r="C196" s="405" t="s">
        <v>103</v>
      </c>
      <c r="D196" s="423">
        <v>97.45</v>
      </c>
      <c r="E196" s="382" t="e">
        <f>#REF!*D196</f>
        <v>#REF!</v>
      </c>
      <c r="F196" s="383" t="s">
        <v>608</v>
      </c>
      <c r="G196" s="602">
        <f t="shared" ref="G196" si="19">+Rebusca_t1(F196)</f>
        <v>0</v>
      </c>
      <c r="H196" s="488"/>
      <c r="J196" s="405" t="s">
        <v>2175</v>
      </c>
    </row>
    <row r="197" spans="1:10" s="428" customFormat="1" ht="30" customHeight="1">
      <c r="A197" s="442" t="s">
        <v>366</v>
      </c>
      <c r="B197" s="395" t="s">
        <v>147</v>
      </c>
      <c r="C197" s="405" t="s">
        <v>89</v>
      </c>
      <c r="D197" s="423">
        <v>67.989999999999995</v>
      </c>
      <c r="E197" s="382" t="e">
        <f>#REF!*D197</f>
        <v>#REF!</v>
      </c>
      <c r="F197" s="383" t="s">
        <v>610</v>
      </c>
      <c r="G197" s="602">
        <f t="shared" ref="G197" si="20">+Rebusca_t1(F197)</f>
        <v>0</v>
      </c>
      <c r="H197" s="488"/>
      <c r="J197" s="405" t="s">
        <v>2177</v>
      </c>
    </row>
    <row r="198" spans="1:10" s="428" customFormat="1" ht="30.6" customHeight="1" thickBot="1">
      <c r="A198" s="442" t="s">
        <v>367</v>
      </c>
      <c r="B198" s="378" t="s">
        <v>147</v>
      </c>
      <c r="C198" s="57" t="s">
        <v>90</v>
      </c>
      <c r="D198" s="415">
        <v>19.46</v>
      </c>
      <c r="E198" s="399"/>
      <c r="F198" s="383" t="s">
        <v>805</v>
      </c>
      <c r="G198" s="602">
        <f t="shared" ref="G198" si="21">+Rebusca_t1(F198)</f>
        <v>0</v>
      </c>
      <c r="H198" s="488"/>
      <c r="J198" s="57" t="s">
        <v>2197</v>
      </c>
    </row>
    <row r="199" spans="1:10" s="428" customFormat="1" ht="21" customHeight="1" thickBot="1">
      <c r="A199" s="442"/>
      <c r="B199" s="378"/>
      <c r="C199" s="403" t="s">
        <v>368</v>
      </c>
      <c r="D199" s="418"/>
      <c r="E199" s="392" t="e">
        <f>SUM(E174:E198)</f>
        <v>#REF!</v>
      </c>
      <c r="F199" s="394"/>
      <c r="G199" s="609"/>
      <c r="H199" s="488"/>
      <c r="J199" s="403" t="s">
        <v>2342</v>
      </c>
    </row>
    <row r="200" spans="1:10" s="428" customFormat="1" ht="20.399999999999999" customHeight="1">
      <c r="A200" s="442"/>
      <c r="B200" s="378"/>
      <c r="C200" s="57"/>
      <c r="D200" s="415"/>
      <c r="E200" s="12"/>
      <c r="F200" s="394"/>
      <c r="G200" s="609"/>
      <c r="H200" s="488"/>
      <c r="J200" s="57"/>
    </row>
    <row r="201" spans="1:10" s="428" customFormat="1" ht="20.399999999999999" hidden="1" customHeight="1">
      <c r="A201" s="443"/>
      <c r="B201" s="401"/>
      <c r="C201" s="408" t="s">
        <v>369</v>
      </c>
      <c r="D201" s="463"/>
      <c r="E201" s="464"/>
      <c r="F201" s="465"/>
      <c r="G201" s="611"/>
      <c r="H201" s="488"/>
      <c r="J201" s="408" t="s">
        <v>369</v>
      </c>
    </row>
    <row r="202" spans="1:10" s="428" customFormat="1" ht="30" hidden="1" customHeight="1">
      <c r="A202" s="443" t="s">
        <v>429</v>
      </c>
      <c r="B202" s="401" t="s">
        <v>158</v>
      </c>
      <c r="C202" s="466" t="s">
        <v>430</v>
      </c>
      <c r="D202" s="467">
        <v>2357.79</v>
      </c>
      <c r="E202" s="468" t="e">
        <f>#REF!*D202</f>
        <v>#REF!</v>
      </c>
      <c r="F202" s="469"/>
      <c r="G202" s="612"/>
      <c r="H202" s="488"/>
      <c r="J202" s="466" t="s">
        <v>2423</v>
      </c>
    </row>
    <row r="203" spans="1:10" s="428" customFormat="1" ht="30" hidden="1" customHeight="1">
      <c r="A203" s="443" t="s">
        <v>370</v>
      </c>
      <c r="B203" s="401" t="s">
        <v>158</v>
      </c>
      <c r="C203" s="466" t="s">
        <v>411</v>
      </c>
      <c r="D203" s="467"/>
      <c r="E203" s="468"/>
      <c r="F203" s="469"/>
      <c r="G203" s="612"/>
      <c r="H203" s="488"/>
      <c r="J203" s="466" t="s">
        <v>2424</v>
      </c>
    </row>
    <row r="204" spans="1:10" s="428" customFormat="1" ht="30" hidden="1" customHeight="1">
      <c r="A204" s="443" t="s">
        <v>371</v>
      </c>
      <c r="B204" s="401" t="s">
        <v>158</v>
      </c>
      <c r="C204" s="466" t="s">
        <v>412</v>
      </c>
      <c r="D204" s="467"/>
      <c r="E204" s="468"/>
      <c r="F204" s="469"/>
      <c r="G204" s="612"/>
      <c r="H204" s="488"/>
      <c r="J204" s="466" t="s">
        <v>412</v>
      </c>
    </row>
    <row r="205" spans="1:10" s="428" customFormat="1" ht="30" hidden="1" customHeight="1">
      <c r="A205" s="443" t="s">
        <v>372</v>
      </c>
      <c r="B205" s="401" t="s">
        <v>158</v>
      </c>
      <c r="C205" s="466" t="s">
        <v>413</v>
      </c>
      <c r="D205" s="467">
        <v>3000</v>
      </c>
      <c r="E205" s="468" t="e">
        <f>#REF!*D205</f>
        <v>#REF!</v>
      </c>
      <c r="F205" s="469"/>
      <c r="G205" s="612"/>
      <c r="H205" s="488"/>
      <c r="J205" s="466" t="s">
        <v>413</v>
      </c>
    </row>
    <row r="206" spans="1:10" s="428" customFormat="1" ht="30" hidden="1" customHeight="1">
      <c r="A206" s="443" t="s">
        <v>373</v>
      </c>
      <c r="B206" s="401" t="s">
        <v>158</v>
      </c>
      <c r="C206" s="466" t="s">
        <v>91</v>
      </c>
      <c r="D206" s="467">
        <v>3987.37</v>
      </c>
      <c r="E206" s="468" t="e">
        <f>#REF!*D206</f>
        <v>#REF!</v>
      </c>
      <c r="F206" s="465"/>
      <c r="G206" s="611"/>
      <c r="H206" s="488"/>
      <c r="J206" s="466" t="s">
        <v>2425</v>
      </c>
    </row>
    <row r="207" spans="1:10" s="428" customFormat="1" ht="30" hidden="1" customHeight="1">
      <c r="A207" s="443" t="s">
        <v>384</v>
      </c>
      <c r="B207" s="401" t="s">
        <v>158</v>
      </c>
      <c r="C207" s="466" t="s">
        <v>385</v>
      </c>
      <c r="D207" s="467">
        <v>5000</v>
      </c>
      <c r="E207" s="468" t="e">
        <f>#REF!*D207</f>
        <v>#REF!</v>
      </c>
      <c r="F207" s="465"/>
      <c r="G207" s="611"/>
      <c r="H207" s="488"/>
      <c r="J207" s="466" t="s">
        <v>385</v>
      </c>
    </row>
    <row r="208" spans="1:10" s="428" customFormat="1" ht="30" hidden="1" customHeight="1">
      <c r="A208" s="443" t="s">
        <v>386</v>
      </c>
      <c r="B208" s="401" t="s">
        <v>158</v>
      </c>
      <c r="C208" s="466" t="s">
        <v>387</v>
      </c>
      <c r="D208" s="467">
        <v>3300.19</v>
      </c>
      <c r="E208" s="464"/>
      <c r="F208" s="465"/>
      <c r="G208" s="611"/>
      <c r="H208" s="488"/>
      <c r="J208" s="466" t="s">
        <v>387</v>
      </c>
    </row>
    <row r="209" spans="1:10" s="428" customFormat="1" ht="30" hidden="1" customHeight="1">
      <c r="A209" s="443" t="s">
        <v>388</v>
      </c>
      <c r="B209" s="401" t="s">
        <v>158</v>
      </c>
      <c r="C209" s="466" t="s">
        <v>389</v>
      </c>
      <c r="D209" s="467">
        <v>32469.5</v>
      </c>
      <c r="E209" s="468" t="e">
        <f>#REF!*D209</f>
        <v>#REF!</v>
      </c>
      <c r="F209" s="465"/>
      <c r="G209" s="611"/>
      <c r="H209" s="488"/>
      <c r="J209" s="466" t="s">
        <v>389</v>
      </c>
    </row>
    <row r="210" spans="1:10" s="428" customFormat="1" ht="54" hidden="1" customHeight="1">
      <c r="A210" s="443" t="s">
        <v>374</v>
      </c>
      <c r="B210" s="401" t="s">
        <v>147</v>
      </c>
      <c r="C210" s="466" t="s">
        <v>414</v>
      </c>
      <c r="D210" s="467">
        <v>4737.7700000000004</v>
      </c>
      <c r="E210" s="468" t="e">
        <f>#REF!*D210</f>
        <v>#REF!</v>
      </c>
      <c r="F210" s="465"/>
      <c r="G210" s="611"/>
      <c r="H210" s="488"/>
      <c r="J210" s="466" t="s">
        <v>414</v>
      </c>
    </row>
    <row r="211" spans="1:10" s="428" customFormat="1" ht="30" hidden="1" customHeight="1">
      <c r="A211" s="443" t="s">
        <v>375</v>
      </c>
      <c r="B211" s="401" t="s">
        <v>147</v>
      </c>
      <c r="C211" s="466" t="s">
        <v>170</v>
      </c>
      <c r="D211" s="463">
        <v>17.100000000000001</v>
      </c>
      <c r="E211" s="468" t="e">
        <f>#REF!*D211</f>
        <v>#REF!</v>
      </c>
      <c r="F211" s="465"/>
      <c r="G211" s="611"/>
      <c r="H211" s="488"/>
      <c r="J211" s="466" t="s">
        <v>170</v>
      </c>
    </row>
    <row r="212" spans="1:10" s="428" customFormat="1" ht="30.6" hidden="1" customHeight="1" thickBot="1">
      <c r="A212" s="443" t="s">
        <v>376</v>
      </c>
      <c r="B212" s="401" t="s">
        <v>147</v>
      </c>
      <c r="C212" s="466" t="s">
        <v>92</v>
      </c>
      <c r="D212" s="463">
        <v>24.43</v>
      </c>
      <c r="E212" s="464"/>
      <c r="F212" s="465"/>
      <c r="G212" s="611"/>
      <c r="H212" s="488"/>
      <c r="J212" s="466" t="s">
        <v>92</v>
      </c>
    </row>
    <row r="213" spans="1:10" s="428" customFormat="1" ht="21" hidden="1" customHeight="1" thickBot="1">
      <c r="A213" s="443"/>
      <c r="B213" s="401"/>
      <c r="C213" s="408" t="s">
        <v>377</v>
      </c>
      <c r="D213" s="470"/>
      <c r="E213" s="471" t="e">
        <f>SUM(E202:E212)</f>
        <v>#REF!</v>
      </c>
      <c r="F213" s="465"/>
      <c r="G213" s="611"/>
      <c r="H213" s="488"/>
      <c r="J213" s="408" t="s">
        <v>377</v>
      </c>
    </row>
    <row r="214" spans="1:10" s="428" customFormat="1" ht="20.399999999999999" hidden="1" customHeight="1">
      <c r="A214" s="443"/>
      <c r="B214" s="401"/>
      <c r="C214" s="472" t="s">
        <v>378</v>
      </c>
      <c r="D214" s="463"/>
      <c r="E214" s="464"/>
      <c r="F214" s="465"/>
      <c r="G214" s="611"/>
      <c r="H214" s="488"/>
      <c r="J214" s="472" t="s">
        <v>378</v>
      </c>
    </row>
    <row r="215" spans="1:10" s="428" customFormat="1" ht="20.399999999999999" hidden="1" customHeight="1">
      <c r="A215" s="443"/>
      <c r="B215" s="401"/>
      <c r="C215" s="472"/>
      <c r="D215" s="463"/>
      <c r="E215" s="464"/>
      <c r="F215" s="465"/>
      <c r="G215" s="611"/>
      <c r="H215" s="488"/>
      <c r="J215" s="472"/>
    </row>
    <row r="216" spans="1:10" s="428" customFormat="1" ht="30" customHeight="1">
      <c r="A216" s="443"/>
      <c r="B216" s="401"/>
      <c r="C216" s="472" t="s">
        <v>379</v>
      </c>
      <c r="D216" s="463"/>
      <c r="E216" s="464"/>
      <c r="F216" s="465"/>
      <c r="G216" s="611"/>
      <c r="H216" s="488"/>
      <c r="J216" s="472" t="s">
        <v>2343</v>
      </c>
    </row>
    <row r="217" spans="1:10" s="428" customFormat="1" ht="20.399999999999999" customHeight="1">
      <c r="A217" s="446"/>
      <c r="B217" s="397"/>
      <c r="C217" s="403"/>
      <c r="D217" s="415"/>
      <c r="E217" s="12"/>
      <c r="F217" s="394"/>
      <c r="G217" s="609"/>
      <c r="H217" s="488"/>
      <c r="J217" s="403"/>
    </row>
    <row r="218" spans="1:10" s="428" customFormat="1" ht="30" customHeight="1">
      <c r="A218" s="447"/>
      <c r="B218" s="400"/>
      <c r="C218" s="403" t="s">
        <v>380</v>
      </c>
      <c r="D218" s="415"/>
      <c r="E218" s="12"/>
      <c r="F218" s="394"/>
      <c r="G218" s="609"/>
      <c r="H218" s="488"/>
      <c r="J218" s="403" t="s">
        <v>2344</v>
      </c>
    </row>
    <row r="219" spans="1:10" s="428" customFormat="1" ht="20.399999999999999" customHeight="1">
      <c r="A219" s="443" t="s">
        <v>381</v>
      </c>
      <c r="B219" s="401" t="s">
        <v>172</v>
      </c>
      <c r="C219" s="57" t="s">
        <v>93</v>
      </c>
      <c r="D219" s="415"/>
      <c r="E219" s="382"/>
      <c r="F219" s="383"/>
      <c r="G219" s="602"/>
      <c r="H219" s="488"/>
      <c r="J219" s="57" t="s">
        <v>2345</v>
      </c>
    </row>
    <row r="220" spans="1:10" s="428" customFormat="1" ht="30" customHeight="1">
      <c r="A220" s="443" t="s">
        <v>0</v>
      </c>
      <c r="B220" s="378" t="s">
        <v>147</v>
      </c>
      <c r="C220" s="57" t="s">
        <v>1250</v>
      </c>
      <c r="D220" s="415">
        <v>12.58</v>
      </c>
      <c r="E220" s="382" t="e">
        <f>#REF!*D220</f>
        <v>#REF!</v>
      </c>
      <c r="F220" s="383" t="s">
        <v>635</v>
      </c>
      <c r="G220" s="602">
        <f>+Rebusca_t1(F220)</f>
        <v>88</v>
      </c>
      <c r="H220" s="488"/>
      <c r="J220" s="57" t="s">
        <v>2346</v>
      </c>
    </row>
    <row r="221" spans="1:10" s="428" customFormat="1" ht="20.399999999999999" customHeight="1">
      <c r="A221" s="444" t="s">
        <v>1248</v>
      </c>
      <c r="B221" s="409"/>
      <c r="C221" s="410" t="s">
        <v>1251</v>
      </c>
      <c r="D221" s="424"/>
      <c r="E221" s="382"/>
      <c r="F221" s="474" t="s">
        <v>636</v>
      </c>
      <c r="G221" s="606">
        <f t="shared" ref="G221:G222" si="22">+Rebusca_t1(F221)</f>
        <v>28</v>
      </c>
      <c r="H221" s="488"/>
      <c r="J221" s="410" t="s">
        <v>2200</v>
      </c>
    </row>
    <row r="222" spans="1:10" s="428" customFormat="1" ht="20.399999999999999" customHeight="1">
      <c r="A222" s="444" t="s">
        <v>1249</v>
      </c>
      <c r="B222" s="409"/>
      <c r="C222" s="410" t="s">
        <v>1252</v>
      </c>
      <c r="D222" s="424"/>
      <c r="E222" s="382"/>
      <c r="F222" s="474" t="s">
        <v>637</v>
      </c>
      <c r="G222" s="606">
        <f t="shared" si="22"/>
        <v>0</v>
      </c>
      <c r="H222" s="488"/>
      <c r="J222" s="410" t="s">
        <v>2198</v>
      </c>
    </row>
    <row r="223" spans="1:10" s="428" customFormat="1" ht="30" customHeight="1">
      <c r="A223" s="443" t="s">
        <v>1</v>
      </c>
      <c r="B223" s="395" t="s">
        <v>147</v>
      </c>
      <c r="C223" s="405" t="s">
        <v>94</v>
      </c>
      <c r="D223" s="423">
        <v>20.260000000000002</v>
      </c>
      <c r="E223" s="382" t="e">
        <f>#REF!*D223</f>
        <v>#REF!</v>
      </c>
      <c r="F223" s="383" t="s">
        <v>811</v>
      </c>
      <c r="G223" s="602">
        <f t="shared" ref="G223:G233" si="23">+Rebusca_t1(F223)</f>
        <v>0</v>
      </c>
      <c r="H223" s="488"/>
      <c r="J223" s="405" t="s">
        <v>2203</v>
      </c>
    </row>
    <row r="224" spans="1:10" s="428" customFormat="1" ht="30" customHeight="1">
      <c r="A224" s="443" t="s">
        <v>2</v>
      </c>
      <c r="B224" s="378" t="s">
        <v>147</v>
      </c>
      <c r="C224" s="57" t="s">
        <v>95</v>
      </c>
      <c r="D224" s="415">
        <v>76.650000000000006</v>
      </c>
      <c r="E224" s="382" t="e">
        <f>#REF!*D224</f>
        <v>#REF!</v>
      </c>
      <c r="F224" s="383" t="s">
        <v>639</v>
      </c>
      <c r="G224" s="602">
        <f t="shared" si="23"/>
        <v>28</v>
      </c>
      <c r="H224" s="488"/>
      <c r="J224" s="57" t="s">
        <v>2204</v>
      </c>
    </row>
    <row r="225" spans="1:10" s="428" customFormat="1" ht="30" customHeight="1">
      <c r="A225" s="443" t="s">
        <v>431</v>
      </c>
      <c r="B225" s="378" t="s">
        <v>147</v>
      </c>
      <c r="C225" s="57" t="s">
        <v>432</v>
      </c>
      <c r="D225" s="415">
        <v>51.06</v>
      </c>
      <c r="E225" s="382" t="e">
        <f>#REF!*D225</f>
        <v>#REF!</v>
      </c>
      <c r="F225" s="383" t="s">
        <v>640</v>
      </c>
      <c r="G225" s="602">
        <f t="shared" si="23"/>
        <v>28</v>
      </c>
      <c r="H225" s="488"/>
      <c r="J225" s="57" t="s">
        <v>2205</v>
      </c>
    </row>
    <row r="226" spans="1:10" s="428" customFormat="1" ht="30" customHeight="1">
      <c r="A226" s="443" t="s">
        <v>3</v>
      </c>
      <c r="B226" s="395" t="s">
        <v>147</v>
      </c>
      <c r="C226" s="405" t="s">
        <v>96</v>
      </c>
      <c r="D226" s="425">
        <v>1794.9</v>
      </c>
      <c r="E226" s="382" t="e">
        <f>#REF!*D226</f>
        <v>#REF!</v>
      </c>
      <c r="F226" s="383" t="s">
        <v>642</v>
      </c>
      <c r="G226" s="602">
        <f t="shared" si="23"/>
        <v>4</v>
      </c>
      <c r="H226" s="488"/>
      <c r="J226" s="405" t="s">
        <v>2213</v>
      </c>
    </row>
    <row r="227" spans="1:10" s="428" customFormat="1" ht="30" customHeight="1">
      <c r="A227" s="443" t="s">
        <v>4</v>
      </c>
      <c r="B227" s="378" t="s">
        <v>147</v>
      </c>
      <c r="C227" s="57" t="s">
        <v>173</v>
      </c>
      <c r="D227" s="420">
        <v>2786.17</v>
      </c>
      <c r="E227" s="382" t="e">
        <f>#REF!*D227</f>
        <v>#REF!</v>
      </c>
      <c r="F227" s="383" t="s">
        <v>649</v>
      </c>
      <c r="G227" s="602">
        <f t="shared" si="23"/>
        <v>5</v>
      </c>
      <c r="H227" s="488"/>
      <c r="J227" s="57" t="s">
        <v>2546</v>
      </c>
    </row>
    <row r="228" spans="1:10" s="428" customFormat="1" ht="32.4" customHeight="1">
      <c r="A228" s="444" t="s">
        <v>1253</v>
      </c>
      <c r="B228" s="409"/>
      <c r="C228" s="412" t="s">
        <v>1255</v>
      </c>
      <c r="D228" s="420"/>
      <c r="E228" s="382"/>
      <c r="F228" s="457" t="s">
        <v>654</v>
      </c>
      <c r="G228" s="606">
        <f t="shared" si="23"/>
        <v>13</v>
      </c>
      <c r="H228" s="488"/>
      <c r="J228" s="412" t="s">
        <v>2547</v>
      </c>
    </row>
    <row r="229" spans="1:10" s="428" customFormat="1" ht="20.399999999999999" customHeight="1">
      <c r="A229" s="444" t="s">
        <v>1254</v>
      </c>
      <c r="B229" s="409"/>
      <c r="C229" s="412" t="s">
        <v>819</v>
      </c>
      <c r="D229" s="420"/>
      <c r="E229" s="382"/>
      <c r="F229" s="457" t="s">
        <v>823</v>
      </c>
      <c r="G229" s="606">
        <f t="shared" si="23"/>
        <v>8</v>
      </c>
      <c r="H229" s="488"/>
      <c r="J229" s="412" t="s">
        <v>2548</v>
      </c>
    </row>
    <row r="230" spans="1:10" s="428" customFormat="1" ht="45" customHeight="1">
      <c r="A230" s="444" t="s">
        <v>2545</v>
      </c>
      <c r="B230" s="409"/>
      <c r="C230" s="412" t="s">
        <v>2544</v>
      </c>
      <c r="D230" s="420"/>
      <c r="E230" s="382"/>
      <c r="F230" s="457" t="s">
        <v>2542</v>
      </c>
      <c r="G230" s="606">
        <f t="shared" ref="G230" si="24">+Rebusca_t1(F230)</f>
        <v>0</v>
      </c>
      <c r="H230" s="488"/>
      <c r="J230" s="412" t="s">
        <v>2549</v>
      </c>
    </row>
    <row r="231" spans="1:10" s="428" customFormat="1" ht="30" customHeight="1">
      <c r="A231" s="443" t="s">
        <v>5</v>
      </c>
      <c r="B231" s="378" t="s">
        <v>147</v>
      </c>
      <c r="C231" s="57" t="s">
        <v>174</v>
      </c>
      <c r="D231" s="420">
        <v>5118.66</v>
      </c>
      <c r="E231" s="382" t="e">
        <f>#REF!*D231</f>
        <v>#REF!</v>
      </c>
      <c r="F231" s="383" t="s">
        <v>2452</v>
      </c>
      <c r="G231" s="602">
        <f t="shared" si="23"/>
        <v>0</v>
      </c>
      <c r="H231" s="488"/>
      <c r="J231" s="57" t="s">
        <v>2551</v>
      </c>
    </row>
    <row r="232" spans="1:10" s="428" customFormat="1" ht="30" customHeight="1">
      <c r="A232" s="443" t="s">
        <v>6</v>
      </c>
      <c r="B232" s="378" t="s">
        <v>147</v>
      </c>
      <c r="C232" s="57" t="s">
        <v>97</v>
      </c>
      <c r="D232" s="420">
        <v>3000</v>
      </c>
      <c r="E232" s="382" t="e">
        <f>#REF!*D232</f>
        <v>#REF!</v>
      </c>
      <c r="F232" s="383" t="s">
        <v>653</v>
      </c>
      <c r="G232" s="602">
        <f t="shared" si="23"/>
        <v>0</v>
      </c>
      <c r="H232" s="488"/>
      <c r="J232" s="57" t="s">
        <v>2550</v>
      </c>
    </row>
    <row r="233" spans="1:10" s="428" customFormat="1" ht="30" customHeight="1">
      <c r="A233" s="443" t="s">
        <v>390</v>
      </c>
      <c r="B233" s="378" t="s">
        <v>147</v>
      </c>
      <c r="C233" s="57" t="s">
        <v>1270</v>
      </c>
      <c r="D233" s="420"/>
      <c r="E233" s="391"/>
      <c r="F233" s="383" t="s">
        <v>825</v>
      </c>
      <c r="G233" s="602">
        <f t="shared" si="23"/>
        <v>0</v>
      </c>
      <c r="H233" s="488"/>
      <c r="J233" s="57" t="s">
        <v>2444</v>
      </c>
    </row>
    <row r="234" spans="1:10" s="428" customFormat="1" ht="30" customHeight="1">
      <c r="A234" s="443" t="s">
        <v>391</v>
      </c>
      <c r="B234" s="378" t="s">
        <v>147</v>
      </c>
      <c r="C234" s="57" t="s">
        <v>2446</v>
      </c>
      <c r="D234" s="420"/>
      <c r="E234" s="391"/>
      <c r="F234" s="383" t="s">
        <v>830</v>
      </c>
      <c r="G234" s="602">
        <f>+Rebusca_t1("C-633")</f>
        <v>0</v>
      </c>
      <c r="H234" s="488"/>
      <c r="J234" s="57" t="s">
        <v>2445</v>
      </c>
    </row>
    <row r="235" spans="1:10" s="428" customFormat="1" ht="30" customHeight="1">
      <c r="A235" s="443" t="s">
        <v>392</v>
      </c>
      <c r="B235" s="378" t="s">
        <v>147</v>
      </c>
      <c r="C235" s="57" t="s">
        <v>1271</v>
      </c>
      <c r="D235" s="420"/>
      <c r="E235" s="391"/>
      <c r="F235" s="383" t="s">
        <v>827</v>
      </c>
      <c r="G235" s="602">
        <f>+Rebusca_t1(F235)</f>
        <v>0</v>
      </c>
      <c r="H235" s="488"/>
      <c r="J235" s="57" t="s">
        <v>2447</v>
      </c>
    </row>
    <row r="236" spans="1:10" s="428" customFormat="1" ht="30" customHeight="1">
      <c r="A236" s="448" t="s">
        <v>1256</v>
      </c>
      <c r="B236" s="409" t="s">
        <v>147</v>
      </c>
      <c r="C236" s="410" t="s">
        <v>1272</v>
      </c>
      <c r="D236" s="420"/>
      <c r="E236" s="391"/>
      <c r="F236" s="457" t="s">
        <v>833</v>
      </c>
      <c r="G236" s="606">
        <f t="shared" ref="G236:G238" si="25">+Rebusca_t1(F236)</f>
        <v>0</v>
      </c>
      <c r="H236" s="488"/>
      <c r="J236" s="410" t="s">
        <v>2448</v>
      </c>
    </row>
    <row r="237" spans="1:10" s="428" customFormat="1" ht="30" customHeight="1">
      <c r="A237" s="443" t="s">
        <v>7</v>
      </c>
      <c r="B237" s="378" t="s">
        <v>150</v>
      </c>
      <c r="C237" s="57" t="s">
        <v>98</v>
      </c>
      <c r="D237" s="415">
        <v>3.05</v>
      </c>
      <c r="E237" s="391" t="e">
        <f>#REF!*D237</f>
        <v>#REF!</v>
      </c>
      <c r="F237" s="462"/>
      <c r="G237" s="609"/>
      <c r="H237" s="488"/>
      <c r="J237" s="57" t="s">
        <v>2347</v>
      </c>
    </row>
    <row r="238" spans="1:10" s="428" customFormat="1" ht="30.6" customHeight="1" thickBot="1">
      <c r="A238" s="442" t="s">
        <v>435</v>
      </c>
      <c r="B238" s="378" t="s">
        <v>436</v>
      </c>
      <c r="C238" s="57" t="s">
        <v>437</v>
      </c>
      <c r="D238" s="421"/>
      <c r="E238" s="384"/>
      <c r="F238" s="383" t="s">
        <v>847</v>
      </c>
      <c r="G238" s="602">
        <f t="shared" si="25"/>
        <v>4</v>
      </c>
      <c r="H238" s="488"/>
      <c r="J238" s="57" t="s">
        <v>2348</v>
      </c>
    </row>
    <row r="239" spans="1:10" s="428" customFormat="1" ht="21" customHeight="1" thickBot="1">
      <c r="A239" s="442"/>
      <c r="B239" s="378"/>
      <c r="C239" s="403" t="s">
        <v>8</v>
      </c>
      <c r="D239" s="421"/>
      <c r="E239" s="392" t="e">
        <f>SUM(E220:E237)</f>
        <v>#REF!</v>
      </c>
      <c r="F239" s="394"/>
      <c r="G239" s="609"/>
      <c r="H239" s="488"/>
      <c r="J239" s="403" t="s">
        <v>2349</v>
      </c>
    </row>
    <row r="240" spans="1:10" s="428" customFormat="1" ht="20.399999999999999" customHeight="1">
      <c r="A240" s="442"/>
      <c r="B240" s="378"/>
      <c r="C240" s="377"/>
      <c r="D240" s="415"/>
      <c r="E240" s="12"/>
      <c r="F240" s="394"/>
      <c r="G240" s="609"/>
      <c r="H240" s="488"/>
      <c r="J240" s="377"/>
    </row>
    <row r="241" spans="1:10" s="428" customFormat="1" ht="30" hidden="1" customHeight="1">
      <c r="A241" s="442"/>
      <c r="B241" s="378"/>
      <c r="C241" s="403" t="s">
        <v>9</v>
      </c>
      <c r="D241" s="415"/>
      <c r="E241" s="12"/>
      <c r="F241" s="394"/>
      <c r="G241" s="609"/>
      <c r="H241" s="488"/>
      <c r="J241" s="403" t="s">
        <v>9</v>
      </c>
    </row>
    <row r="242" spans="1:10" s="428" customFormat="1" ht="30" hidden="1" customHeight="1">
      <c r="A242" s="442" t="s">
        <v>393</v>
      </c>
      <c r="B242" s="378" t="s">
        <v>172</v>
      </c>
      <c r="C242" s="57" t="s">
        <v>394</v>
      </c>
      <c r="D242" s="415">
        <v>4.8899999999999997</v>
      </c>
      <c r="E242" s="382" t="e">
        <f>#REF!*D242</f>
        <v>#REF!</v>
      </c>
      <c r="F242" s="394"/>
      <c r="G242" s="609"/>
      <c r="H242" s="488"/>
      <c r="J242" s="57" t="s">
        <v>394</v>
      </c>
    </row>
    <row r="243" spans="1:10" s="428" customFormat="1" ht="30" hidden="1" customHeight="1">
      <c r="A243" s="442" t="s">
        <v>395</v>
      </c>
      <c r="B243" s="378" t="s">
        <v>172</v>
      </c>
      <c r="C243" s="57" t="s">
        <v>396</v>
      </c>
      <c r="D243" s="415"/>
      <c r="E243" s="382"/>
      <c r="F243" s="394"/>
      <c r="G243" s="609"/>
      <c r="H243" s="488"/>
      <c r="J243" s="57" t="s">
        <v>396</v>
      </c>
    </row>
    <row r="244" spans="1:10" s="428" customFormat="1" ht="30" hidden="1" customHeight="1">
      <c r="A244" s="442" t="s">
        <v>10</v>
      </c>
      <c r="B244" s="378" t="s">
        <v>147</v>
      </c>
      <c r="C244" s="57" t="s">
        <v>99</v>
      </c>
      <c r="D244" s="415">
        <v>179.12</v>
      </c>
      <c r="E244" s="382" t="e">
        <f>#REF!*D244</f>
        <v>#REF!</v>
      </c>
      <c r="F244" s="394"/>
      <c r="G244" s="609"/>
      <c r="H244" s="488"/>
      <c r="J244" s="57" t="s">
        <v>99</v>
      </c>
    </row>
    <row r="245" spans="1:10" s="428" customFormat="1" ht="30" hidden="1" customHeight="1">
      <c r="A245" s="442" t="s">
        <v>11</v>
      </c>
      <c r="B245" s="378" t="s">
        <v>147</v>
      </c>
      <c r="C245" s="57" t="s">
        <v>175</v>
      </c>
      <c r="D245" s="415">
        <v>210.9</v>
      </c>
      <c r="E245" s="382" t="e">
        <f>#REF!*D245</f>
        <v>#REF!</v>
      </c>
      <c r="F245" s="394"/>
      <c r="G245" s="609"/>
      <c r="H245" s="488"/>
      <c r="J245" s="57" t="s">
        <v>175</v>
      </c>
    </row>
    <row r="246" spans="1:10" s="428" customFormat="1" ht="30" hidden="1" customHeight="1">
      <c r="A246" s="442" t="s">
        <v>12</v>
      </c>
      <c r="B246" s="378" t="s">
        <v>147</v>
      </c>
      <c r="C246" s="57" t="s">
        <v>176</v>
      </c>
      <c r="D246" s="415">
        <v>949.06</v>
      </c>
      <c r="E246" s="382" t="e">
        <f>#REF!*D246</f>
        <v>#REF!</v>
      </c>
      <c r="F246" s="394"/>
      <c r="G246" s="609"/>
      <c r="H246" s="488"/>
      <c r="J246" s="57" t="s">
        <v>176</v>
      </c>
    </row>
    <row r="247" spans="1:10" s="428" customFormat="1" ht="30" hidden="1" customHeight="1">
      <c r="A247" s="442" t="s">
        <v>13</v>
      </c>
      <c r="B247" s="378" t="s">
        <v>147</v>
      </c>
      <c r="C247" s="57" t="s">
        <v>177</v>
      </c>
      <c r="D247" s="420">
        <v>1265.4100000000001</v>
      </c>
      <c r="E247" s="382" t="e">
        <f>#REF!*D247</f>
        <v>#REF!</v>
      </c>
      <c r="F247" s="394"/>
      <c r="G247" s="609"/>
      <c r="H247" s="488"/>
      <c r="J247" s="57" t="s">
        <v>177</v>
      </c>
    </row>
    <row r="248" spans="1:10" s="428" customFormat="1" ht="30" hidden="1" customHeight="1">
      <c r="A248" s="442" t="s">
        <v>397</v>
      </c>
      <c r="B248" s="378" t="s">
        <v>147</v>
      </c>
      <c r="C248" s="57" t="s">
        <v>433</v>
      </c>
      <c r="D248" s="420">
        <v>20000</v>
      </c>
      <c r="E248" s="382" t="e">
        <f>#REF!*D248</f>
        <v>#REF!</v>
      </c>
      <c r="F248" s="394"/>
      <c r="G248" s="609"/>
      <c r="H248" s="488"/>
      <c r="J248" s="57" t="s">
        <v>2426</v>
      </c>
    </row>
    <row r="249" spans="1:10" s="428" customFormat="1" ht="30" hidden="1" customHeight="1">
      <c r="A249" s="442" t="s">
        <v>398</v>
      </c>
      <c r="B249" s="378" t="s">
        <v>147</v>
      </c>
      <c r="C249" s="57" t="s">
        <v>434</v>
      </c>
      <c r="D249" s="420"/>
      <c r="E249" s="391"/>
      <c r="F249" s="394"/>
      <c r="G249" s="609"/>
      <c r="H249" s="488"/>
      <c r="J249" s="57" t="s">
        <v>2427</v>
      </c>
    </row>
    <row r="250" spans="1:10" s="428" customFormat="1" ht="30" hidden="1" customHeight="1">
      <c r="A250" s="442" t="s">
        <v>399</v>
      </c>
      <c r="B250" s="378" t="s">
        <v>147</v>
      </c>
      <c r="C250" s="57" t="s">
        <v>440</v>
      </c>
      <c r="D250" s="420"/>
      <c r="E250" s="391"/>
      <c r="F250" s="394"/>
      <c r="G250" s="609"/>
      <c r="H250" s="488"/>
      <c r="J250" s="57" t="s">
        <v>440</v>
      </c>
    </row>
    <row r="251" spans="1:10" s="428" customFormat="1" ht="42" hidden="1" customHeight="1">
      <c r="A251" s="442" t="s">
        <v>14</v>
      </c>
      <c r="B251" s="378" t="s">
        <v>150</v>
      </c>
      <c r="C251" s="57" t="s">
        <v>100</v>
      </c>
      <c r="D251" s="415">
        <v>4.53</v>
      </c>
      <c r="E251" s="391" t="e">
        <f>#REF!*D251</f>
        <v>#REF!</v>
      </c>
      <c r="F251" s="394"/>
      <c r="G251" s="609"/>
      <c r="H251" s="488"/>
      <c r="J251" s="57" t="s">
        <v>100</v>
      </c>
    </row>
    <row r="252" spans="1:10" s="428" customFormat="1" ht="30.6" hidden="1" customHeight="1" thickBot="1">
      <c r="A252" s="442" t="s">
        <v>438</v>
      </c>
      <c r="B252" s="378" t="s">
        <v>436</v>
      </c>
      <c r="C252" s="57" t="s">
        <v>439</v>
      </c>
      <c r="D252" s="421"/>
      <c r="E252" s="384"/>
      <c r="F252" s="394"/>
      <c r="G252" s="609"/>
      <c r="H252" s="488"/>
      <c r="J252" s="57" t="s">
        <v>439</v>
      </c>
    </row>
    <row r="253" spans="1:10" s="428" customFormat="1" ht="21" hidden="1" customHeight="1" thickBot="1">
      <c r="A253" s="442"/>
      <c r="B253" s="378"/>
      <c r="C253" s="403" t="s">
        <v>15</v>
      </c>
      <c r="D253" s="421"/>
      <c r="E253" s="392" t="e">
        <f>SUM(E242:E251)</f>
        <v>#REF!</v>
      </c>
      <c r="F253" s="394"/>
      <c r="G253" s="609"/>
      <c r="H253" s="488"/>
      <c r="J253" s="403" t="s">
        <v>15</v>
      </c>
    </row>
    <row r="254" spans="1:10" s="428" customFormat="1" ht="30" hidden="1" customHeight="1">
      <c r="A254" s="442"/>
      <c r="B254" s="378"/>
      <c r="C254" s="377" t="s">
        <v>16</v>
      </c>
      <c r="D254" s="415"/>
      <c r="E254" s="12"/>
      <c r="F254" s="394"/>
      <c r="G254" s="609"/>
      <c r="H254" s="488"/>
      <c r="J254" s="377" t="s">
        <v>16</v>
      </c>
    </row>
    <row r="255" spans="1:10" s="428" customFormat="1" ht="20.399999999999999" hidden="1" customHeight="1">
      <c r="A255" s="442"/>
      <c r="B255" s="378"/>
      <c r="C255" s="377"/>
      <c r="D255" s="415"/>
      <c r="E255" s="12"/>
      <c r="F255" s="394"/>
      <c r="G255" s="609"/>
      <c r="H255" s="488"/>
      <c r="J255" s="377"/>
    </row>
    <row r="256" spans="1:10" s="428" customFormat="1" ht="20.399999999999999" customHeight="1">
      <c r="A256" s="442"/>
      <c r="B256" s="378"/>
      <c r="C256" s="377" t="s">
        <v>17</v>
      </c>
      <c r="D256" s="415"/>
      <c r="E256" s="12"/>
      <c r="F256" s="394"/>
      <c r="G256" s="609"/>
      <c r="H256" s="488"/>
      <c r="J256" s="377" t="s">
        <v>2350</v>
      </c>
    </row>
    <row r="257" spans="1:10" s="428" customFormat="1" ht="20.399999999999999" customHeight="1">
      <c r="A257" s="442"/>
      <c r="B257" s="378"/>
      <c r="C257" s="403"/>
      <c r="D257" s="415"/>
      <c r="E257" s="12"/>
      <c r="F257" s="394"/>
      <c r="G257" s="609"/>
      <c r="H257" s="488"/>
      <c r="J257" s="403"/>
    </row>
    <row r="258" spans="1:10" s="428" customFormat="1" ht="20.399999999999999" customHeight="1">
      <c r="A258" s="442"/>
      <c r="B258" s="378"/>
      <c r="C258" s="403" t="s">
        <v>18</v>
      </c>
      <c r="D258" s="415"/>
      <c r="E258" s="12"/>
      <c r="F258" s="394"/>
      <c r="G258" s="609"/>
      <c r="H258" s="488"/>
      <c r="J258" s="403" t="s">
        <v>2351</v>
      </c>
    </row>
    <row r="259" spans="1:10" s="428" customFormat="1" ht="30" customHeight="1">
      <c r="A259" s="442" t="s">
        <v>19</v>
      </c>
      <c r="B259" s="395" t="s">
        <v>158</v>
      </c>
      <c r="C259" s="405" t="s">
        <v>1175</v>
      </c>
      <c r="D259" s="425">
        <v>2590.86</v>
      </c>
      <c r="E259" s="382" t="e">
        <f>#REF!*D259</f>
        <v>#REF!</v>
      </c>
      <c r="F259" s="383" t="s">
        <v>627</v>
      </c>
      <c r="G259" s="602">
        <f t="shared" ref="G259" si="26">+Rebusca_t1(F259)</f>
        <v>0</v>
      </c>
      <c r="H259" s="488"/>
      <c r="J259" s="405" t="s">
        <v>2188</v>
      </c>
    </row>
    <row r="260" spans="1:10" s="428" customFormat="1" ht="30" customHeight="1">
      <c r="A260" s="442" t="s">
        <v>20</v>
      </c>
      <c r="B260" s="378" t="s">
        <v>147</v>
      </c>
      <c r="C260" s="57" t="s">
        <v>1176</v>
      </c>
      <c r="D260" s="415">
        <v>16.329999999999998</v>
      </c>
      <c r="E260" s="382" t="e">
        <f>#REF!*D260</f>
        <v>#REF!</v>
      </c>
      <c r="F260" s="383" t="s">
        <v>868</v>
      </c>
      <c r="G260" s="602">
        <f>+Rebusca_t1("C-712")</f>
        <v>58</v>
      </c>
      <c r="H260" s="488"/>
      <c r="J260" s="57" t="s">
        <v>2428</v>
      </c>
    </row>
    <row r="261" spans="1:10" s="428" customFormat="1" ht="30" customHeight="1">
      <c r="A261" s="442" t="s">
        <v>21</v>
      </c>
      <c r="B261" s="378" t="s">
        <v>147</v>
      </c>
      <c r="C261" s="57" t="s">
        <v>101</v>
      </c>
      <c r="D261" s="415">
        <v>50</v>
      </c>
      <c r="E261" s="382"/>
      <c r="F261" s="383" t="s">
        <v>871</v>
      </c>
      <c r="G261" s="602">
        <f t="shared" ref="G261:G274" si="27">+Rebusca_t1(F261)</f>
        <v>0</v>
      </c>
      <c r="H261" s="488"/>
      <c r="J261" s="57" t="s">
        <v>2429</v>
      </c>
    </row>
    <row r="262" spans="1:10" s="428" customFormat="1" ht="30" customHeight="1">
      <c r="A262" s="442" t="s">
        <v>22</v>
      </c>
      <c r="B262" s="378" t="s">
        <v>147</v>
      </c>
      <c r="C262" s="57" t="s">
        <v>178</v>
      </c>
      <c r="D262" s="415">
        <v>40.36</v>
      </c>
      <c r="E262" s="382" t="e">
        <f>#REF!*D262</f>
        <v>#REF!</v>
      </c>
      <c r="F262" s="383" t="s">
        <v>870</v>
      </c>
      <c r="G262" s="602">
        <f t="shared" si="27"/>
        <v>0</v>
      </c>
      <c r="H262" s="488"/>
      <c r="J262" s="57" t="s">
        <v>2449</v>
      </c>
    </row>
    <row r="263" spans="1:10" s="428" customFormat="1" ht="30" customHeight="1">
      <c r="A263" s="442" t="s">
        <v>23</v>
      </c>
      <c r="B263" s="378" t="s">
        <v>147</v>
      </c>
      <c r="C263" s="57" t="s">
        <v>112</v>
      </c>
      <c r="D263" s="415">
        <v>81.349999999999994</v>
      </c>
      <c r="E263" s="382" t="e">
        <f>#REF!*D263</f>
        <v>#REF!</v>
      </c>
      <c r="F263" s="383" t="s">
        <v>850</v>
      </c>
      <c r="G263" s="602">
        <f t="shared" si="27"/>
        <v>53</v>
      </c>
      <c r="H263" s="488"/>
      <c r="J263" s="57" t="s">
        <v>2352</v>
      </c>
    </row>
    <row r="264" spans="1:10" s="428" customFormat="1" ht="30" customHeight="1">
      <c r="A264" s="442" t="s">
        <v>24</v>
      </c>
      <c r="B264" s="378" t="s">
        <v>147</v>
      </c>
      <c r="C264" s="57" t="s">
        <v>113</v>
      </c>
      <c r="D264" s="415">
        <v>39.06</v>
      </c>
      <c r="E264" s="382" t="e">
        <f>#REF!*D264</f>
        <v>#REF!</v>
      </c>
      <c r="F264" s="383" t="s">
        <v>852</v>
      </c>
      <c r="G264" s="602">
        <f t="shared" si="27"/>
        <v>212</v>
      </c>
      <c r="H264" s="488"/>
      <c r="J264" s="57" t="s">
        <v>2430</v>
      </c>
    </row>
    <row r="265" spans="1:10" s="428" customFormat="1" ht="30" customHeight="1">
      <c r="A265" s="442" t="s">
        <v>25</v>
      </c>
      <c r="B265" s="378" t="s">
        <v>147</v>
      </c>
      <c r="C265" s="57" t="s">
        <v>171</v>
      </c>
      <c r="D265" s="415">
        <v>29.02</v>
      </c>
      <c r="E265" s="382" t="e">
        <f>#REF!*D265</f>
        <v>#REF!</v>
      </c>
      <c r="F265" s="383" t="s">
        <v>854</v>
      </c>
      <c r="G265" s="602">
        <f>+Rebusca_t1(F265)</f>
        <v>665</v>
      </c>
      <c r="H265" s="488"/>
      <c r="J265" s="57" t="s">
        <v>2353</v>
      </c>
    </row>
    <row r="266" spans="1:10" s="428" customFormat="1" ht="30" customHeight="1">
      <c r="A266" s="448" t="s">
        <v>1257</v>
      </c>
      <c r="B266" s="409" t="s">
        <v>147</v>
      </c>
      <c r="C266" s="410" t="s">
        <v>1261</v>
      </c>
      <c r="D266" s="415"/>
      <c r="E266" s="382"/>
      <c r="F266" s="457" t="s">
        <v>855</v>
      </c>
      <c r="G266" s="606">
        <f t="shared" ref="G266:G269" si="28">+Rebusca_t1(F266)</f>
        <v>70</v>
      </c>
      <c r="H266" s="488"/>
      <c r="J266" s="410" t="s">
        <v>2354</v>
      </c>
    </row>
    <row r="267" spans="1:10" s="428" customFormat="1" ht="30" customHeight="1">
      <c r="A267" s="448" t="s">
        <v>1258</v>
      </c>
      <c r="B267" s="409" t="s">
        <v>147</v>
      </c>
      <c r="C267" s="410" t="s">
        <v>1262</v>
      </c>
      <c r="D267" s="415"/>
      <c r="E267" s="382"/>
      <c r="F267" s="457" t="s">
        <v>856</v>
      </c>
      <c r="G267" s="606">
        <f t="shared" si="28"/>
        <v>4</v>
      </c>
      <c r="H267" s="488"/>
      <c r="J267" s="410" t="s">
        <v>2355</v>
      </c>
    </row>
    <row r="268" spans="1:10" s="428" customFormat="1" ht="30" customHeight="1">
      <c r="A268" s="448" t="s">
        <v>1259</v>
      </c>
      <c r="B268" s="409" t="s">
        <v>147</v>
      </c>
      <c r="C268" s="410" t="s">
        <v>1263</v>
      </c>
      <c r="D268" s="415"/>
      <c r="E268" s="382"/>
      <c r="F268" s="457" t="s">
        <v>857</v>
      </c>
      <c r="G268" s="606">
        <f t="shared" si="28"/>
        <v>46</v>
      </c>
      <c r="H268" s="488"/>
      <c r="J268" s="410" t="s">
        <v>2356</v>
      </c>
    </row>
    <row r="269" spans="1:10" s="428" customFormat="1" ht="30" customHeight="1">
      <c r="A269" s="448" t="s">
        <v>1260</v>
      </c>
      <c r="B269" s="409" t="s">
        <v>147</v>
      </c>
      <c r="C269" s="410" t="s">
        <v>1264</v>
      </c>
      <c r="D269" s="415"/>
      <c r="E269" s="382"/>
      <c r="F269" s="457" t="s">
        <v>858</v>
      </c>
      <c r="G269" s="606">
        <f t="shared" si="28"/>
        <v>665</v>
      </c>
      <c r="H269" s="488"/>
      <c r="J269" s="410" t="s">
        <v>2357</v>
      </c>
    </row>
    <row r="270" spans="1:10" s="428" customFormat="1" ht="30" customHeight="1">
      <c r="A270" s="442" t="s">
        <v>26</v>
      </c>
      <c r="B270" s="378" t="s">
        <v>147</v>
      </c>
      <c r="C270" s="57" t="s">
        <v>107</v>
      </c>
      <c r="D270" s="415">
        <v>29.02</v>
      </c>
      <c r="E270" s="382" t="e">
        <f>#REF!*D270</f>
        <v>#REF!</v>
      </c>
      <c r="F270" s="462"/>
      <c r="G270" s="609"/>
      <c r="H270" s="488"/>
      <c r="J270" s="57" t="s">
        <v>2358</v>
      </c>
    </row>
    <row r="271" spans="1:10" s="428" customFormat="1" ht="30" customHeight="1">
      <c r="A271" s="442" t="s">
        <v>27</v>
      </c>
      <c r="B271" s="378" t="s">
        <v>147</v>
      </c>
      <c r="C271" s="57" t="s">
        <v>114</v>
      </c>
      <c r="D271" s="415">
        <v>139.91</v>
      </c>
      <c r="E271" s="382" t="e">
        <f>#REF!*D271</f>
        <v>#REF!</v>
      </c>
      <c r="F271" s="383" t="s">
        <v>860</v>
      </c>
      <c r="G271" s="602">
        <f t="shared" si="27"/>
        <v>20</v>
      </c>
      <c r="H271" s="488"/>
      <c r="J271" s="57" t="s">
        <v>2359</v>
      </c>
    </row>
    <row r="272" spans="1:10" s="428" customFormat="1" ht="30" customHeight="1">
      <c r="A272" s="442" t="s">
        <v>28</v>
      </c>
      <c r="B272" s="378" t="s">
        <v>147</v>
      </c>
      <c r="C272" s="57" t="s">
        <v>116</v>
      </c>
      <c r="D272" s="415">
        <v>15.22</v>
      </c>
      <c r="E272" s="382" t="e">
        <f>#REF!*D272</f>
        <v>#REF!</v>
      </c>
      <c r="F272" s="383" t="s">
        <v>861</v>
      </c>
      <c r="G272" s="602">
        <f t="shared" si="27"/>
        <v>58</v>
      </c>
      <c r="H272" s="488"/>
      <c r="J272" s="57" t="s">
        <v>2431</v>
      </c>
    </row>
    <row r="273" spans="1:10" s="428" customFormat="1" ht="30" customHeight="1">
      <c r="A273" s="442" t="s">
        <v>29</v>
      </c>
      <c r="B273" s="378" t="s">
        <v>147</v>
      </c>
      <c r="C273" s="57" t="s">
        <v>179</v>
      </c>
      <c r="D273" s="415">
        <v>118</v>
      </c>
      <c r="E273" s="382" t="e">
        <f>#REF!*D273</f>
        <v>#REF!</v>
      </c>
      <c r="F273" s="383" t="s">
        <v>863</v>
      </c>
      <c r="G273" s="602">
        <f t="shared" si="27"/>
        <v>8</v>
      </c>
      <c r="H273" s="488"/>
      <c r="J273" s="57" t="s">
        <v>2360</v>
      </c>
    </row>
    <row r="274" spans="1:10" s="428" customFormat="1" ht="30" customHeight="1">
      <c r="A274" s="442" t="s">
        <v>30</v>
      </c>
      <c r="B274" s="378" t="s">
        <v>147</v>
      </c>
      <c r="C274" s="57" t="s">
        <v>118</v>
      </c>
      <c r="D274" s="415">
        <v>19.21</v>
      </c>
      <c r="E274" s="382" t="e">
        <f>#REF!*D274</f>
        <v>#REF!</v>
      </c>
      <c r="F274" s="383" t="s">
        <v>864</v>
      </c>
      <c r="G274" s="602">
        <f t="shared" si="27"/>
        <v>0</v>
      </c>
      <c r="H274" s="488"/>
      <c r="J274" s="57" t="s">
        <v>2361</v>
      </c>
    </row>
    <row r="275" spans="1:10" s="428" customFormat="1" ht="30" customHeight="1">
      <c r="A275" s="442" t="s">
        <v>31</v>
      </c>
      <c r="B275" s="378" t="s">
        <v>147</v>
      </c>
      <c r="C275" s="57" t="s">
        <v>180</v>
      </c>
      <c r="D275" s="415">
        <v>35.29</v>
      </c>
      <c r="E275" s="382" t="e">
        <f>#REF!*D275</f>
        <v>#REF!</v>
      </c>
      <c r="F275" s="383" t="s">
        <v>840</v>
      </c>
      <c r="G275" s="602">
        <f>+Rebusca_t1(F275)</f>
        <v>34</v>
      </c>
      <c r="H275" s="488"/>
      <c r="J275" s="57" t="s">
        <v>2432</v>
      </c>
    </row>
    <row r="276" spans="1:10" s="428" customFormat="1" ht="30" customHeight="1">
      <c r="A276" s="442" t="s">
        <v>32</v>
      </c>
      <c r="B276" s="378" t="s">
        <v>147</v>
      </c>
      <c r="C276" s="57" t="s">
        <v>1265</v>
      </c>
      <c r="D276" s="415">
        <v>287.72000000000003</v>
      </c>
      <c r="E276" s="382" t="e">
        <f>#REF!*D276</f>
        <v>#REF!</v>
      </c>
      <c r="F276" s="383" t="s">
        <v>842</v>
      </c>
      <c r="G276" s="602">
        <f>+Rebusca_t1(F276)</f>
        <v>0</v>
      </c>
      <c r="H276" s="488"/>
      <c r="J276" s="57" t="s">
        <v>2362</v>
      </c>
    </row>
    <row r="277" spans="1:10" s="428" customFormat="1" ht="30" customHeight="1">
      <c r="A277" s="448" t="s">
        <v>1266</v>
      </c>
      <c r="B277" s="409" t="s">
        <v>147</v>
      </c>
      <c r="C277" s="410" t="s">
        <v>1267</v>
      </c>
      <c r="D277" s="415"/>
      <c r="E277" s="382"/>
      <c r="F277" s="457" t="s">
        <v>844</v>
      </c>
      <c r="G277" s="606">
        <f t="shared" ref="G277:G284" si="29">+Rebusca_t1(F277)</f>
        <v>0</v>
      </c>
      <c r="H277" s="488"/>
      <c r="J277" s="410" t="s">
        <v>2363</v>
      </c>
    </row>
    <row r="278" spans="1:10" s="428" customFormat="1" ht="30" customHeight="1">
      <c r="A278" s="442" t="s">
        <v>1178</v>
      </c>
      <c r="B278" s="378" t="s">
        <v>147</v>
      </c>
      <c r="C278" s="57" t="s">
        <v>181</v>
      </c>
      <c r="D278" s="415">
        <v>177.35</v>
      </c>
      <c r="E278" s="382" t="e">
        <f>#REF!*D278</f>
        <v>#REF!</v>
      </c>
      <c r="F278" s="383" t="s">
        <v>846</v>
      </c>
      <c r="G278" s="602">
        <f>+Rebusca_t1(F278)</f>
        <v>0</v>
      </c>
      <c r="H278" s="488"/>
      <c r="J278" s="57" t="s">
        <v>2433</v>
      </c>
    </row>
    <row r="279" spans="1:10" s="428" customFormat="1" ht="30.6" customHeight="1">
      <c r="A279" s="442" t="s">
        <v>1179</v>
      </c>
      <c r="B279" s="378" t="s">
        <v>150</v>
      </c>
      <c r="C279" s="57" t="s">
        <v>182</v>
      </c>
      <c r="D279" s="415">
        <v>11.37</v>
      </c>
      <c r="E279" s="382" t="e">
        <f>#REF!*D279</f>
        <v>#REF!</v>
      </c>
      <c r="F279" s="394" t="s">
        <v>1296</v>
      </c>
      <c r="G279" s="602">
        <f t="shared" si="29"/>
        <v>0</v>
      </c>
      <c r="H279" s="488"/>
      <c r="J279" s="57" t="s">
        <v>2364</v>
      </c>
    </row>
    <row r="280" spans="1:10" s="428" customFormat="1" ht="30.6" customHeight="1">
      <c r="A280" s="459" t="s">
        <v>1297</v>
      </c>
      <c r="B280" s="409" t="s">
        <v>147</v>
      </c>
      <c r="C280" s="410" t="s">
        <v>873</v>
      </c>
      <c r="D280" s="475"/>
      <c r="E280" s="476"/>
      <c r="F280" s="458" t="s">
        <v>872</v>
      </c>
      <c r="G280" s="606">
        <f t="shared" si="29"/>
        <v>0</v>
      </c>
      <c r="H280" s="488"/>
      <c r="J280" s="410" t="s">
        <v>2365</v>
      </c>
    </row>
    <row r="281" spans="1:10" s="428" customFormat="1" ht="30.6" customHeight="1">
      <c r="A281" s="459" t="s">
        <v>1298</v>
      </c>
      <c r="B281" s="409" t="s">
        <v>147</v>
      </c>
      <c r="C281" s="410" t="s">
        <v>875</v>
      </c>
      <c r="D281" s="475"/>
      <c r="E281" s="476"/>
      <c r="F281" s="458" t="s">
        <v>874</v>
      </c>
      <c r="G281" s="606">
        <f t="shared" si="29"/>
        <v>0</v>
      </c>
      <c r="H281" s="488"/>
      <c r="J281" s="410" t="s">
        <v>2366</v>
      </c>
    </row>
    <row r="282" spans="1:10" s="428" customFormat="1" ht="30.6" customHeight="1">
      <c r="A282" s="459" t="s">
        <v>1299</v>
      </c>
      <c r="B282" s="409" t="s">
        <v>147</v>
      </c>
      <c r="C282" s="410" t="s">
        <v>877</v>
      </c>
      <c r="D282" s="475"/>
      <c r="E282" s="476"/>
      <c r="F282" s="458" t="s">
        <v>876</v>
      </c>
      <c r="G282" s="606">
        <f t="shared" si="29"/>
        <v>0</v>
      </c>
      <c r="H282" s="488"/>
      <c r="J282" s="410" t="s">
        <v>2434</v>
      </c>
    </row>
    <row r="283" spans="1:10" s="428" customFormat="1" ht="30.6" customHeight="1">
      <c r="A283" s="459" t="s">
        <v>1300</v>
      </c>
      <c r="B283" s="409" t="s">
        <v>147</v>
      </c>
      <c r="C283" s="410" t="s">
        <v>879</v>
      </c>
      <c r="D283" s="475"/>
      <c r="E283" s="476"/>
      <c r="F283" s="458" t="s">
        <v>878</v>
      </c>
      <c r="G283" s="606">
        <f t="shared" si="29"/>
        <v>0</v>
      </c>
      <c r="H283" s="488"/>
      <c r="J283" s="410" t="s">
        <v>2367</v>
      </c>
    </row>
    <row r="284" spans="1:10" s="428" customFormat="1" ht="30.6" customHeight="1" thickBot="1">
      <c r="A284" s="459" t="s">
        <v>1301</v>
      </c>
      <c r="B284" s="409" t="s">
        <v>147</v>
      </c>
      <c r="C284" s="410" t="s">
        <v>1302</v>
      </c>
      <c r="D284" s="475"/>
      <c r="E284" s="476"/>
      <c r="F284" s="458" t="s">
        <v>880</v>
      </c>
      <c r="G284" s="606">
        <f t="shared" si="29"/>
        <v>0</v>
      </c>
      <c r="H284" s="488"/>
      <c r="J284" s="410" t="s">
        <v>2368</v>
      </c>
    </row>
    <row r="285" spans="1:10" s="428" customFormat="1" ht="21" customHeight="1" thickBot="1">
      <c r="A285" s="442"/>
      <c r="B285" s="378"/>
      <c r="C285" s="403" t="s">
        <v>33</v>
      </c>
      <c r="D285" s="418"/>
      <c r="E285" s="392" t="e">
        <f>SUM(E259:E279)</f>
        <v>#REF!</v>
      </c>
      <c r="F285" s="394"/>
      <c r="G285" s="609"/>
      <c r="H285" s="488"/>
      <c r="J285" s="403" t="s">
        <v>2369</v>
      </c>
    </row>
    <row r="286" spans="1:10" s="428" customFormat="1" ht="20.399999999999999" customHeight="1">
      <c r="A286" s="442"/>
      <c r="B286" s="378"/>
      <c r="C286" s="57"/>
      <c r="D286" s="415"/>
      <c r="E286" s="12"/>
      <c r="F286" s="394"/>
      <c r="G286" s="609"/>
      <c r="H286" s="488"/>
      <c r="J286" s="57"/>
    </row>
    <row r="287" spans="1:10" s="428" customFormat="1" ht="20.399999999999999" hidden="1" customHeight="1">
      <c r="A287" s="442"/>
      <c r="B287" s="378"/>
      <c r="C287" s="403" t="s">
        <v>34</v>
      </c>
      <c r="D287" s="415"/>
      <c r="E287" s="12"/>
      <c r="F287" s="394"/>
      <c r="G287" s="609"/>
      <c r="H287" s="488"/>
      <c r="J287" s="403" t="s">
        <v>34</v>
      </c>
    </row>
    <row r="288" spans="1:10" s="428" customFormat="1" ht="30" hidden="1" customHeight="1">
      <c r="A288" s="442" t="s">
        <v>35</v>
      </c>
      <c r="B288" s="378" t="s">
        <v>158</v>
      </c>
      <c r="C288" s="57" t="s">
        <v>183</v>
      </c>
      <c r="D288" s="420">
        <v>5041.3900000000003</v>
      </c>
      <c r="E288" s="382" t="e">
        <f>D288*#REF!</f>
        <v>#REF!</v>
      </c>
      <c r="F288" s="394"/>
      <c r="G288" s="609"/>
      <c r="H288" s="488"/>
      <c r="J288" s="57" t="s">
        <v>183</v>
      </c>
    </row>
    <row r="289" spans="1:10" s="428" customFormat="1" ht="30" hidden="1" customHeight="1">
      <c r="A289" s="442" t="s">
        <v>36</v>
      </c>
      <c r="B289" s="378" t="s">
        <v>147</v>
      </c>
      <c r="C289" s="57" t="s">
        <v>184</v>
      </c>
      <c r="D289" s="415">
        <v>98.01</v>
      </c>
      <c r="E289" s="382" t="e">
        <f>D289*#REF!</f>
        <v>#REF!</v>
      </c>
      <c r="F289" s="394"/>
      <c r="G289" s="609"/>
      <c r="H289" s="488"/>
      <c r="J289" s="57" t="s">
        <v>184</v>
      </c>
    </row>
    <row r="290" spans="1:10" s="428" customFormat="1" ht="30" hidden="1" customHeight="1">
      <c r="A290" s="442" t="s">
        <v>37</v>
      </c>
      <c r="B290" s="378" t="s">
        <v>147</v>
      </c>
      <c r="C290" s="57" t="s">
        <v>185</v>
      </c>
      <c r="D290" s="415">
        <v>44.72</v>
      </c>
      <c r="E290" s="382" t="e">
        <f>D290*#REF!</f>
        <v>#REF!</v>
      </c>
      <c r="F290" s="394"/>
      <c r="G290" s="609"/>
      <c r="H290" s="488"/>
      <c r="J290" s="57" t="s">
        <v>185</v>
      </c>
    </row>
    <row r="291" spans="1:10" s="428" customFormat="1" ht="30" hidden="1" customHeight="1">
      <c r="A291" s="442" t="s">
        <v>38</v>
      </c>
      <c r="B291" s="378" t="s">
        <v>147</v>
      </c>
      <c r="C291" s="57" t="s">
        <v>186</v>
      </c>
      <c r="D291" s="415">
        <v>447.75</v>
      </c>
      <c r="E291" s="382" t="e">
        <f>D291*#REF!</f>
        <v>#REF!</v>
      </c>
      <c r="F291" s="394"/>
      <c r="G291" s="609"/>
      <c r="H291" s="488"/>
      <c r="J291" s="57" t="s">
        <v>186</v>
      </c>
    </row>
    <row r="292" spans="1:10" s="428" customFormat="1" ht="30" hidden="1" customHeight="1">
      <c r="A292" s="442" t="s">
        <v>39</v>
      </c>
      <c r="B292" s="378" t="s">
        <v>147</v>
      </c>
      <c r="C292" s="57" t="s">
        <v>187</v>
      </c>
      <c r="D292" s="415">
        <v>113.17</v>
      </c>
      <c r="E292" s="382" t="e">
        <f>D292*#REF!</f>
        <v>#REF!</v>
      </c>
      <c r="F292" s="394"/>
      <c r="G292" s="609"/>
      <c r="H292" s="488"/>
      <c r="J292" s="57" t="s">
        <v>2435</v>
      </c>
    </row>
    <row r="293" spans="1:10" s="428" customFormat="1" ht="30" hidden="1" customHeight="1">
      <c r="A293" s="442" t="s">
        <v>40</v>
      </c>
      <c r="B293" s="378" t="s">
        <v>147</v>
      </c>
      <c r="C293" s="57" t="s">
        <v>188</v>
      </c>
      <c r="D293" s="415">
        <v>335.83</v>
      </c>
      <c r="E293" s="382" t="e">
        <f>D293*#REF!</f>
        <v>#REF!</v>
      </c>
      <c r="F293" s="394"/>
      <c r="G293" s="609"/>
      <c r="H293" s="488"/>
      <c r="J293" s="57" t="s">
        <v>188</v>
      </c>
    </row>
    <row r="294" spans="1:10" s="428" customFormat="1" ht="30" hidden="1" customHeight="1">
      <c r="A294" s="442" t="s">
        <v>41</v>
      </c>
      <c r="B294" s="378" t="s">
        <v>147</v>
      </c>
      <c r="C294" s="57" t="s">
        <v>189</v>
      </c>
      <c r="D294" s="415">
        <v>42.69</v>
      </c>
      <c r="E294" s="382" t="e">
        <f>D294*#REF!</f>
        <v>#REF!</v>
      </c>
      <c r="F294" s="394"/>
      <c r="G294" s="609"/>
      <c r="H294" s="488"/>
      <c r="J294" s="57" t="s">
        <v>189</v>
      </c>
    </row>
    <row r="295" spans="1:10" s="428" customFormat="1" ht="30" hidden="1" customHeight="1">
      <c r="A295" s="442" t="s">
        <v>42</v>
      </c>
      <c r="B295" s="378" t="s">
        <v>147</v>
      </c>
      <c r="C295" s="57" t="s">
        <v>190</v>
      </c>
      <c r="D295" s="415">
        <v>98.01</v>
      </c>
      <c r="E295" s="382" t="e">
        <f>D295*#REF!</f>
        <v>#REF!</v>
      </c>
      <c r="F295" s="394"/>
      <c r="G295" s="609"/>
      <c r="H295" s="488"/>
      <c r="J295" s="57" t="s">
        <v>2436</v>
      </c>
    </row>
    <row r="296" spans="1:10" s="428" customFormat="1" ht="30" hidden="1" customHeight="1">
      <c r="A296" s="442" t="s">
        <v>43</v>
      </c>
      <c r="B296" s="378" t="s">
        <v>147</v>
      </c>
      <c r="C296" s="57" t="s">
        <v>191</v>
      </c>
      <c r="D296" s="415">
        <v>420.96</v>
      </c>
      <c r="E296" s="382" t="e">
        <f>D296*#REF!</f>
        <v>#REF!</v>
      </c>
      <c r="F296" s="394"/>
      <c r="G296" s="609"/>
      <c r="H296" s="488"/>
      <c r="J296" s="57" t="s">
        <v>191</v>
      </c>
    </row>
    <row r="297" spans="1:10" s="428" customFormat="1" ht="30" hidden="1" customHeight="1">
      <c r="A297" s="442" t="s">
        <v>44</v>
      </c>
      <c r="B297" s="378" t="s">
        <v>147</v>
      </c>
      <c r="C297" s="57" t="s">
        <v>192</v>
      </c>
      <c r="D297" s="415">
        <v>98.01</v>
      </c>
      <c r="E297" s="382" t="e">
        <f>D297*#REF!</f>
        <v>#REF!</v>
      </c>
      <c r="F297" s="394"/>
      <c r="G297" s="609"/>
      <c r="H297" s="488"/>
      <c r="J297" s="57" t="s">
        <v>192</v>
      </c>
    </row>
    <row r="298" spans="1:10" s="428" customFormat="1" ht="30" hidden="1" customHeight="1">
      <c r="A298" s="442" t="s">
        <v>45</v>
      </c>
      <c r="B298" s="378" t="s">
        <v>147</v>
      </c>
      <c r="C298" s="57" t="s">
        <v>193</v>
      </c>
      <c r="D298" s="415">
        <v>946.19</v>
      </c>
      <c r="E298" s="382" t="e">
        <f>D298*#REF!</f>
        <v>#REF!</v>
      </c>
      <c r="F298" s="394"/>
      <c r="G298" s="609"/>
      <c r="H298" s="488"/>
      <c r="J298" s="57" t="s">
        <v>2437</v>
      </c>
    </row>
    <row r="299" spans="1:10" s="428" customFormat="1" ht="30" hidden="1" customHeight="1">
      <c r="A299" s="442" t="s">
        <v>46</v>
      </c>
      <c r="B299" s="378" t="s">
        <v>147</v>
      </c>
      <c r="C299" s="57" t="s">
        <v>194</v>
      </c>
      <c r="D299" s="420">
        <v>5677.09</v>
      </c>
      <c r="E299" s="382" t="e">
        <f>D299*#REF!</f>
        <v>#REF!</v>
      </c>
      <c r="F299" s="394"/>
      <c r="G299" s="609"/>
      <c r="H299" s="488"/>
      <c r="J299" s="57" t="s">
        <v>194</v>
      </c>
    </row>
    <row r="300" spans="1:10" s="428" customFormat="1" ht="30" hidden="1" customHeight="1">
      <c r="A300" s="442" t="s">
        <v>47</v>
      </c>
      <c r="B300" s="378" t="s">
        <v>147</v>
      </c>
      <c r="C300" s="57" t="s">
        <v>195</v>
      </c>
      <c r="D300" s="415">
        <v>228.91</v>
      </c>
      <c r="E300" s="382" t="e">
        <f>D300*#REF!</f>
        <v>#REF!</v>
      </c>
      <c r="F300" s="394"/>
      <c r="G300" s="609"/>
      <c r="H300" s="488"/>
      <c r="J300" s="57" t="s">
        <v>195</v>
      </c>
    </row>
    <row r="301" spans="1:10" s="428" customFormat="1" ht="30" hidden="1" customHeight="1">
      <c r="A301" s="442" t="s">
        <v>48</v>
      </c>
      <c r="B301" s="378" t="s">
        <v>150</v>
      </c>
      <c r="C301" s="57" t="s">
        <v>196</v>
      </c>
      <c r="D301" s="415">
        <v>42.75</v>
      </c>
      <c r="E301" s="382" t="e">
        <f>D301*#REF!</f>
        <v>#REF!</v>
      </c>
      <c r="F301" s="394"/>
      <c r="G301" s="609"/>
      <c r="H301" s="488"/>
      <c r="J301" s="57" t="s">
        <v>196</v>
      </c>
    </row>
    <row r="302" spans="1:10" s="428" customFormat="1" ht="30" hidden="1" customHeight="1">
      <c r="A302" s="442" t="s">
        <v>49</v>
      </c>
      <c r="B302" s="378" t="s">
        <v>147</v>
      </c>
      <c r="C302" s="57" t="s">
        <v>197</v>
      </c>
      <c r="D302" s="420">
        <v>3847.73</v>
      </c>
      <c r="E302" s="382" t="e">
        <f>D302*#REF!</f>
        <v>#REF!</v>
      </c>
      <c r="F302" s="394"/>
      <c r="G302" s="609"/>
      <c r="H302" s="488"/>
      <c r="J302" s="57" t="s">
        <v>197</v>
      </c>
    </row>
    <row r="303" spans="1:10" s="428" customFormat="1" ht="42.6" hidden="1" customHeight="1" thickBot="1">
      <c r="A303" s="442" t="s">
        <v>50</v>
      </c>
      <c r="B303" s="378" t="s">
        <v>147</v>
      </c>
      <c r="C303" s="57" t="s">
        <v>198</v>
      </c>
      <c r="D303" s="420">
        <v>5142.5200000000004</v>
      </c>
      <c r="E303" s="382" t="e">
        <f>D303*#REF!</f>
        <v>#REF!</v>
      </c>
      <c r="F303" s="394"/>
      <c r="G303" s="609"/>
      <c r="H303" s="488"/>
      <c r="J303" s="57" t="s">
        <v>198</v>
      </c>
    </row>
    <row r="304" spans="1:10" s="428" customFormat="1" ht="21" hidden="1" customHeight="1" thickBot="1">
      <c r="A304" s="442"/>
      <c r="B304" s="378"/>
      <c r="C304" s="403" t="s">
        <v>51</v>
      </c>
      <c r="D304" s="418"/>
      <c r="E304" s="392" t="e">
        <f>SUM(E288:E303)</f>
        <v>#REF!</v>
      </c>
      <c r="F304" s="394"/>
      <c r="G304" s="609"/>
      <c r="H304" s="488"/>
      <c r="J304" s="403" t="s">
        <v>51</v>
      </c>
    </row>
    <row r="305" spans="1:10" s="428" customFormat="1" ht="20.399999999999999" hidden="1" customHeight="1">
      <c r="A305" s="442"/>
      <c r="B305" s="378"/>
      <c r="C305" s="377" t="s">
        <v>52</v>
      </c>
      <c r="D305" s="415"/>
      <c r="E305" s="12"/>
      <c r="F305" s="394"/>
      <c r="G305" s="609"/>
      <c r="H305" s="488"/>
      <c r="J305" s="377" t="s">
        <v>52</v>
      </c>
    </row>
    <row r="306" spans="1:10" s="428" customFormat="1" ht="21" customHeight="1" thickBot="1">
      <c r="A306" s="442"/>
      <c r="B306" s="378"/>
      <c r="C306" s="403"/>
      <c r="D306" s="415"/>
      <c r="E306" s="399"/>
      <c r="F306" s="394"/>
      <c r="G306" s="609"/>
      <c r="H306" s="488"/>
      <c r="J306" s="403"/>
    </row>
    <row r="307" spans="1:10" s="428" customFormat="1" ht="21" customHeight="1" thickBot="1">
      <c r="A307" s="442"/>
      <c r="B307" s="378"/>
      <c r="C307" s="403" t="s">
        <v>53</v>
      </c>
      <c r="D307" s="418"/>
      <c r="E307" s="402" t="e">
        <f>E304+E285+E253+E239+E213+E199+E168+E157+E140+E131+E110+E89+E31+E16</f>
        <v>#REF!</v>
      </c>
      <c r="F307" s="394"/>
      <c r="G307" s="609"/>
      <c r="H307" s="488"/>
      <c r="J307" s="403" t="s">
        <v>2370</v>
      </c>
    </row>
    <row r="308" spans="1:10" s="428" customFormat="1" ht="20.399999999999999" customHeight="1">
      <c r="A308" s="449"/>
      <c r="B308" s="431"/>
      <c r="C308" s="437"/>
      <c r="D308" s="430"/>
      <c r="F308" s="431"/>
      <c r="G308" s="596"/>
      <c r="H308" s="488"/>
      <c r="J308" s="437"/>
    </row>
    <row r="309" spans="1:10" s="428" customFormat="1" ht="20.399999999999999" customHeight="1">
      <c r="A309" s="449"/>
      <c r="B309" s="431"/>
      <c r="C309" s="437"/>
      <c r="D309" s="430"/>
      <c r="F309" s="431"/>
      <c r="G309" s="596"/>
      <c r="H309" s="488"/>
      <c r="J309" s="437"/>
    </row>
    <row r="310" spans="1:10" s="428" customFormat="1" ht="20.399999999999999" customHeight="1">
      <c r="A310" s="449"/>
      <c r="B310" s="431"/>
      <c r="C310" s="437"/>
      <c r="D310" s="430"/>
      <c r="F310" s="431"/>
      <c r="G310" s="596"/>
      <c r="H310" s="488"/>
      <c r="J310" s="437"/>
    </row>
    <row r="311" spans="1:10" s="428" customFormat="1" ht="20.399999999999999" customHeight="1">
      <c r="A311" s="449"/>
      <c r="B311" s="431"/>
      <c r="C311" s="437"/>
      <c r="D311" s="430"/>
      <c r="F311" s="431"/>
      <c r="G311" s="596"/>
      <c r="H311" s="488"/>
      <c r="J311" s="437"/>
    </row>
    <row r="312" spans="1:10" s="428" customFormat="1" ht="20.399999999999999" customHeight="1">
      <c r="A312" s="449"/>
      <c r="B312" s="431"/>
      <c r="C312" s="437"/>
      <c r="D312" s="430"/>
      <c r="F312" s="431"/>
      <c r="G312" s="596"/>
      <c r="H312" s="488"/>
      <c r="J312" s="437"/>
    </row>
    <row r="313" spans="1:10" s="428" customFormat="1" ht="20.399999999999999" customHeight="1">
      <c r="A313" s="449"/>
      <c r="B313" s="431"/>
      <c r="C313" s="437"/>
      <c r="D313" s="430"/>
      <c r="F313" s="431"/>
      <c r="G313" s="596"/>
      <c r="H313" s="488"/>
      <c r="J313" s="437"/>
    </row>
    <row r="314" spans="1:10" s="428" customFormat="1" ht="20.399999999999999" customHeight="1">
      <c r="A314" s="449"/>
      <c r="B314" s="431"/>
      <c r="C314" s="437"/>
      <c r="D314" s="430"/>
      <c r="F314" s="431"/>
      <c r="G314" s="596"/>
      <c r="H314" s="488"/>
      <c r="J314" s="437"/>
    </row>
    <row r="315" spans="1:10" s="428" customFormat="1" ht="20.399999999999999" customHeight="1">
      <c r="A315" s="449"/>
      <c r="B315" s="431"/>
      <c r="C315" s="437"/>
      <c r="D315" s="430"/>
      <c r="F315" s="431"/>
      <c r="G315" s="596"/>
      <c r="H315" s="488"/>
      <c r="J315" s="437"/>
    </row>
    <row r="316" spans="1:10" s="428" customFormat="1" ht="20.399999999999999" customHeight="1">
      <c r="A316" s="449"/>
      <c r="B316" s="431"/>
      <c r="C316" s="437"/>
      <c r="D316" s="430"/>
      <c r="F316" s="431"/>
      <c r="G316" s="596"/>
      <c r="H316" s="488"/>
      <c r="J316" s="437"/>
    </row>
    <row r="317" spans="1:10" s="428" customFormat="1" ht="20.399999999999999" customHeight="1">
      <c r="A317" s="449"/>
      <c r="B317" s="431"/>
      <c r="C317" s="437"/>
      <c r="D317" s="430"/>
      <c r="F317" s="431"/>
      <c r="G317" s="596"/>
      <c r="H317" s="488"/>
      <c r="J317" s="437"/>
    </row>
    <row r="318" spans="1:10" s="428" customFormat="1" ht="20.399999999999999" customHeight="1">
      <c r="A318" s="449"/>
      <c r="B318" s="431"/>
      <c r="C318" s="437"/>
      <c r="D318" s="430"/>
      <c r="F318" s="431"/>
      <c r="G318" s="596"/>
      <c r="H318" s="488"/>
      <c r="J318" s="437"/>
    </row>
    <row r="319" spans="1:10" s="428" customFormat="1" ht="20.399999999999999" customHeight="1">
      <c r="A319" s="449"/>
      <c r="B319" s="431"/>
      <c r="C319" s="437"/>
      <c r="D319" s="430"/>
      <c r="F319" s="431"/>
      <c r="G319" s="596"/>
      <c r="H319" s="488"/>
      <c r="J319" s="437"/>
    </row>
    <row r="320" spans="1:10" s="428" customFormat="1" ht="20.399999999999999" customHeight="1">
      <c r="A320" s="449"/>
      <c r="B320" s="431"/>
      <c r="C320" s="437"/>
      <c r="D320" s="430"/>
      <c r="F320" s="431"/>
      <c r="G320" s="596"/>
      <c r="H320" s="488"/>
      <c r="J320" s="437"/>
    </row>
    <row r="321" spans="1:10" s="428" customFormat="1" ht="20.399999999999999" customHeight="1">
      <c r="A321" s="449"/>
      <c r="B321" s="431"/>
      <c r="C321" s="437"/>
      <c r="D321" s="430"/>
      <c r="F321" s="431"/>
      <c r="G321" s="596"/>
      <c r="H321" s="488"/>
      <c r="J321" s="437"/>
    </row>
    <row r="322" spans="1:10" s="428" customFormat="1" ht="20.399999999999999" customHeight="1">
      <c r="A322" s="449"/>
      <c r="B322" s="431"/>
      <c r="C322" s="437"/>
      <c r="D322" s="430"/>
      <c r="F322" s="431"/>
      <c r="G322" s="596"/>
      <c r="H322" s="488"/>
      <c r="J322" s="437"/>
    </row>
    <row r="323" spans="1:10" s="428" customFormat="1" ht="20.399999999999999" customHeight="1">
      <c r="A323" s="449"/>
      <c r="B323" s="431"/>
      <c r="C323" s="437"/>
      <c r="D323" s="430"/>
      <c r="F323" s="431"/>
      <c r="G323" s="596"/>
      <c r="H323" s="488"/>
      <c r="J323" s="437"/>
    </row>
    <row r="324" spans="1:10" s="428" customFormat="1" ht="20.399999999999999" customHeight="1">
      <c r="A324" s="449"/>
      <c r="B324" s="431"/>
      <c r="C324" s="437"/>
      <c r="D324" s="430"/>
      <c r="F324" s="431"/>
      <c r="G324" s="596"/>
      <c r="H324" s="488"/>
      <c r="J324" s="437"/>
    </row>
    <row r="325" spans="1:10" s="428" customFormat="1" ht="20.399999999999999" customHeight="1">
      <c r="A325" s="449"/>
      <c r="B325" s="431"/>
      <c r="C325" s="437"/>
      <c r="D325" s="430"/>
      <c r="F325" s="431"/>
      <c r="G325" s="596"/>
      <c r="H325" s="488"/>
      <c r="J325" s="437"/>
    </row>
    <row r="326" spans="1:10" s="428" customFormat="1" ht="20.399999999999999" customHeight="1">
      <c r="A326" s="449"/>
      <c r="B326" s="431"/>
      <c r="C326" s="437"/>
      <c r="D326" s="430"/>
      <c r="F326" s="431"/>
      <c r="G326" s="596"/>
      <c r="H326" s="488"/>
      <c r="J326" s="437"/>
    </row>
    <row r="327" spans="1:10" s="428" customFormat="1" ht="20.399999999999999" customHeight="1">
      <c r="A327" s="449"/>
      <c r="B327" s="431"/>
      <c r="C327" s="437"/>
      <c r="D327" s="430"/>
      <c r="F327" s="431"/>
      <c r="G327" s="596"/>
      <c r="H327" s="488"/>
      <c r="J327" s="437"/>
    </row>
    <row r="328" spans="1:10" s="428" customFormat="1" ht="20.399999999999999" customHeight="1">
      <c r="A328" s="449"/>
      <c r="B328" s="431"/>
      <c r="C328" s="437"/>
      <c r="D328" s="430"/>
      <c r="F328" s="431"/>
      <c r="G328" s="596"/>
      <c r="H328" s="488"/>
      <c r="J328" s="437"/>
    </row>
    <row r="329" spans="1:10" s="428" customFormat="1" ht="20.399999999999999" customHeight="1">
      <c r="A329" s="449"/>
      <c r="B329" s="431"/>
      <c r="C329" s="437"/>
      <c r="D329" s="430"/>
      <c r="F329" s="431"/>
      <c r="G329" s="596"/>
      <c r="H329" s="488"/>
      <c r="J329" s="437"/>
    </row>
    <row r="330" spans="1:10" s="428" customFormat="1" ht="20.399999999999999" customHeight="1">
      <c r="A330" s="449"/>
      <c r="B330" s="431"/>
      <c r="C330" s="437"/>
      <c r="D330" s="430"/>
      <c r="F330" s="431"/>
      <c r="G330" s="596"/>
      <c r="H330" s="488"/>
      <c r="J330" s="437"/>
    </row>
    <row r="331" spans="1:10" s="428" customFormat="1" ht="20.399999999999999" customHeight="1">
      <c r="A331" s="449"/>
      <c r="B331" s="431"/>
      <c r="C331" s="437"/>
      <c r="D331" s="430"/>
      <c r="F331" s="431"/>
      <c r="G331" s="596"/>
      <c r="H331" s="488"/>
      <c r="J331" s="437"/>
    </row>
    <row r="332" spans="1:10" s="428" customFormat="1" ht="20.399999999999999" customHeight="1">
      <c r="A332" s="449"/>
      <c r="B332" s="431"/>
      <c r="C332" s="437"/>
      <c r="D332" s="430"/>
      <c r="F332" s="431"/>
      <c r="G332" s="596"/>
      <c r="H332" s="488"/>
      <c r="J332" s="437"/>
    </row>
    <row r="333" spans="1:10" s="428" customFormat="1" ht="20.399999999999999" customHeight="1">
      <c r="A333" s="449"/>
      <c r="B333" s="431"/>
      <c r="C333" s="437"/>
      <c r="D333" s="430"/>
      <c r="F333" s="431"/>
      <c r="G333" s="596"/>
      <c r="H333" s="488"/>
      <c r="J333" s="437"/>
    </row>
    <row r="334" spans="1:10" s="428" customFormat="1" ht="20.399999999999999" customHeight="1">
      <c r="A334" s="449"/>
      <c r="B334" s="431"/>
      <c r="C334" s="437"/>
      <c r="D334" s="430"/>
      <c r="F334" s="431"/>
      <c r="G334" s="596"/>
      <c r="H334" s="488"/>
      <c r="J334" s="437"/>
    </row>
    <row r="335" spans="1:10" s="428" customFormat="1" ht="20.399999999999999" customHeight="1">
      <c r="A335" s="449"/>
      <c r="B335" s="431"/>
      <c r="C335" s="437"/>
      <c r="D335" s="430"/>
      <c r="F335" s="431"/>
      <c r="G335" s="596"/>
      <c r="H335" s="488"/>
      <c r="J335" s="437"/>
    </row>
    <row r="336" spans="1:10" s="428" customFormat="1" ht="20.399999999999999" customHeight="1">
      <c r="A336" s="449"/>
      <c r="B336" s="431"/>
      <c r="C336" s="437"/>
      <c r="D336" s="430"/>
      <c r="F336" s="431"/>
      <c r="G336" s="596"/>
      <c r="H336" s="488"/>
      <c r="J336" s="437"/>
    </row>
    <row r="337" spans="1:10" s="428" customFormat="1" ht="20.399999999999999" customHeight="1">
      <c r="A337" s="449"/>
      <c r="B337" s="431"/>
      <c r="C337" s="437"/>
      <c r="D337" s="430"/>
      <c r="F337" s="431"/>
      <c r="G337" s="596"/>
      <c r="H337" s="488"/>
      <c r="J337" s="437"/>
    </row>
    <row r="338" spans="1:10" s="428" customFormat="1" ht="20.399999999999999" customHeight="1">
      <c r="A338" s="449"/>
      <c r="B338" s="431"/>
      <c r="C338" s="437"/>
      <c r="D338" s="430"/>
      <c r="F338" s="431"/>
      <c r="G338" s="596"/>
      <c r="H338" s="488"/>
      <c r="J338" s="437"/>
    </row>
    <row r="339" spans="1:10" s="428" customFormat="1" ht="20.399999999999999" customHeight="1">
      <c r="A339" s="449"/>
      <c r="B339" s="431"/>
      <c r="C339" s="437"/>
      <c r="D339" s="430"/>
      <c r="F339" s="431"/>
      <c r="G339" s="596"/>
      <c r="H339" s="488"/>
      <c r="J339" s="437"/>
    </row>
    <row r="340" spans="1:10" s="428" customFormat="1" ht="20.399999999999999" customHeight="1">
      <c r="A340" s="449"/>
      <c r="B340" s="431"/>
      <c r="C340" s="437"/>
      <c r="D340" s="430"/>
      <c r="F340" s="431"/>
      <c r="G340" s="596"/>
      <c r="H340" s="488"/>
      <c r="J340" s="437"/>
    </row>
    <row r="341" spans="1:10" s="428" customFormat="1" ht="20.399999999999999" customHeight="1">
      <c r="A341" s="449"/>
      <c r="B341" s="431"/>
      <c r="C341" s="437"/>
      <c r="D341" s="430"/>
      <c r="F341" s="431"/>
      <c r="G341" s="596"/>
      <c r="H341" s="488"/>
      <c r="J341" s="437"/>
    </row>
    <row r="342" spans="1:10" s="428" customFormat="1" ht="20.399999999999999" customHeight="1">
      <c r="A342" s="449"/>
      <c r="B342" s="431"/>
      <c r="C342" s="437"/>
      <c r="D342" s="430"/>
      <c r="F342" s="431"/>
      <c r="G342" s="596"/>
      <c r="H342" s="488"/>
      <c r="J342" s="437"/>
    </row>
    <row r="343" spans="1:10" s="428" customFormat="1" ht="20.399999999999999" customHeight="1">
      <c r="A343" s="449"/>
      <c r="B343" s="431"/>
      <c r="C343" s="437"/>
      <c r="D343" s="430"/>
      <c r="F343" s="431"/>
      <c r="G343" s="596"/>
      <c r="H343" s="488"/>
      <c r="J343" s="437"/>
    </row>
    <row r="344" spans="1:10" s="428" customFormat="1" ht="20.399999999999999" customHeight="1">
      <c r="A344" s="449"/>
      <c r="B344" s="431"/>
      <c r="C344" s="437"/>
      <c r="D344" s="430"/>
      <c r="F344" s="431"/>
      <c r="G344" s="596"/>
      <c r="H344" s="488"/>
      <c r="J344" s="437"/>
    </row>
    <row r="345" spans="1:10" s="428" customFormat="1" ht="20.399999999999999" customHeight="1">
      <c r="A345" s="449"/>
      <c r="B345" s="431"/>
      <c r="C345" s="437"/>
      <c r="D345" s="430"/>
      <c r="F345" s="431"/>
      <c r="G345" s="596"/>
      <c r="H345" s="488"/>
      <c r="J345" s="437"/>
    </row>
    <row r="346" spans="1:10" s="428" customFormat="1" ht="20.399999999999999" customHeight="1">
      <c r="A346" s="449"/>
      <c r="B346" s="431"/>
      <c r="C346" s="437"/>
      <c r="D346" s="430"/>
      <c r="F346" s="431"/>
      <c r="G346" s="596"/>
      <c r="H346" s="488"/>
      <c r="J346" s="437"/>
    </row>
    <row r="347" spans="1:10" s="428" customFormat="1" ht="20.399999999999999" customHeight="1">
      <c r="A347" s="449"/>
      <c r="B347" s="431"/>
      <c r="C347" s="437"/>
      <c r="D347" s="430"/>
      <c r="F347" s="431"/>
      <c r="G347" s="596"/>
      <c r="H347" s="488"/>
      <c r="J347" s="437"/>
    </row>
    <row r="348" spans="1:10" s="428" customFormat="1" ht="20.399999999999999" customHeight="1">
      <c r="A348" s="449"/>
      <c r="B348" s="431"/>
      <c r="C348" s="437"/>
      <c r="D348" s="430"/>
      <c r="F348" s="431"/>
      <c r="G348" s="596"/>
      <c r="H348" s="488"/>
      <c r="J348" s="437"/>
    </row>
    <row r="349" spans="1:10" s="428" customFormat="1" ht="20.399999999999999" customHeight="1">
      <c r="A349" s="449"/>
      <c r="B349" s="431"/>
      <c r="C349" s="437"/>
      <c r="D349" s="430"/>
      <c r="F349" s="431"/>
      <c r="G349" s="596"/>
      <c r="H349" s="488"/>
      <c r="J349" s="437"/>
    </row>
    <row r="350" spans="1:10" s="428" customFormat="1" ht="20.399999999999999" customHeight="1">
      <c r="A350" s="449"/>
      <c r="B350" s="431"/>
      <c r="C350" s="437"/>
      <c r="D350" s="430"/>
      <c r="F350" s="431"/>
      <c r="G350" s="596"/>
      <c r="H350" s="488"/>
      <c r="J350" s="437"/>
    </row>
    <row r="351" spans="1:10" s="428" customFormat="1" ht="20.399999999999999" customHeight="1">
      <c r="A351" s="449"/>
      <c r="B351" s="431"/>
      <c r="C351" s="437"/>
      <c r="D351" s="430"/>
      <c r="F351" s="431"/>
      <c r="G351" s="596"/>
      <c r="H351" s="488"/>
      <c r="J351" s="437"/>
    </row>
    <row r="352" spans="1:10" s="428" customFormat="1" ht="20.399999999999999" customHeight="1">
      <c r="A352" s="449"/>
      <c r="B352" s="431"/>
      <c r="C352" s="437"/>
      <c r="D352" s="430"/>
      <c r="F352" s="431"/>
      <c r="G352" s="596"/>
      <c r="H352" s="488"/>
      <c r="J352" s="437"/>
    </row>
    <row r="353" spans="1:10" s="428" customFormat="1" ht="20.399999999999999" customHeight="1">
      <c r="A353" s="449"/>
      <c r="B353" s="431"/>
      <c r="C353" s="437"/>
      <c r="D353" s="430"/>
      <c r="F353" s="431"/>
      <c r="G353" s="596"/>
      <c r="H353" s="488"/>
      <c r="J353" s="437"/>
    </row>
    <row r="354" spans="1:10" s="428" customFormat="1" ht="20.399999999999999" customHeight="1">
      <c r="A354" s="449"/>
      <c r="B354" s="431"/>
      <c r="C354" s="437"/>
      <c r="D354" s="430"/>
      <c r="F354" s="431"/>
      <c r="G354" s="596"/>
      <c r="H354" s="488"/>
      <c r="J354" s="437"/>
    </row>
    <row r="355" spans="1:10" s="428" customFormat="1" ht="20.399999999999999" customHeight="1">
      <c r="A355" s="449"/>
      <c r="B355" s="431"/>
      <c r="C355" s="437"/>
      <c r="D355" s="430"/>
      <c r="F355" s="431"/>
      <c r="G355" s="596"/>
      <c r="H355" s="488"/>
      <c r="J355" s="437"/>
    </row>
    <row r="356" spans="1:10" s="428" customFormat="1" ht="20.399999999999999" customHeight="1">
      <c r="A356" s="449"/>
      <c r="B356" s="431"/>
      <c r="C356" s="437"/>
      <c r="D356" s="430"/>
      <c r="F356" s="431"/>
      <c r="G356" s="596"/>
      <c r="H356" s="488"/>
      <c r="J356" s="437"/>
    </row>
    <row r="357" spans="1:10" s="428" customFormat="1" ht="20.399999999999999" customHeight="1">
      <c r="A357" s="449"/>
      <c r="B357" s="431"/>
      <c r="C357" s="437"/>
      <c r="D357" s="430"/>
      <c r="F357" s="431"/>
      <c r="G357" s="596"/>
      <c r="H357" s="488"/>
      <c r="J357" s="437"/>
    </row>
    <row r="358" spans="1:10" s="428" customFormat="1" ht="20.399999999999999" customHeight="1">
      <c r="A358" s="449"/>
      <c r="B358" s="431"/>
      <c r="C358" s="437"/>
      <c r="D358" s="430"/>
      <c r="F358" s="431"/>
      <c r="G358" s="596"/>
      <c r="H358" s="488"/>
      <c r="J358" s="437"/>
    </row>
    <row r="359" spans="1:10" s="428" customFormat="1" ht="20.399999999999999" customHeight="1">
      <c r="A359" s="449"/>
      <c r="B359" s="431"/>
      <c r="C359" s="437"/>
      <c r="D359" s="430"/>
      <c r="F359" s="431"/>
      <c r="G359" s="596"/>
      <c r="H359" s="488"/>
      <c r="J359" s="437"/>
    </row>
    <row r="360" spans="1:10" s="428" customFormat="1" ht="20.399999999999999" customHeight="1">
      <c r="A360" s="449"/>
      <c r="B360" s="431"/>
      <c r="C360" s="437"/>
      <c r="D360" s="430"/>
      <c r="F360" s="431"/>
      <c r="G360" s="596"/>
      <c r="H360" s="488"/>
      <c r="J360" s="437"/>
    </row>
    <row r="361" spans="1:10" s="428" customFormat="1" ht="20.399999999999999" customHeight="1">
      <c r="A361" s="449"/>
      <c r="B361" s="431"/>
      <c r="C361" s="437"/>
      <c r="D361" s="430"/>
      <c r="F361" s="431"/>
      <c r="G361" s="596"/>
      <c r="H361" s="488"/>
      <c r="J361" s="437"/>
    </row>
    <row r="362" spans="1:10" s="428" customFormat="1" ht="20.399999999999999" customHeight="1">
      <c r="A362" s="449"/>
      <c r="B362" s="431"/>
      <c r="C362" s="437"/>
      <c r="D362" s="430"/>
      <c r="F362" s="431"/>
      <c r="G362" s="596"/>
      <c r="H362" s="488"/>
      <c r="J362" s="437"/>
    </row>
    <row r="363" spans="1:10" s="428" customFormat="1" ht="20.399999999999999" customHeight="1">
      <c r="A363" s="449"/>
      <c r="B363" s="431"/>
      <c r="C363" s="437"/>
      <c r="D363" s="430"/>
      <c r="F363" s="431"/>
      <c r="G363" s="596"/>
      <c r="H363" s="488"/>
      <c r="J363" s="437"/>
    </row>
    <row r="364" spans="1:10" s="428" customFormat="1" ht="20.399999999999999" customHeight="1">
      <c r="A364" s="449"/>
      <c r="B364" s="431"/>
      <c r="C364" s="437"/>
      <c r="D364" s="430"/>
      <c r="F364" s="431"/>
      <c r="G364" s="596"/>
      <c r="H364" s="488"/>
      <c r="J364" s="437"/>
    </row>
    <row r="365" spans="1:10" s="428" customFormat="1" ht="20.399999999999999" customHeight="1">
      <c r="A365" s="449"/>
      <c r="B365" s="431"/>
      <c r="C365" s="437"/>
      <c r="D365" s="430"/>
      <c r="F365" s="431"/>
      <c r="G365" s="596"/>
      <c r="H365" s="488"/>
      <c r="J365" s="437"/>
    </row>
    <row r="366" spans="1:10" s="428" customFormat="1" ht="20.399999999999999" customHeight="1">
      <c r="A366" s="449"/>
      <c r="B366" s="431"/>
      <c r="C366" s="437"/>
      <c r="D366" s="430"/>
      <c r="F366" s="431"/>
      <c r="G366" s="596"/>
      <c r="H366" s="488"/>
      <c r="J366" s="437"/>
    </row>
    <row r="367" spans="1:10" s="428" customFormat="1" ht="20.399999999999999" customHeight="1">
      <c r="A367" s="449"/>
      <c r="B367" s="431"/>
      <c r="C367" s="437"/>
      <c r="D367" s="430"/>
      <c r="F367" s="431"/>
      <c r="G367" s="596"/>
      <c r="H367" s="488"/>
      <c r="J367" s="437"/>
    </row>
    <row r="368" spans="1:10" s="428" customFormat="1" ht="20.399999999999999" customHeight="1">
      <c r="A368" s="449"/>
      <c r="B368" s="431"/>
      <c r="C368" s="437"/>
      <c r="D368" s="430"/>
      <c r="F368" s="431"/>
      <c r="G368" s="596"/>
      <c r="H368" s="488"/>
      <c r="J368" s="437"/>
    </row>
    <row r="369" spans="1:10" s="428" customFormat="1" ht="20.399999999999999" customHeight="1">
      <c r="A369" s="449"/>
      <c r="B369" s="431"/>
      <c r="C369" s="437"/>
      <c r="D369" s="430"/>
      <c r="F369" s="431"/>
      <c r="G369" s="596"/>
      <c r="H369" s="488"/>
      <c r="J369" s="437"/>
    </row>
    <row r="370" spans="1:10" s="428" customFormat="1" ht="20.399999999999999" customHeight="1">
      <c r="A370" s="449"/>
      <c r="B370" s="431"/>
      <c r="C370" s="437"/>
      <c r="D370" s="430"/>
      <c r="F370" s="431"/>
      <c r="G370" s="596"/>
      <c r="H370" s="488"/>
      <c r="J370" s="437"/>
    </row>
    <row r="371" spans="1:10" s="428" customFormat="1" ht="20.399999999999999" customHeight="1">
      <c r="A371" s="449"/>
      <c r="B371" s="431"/>
      <c r="C371" s="437"/>
      <c r="D371" s="430"/>
      <c r="F371" s="431"/>
      <c r="G371" s="596"/>
      <c r="H371" s="488"/>
      <c r="J371" s="437"/>
    </row>
    <row r="372" spans="1:10" s="428" customFormat="1" ht="20.399999999999999" customHeight="1">
      <c r="A372" s="449"/>
      <c r="B372" s="431"/>
      <c r="C372" s="437"/>
      <c r="D372" s="430"/>
      <c r="F372" s="431"/>
      <c r="G372" s="596"/>
      <c r="H372" s="488"/>
      <c r="J372" s="437"/>
    </row>
    <row r="373" spans="1:10" s="428" customFormat="1" ht="20.399999999999999" customHeight="1">
      <c r="A373" s="449"/>
      <c r="B373" s="431"/>
      <c r="C373" s="437"/>
      <c r="D373" s="430"/>
      <c r="F373" s="431"/>
      <c r="G373" s="596"/>
      <c r="H373" s="488"/>
      <c r="J373" s="437"/>
    </row>
    <row r="374" spans="1:10" s="428" customFormat="1" ht="20.399999999999999" customHeight="1">
      <c r="A374" s="449"/>
      <c r="B374" s="431"/>
      <c r="C374" s="437"/>
      <c r="D374" s="430"/>
      <c r="F374" s="431"/>
      <c r="G374" s="596"/>
      <c r="H374" s="488"/>
      <c r="J374" s="437"/>
    </row>
    <row r="375" spans="1:10" s="428" customFormat="1" ht="20.399999999999999" customHeight="1">
      <c r="A375" s="449"/>
      <c r="B375" s="431"/>
      <c r="C375" s="437"/>
      <c r="D375" s="430"/>
      <c r="F375" s="431"/>
      <c r="G375" s="596"/>
      <c r="H375" s="488"/>
      <c r="J375" s="437"/>
    </row>
    <row r="376" spans="1:10" s="428" customFormat="1" ht="20.399999999999999" customHeight="1">
      <c r="A376" s="449"/>
      <c r="B376" s="431"/>
      <c r="C376" s="437"/>
      <c r="D376" s="430"/>
      <c r="F376" s="431"/>
      <c r="G376" s="596"/>
      <c r="H376" s="488"/>
      <c r="J376" s="437"/>
    </row>
    <row r="377" spans="1:10" s="428" customFormat="1" ht="20.399999999999999" customHeight="1">
      <c r="A377" s="449"/>
      <c r="B377" s="431"/>
      <c r="C377" s="437"/>
      <c r="D377" s="430"/>
      <c r="F377" s="431"/>
      <c r="G377" s="596"/>
      <c r="H377" s="488"/>
      <c r="J377" s="437"/>
    </row>
    <row r="378" spans="1:10" s="428" customFormat="1" ht="20.399999999999999" customHeight="1">
      <c r="A378" s="449"/>
      <c r="B378" s="431"/>
      <c r="C378" s="437"/>
      <c r="D378" s="430"/>
      <c r="F378" s="431"/>
      <c r="G378" s="596"/>
      <c r="H378" s="488"/>
      <c r="J378" s="437"/>
    </row>
    <row r="379" spans="1:10" s="428" customFormat="1" ht="20.399999999999999" customHeight="1">
      <c r="A379" s="449"/>
      <c r="B379" s="431"/>
      <c r="C379" s="437"/>
      <c r="D379" s="430"/>
      <c r="F379" s="431"/>
      <c r="G379" s="596"/>
      <c r="H379" s="488"/>
      <c r="J379" s="437"/>
    </row>
    <row r="380" spans="1:10" s="428" customFormat="1" ht="20.399999999999999" customHeight="1">
      <c r="A380" s="449"/>
      <c r="B380" s="431"/>
      <c r="C380" s="437"/>
      <c r="D380" s="430"/>
      <c r="F380" s="431"/>
      <c r="G380" s="596"/>
      <c r="H380" s="488"/>
      <c r="J380" s="437"/>
    </row>
    <row r="381" spans="1:10" s="428" customFormat="1" ht="20.399999999999999" customHeight="1">
      <c r="A381" s="449"/>
      <c r="B381" s="431"/>
      <c r="C381" s="437"/>
      <c r="D381" s="430"/>
      <c r="F381" s="431"/>
      <c r="G381" s="596"/>
      <c r="H381" s="488"/>
      <c r="J381" s="437"/>
    </row>
    <row r="382" spans="1:10" s="428" customFormat="1" ht="20.399999999999999" customHeight="1">
      <c r="A382" s="449"/>
      <c r="B382" s="431"/>
      <c r="C382" s="437"/>
      <c r="D382" s="430"/>
      <c r="F382" s="431"/>
      <c r="G382" s="596"/>
      <c r="H382" s="488"/>
      <c r="J382" s="437"/>
    </row>
    <row r="383" spans="1:10" s="428" customFormat="1" ht="20.399999999999999" customHeight="1">
      <c r="A383" s="449"/>
      <c r="B383" s="431"/>
      <c r="C383" s="437"/>
      <c r="D383" s="430"/>
      <c r="F383" s="431"/>
      <c r="G383" s="596"/>
      <c r="H383" s="488"/>
      <c r="J383" s="437"/>
    </row>
    <row r="384" spans="1:10" s="428" customFormat="1" ht="20.399999999999999" customHeight="1">
      <c r="A384" s="449"/>
      <c r="B384" s="431"/>
      <c r="C384" s="437"/>
      <c r="D384" s="430"/>
      <c r="F384" s="431"/>
      <c r="G384" s="596"/>
      <c r="H384" s="488"/>
      <c r="J384" s="437"/>
    </row>
    <row r="385" spans="1:10" s="428" customFormat="1" ht="20.399999999999999" customHeight="1">
      <c r="A385" s="449"/>
      <c r="B385" s="431"/>
      <c r="C385" s="437"/>
      <c r="D385" s="430"/>
      <c r="F385" s="431"/>
      <c r="G385" s="596"/>
      <c r="H385" s="488"/>
      <c r="J385" s="437"/>
    </row>
    <row r="386" spans="1:10" s="428" customFormat="1" ht="20.399999999999999" customHeight="1">
      <c r="A386" s="449"/>
      <c r="B386" s="431"/>
      <c r="C386" s="437"/>
      <c r="D386" s="430"/>
      <c r="F386" s="431"/>
      <c r="G386" s="596"/>
      <c r="H386" s="488"/>
      <c r="J386" s="437"/>
    </row>
    <row r="387" spans="1:10" s="428" customFormat="1" ht="20.399999999999999" customHeight="1">
      <c r="A387" s="449"/>
      <c r="B387" s="431"/>
      <c r="C387" s="437"/>
      <c r="D387" s="430"/>
      <c r="F387" s="431"/>
      <c r="G387" s="596"/>
      <c r="H387" s="488"/>
      <c r="J387" s="437"/>
    </row>
    <row r="388" spans="1:10" s="428" customFormat="1" ht="20.399999999999999" customHeight="1">
      <c r="A388" s="449"/>
      <c r="B388" s="431"/>
      <c r="C388" s="437"/>
      <c r="D388" s="430"/>
      <c r="F388" s="431"/>
      <c r="G388" s="596"/>
      <c r="H388" s="488"/>
      <c r="J388" s="437"/>
    </row>
    <row r="389" spans="1:10" s="428" customFormat="1" ht="20.399999999999999" customHeight="1">
      <c r="A389" s="449"/>
      <c r="B389" s="431"/>
      <c r="C389" s="437"/>
      <c r="D389" s="430"/>
      <c r="F389" s="431"/>
      <c r="G389" s="596"/>
      <c r="H389" s="488"/>
      <c r="J389" s="437"/>
    </row>
    <row r="390" spans="1:10" s="428" customFormat="1" ht="20.399999999999999" customHeight="1">
      <c r="A390" s="449"/>
      <c r="B390" s="431"/>
      <c r="C390" s="437"/>
      <c r="D390" s="430"/>
      <c r="F390" s="431"/>
      <c r="G390" s="596"/>
      <c r="H390" s="488"/>
      <c r="J390" s="437"/>
    </row>
    <row r="391" spans="1:10" s="428" customFormat="1" ht="20.399999999999999" customHeight="1">
      <c r="A391" s="449"/>
      <c r="B391" s="431"/>
      <c r="C391" s="437"/>
      <c r="D391" s="430"/>
      <c r="F391" s="431"/>
      <c r="G391" s="596"/>
      <c r="H391" s="488"/>
      <c r="J391" s="437"/>
    </row>
    <row r="392" spans="1:10" s="428" customFormat="1" ht="20.399999999999999" customHeight="1">
      <c r="A392" s="449"/>
      <c r="B392" s="431"/>
      <c r="C392" s="437"/>
      <c r="D392" s="430"/>
      <c r="F392" s="431"/>
      <c r="G392" s="596"/>
      <c r="H392" s="488"/>
      <c r="J392" s="437"/>
    </row>
    <row r="393" spans="1:10" s="428" customFormat="1" ht="20.399999999999999" customHeight="1">
      <c r="A393" s="449"/>
      <c r="B393" s="431"/>
      <c r="C393" s="437"/>
      <c r="D393" s="430"/>
      <c r="F393" s="431"/>
      <c r="G393" s="596"/>
      <c r="H393" s="488"/>
      <c r="J393" s="437"/>
    </row>
    <row r="394" spans="1:10" s="428" customFormat="1" ht="20.399999999999999" customHeight="1">
      <c r="A394" s="449"/>
      <c r="B394" s="431"/>
      <c r="C394" s="437"/>
      <c r="D394" s="430"/>
      <c r="F394" s="431"/>
      <c r="G394" s="596"/>
      <c r="H394" s="488"/>
      <c r="J394" s="437"/>
    </row>
    <row r="395" spans="1:10" s="428" customFormat="1" ht="20.399999999999999" customHeight="1">
      <c r="A395" s="449"/>
      <c r="B395" s="431"/>
      <c r="C395" s="437"/>
      <c r="D395" s="430"/>
      <c r="F395" s="431"/>
      <c r="G395" s="596"/>
      <c r="H395" s="488"/>
      <c r="J395" s="437"/>
    </row>
    <row r="396" spans="1:10" s="428" customFormat="1" ht="20.399999999999999" customHeight="1">
      <c r="A396" s="449"/>
      <c r="B396" s="431"/>
      <c r="C396" s="437"/>
      <c r="D396" s="430"/>
      <c r="F396" s="431"/>
      <c r="G396" s="596"/>
      <c r="H396" s="488"/>
      <c r="J396" s="437"/>
    </row>
    <row r="397" spans="1:10" s="428" customFormat="1" ht="20.399999999999999" customHeight="1">
      <c r="A397" s="449"/>
      <c r="B397" s="431"/>
      <c r="C397" s="437"/>
      <c r="D397" s="430"/>
      <c r="F397" s="431"/>
      <c r="G397" s="596"/>
      <c r="H397" s="488"/>
      <c r="J397" s="437"/>
    </row>
    <row r="398" spans="1:10" s="428" customFormat="1" ht="20.399999999999999" customHeight="1">
      <c r="A398" s="449"/>
      <c r="B398" s="431"/>
      <c r="C398" s="437"/>
      <c r="D398" s="430"/>
      <c r="F398" s="431"/>
      <c r="G398" s="596"/>
      <c r="H398" s="488"/>
      <c r="J398" s="437"/>
    </row>
    <row r="399" spans="1:10" s="428" customFormat="1" ht="20.399999999999999" customHeight="1">
      <c r="A399" s="449"/>
      <c r="B399" s="431"/>
      <c r="C399" s="437"/>
      <c r="D399" s="430"/>
      <c r="F399" s="431"/>
      <c r="G399" s="596"/>
      <c r="H399" s="488"/>
      <c r="J399" s="437"/>
    </row>
    <row r="400" spans="1:10" s="428" customFormat="1" ht="20.399999999999999" customHeight="1">
      <c r="A400" s="449"/>
      <c r="B400" s="431"/>
      <c r="C400" s="437"/>
      <c r="D400" s="430"/>
      <c r="F400" s="431"/>
      <c r="G400" s="596"/>
      <c r="H400" s="488"/>
      <c r="J400" s="437"/>
    </row>
    <row r="401" spans="1:10" s="428" customFormat="1" ht="20.399999999999999" customHeight="1">
      <c r="A401" s="449"/>
      <c r="B401" s="431"/>
      <c r="C401" s="437"/>
      <c r="D401" s="430"/>
      <c r="F401" s="431"/>
      <c r="G401" s="596"/>
      <c r="H401" s="488"/>
      <c r="J401" s="437"/>
    </row>
    <row r="402" spans="1:10" s="428" customFormat="1" ht="20.399999999999999" customHeight="1">
      <c r="A402" s="449"/>
      <c r="B402" s="431"/>
      <c r="C402" s="437"/>
      <c r="D402" s="430"/>
      <c r="F402" s="431"/>
      <c r="G402" s="596"/>
      <c r="H402" s="488"/>
      <c r="J402" s="437"/>
    </row>
    <row r="403" spans="1:10" s="428" customFormat="1" ht="20.399999999999999" customHeight="1">
      <c r="A403" s="449"/>
      <c r="B403" s="431"/>
      <c r="C403" s="437"/>
      <c r="D403" s="430"/>
      <c r="F403" s="431"/>
      <c r="G403" s="596"/>
      <c r="H403" s="488"/>
      <c r="J403" s="437"/>
    </row>
    <row r="404" spans="1:10" s="428" customFormat="1" ht="20.399999999999999" customHeight="1">
      <c r="A404" s="449"/>
      <c r="B404" s="431"/>
      <c r="C404" s="437"/>
      <c r="D404" s="430"/>
      <c r="F404" s="431"/>
      <c r="G404" s="596"/>
      <c r="H404" s="488"/>
      <c r="J404" s="437"/>
    </row>
    <row r="405" spans="1:10" s="428" customFormat="1" ht="20.399999999999999" customHeight="1">
      <c r="A405" s="449"/>
      <c r="B405" s="431"/>
      <c r="C405" s="437"/>
      <c r="D405" s="430"/>
      <c r="F405" s="431"/>
      <c r="G405" s="596"/>
      <c r="H405" s="488"/>
      <c r="J405" s="437"/>
    </row>
    <row r="406" spans="1:10" s="428" customFormat="1" ht="20.399999999999999" customHeight="1">
      <c r="A406" s="449"/>
      <c r="B406" s="431"/>
      <c r="C406" s="437"/>
      <c r="D406" s="430"/>
      <c r="F406" s="431"/>
      <c r="G406" s="596"/>
      <c r="H406" s="488"/>
      <c r="J406" s="437"/>
    </row>
    <row r="407" spans="1:10" s="428" customFormat="1" ht="20.399999999999999" customHeight="1">
      <c r="A407" s="449"/>
      <c r="B407" s="431"/>
      <c r="C407" s="437"/>
      <c r="D407" s="430"/>
      <c r="F407" s="431"/>
      <c r="G407" s="596"/>
      <c r="H407" s="488"/>
      <c r="J407" s="437"/>
    </row>
    <row r="408" spans="1:10" s="428" customFormat="1" ht="20.399999999999999" customHeight="1">
      <c r="A408" s="449"/>
      <c r="B408" s="431"/>
      <c r="C408" s="437"/>
      <c r="D408" s="430"/>
      <c r="F408" s="431"/>
      <c r="G408" s="596"/>
      <c r="H408" s="488"/>
      <c r="J408" s="437"/>
    </row>
    <row r="409" spans="1:10" s="428" customFormat="1" ht="20.399999999999999" customHeight="1">
      <c r="A409" s="449"/>
      <c r="B409" s="431"/>
      <c r="C409" s="437"/>
      <c r="D409" s="430"/>
      <c r="F409" s="431"/>
      <c r="G409" s="596"/>
      <c r="H409" s="488"/>
      <c r="J409" s="437"/>
    </row>
    <row r="410" spans="1:10" s="428" customFormat="1" ht="20.399999999999999" customHeight="1">
      <c r="A410" s="449"/>
      <c r="B410" s="431"/>
      <c r="C410" s="437"/>
      <c r="D410" s="430"/>
      <c r="F410" s="431"/>
      <c r="G410" s="596"/>
      <c r="H410" s="488"/>
      <c r="J410" s="437"/>
    </row>
    <row r="411" spans="1:10" s="428" customFormat="1" ht="20.399999999999999" customHeight="1">
      <c r="A411" s="449"/>
      <c r="B411" s="431"/>
      <c r="C411" s="437"/>
      <c r="D411" s="430"/>
      <c r="F411" s="431"/>
      <c r="G411" s="596"/>
      <c r="H411" s="488"/>
      <c r="J411" s="437"/>
    </row>
    <row r="412" spans="1:10" s="428" customFormat="1" ht="20.399999999999999" customHeight="1">
      <c r="A412" s="449"/>
      <c r="B412" s="431"/>
      <c r="C412" s="437"/>
      <c r="D412" s="430"/>
      <c r="F412" s="431"/>
      <c r="G412" s="596"/>
      <c r="H412" s="488"/>
      <c r="J412" s="437"/>
    </row>
    <row r="413" spans="1:10" s="428" customFormat="1" ht="20.399999999999999" customHeight="1">
      <c r="A413" s="449"/>
      <c r="B413" s="431"/>
      <c r="C413" s="437"/>
      <c r="D413" s="430"/>
      <c r="F413" s="431"/>
      <c r="G413" s="596"/>
      <c r="H413" s="488"/>
      <c r="J413" s="437"/>
    </row>
    <row r="414" spans="1:10" s="428" customFormat="1" ht="20.399999999999999" customHeight="1">
      <c r="A414" s="449"/>
      <c r="B414" s="431"/>
      <c r="C414" s="437"/>
      <c r="D414" s="430"/>
      <c r="F414" s="431"/>
      <c r="G414" s="596"/>
      <c r="H414" s="488"/>
      <c r="J414" s="437"/>
    </row>
    <row r="415" spans="1:10" s="428" customFormat="1" ht="20.399999999999999" customHeight="1">
      <c r="A415" s="449"/>
      <c r="B415" s="431"/>
      <c r="C415" s="437"/>
      <c r="D415" s="430"/>
      <c r="F415" s="431"/>
      <c r="G415" s="596"/>
      <c r="H415" s="488"/>
      <c r="J415" s="437"/>
    </row>
    <row r="416" spans="1:10" s="428" customFormat="1" ht="20.399999999999999" customHeight="1">
      <c r="A416" s="449"/>
      <c r="B416" s="431"/>
      <c r="C416" s="437"/>
      <c r="D416" s="430"/>
      <c r="F416" s="431"/>
      <c r="G416" s="596"/>
      <c r="H416" s="488"/>
      <c r="J416" s="437"/>
    </row>
    <row r="417" spans="1:10" s="428" customFormat="1" ht="20.399999999999999" customHeight="1">
      <c r="A417" s="449"/>
      <c r="B417" s="431"/>
      <c r="C417" s="437"/>
      <c r="D417" s="430"/>
      <c r="F417" s="431"/>
      <c r="G417" s="596"/>
      <c r="H417" s="488"/>
      <c r="J417" s="437"/>
    </row>
    <row r="418" spans="1:10" s="428" customFormat="1" ht="20.399999999999999" customHeight="1">
      <c r="A418" s="449"/>
      <c r="B418" s="431"/>
      <c r="C418" s="437"/>
      <c r="D418" s="430"/>
      <c r="F418" s="431"/>
      <c r="G418" s="596"/>
      <c r="H418" s="488"/>
      <c r="J418" s="437"/>
    </row>
    <row r="419" spans="1:10" s="428" customFormat="1" ht="20.399999999999999" customHeight="1">
      <c r="A419" s="449"/>
      <c r="B419" s="431"/>
      <c r="C419" s="437"/>
      <c r="D419" s="430"/>
      <c r="F419" s="431"/>
      <c r="G419" s="596"/>
      <c r="H419" s="488"/>
      <c r="J419" s="437"/>
    </row>
    <row r="420" spans="1:10" s="428" customFormat="1" ht="20.399999999999999" customHeight="1">
      <c r="A420" s="449"/>
      <c r="B420" s="431"/>
      <c r="C420" s="437"/>
      <c r="D420" s="430"/>
      <c r="F420" s="431"/>
      <c r="G420" s="596"/>
      <c r="H420" s="488"/>
      <c r="J420" s="437"/>
    </row>
    <row r="421" spans="1:10" s="428" customFormat="1" ht="20.399999999999999" customHeight="1">
      <c r="A421" s="449"/>
      <c r="B421" s="431"/>
      <c r="C421" s="437"/>
      <c r="D421" s="430"/>
      <c r="F421" s="431"/>
      <c r="G421" s="596"/>
      <c r="H421" s="488"/>
      <c r="J421" s="437"/>
    </row>
    <row r="422" spans="1:10" s="428" customFormat="1" ht="20.399999999999999" customHeight="1">
      <c r="A422" s="449"/>
      <c r="B422" s="431"/>
      <c r="C422" s="437"/>
      <c r="D422" s="430"/>
      <c r="F422" s="431"/>
      <c r="G422" s="596"/>
      <c r="H422" s="488"/>
      <c r="J422" s="437"/>
    </row>
    <row r="423" spans="1:10" s="428" customFormat="1" ht="20.399999999999999" customHeight="1">
      <c r="A423" s="449"/>
      <c r="B423" s="431"/>
      <c r="C423" s="437"/>
      <c r="D423" s="430"/>
      <c r="F423" s="431"/>
      <c r="G423" s="596"/>
      <c r="H423" s="488"/>
      <c r="J423" s="437"/>
    </row>
    <row r="424" spans="1:10" s="428" customFormat="1" ht="20.399999999999999" customHeight="1">
      <c r="A424" s="449"/>
      <c r="B424" s="431"/>
      <c r="C424" s="437"/>
      <c r="D424" s="430"/>
      <c r="F424" s="431"/>
      <c r="G424" s="596"/>
      <c r="H424" s="488"/>
      <c r="J424" s="437"/>
    </row>
    <row r="425" spans="1:10" s="428" customFormat="1" ht="20.399999999999999" customHeight="1">
      <c r="A425" s="449"/>
      <c r="B425" s="431"/>
      <c r="C425" s="437"/>
      <c r="D425" s="430"/>
      <c r="F425" s="431"/>
      <c r="G425" s="596"/>
      <c r="H425" s="488"/>
      <c r="J425" s="437"/>
    </row>
    <row r="426" spans="1:10" s="428" customFormat="1" ht="20.399999999999999" customHeight="1">
      <c r="A426" s="449"/>
      <c r="B426" s="431"/>
      <c r="C426" s="437"/>
      <c r="D426" s="430"/>
      <c r="F426" s="431"/>
      <c r="G426" s="596"/>
      <c r="H426" s="488"/>
      <c r="J426" s="437"/>
    </row>
    <row r="427" spans="1:10" s="428" customFormat="1" ht="20.399999999999999" customHeight="1">
      <c r="A427" s="449"/>
      <c r="B427" s="431"/>
      <c r="C427" s="437"/>
      <c r="D427" s="430"/>
      <c r="F427" s="431"/>
      <c r="G427" s="596"/>
      <c r="H427" s="488"/>
      <c r="J427" s="437"/>
    </row>
    <row r="428" spans="1:10" s="428" customFormat="1" ht="20.399999999999999" customHeight="1">
      <c r="A428" s="449"/>
      <c r="B428" s="431"/>
      <c r="C428" s="437"/>
      <c r="D428" s="430"/>
      <c r="F428" s="431"/>
      <c r="G428" s="596"/>
      <c r="H428" s="488"/>
      <c r="J428" s="437"/>
    </row>
    <row r="429" spans="1:10" s="428" customFormat="1" ht="20.399999999999999" customHeight="1">
      <c r="A429" s="449"/>
      <c r="B429" s="431"/>
      <c r="C429" s="437"/>
      <c r="D429" s="430"/>
      <c r="F429" s="431"/>
      <c r="G429" s="596"/>
      <c r="H429" s="488"/>
      <c r="J429" s="437"/>
    </row>
    <row r="430" spans="1:10" s="428" customFormat="1" ht="20.399999999999999" customHeight="1">
      <c r="A430" s="449"/>
      <c r="B430" s="431"/>
      <c r="C430" s="437"/>
      <c r="D430" s="430"/>
      <c r="F430" s="431"/>
      <c r="G430" s="596"/>
      <c r="H430" s="488"/>
      <c r="J430" s="437"/>
    </row>
    <row r="431" spans="1:10" s="428" customFormat="1" ht="20.399999999999999" customHeight="1">
      <c r="A431" s="449"/>
      <c r="B431" s="431"/>
      <c r="C431" s="437"/>
      <c r="D431" s="430"/>
      <c r="F431" s="431"/>
      <c r="G431" s="596"/>
      <c r="H431" s="488"/>
      <c r="J431" s="437"/>
    </row>
    <row r="432" spans="1:10" s="428" customFormat="1" ht="20.399999999999999" customHeight="1">
      <c r="A432" s="449"/>
      <c r="B432" s="431"/>
      <c r="C432" s="437"/>
      <c r="D432" s="430"/>
      <c r="F432" s="431"/>
      <c r="G432" s="596"/>
      <c r="H432" s="488"/>
      <c r="J432" s="437"/>
    </row>
    <row r="433" spans="1:10" s="428" customFormat="1" ht="20.399999999999999" customHeight="1">
      <c r="A433" s="449"/>
      <c r="B433" s="431"/>
      <c r="C433" s="437"/>
      <c r="D433" s="430"/>
      <c r="F433" s="431"/>
      <c r="G433" s="596"/>
      <c r="H433" s="488"/>
      <c r="J433" s="437"/>
    </row>
    <row r="434" spans="1:10" s="428" customFormat="1" ht="20.399999999999999" customHeight="1">
      <c r="A434" s="449"/>
      <c r="B434" s="431"/>
      <c r="C434" s="437"/>
      <c r="D434" s="430"/>
      <c r="F434" s="431"/>
      <c r="G434" s="596"/>
      <c r="H434" s="488"/>
      <c r="J434" s="437"/>
    </row>
    <row r="435" spans="1:10" s="428" customFormat="1" ht="20.399999999999999" customHeight="1">
      <c r="A435" s="449"/>
      <c r="B435" s="431"/>
      <c r="C435" s="437"/>
      <c r="D435" s="430"/>
      <c r="F435" s="431"/>
      <c r="G435" s="596"/>
      <c r="H435" s="488"/>
      <c r="J435" s="437"/>
    </row>
    <row r="436" spans="1:10" s="428" customFormat="1" ht="20.399999999999999" customHeight="1">
      <c r="A436" s="449"/>
      <c r="B436" s="431"/>
      <c r="C436" s="437"/>
      <c r="D436" s="430"/>
      <c r="F436" s="431"/>
      <c r="G436" s="596"/>
      <c r="H436" s="488"/>
      <c r="J436" s="437"/>
    </row>
    <row r="437" spans="1:10" s="428" customFormat="1" ht="20.399999999999999" customHeight="1">
      <c r="A437" s="449"/>
      <c r="B437" s="431"/>
      <c r="C437" s="437"/>
      <c r="D437" s="430"/>
      <c r="F437" s="431"/>
      <c r="G437" s="596"/>
      <c r="H437" s="488"/>
      <c r="J437" s="437"/>
    </row>
    <row r="438" spans="1:10" s="428" customFormat="1" ht="20.399999999999999" customHeight="1">
      <c r="A438" s="449"/>
      <c r="B438" s="431"/>
      <c r="C438" s="437"/>
      <c r="D438" s="430"/>
      <c r="F438" s="431"/>
      <c r="G438" s="596"/>
      <c r="H438" s="488"/>
      <c r="J438" s="437"/>
    </row>
    <row r="439" spans="1:10" s="428" customFormat="1" ht="20.399999999999999" customHeight="1">
      <c r="A439" s="449"/>
      <c r="B439" s="431"/>
      <c r="C439" s="437"/>
      <c r="D439" s="430"/>
      <c r="F439" s="431"/>
      <c r="G439" s="596"/>
      <c r="H439" s="488"/>
      <c r="J439" s="437"/>
    </row>
    <row r="440" spans="1:10" s="428" customFormat="1" ht="20.399999999999999" customHeight="1">
      <c r="A440" s="449"/>
      <c r="B440" s="431"/>
      <c r="C440" s="437"/>
      <c r="D440" s="430"/>
      <c r="F440" s="431"/>
      <c r="G440" s="596"/>
      <c r="H440" s="488"/>
      <c r="J440" s="437"/>
    </row>
    <row r="441" spans="1:10" s="428" customFormat="1" ht="20.399999999999999" customHeight="1">
      <c r="A441" s="449"/>
      <c r="B441" s="431"/>
      <c r="C441" s="437"/>
      <c r="D441" s="430"/>
      <c r="F441" s="431"/>
      <c r="G441" s="596"/>
      <c r="H441" s="488"/>
      <c r="J441" s="437"/>
    </row>
    <row r="442" spans="1:10" s="428" customFormat="1" ht="20.399999999999999" customHeight="1">
      <c r="A442" s="449"/>
      <c r="B442" s="431"/>
      <c r="C442" s="437"/>
      <c r="D442" s="430"/>
      <c r="F442" s="431"/>
      <c r="G442" s="596"/>
      <c r="H442" s="488"/>
      <c r="J442" s="437"/>
    </row>
    <row r="443" spans="1:10" s="428" customFormat="1" ht="20.399999999999999" customHeight="1">
      <c r="A443" s="449"/>
      <c r="B443" s="431"/>
      <c r="C443" s="437"/>
      <c r="D443" s="430"/>
      <c r="F443" s="431"/>
      <c r="G443" s="596"/>
      <c r="H443" s="488"/>
      <c r="J443" s="437"/>
    </row>
    <row r="444" spans="1:10" s="428" customFormat="1" ht="20.399999999999999" customHeight="1">
      <c r="A444" s="449"/>
      <c r="B444" s="431"/>
      <c r="C444" s="437"/>
      <c r="D444" s="430"/>
      <c r="F444" s="431"/>
      <c r="G444" s="596"/>
      <c r="H444" s="488"/>
      <c r="J444" s="437"/>
    </row>
    <row r="445" spans="1:10" s="428" customFormat="1" ht="20.399999999999999" customHeight="1">
      <c r="A445" s="449"/>
      <c r="B445" s="431"/>
      <c r="C445" s="437"/>
      <c r="D445" s="430"/>
      <c r="F445" s="431"/>
      <c r="G445" s="596"/>
      <c r="H445" s="488"/>
      <c r="J445" s="437"/>
    </row>
    <row r="446" spans="1:10" s="428" customFormat="1" ht="20.399999999999999" customHeight="1">
      <c r="A446" s="449"/>
      <c r="B446" s="431"/>
      <c r="C446" s="437"/>
      <c r="D446" s="430"/>
      <c r="F446" s="431"/>
      <c r="G446" s="596"/>
      <c r="H446" s="488"/>
      <c r="J446" s="437"/>
    </row>
    <row r="447" spans="1:10" s="428" customFormat="1" ht="20.399999999999999" customHeight="1">
      <c r="A447" s="449"/>
      <c r="B447" s="431"/>
      <c r="C447" s="437"/>
      <c r="D447" s="430"/>
      <c r="F447" s="431"/>
      <c r="G447" s="596"/>
      <c r="H447" s="488"/>
      <c r="J447" s="437"/>
    </row>
    <row r="448" spans="1:10" s="428" customFormat="1" ht="20.399999999999999" customHeight="1">
      <c r="A448" s="449"/>
      <c r="B448" s="431"/>
      <c r="C448" s="437"/>
      <c r="D448" s="430"/>
      <c r="F448" s="431"/>
      <c r="G448" s="596"/>
      <c r="H448" s="488"/>
      <c r="J448" s="437"/>
    </row>
    <row r="449" spans="1:10" s="428" customFormat="1" ht="20.399999999999999" customHeight="1">
      <c r="A449" s="449"/>
      <c r="B449" s="431"/>
      <c r="C449" s="437"/>
      <c r="D449" s="430"/>
      <c r="F449" s="431"/>
      <c r="G449" s="596"/>
      <c r="H449" s="488"/>
      <c r="J449" s="437"/>
    </row>
    <row r="450" spans="1:10" s="428" customFormat="1" ht="20.399999999999999" customHeight="1">
      <c r="A450" s="449"/>
      <c r="B450" s="431"/>
      <c r="C450" s="437"/>
      <c r="D450" s="430"/>
      <c r="F450" s="431"/>
      <c r="G450" s="596"/>
      <c r="H450" s="488"/>
      <c r="J450" s="437"/>
    </row>
    <row r="451" spans="1:10" s="428" customFormat="1" ht="20.399999999999999" customHeight="1">
      <c r="A451" s="449"/>
      <c r="B451" s="431"/>
      <c r="C451" s="437"/>
      <c r="D451" s="430"/>
      <c r="F451" s="431"/>
      <c r="G451" s="596"/>
      <c r="H451" s="488"/>
      <c r="J451" s="437"/>
    </row>
    <row r="452" spans="1:10" s="428" customFormat="1" ht="20.399999999999999" customHeight="1">
      <c r="A452" s="449"/>
      <c r="B452" s="431"/>
      <c r="C452" s="437"/>
      <c r="D452" s="430"/>
      <c r="F452" s="431"/>
      <c r="G452" s="596"/>
      <c r="H452" s="488"/>
      <c r="J452" s="437"/>
    </row>
    <row r="453" spans="1:10" s="428" customFormat="1" ht="20.399999999999999" customHeight="1">
      <c r="A453" s="449"/>
      <c r="B453" s="431"/>
      <c r="C453" s="437"/>
      <c r="D453" s="430"/>
      <c r="F453" s="431"/>
      <c r="G453" s="596"/>
      <c r="H453" s="488"/>
      <c r="J453" s="437"/>
    </row>
    <row r="454" spans="1:10" s="428" customFormat="1" ht="20.399999999999999" customHeight="1">
      <c r="A454" s="449"/>
      <c r="B454" s="431"/>
      <c r="C454" s="437"/>
      <c r="D454" s="430"/>
      <c r="F454" s="431"/>
      <c r="G454" s="596"/>
      <c r="H454" s="488"/>
      <c r="J454" s="437"/>
    </row>
    <row r="455" spans="1:10" s="428" customFormat="1" ht="20.399999999999999" customHeight="1">
      <c r="A455" s="449"/>
      <c r="B455" s="431"/>
      <c r="C455" s="437"/>
      <c r="D455" s="430"/>
      <c r="F455" s="431"/>
      <c r="G455" s="596"/>
      <c r="H455" s="488"/>
      <c r="J455" s="437"/>
    </row>
    <row r="456" spans="1:10" s="428" customFormat="1" ht="20.399999999999999" customHeight="1">
      <c r="A456" s="449"/>
      <c r="B456" s="431"/>
      <c r="C456" s="437"/>
      <c r="D456" s="430"/>
      <c r="F456" s="431"/>
      <c r="G456" s="596"/>
      <c r="H456" s="488"/>
      <c r="J456" s="437"/>
    </row>
    <row r="457" spans="1:10" s="428" customFormat="1" ht="20.399999999999999" customHeight="1">
      <c r="A457" s="449"/>
      <c r="B457" s="431"/>
      <c r="C457" s="437"/>
      <c r="D457" s="430"/>
      <c r="F457" s="431"/>
      <c r="G457" s="596"/>
      <c r="H457" s="488"/>
      <c r="J457" s="437"/>
    </row>
    <row r="458" spans="1:10" s="428" customFormat="1" ht="20.399999999999999" customHeight="1">
      <c r="A458" s="449"/>
      <c r="B458" s="431"/>
      <c r="C458" s="437"/>
      <c r="D458" s="430"/>
      <c r="F458" s="431"/>
      <c r="G458" s="596"/>
      <c r="H458" s="488"/>
      <c r="J458" s="437"/>
    </row>
    <row r="459" spans="1:10" s="428" customFormat="1" ht="20.399999999999999" customHeight="1">
      <c r="A459" s="449"/>
      <c r="B459" s="431"/>
      <c r="C459" s="437"/>
      <c r="D459" s="430"/>
      <c r="F459" s="431"/>
      <c r="G459" s="596"/>
      <c r="H459" s="488"/>
      <c r="J459" s="437"/>
    </row>
    <row r="460" spans="1:10" s="428" customFormat="1" ht="20.399999999999999" customHeight="1">
      <c r="A460" s="449"/>
      <c r="B460" s="431"/>
      <c r="C460" s="437"/>
      <c r="D460" s="430"/>
      <c r="F460" s="431"/>
      <c r="G460" s="596"/>
      <c r="H460" s="488"/>
      <c r="J460" s="437"/>
    </row>
    <row r="461" spans="1:10" s="428" customFormat="1" ht="20.399999999999999" customHeight="1">
      <c r="A461" s="449"/>
      <c r="B461" s="431"/>
      <c r="C461" s="437"/>
      <c r="D461" s="430"/>
      <c r="F461" s="431"/>
      <c r="G461" s="596"/>
      <c r="H461" s="488"/>
      <c r="J461" s="437"/>
    </row>
    <row r="462" spans="1:10" s="428" customFormat="1" ht="20.399999999999999" customHeight="1">
      <c r="A462" s="449"/>
      <c r="B462" s="431"/>
      <c r="C462" s="437"/>
      <c r="D462" s="430"/>
      <c r="F462" s="431"/>
      <c r="G462" s="596"/>
      <c r="H462" s="488"/>
      <c r="J462" s="437"/>
    </row>
    <row r="463" spans="1:10" s="428" customFormat="1" ht="20.399999999999999" customHeight="1">
      <c r="A463" s="449"/>
      <c r="B463" s="431"/>
      <c r="C463" s="437"/>
      <c r="D463" s="430"/>
      <c r="F463" s="431"/>
      <c r="G463" s="596"/>
      <c r="H463" s="488"/>
      <c r="J463" s="437"/>
    </row>
    <row r="464" spans="1:10" s="428" customFormat="1" ht="20.399999999999999" customHeight="1">
      <c r="A464" s="449"/>
      <c r="B464" s="431"/>
      <c r="C464" s="437"/>
      <c r="D464" s="430"/>
      <c r="F464" s="431"/>
      <c r="G464" s="596"/>
      <c r="H464" s="488"/>
      <c r="J464" s="437"/>
    </row>
    <row r="465" spans="1:10" s="428" customFormat="1" ht="20.399999999999999" customHeight="1">
      <c r="A465" s="449"/>
      <c r="B465" s="431"/>
      <c r="C465" s="437"/>
      <c r="D465" s="430"/>
      <c r="F465" s="431"/>
      <c r="G465" s="596"/>
      <c r="H465" s="488"/>
      <c r="J465" s="437"/>
    </row>
    <row r="466" spans="1:10" s="428" customFormat="1" ht="20.399999999999999" customHeight="1">
      <c r="A466" s="449"/>
      <c r="B466" s="431"/>
      <c r="C466" s="437"/>
      <c r="D466" s="430"/>
      <c r="F466" s="431"/>
      <c r="G466" s="596"/>
      <c r="H466" s="488"/>
      <c r="J466" s="437"/>
    </row>
    <row r="467" spans="1:10" s="428" customFormat="1" ht="20.399999999999999" customHeight="1">
      <c r="A467" s="449"/>
      <c r="B467" s="431"/>
      <c r="C467" s="437"/>
      <c r="D467" s="430"/>
      <c r="F467" s="431"/>
      <c r="G467" s="596"/>
      <c r="H467" s="488"/>
      <c r="J467" s="437"/>
    </row>
    <row r="468" spans="1:10" s="428" customFormat="1" ht="20.399999999999999" customHeight="1">
      <c r="A468" s="449"/>
      <c r="B468" s="431"/>
      <c r="C468" s="437"/>
      <c r="D468" s="430"/>
      <c r="F468" s="431"/>
      <c r="G468" s="596"/>
      <c r="H468" s="488"/>
      <c r="J468" s="437"/>
    </row>
    <row r="469" spans="1:10" s="428" customFormat="1" ht="20.399999999999999" customHeight="1">
      <c r="A469" s="449"/>
      <c r="B469" s="431"/>
      <c r="C469" s="437"/>
      <c r="D469" s="430"/>
      <c r="F469" s="431"/>
      <c r="G469" s="596"/>
      <c r="H469" s="488"/>
      <c r="J469" s="437"/>
    </row>
    <row r="470" spans="1:10" s="428" customFormat="1" ht="20.399999999999999" customHeight="1">
      <c r="A470" s="449"/>
      <c r="B470" s="431"/>
      <c r="C470" s="437"/>
      <c r="D470" s="430"/>
      <c r="F470" s="431"/>
      <c r="G470" s="596"/>
      <c r="H470" s="488"/>
      <c r="J470" s="437"/>
    </row>
    <row r="471" spans="1:10" s="428" customFormat="1" ht="20.399999999999999" customHeight="1">
      <c r="A471" s="449"/>
      <c r="B471" s="431"/>
      <c r="C471" s="437"/>
      <c r="D471" s="430"/>
      <c r="F471" s="431"/>
      <c r="G471" s="596"/>
      <c r="H471" s="488"/>
      <c r="J471" s="437"/>
    </row>
    <row r="472" spans="1:10" s="428" customFormat="1" ht="20.399999999999999" customHeight="1">
      <c r="A472" s="449"/>
      <c r="B472" s="431"/>
      <c r="C472" s="437"/>
      <c r="D472" s="430"/>
      <c r="F472" s="431"/>
      <c r="G472" s="596"/>
      <c r="H472" s="488"/>
      <c r="J472" s="437"/>
    </row>
    <row r="473" spans="1:10" s="428" customFormat="1" ht="20.399999999999999" customHeight="1">
      <c r="A473" s="449"/>
      <c r="B473" s="431"/>
      <c r="C473" s="437"/>
      <c r="D473" s="430"/>
      <c r="F473" s="431"/>
      <c r="G473" s="596"/>
      <c r="H473" s="488"/>
      <c r="J473" s="437"/>
    </row>
    <row r="474" spans="1:10" s="428" customFormat="1" ht="20.399999999999999" customHeight="1">
      <c r="A474" s="449"/>
      <c r="B474" s="431"/>
      <c r="C474" s="437"/>
      <c r="D474" s="430"/>
      <c r="F474" s="431"/>
      <c r="G474" s="596"/>
      <c r="H474" s="488"/>
      <c r="J474" s="437"/>
    </row>
    <row r="475" spans="1:10" s="428" customFormat="1" ht="20.399999999999999" customHeight="1">
      <c r="A475" s="449"/>
      <c r="B475" s="431"/>
      <c r="C475" s="437"/>
      <c r="D475" s="430"/>
      <c r="F475" s="431"/>
      <c r="G475" s="596"/>
      <c r="H475" s="488"/>
      <c r="J475" s="437"/>
    </row>
    <row r="476" spans="1:10" s="428" customFormat="1" ht="20.399999999999999" customHeight="1">
      <c r="A476" s="449"/>
      <c r="B476" s="431"/>
      <c r="C476" s="437"/>
      <c r="D476" s="430"/>
      <c r="F476" s="431"/>
      <c r="G476" s="596"/>
      <c r="H476" s="488"/>
      <c r="J476" s="437"/>
    </row>
    <row r="477" spans="1:10" s="428" customFormat="1" ht="20.399999999999999" customHeight="1">
      <c r="A477" s="449"/>
      <c r="B477" s="431"/>
      <c r="C477" s="437"/>
      <c r="D477" s="430"/>
      <c r="F477" s="431"/>
      <c r="G477" s="596"/>
      <c r="H477" s="488"/>
      <c r="J477" s="437"/>
    </row>
    <row r="478" spans="1:10" s="428" customFormat="1" ht="20.399999999999999" customHeight="1">
      <c r="A478" s="449"/>
      <c r="B478" s="431"/>
      <c r="C478" s="437"/>
      <c r="D478" s="430"/>
      <c r="F478" s="431"/>
      <c r="G478" s="596"/>
      <c r="H478" s="488"/>
      <c r="J478" s="437"/>
    </row>
    <row r="479" spans="1:10" s="428" customFormat="1" ht="20.399999999999999" customHeight="1">
      <c r="A479" s="449"/>
      <c r="B479" s="431"/>
      <c r="C479" s="437"/>
      <c r="D479" s="430"/>
      <c r="F479" s="431"/>
      <c r="G479" s="596"/>
      <c r="H479" s="488"/>
      <c r="J479" s="437"/>
    </row>
    <row r="480" spans="1:10" s="428" customFormat="1" ht="20.399999999999999" customHeight="1">
      <c r="A480" s="449"/>
      <c r="B480" s="431"/>
      <c r="C480" s="437"/>
      <c r="D480" s="430"/>
      <c r="F480" s="431"/>
      <c r="G480" s="596"/>
      <c r="H480" s="488"/>
      <c r="J480" s="437"/>
    </row>
    <row r="481" spans="1:10" s="428" customFormat="1" ht="20.399999999999999" customHeight="1">
      <c r="A481" s="449"/>
      <c r="B481" s="431"/>
      <c r="C481" s="437"/>
      <c r="D481" s="430"/>
      <c r="F481" s="431"/>
      <c r="G481" s="596"/>
      <c r="H481" s="488"/>
      <c r="J481" s="437"/>
    </row>
    <row r="482" spans="1:10" s="428" customFormat="1" ht="20.399999999999999" customHeight="1">
      <c r="A482" s="449"/>
      <c r="B482" s="431"/>
      <c r="C482" s="437"/>
      <c r="D482" s="430"/>
      <c r="F482" s="431"/>
      <c r="G482" s="596"/>
      <c r="H482" s="488"/>
      <c r="J482" s="437"/>
    </row>
    <row r="483" spans="1:10" s="428" customFormat="1" ht="20.399999999999999" customHeight="1">
      <c r="A483" s="449"/>
      <c r="B483" s="431"/>
      <c r="C483" s="437"/>
      <c r="D483" s="430"/>
      <c r="F483" s="431"/>
      <c r="G483" s="596"/>
      <c r="H483" s="488"/>
      <c r="J483" s="437"/>
    </row>
    <row r="484" spans="1:10" s="428" customFormat="1" ht="20.399999999999999" customHeight="1">
      <c r="A484" s="449"/>
      <c r="B484" s="431"/>
      <c r="C484" s="437"/>
      <c r="D484" s="430"/>
      <c r="F484" s="431"/>
      <c r="G484" s="596"/>
      <c r="H484" s="488"/>
      <c r="J484" s="437"/>
    </row>
    <row r="485" spans="1:10" s="428" customFormat="1" ht="20.399999999999999" customHeight="1">
      <c r="A485" s="449"/>
      <c r="B485" s="431"/>
      <c r="C485" s="437"/>
      <c r="D485" s="430"/>
      <c r="F485" s="431"/>
      <c r="G485" s="596"/>
      <c r="H485" s="488"/>
      <c r="J485" s="437"/>
    </row>
    <row r="486" spans="1:10" s="428" customFormat="1" ht="20.399999999999999" customHeight="1">
      <c r="A486" s="449"/>
      <c r="B486" s="431"/>
      <c r="C486" s="437"/>
      <c r="D486" s="430"/>
      <c r="F486" s="431"/>
      <c r="G486" s="596"/>
      <c r="H486" s="488"/>
      <c r="J486" s="437"/>
    </row>
    <row r="487" spans="1:10" s="428" customFormat="1" ht="20.399999999999999" customHeight="1">
      <c r="A487" s="449"/>
      <c r="B487" s="431"/>
      <c r="C487" s="437"/>
      <c r="D487" s="430"/>
      <c r="F487" s="431"/>
      <c r="G487" s="596"/>
      <c r="H487" s="488"/>
      <c r="J487" s="437"/>
    </row>
    <row r="488" spans="1:10" s="428" customFormat="1" ht="20.399999999999999" customHeight="1">
      <c r="A488" s="449"/>
      <c r="B488" s="431"/>
      <c r="C488" s="437"/>
      <c r="D488" s="430"/>
      <c r="F488" s="431"/>
      <c r="G488" s="596"/>
      <c r="H488" s="488"/>
      <c r="J488" s="437"/>
    </row>
    <row r="489" spans="1:10" s="428" customFormat="1" ht="20.399999999999999" customHeight="1">
      <c r="A489" s="449"/>
      <c r="B489" s="431"/>
      <c r="C489" s="437"/>
      <c r="D489" s="430"/>
      <c r="F489" s="431"/>
      <c r="G489" s="596"/>
      <c r="H489" s="488"/>
      <c r="J489" s="437"/>
    </row>
    <row r="490" spans="1:10" s="428" customFormat="1" ht="20.399999999999999" customHeight="1">
      <c r="A490" s="449"/>
      <c r="B490" s="431"/>
      <c r="C490" s="437"/>
      <c r="D490" s="430"/>
      <c r="F490" s="431"/>
      <c r="G490" s="596"/>
      <c r="H490" s="488"/>
      <c r="J490" s="437"/>
    </row>
    <row r="491" spans="1:10" s="428" customFormat="1" ht="20.399999999999999" customHeight="1">
      <c r="A491" s="449"/>
      <c r="B491" s="431"/>
      <c r="C491" s="437"/>
      <c r="D491" s="430"/>
      <c r="F491" s="431"/>
      <c r="G491" s="596"/>
      <c r="H491" s="488"/>
      <c r="J491" s="437"/>
    </row>
    <row r="492" spans="1:10" s="428" customFormat="1" ht="20.399999999999999" customHeight="1">
      <c r="A492" s="449"/>
      <c r="B492" s="431"/>
      <c r="C492" s="437"/>
      <c r="D492" s="430"/>
      <c r="F492" s="431"/>
      <c r="G492" s="596"/>
      <c r="H492" s="488"/>
      <c r="J492" s="437"/>
    </row>
    <row r="493" spans="1:10" s="428" customFormat="1" ht="20.399999999999999" customHeight="1">
      <c r="A493" s="449"/>
      <c r="B493" s="431"/>
      <c r="C493" s="437"/>
      <c r="D493" s="430"/>
      <c r="F493" s="431"/>
      <c r="G493" s="596"/>
      <c r="H493" s="488"/>
      <c r="J493" s="437"/>
    </row>
    <row r="494" spans="1:10" s="428" customFormat="1" ht="20.399999999999999" customHeight="1">
      <c r="A494" s="449"/>
      <c r="B494" s="431"/>
      <c r="C494" s="437"/>
      <c r="D494" s="430"/>
      <c r="F494" s="431"/>
      <c r="G494" s="596"/>
      <c r="H494" s="488"/>
      <c r="J494" s="437"/>
    </row>
    <row r="495" spans="1:10" s="428" customFormat="1" ht="20.399999999999999" customHeight="1">
      <c r="A495" s="449"/>
      <c r="B495" s="431"/>
      <c r="C495" s="437"/>
      <c r="D495" s="430"/>
      <c r="F495" s="431"/>
      <c r="G495" s="596"/>
      <c r="H495" s="488"/>
      <c r="J495" s="437"/>
    </row>
    <row r="496" spans="1:10" s="428" customFormat="1" ht="20.399999999999999" customHeight="1">
      <c r="A496" s="449"/>
      <c r="B496" s="431"/>
      <c r="C496" s="437"/>
      <c r="D496" s="430"/>
      <c r="F496" s="431"/>
      <c r="G496" s="596"/>
      <c r="H496" s="488"/>
      <c r="J496" s="437"/>
    </row>
    <row r="497" spans="1:10" s="428" customFormat="1" ht="20.399999999999999" customHeight="1">
      <c r="A497" s="449"/>
      <c r="B497" s="431"/>
      <c r="C497" s="437"/>
      <c r="D497" s="430"/>
      <c r="F497" s="431"/>
      <c r="G497" s="596"/>
      <c r="H497" s="488"/>
      <c r="J497" s="437"/>
    </row>
    <row r="498" spans="1:10" s="428" customFormat="1" ht="20.399999999999999" customHeight="1">
      <c r="A498" s="449"/>
      <c r="B498" s="431"/>
      <c r="C498" s="437"/>
      <c r="D498" s="430"/>
      <c r="F498" s="431"/>
      <c r="G498" s="596"/>
      <c r="H498" s="488"/>
      <c r="J498" s="437"/>
    </row>
    <row r="499" spans="1:10" s="428" customFormat="1" ht="20.399999999999999" customHeight="1">
      <c r="A499" s="449"/>
      <c r="B499" s="431"/>
      <c r="C499" s="437"/>
      <c r="D499" s="430"/>
      <c r="F499" s="431"/>
      <c r="G499" s="596"/>
      <c r="H499" s="488"/>
      <c r="J499" s="437"/>
    </row>
    <row r="500" spans="1:10" s="428" customFormat="1" ht="20.399999999999999" customHeight="1">
      <c r="A500" s="449"/>
      <c r="B500" s="431"/>
      <c r="C500" s="437"/>
      <c r="D500" s="430"/>
      <c r="F500" s="431"/>
      <c r="G500" s="596"/>
      <c r="H500" s="488"/>
      <c r="J500" s="437"/>
    </row>
    <row r="501" spans="1:10" s="428" customFormat="1" ht="20.399999999999999" customHeight="1">
      <c r="A501" s="449"/>
      <c r="B501" s="431"/>
      <c r="C501" s="437"/>
      <c r="D501" s="430"/>
      <c r="F501" s="431"/>
      <c r="G501" s="596"/>
      <c r="H501" s="488"/>
      <c r="J501" s="437"/>
    </row>
    <row r="502" spans="1:10" s="428" customFormat="1" ht="20.399999999999999" customHeight="1">
      <c r="A502" s="449"/>
      <c r="B502" s="431"/>
      <c r="C502" s="437"/>
      <c r="D502" s="430"/>
      <c r="F502" s="431"/>
      <c r="G502" s="596"/>
      <c r="H502" s="488"/>
      <c r="J502" s="437"/>
    </row>
    <row r="503" spans="1:10" s="428" customFormat="1" ht="20.399999999999999" customHeight="1">
      <c r="A503" s="449"/>
      <c r="B503" s="431"/>
      <c r="C503" s="437"/>
      <c r="D503" s="430"/>
      <c r="F503" s="431"/>
      <c r="G503" s="596"/>
      <c r="H503" s="488"/>
      <c r="J503" s="437"/>
    </row>
    <row r="504" spans="1:10" s="428" customFormat="1" ht="20.399999999999999" customHeight="1">
      <c r="A504" s="449"/>
      <c r="B504" s="431"/>
      <c r="C504" s="437"/>
      <c r="D504" s="430"/>
      <c r="F504" s="431"/>
      <c r="G504" s="596"/>
      <c r="H504" s="488"/>
      <c r="J504" s="437"/>
    </row>
    <row r="505" spans="1:10" s="428" customFormat="1" ht="20.399999999999999" customHeight="1">
      <c r="A505" s="449"/>
      <c r="B505" s="431"/>
      <c r="C505" s="437"/>
      <c r="D505" s="430"/>
      <c r="F505" s="431"/>
      <c r="G505" s="596"/>
      <c r="H505" s="488"/>
      <c r="J505" s="437"/>
    </row>
    <row r="506" spans="1:10" s="428" customFormat="1" ht="20.399999999999999" customHeight="1">
      <c r="A506" s="449"/>
      <c r="B506" s="431"/>
      <c r="C506" s="437"/>
      <c r="D506" s="430"/>
      <c r="F506" s="431"/>
      <c r="G506" s="596"/>
      <c r="H506" s="488"/>
      <c r="J506" s="437"/>
    </row>
    <row r="507" spans="1:10" s="428" customFormat="1" ht="20.399999999999999" customHeight="1">
      <c r="A507" s="449"/>
      <c r="B507" s="431"/>
      <c r="C507" s="437"/>
      <c r="D507" s="430"/>
      <c r="F507" s="431"/>
      <c r="G507" s="596"/>
      <c r="H507" s="488"/>
      <c r="J507" s="437"/>
    </row>
    <row r="508" spans="1:10" s="428" customFormat="1" ht="20.399999999999999" customHeight="1">
      <c r="A508" s="449"/>
      <c r="B508" s="431"/>
      <c r="C508" s="437"/>
      <c r="D508" s="430"/>
      <c r="F508" s="431"/>
      <c r="G508" s="596"/>
      <c r="H508" s="488"/>
      <c r="J508" s="437"/>
    </row>
    <row r="509" spans="1:10" s="428" customFormat="1" ht="20.399999999999999" customHeight="1">
      <c r="A509" s="449"/>
      <c r="B509" s="431"/>
      <c r="C509" s="437"/>
      <c r="D509" s="430"/>
      <c r="F509" s="431"/>
      <c r="G509" s="596"/>
      <c r="H509" s="488"/>
      <c r="J509" s="437"/>
    </row>
    <row r="510" spans="1:10" s="428" customFormat="1" ht="20.399999999999999" customHeight="1">
      <c r="A510" s="449"/>
      <c r="B510" s="431"/>
      <c r="C510" s="437"/>
      <c r="D510" s="430"/>
      <c r="F510" s="431"/>
      <c r="G510" s="596"/>
      <c r="H510" s="488"/>
      <c r="J510" s="437"/>
    </row>
    <row r="511" spans="1:10" s="428" customFormat="1" ht="20.399999999999999" customHeight="1">
      <c r="A511" s="449"/>
      <c r="B511" s="431"/>
      <c r="C511" s="437"/>
      <c r="D511" s="430"/>
      <c r="F511" s="431"/>
      <c r="G511" s="596"/>
      <c r="H511" s="488"/>
      <c r="J511" s="437"/>
    </row>
    <row r="512" spans="1:10" s="428" customFormat="1" ht="20.399999999999999" customHeight="1">
      <c r="A512" s="449"/>
      <c r="B512" s="431"/>
      <c r="C512" s="437"/>
      <c r="D512" s="430"/>
      <c r="F512" s="431"/>
      <c r="G512" s="596"/>
      <c r="H512" s="488"/>
      <c r="J512" s="437"/>
    </row>
    <row r="513" spans="1:10" s="428" customFormat="1" ht="20.399999999999999" customHeight="1">
      <c r="A513" s="449"/>
      <c r="B513" s="431"/>
      <c r="C513" s="437"/>
      <c r="D513" s="430"/>
      <c r="F513" s="431"/>
      <c r="G513" s="596"/>
      <c r="H513" s="488"/>
      <c r="J513" s="437"/>
    </row>
    <row r="514" spans="1:10" s="428" customFormat="1" ht="20.399999999999999" customHeight="1">
      <c r="A514" s="449"/>
      <c r="B514" s="431"/>
      <c r="C514" s="437"/>
      <c r="D514" s="430"/>
      <c r="F514" s="431"/>
      <c r="G514" s="596"/>
      <c r="H514" s="488"/>
      <c r="J514" s="437"/>
    </row>
    <row r="515" spans="1:10" s="428" customFormat="1" ht="20.399999999999999" customHeight="1">
      <c r="A515" s="449"/>
      <c r="B515" s="431"/>
      <c r="C515" s="437"/>
      <c r="D515" s="430"/>
      <c r="F515" s="431"/>
      <c r="G515" s="596"/>
      <c r="H515" s="488"/>
      <c r="J515" s="437"/>
    </row>
    <row r="516" spans="1:10" s="428" customFormat="1" ht="20.399999999999999" customHeight="1">
      <c r="A516" s="449"/>
      <c r="B516" s="431"/>
      <c r="C516" s="437"/>
      <c r="D516" s="430"/>
      <c r="F516" s="431"/>
      <c r="G516" s="596"/>
      <c r="H516" s="488"/>
      <c r="J516" s="437"/>
    </row>
    <row r="517" spans="1:10" s="428" customFormat="1" ht="20.399999999999999" customHeight="1">
      <c r="A517" s="449"/>
      <c r="B517" s="431"/>
      <c r="C517" s="437"/>
      <c r="D517" s="430"/>
      <c r="F517" s="431"/>
      <c r="G517" s="596"/>
      <c r="H517" s="488"/>
      <c r="J517" s="437"/>
    </row>
    <row r="518" spans="1:10" s="428" customFormat="1" ht="20.399999999999999" customHeight="1">
      <c r="A518" s="449"/>
      <c r="B518" s="431"/>
      <c r="C518" s="437"/>
      <c r="D518" s="430"/>
      <c r="F518" s="431"/>
      <c r="G518" s="596"/>
      <c r="H518" s="488"/>
      <c r="J518" s="437"/>
    </row>
    <row r="519" spans="1:10" s="428" customFormat="1" ht="20.399999999999999" customHeight="1">
      <c r="A519" s="449"/>
      <c r="B519" s="431"/>
      <c r="C519" s="437"/>
      <c r="D519" s="430"/>
      <c r="F519" s="431"/>
      <c r="G519" s="596"/>
      <c r="H519" s="488"/>
      <c r="J519" s="437"/>
    </row>
    <row r="520" spans="1:10" s="428" customFormat="1" ht="20.399999999999999" customHeight="1">
      <c r="A520" s="449"/>
      <c r="B520" s="431"/>
      <c r="C520" s="437"/>
      <c r="D520" s="430"/>
      <c r="F520" s="431"/>
      <c r="G520" s="596"/>
      <c r="H520" s="488"/>
      <c r="J520" s="437"/>
    </row>
    <row r="521" spans="1:10" s="428" customFormat="1" ht="20.399999999999999" customHeight="1">
      <c r="A521" s="449"/>
      <c r="B521" s="431"/>
      <c r="C521" s="437"/>
      <c r="D521" s="430"/>
      <c r="F521" s="431"/>
      <c r="G521" s="596"/>
      <c r="H521" s="488"/>
      <c r="J521" s="437"/>
    </row>
    <row r="522" spans="1:10" s="428" customFormat="1" ht="20.399999999999999" customHeight="1">
      <c r="A522" s="449"/>
      <c r="B522" s="431"/>
      <c r="C522" s="437"/>
      <c r="D522" s="430"/>
      <c r="F522" s="431"/>
      <c r="G522" s="596"/>
      <c r="H522" s="488"/>
      <c r="J522" s="437"/>
    </row>
    <row r="523" spans="1:10" s="428" customFormat="1" ht="20.399999999999999" customHeight="1">
      <c r="A523" s="449"/>
      <c r="B523" s="431"/>
      <c r="C523" s="437"/>
      <c r="D523" s="430"/>
      <c r="F523" s="431"/>
      <c r="G523" s="596"/>
      <c r="H523" s="488"/>
      <c r="J523" s="437"/>
    </row>
    <row r="524" spans="1:10" s="428" customFormat="1" ht="20.399999999999999" customHeight="1">
      <c r="A524" s="449"/>
      <c r="B524" s="431"/>
      <c r="C524" s="437"/>
      <c r="D524" s="430"/>
      <c r="F524" s="431"/>
      <c r="G524" s="596"/>
      <c r="H524" s="488"/>
      <c r="J524" s="437"/>
    </row>
    <row r="525" spans="1:10" s="428" customFormat="1" ht="20.399999999999999" customHeight="1">
      <c r="A525" s="449"/>
      <c r="B525" s="431"/>
      <c r="C525" s="437"/>
      <c r="D525" s="430"/>
      <c r="F525" s="431"/>
      <c r="G525" s="596"/>
      <c r="H525" s="488"/>
      <c r="J525" s="437"/>
    </row>
    <row r="526" spans="1:10" s="428" customFormat="1" ht="20.399999999999999" customHeight="1">
      <c r="A526" s="449"/>
      <c r="B526" s="431"/>
      <c r="C526" s="437"/>
      <c r="D526" s="430"/>
      <c r="F526" s="431"/>
      <c r="G526" s="596"/>
      <c r="H526" s="488"/>
      <c r="J526" s="437"/>
    </row>
    <row r="527" spans="1:10" s="428" customFormat="1" ht="20.399999999999999" customHeight="1">
      <c r="A527" s="449"/>
      <c r="B527" s="431"/>
      <c r="C527" s="437"/>
      <c r="D527" s="430"/>
      <c r="F527" s="431"/>
      <c r="G527" s="596"/>
      <c r="H527" s="488"/>
      <c r="J527" s="437"/>
    </row>
    <row r="528" spans="1:10" s="428" customFormat="1" ht="20.399999999999999" customHeight="1">
      <c r="A528" s="449"/>
      <c r="B528" s="431"/>
      <c r="C528" s="437"/>
      <c r="D528" s="430"/>
      <c r="F528" s="431"/>
      <c r="G528" s="596"/>
      <c r="H528" s="488"/>
      <c r="J528" s="437"/>
    </row>
    <row r="529" spans="1:10" s="428" customFormat="1" ht="20.399999999999999" customHeight="1">
      <c r="A529" s="449"/>
      <c r="B529" s="431"/>
      <c r="C529" s="437"/>
      <c r="D529" s="430"/>
      <c r="F529" s="431"/>
      <c r="G529" s="596"/>
      <c r="H529" s="488"/>
      <c r="J529" s="437"/>
    </row>
    <row r="530" spans="1:10" s="428" customFormat="1" ht="20.399999999999999" customHeight="1">
      <c r="A530" s="449"/>
      <c r="B530" s="431"/>
      <c r="C530" s="437"/>
      <c r="D530" s="430"/>
      <c r="F530" s="431"/>
      <c r="G530" s="596"/>
      <c r="H530" s="488"/>
      <c r="J530" s="437"/>
    </row>
    <row r="531" spans="1:10" s="428" customFormat="1" ht="20.399999999999999" customHeight="1">
      <c r="A531" s="449"/>
      <c r="B531" s="431"/>
      <c r="C531" s="437"/>
      <c r="D531" s="430"/>
      <c r="F531" s="431"/>
      <c r="G531" s="596"/>
      <c r="H531" s="488"/>
      <c r="J531" s="437"/>
    </row>
    <row r="532" spans="1:10" s="428" customFormat="1" ht="20.399999999999999" customHeight="1">
      <c r="A532" s="449"/>
      <c r="B532" s="431"/>
      <c r="C532" s="437"/>
      <c r="D532" s="430"/>
      <c r="F532" s="431"/>
      <c r="G532" s="596"/>
      <c r="H532" s="488"/>
      <c r="J532" s="437"/>
    </row>
    <row r="533" spans="1:10" s="428" customFormat="1" ht="20.399999999999999" customHeight="1">
      <c r="A533" s="449"/>
      <c r="B533" s="431"/>
      <c r="C533" s="437"/>
      <c r="D533" s="430"/>
      <c r="F533" s="431"/>
      <c r="G533" s="596"/>
      <c r="H533" s="488"/>
      <c r="J533" s="437"/>
    </row>
    <row r="534" spans="1:10" s="428" customFormat="1" ht="20.399999999999999" customHeight="1">
      <c r="A534" s="449"/>
      <c r="B534" s="431"/>
      <c r="C534" s="437"/>
      <c r="D534" s="430"/>
      <c r="F534" s="431"/>
      <c r="G534" s="596"/>
      <c r="H534" s="488"/>
      <c r="J534" s="437"/>
    </row>
    <row r="535" spans="1:10" s="428" customFormat="1" ht="20.399999999999999" customHeight="1">
      <c r="A535" s="449"/>
      <c r="B535" s="431"/>
      <c r="C535" s="437"/>
      <c r="D535" s="430"/>
      <c r="F535" s="431"/>
      <c r="G535" s="596"/>
      <c r="H535" s="488"/>
      <c r="J535" s="437"/>
    </row>
    <row r="536" spans="1:10" s="428" customFormat="1" ht="20.399999999999999" customHeight="1">
      <c r="A536" s="449"/>
      <c r="B536" s="431"/>
      <c r="C536" s="437"/>
      <c r="D536" s="430"/>
      <c r="F536" s="431"/>
      <c r="G536" s="596"/>
      <c r="H536" s="488"/>
      <c r="J536" s="437"/>
    </row>
    <row r="537" spans="1:10" s="428" customFormat="1" ht="20.399999999999999" customHeight="1">
      <c r="A537" s="449"/>
      <c r="B537" s="431"/>
      <c r="C537" s="437"/>
      <c r="D537" s="430"/>
      <c r="F537" s="431"/>
      <c r="G537" s="596"/>
      <c r="H537" s="488"/>
      <c r="J537" s="437"/>
    </row>
    <row r="538" spans="1:10" s="428" customFormat="1" ht="20.399999999999999" customHeight="1">
      <c r="A538" s="449"/>
      <c r="B538" s="431"/>
      <c r="C538" s="437"/>
      <c r="D538" s="430"/>
      <c r="F538" s="431"/>
      <c r="G538" s="596"/>
      <c r="H538" s="488"/>
      <c r="J538" s="437"/>
    </row>
    <row r="539" spans="1:10" s="428" customFormat="1" ht="20.399999999999999" customHeight="1">
      <c r="A539" s="449"/>
      <c r="B539" s="431"/>
      <c r="C539" s="437"/>
      <c r="D539" s="430"/>
      <c r="F539" s="431"/>
      <c r="G539" s="596"/>
      <c r="H539" s="488"/>
      <c r="J539" s="437"/>
    </row>
    <row r="540" spans="1:10" s="428" customFormat="1" ht="20.399999999999999" customHeight="1">
      <c r="A540" s="449"/>
      <c r="B540" s="431"/>
      <c r="C540" s="437"/>
      <c r="D540" s="430"/>
      <c r="F540" s="431"/>
      <c r="G540" s="596"/>
      <c r="H540" s="488"/>
      <c r="J540" s="437"/>
    </row>
    <row r="541" spans="1:10" s="428" customFormat="1" ht="20.399999999999999" customHeight="1">
      <c r="A541" s="449"/>
      <c r="B541" s="431"/>
      <c r="C541" s="437"/>
      <c r="D541" s="430"/>
      <c r="F541" s="431"/>
      <c r="G541" s="596"/>
      <c r="H541" s="488"/>
      <c r="J541" s="437"/>
    </row>
    <row r="542" spans="1:10" s="428" customFormat="1" ht="20.399999999999999" customHeight="1">
      <c r="A542" s="449"/>
      <c r="B542" s="431"/>
      <c r="C542" s="437"/>
      <c r="D542" s="430"/>
      <c r="F542" s="431"/>
      <c r="G542" s="596"/>
      <c r="H542" s="488"/>
      <c r="J542" s="437"/>
    </row>
    <row r="543" spans="1:10" s="428" customFormat="1" ht="20.399999999999999" customHeight="1">
      <c r="A543" s="449"/>
      <c r="B543" s="431"/>
      <c r="C543" s="437"/>
      <c r="D543" s="430"/>
      <c r="F543" s="431"/>
      <c r="G543" s="596"/>
      <c r="H543" s="488"/>
      <c r="J543" s="437"/>
    </row>
    <row r="544" spans="1:10" s="428" customFormat="1" ht="20.399999999999999" customHeight="1">
      <c r="A544" s="449"/>
      <c r="B544" s="431"/>
      <c r="C544" s="437"/>
      <c r="D544" s="430"/>
      <c r="F544" s="431"/>
      <c r="G544" s="596"/>
      <c r="H544" s="488"/>
      <c r="J544" s="437"/>
    </row>
    <row r="545" spans="1:10" s="428" customFormat="1" ht="20.399999999999999" customHeight="1">
      <c r="A545" s="449"/>
      <c r="B545" s="431"/>
      <c r="C545" s="437"/>
      <c r="D545" s="430"/>
      <c r="F545" s="431"/>
      <c r="G545" s="596"/>
      <c r="H545" s="488"/>
      <c r="J545" s="437"/>
    </row>
    <row r="546" spans="1:10" s="428" customFormat="1" ht="20.399999999999999" customHeight="1">
      <c r="A546" s="449"/>
      <c r="B546" s="431"/>
      <c r="C546" s="437"/>
      <c r="D546" s="430"/>
      <c r="F546" s="431"/>
      <c r="G546" s="596"/>
      <c r="H546" s="488"/>
      <c r="J546" s="437"/>
    </row>
    <row r="547" spans="1:10" s="428" customFormat="1" ht="20.399999999999999" customHeight="1">
      <c r="A547" s="449"/>
      <c r="B547" s="431"/>
      <c r="C547" s="437"/>
      <c r="D547" s="430"/>
      <c r="F547" s="431"/>
      <c r="G547" s="596"/>
      <c r="H547" s="488"/>
      <c r="J547" s="437"/>
    </row>
    <row r="548" spans="1:10" s="428" customFormat="1" ht="20.399999999999999" customHeight="1">
      <c r="A548" s="449"/>
      <c r="B548" s="431"/>
      <c r="C548" s="437"/>
      <c r="D548" s="430"/>
      <c r="F548" s="431"/>
      <c r="G548" s="596"/>
      <c r="H548" s="488"/>
      <c r="J548" s="437"/>
    </row>
    <row r="549" spans="1:10" s="428" customFormat="1" ht="20.399999999999999" customHeight="1">
      <c r="A549" s="449"/>
      <c r="B549" s="431"/>
      <c r="C549" s="437"/>
      <c r="D549" s="430"/>
      <c r="F549" s="431"/>
      <c r="G549" s="596"/>
      <c r="H549" s="488"/>
      <c r="J549" s="437"/>
    </row>
    <row r="550" spans="1:10" s="428" customFormat="1" ht="20.399999999999999" customHeight="1">
      <c r="A550" s="449"/>
      <c r="B550" s="431"/>
      <c r="C550" s="437"/>
      <c r="D550" s="430"/>
      <c r="F550" s="431"/>
      <c r="G550" s="596"/>
      <c r="H550" s="488"/>
      <c r="J550" s="437"/>
    </row>
    <row r="551" spans="1:10" s="428" customFormat="1" ht="20.399999999999999" customHeight="1">
      <c r="A551" s="449"/>
      <c r="B551" s="431"/>
      <c r="C551" s="437"/>
      <c r="D551" s="430"/>
      <c r="F551" s="431"/>
      <c r="G551" s="596"/>
      <c r="H551" s="488"/>
      <c r="J551" s="437"/>
    </row>
    <row r="552" spans="1:10" s="428" customFormat="1" ht="20.399999999999999" customHeight="1">
      <c r="A552" s="449"/>
      <c r="B552" s="431"/>
      <c r="C552" s="437"/>
      <c r="D552" s="430"/>
      <c r="F552" s="431"/>
      <c r="G552" s="596"/>
      <c r="H552" s="488"/>
      <c r="J552" s="437"/>
    </row>
    <row r="553" spans="1:10" s="428" customFormat="1" ht="20.399999999999999" customHeight="1">
      <c r="A553" s="449"/>
      <c r="B553" s="431"/>
      <c r="C553" s="437"/>
      <c r="D553" s="430"/>
      <c r="F553" s="431"/>
      <c r="G553" s="596"/>
      <c r="H553" s="488"/>
      <c r="J553" s="437"/>
    </row>
    <row r="554" spans="1:10" s="428" customFormat="1" ht="20.399999999999999" customHeight="1">
      <c r="A554" s="449"/>
      <c r="B554" s="431"/>
      <c r="C554" s="437"/>
      <c r="D554" s="430"/>
      <c r="F554" s="431"/>
      <c r="G554" s="596"/>
      <c r="H554" s="488"/>
      <c r="J554" s="437"/>
    </row>
    <row r="555" spans="1:10" s="428" customFormat="1" ht="20.399999999999999" customHeight="1">
      <c r="A555" s="449"/>
      <c r="B555" s="431"/>
      <c r="C555" s="437"/>
      <c r="D555" s="430"/>
      <c r="F555" s="431"/>
      <c r="G555" s="596"/>
      <c r="H555" s="488"/>
      <c r="J555" s="437"/>
    </row>
    <row r="556" spans="1:10" s="428" customFormat="1" ht="20.399999999999999" customHeight="1">
      <c r="A556" s="449"/>
      <c r="B556" s="431"/>
      <c r="C556" s="437"/>
      <c r="D556" s="430"/>
      <c r="F556" s="431"/>
      <c r="G556" s="596"/>
      <c r="H556" s="488"/>
      <c r="J556" s="437"/>
    </row>
    <row r="557" spans="1:10" s="428" customFormat="1" ht="20.399999999999999" customHeight="1">
      <c r="A557" s="449"/>
      <c r="B557" s="431"/>
      <c r="C557" s="437"/>
      <c r="D557" s="430"/>
      <c r="F557" s="431"/>
      <c r="G557" s="596"/>
      <c r="H557" s="488"/>
      <c r="J557" s="437"/>
    </row>
    <row r="558" spans="1:10" s="428" customFormat="1" ht="20.399999999999999" customHeight="1">
      <c r="A558" s="449"/>
      <c r="B558" s="431"/>
      <c r="C558" s="437"/>
      <c r="D558" s="430"/>
      <c r="F558" s="431"/>
      <c r="G558" s="596"/>
      <c r="H558" s="488"/>
      <c r="J558" s="437"/>
    </row>
    <row r="559" spans="1:10" s="428" customFormat="1" ht="20.399999999999999" customHeight="1">
      <c r="A559" s="449"/>
      <c r="B559" s="431"/>
      <c r="C559" s="437"/>
      <c r="D559" s="430"/>
      <c r="F559" s="431"/>
      <c r="G559" s="596"/>
      <c r="H559" s="488"/>
      <c r="J559" s="437"/>
    </row>
    <row r="560" spans="1:10" s="428" customFormat="1" ht="20.399999999999999" customHeight="1">
      <c r="A560" s="449"/>
      <c r="B560" s="431"/>
      <c r="C560" s="437"/>
      <c r="D560" s="430"/>
      <c r="F560" s="431"/>
      <c r="G560" s="596"/>
      <c r="H560" s="488"/>
      <c r="J560" s="437"/>
    </row>
    <row r="561" spans="1:10" s="428" customFormat="1" ht="20.399999999999999" customHeight="1">
      <c r="A561" s="449"/>
      <c r="B561" s="431"/>
      <c r="C561" s="437"/>
      <c r="D561" s="430"/>
      <c r="F561" s="431"/>
      <c r="G561" s="596"/>
      <c r="H561" s="488"/>
      <c r="J561" s="437"/>
    </row>
    <row r="562" spans="1:10" s="428" customFormat="1" ht="20.399999999999999" customHeight="1">
      <c r="A562" s="449"/>
      <c r="B562" s="431"/>
      <c r="C562" s="437"/>
      <c r="D562" s="430"/>
      <c r="F562" s="431"/>
      <c r="G562" s="596"/>
      <c r="H562" s="488"/>
      <c r="J562" s="437"/>
    </row>
    <row r="563" spans="1:10" s="428" customFormat="1" ht="20.399999999999999" customHeight="1">
      <c r="A563" s="449"/>
      <c r="B563" s="431"/>
      <c r="C563" s="437"/>
      <c r="D563" s="430"/>
      <c r="F563" s="431"/>
      <c r="G563" s="596"/>
      <c r="H563" s="488"/>
      <c r="J563" s="437"/>
    </row>
    <row r="564" spans="1:10" s="428" customFormat="1" ht="20.399999999999999" customHeight="1">
      <c r="A564" s="449"/>
      <c r="B564" s="431"/>
      <c r="C564" s="437"/>
      <c r="D564" s="430"/>
      <c r="F564" s="431"/>
      <c r="G564" s="596"/>
      <c r="H564" s="488"/>
      <c r="J564" s="437"/>
    </row>
    <row r="565" spans="1:10" s="428" customFormat="1" ht="20.399999999999999" customHeight="1">
      <c r="A565" s="449"/>
      <c r="B565" s="431"/>
      <c r="C565" s="437"/>
      <c r="D565" s="430"/>
      <c r="F565" s="431"/>
      <c r="G565" s="596"/>
      <c r="H565" s="488"/>
      <c r="J565" s="437"/>
    </row>
    <row r="566" spans="1:10" s="428" customFormat="1" ht="20.399999999999999" customHeight="1">
      <c r="A566" s="449"/>
      <c r="B566" s="431"/>
      <c r="C566" s="437"/>
      <c r="D566" s="430"/>
      <c r="F566" s="431"/>
      <c r="G566" s="596"/>
      <c r="H566" s="488"/>
      <c r="J566" s="437"/>
    </row>
    <row r="567" spans="1:10" s="428" customFormat="1" ht="20.399999999999999" customHeight="1">
      <c r="A567" s="449"/>
      <c r="B567" s="431"/>
      <c r="C567" s="437"/>
      <c r="D567" s="430"/>
      <c r="F567" s="431"/>
      <c r="G567" s="596"/>
      <c r="H567" s="488"/>
      <c r="J567" s="437"/>
    </row>
    <row r="568" spans="1:10" s="428" customFormat="1" ht="20.399999999999999" customHeight="1">
      <c r="A568" s="449"/>
      <c r="B568" s="431"/>
      <c r="C568" s="437"/>
      <c r="D568" s="430"/>
      <c r="F568" s="431"/>
      <c r="G568" s="596"/>
      <c r="H568" s="488"/>
      <c r="J568" s="437"/>
    </row>
    <row r="569" spans="1:10" s="428" customFormat="1" ht="20.399999999999999" customHeight="1">
      <c r="A569" s="449"/>
      <c r="B569" s="431"/>
      <c r="C569" s="437"/>
      <c r="D569" s="430"/>
      <c r="F569" s="431"/>
      <c r="G569" s="596"/>
      <c r="H569" s="488"/>
      <c r="J569" s="437"/>
    </row>
    <row r="570" spans="1:10" s="428" customFormat="1" ht="20.399999999999999" customHeight="1">
      <c r="A570" s="449"/>
      <c r="B570" s="431"/>
      <c r="C570" s="437"/>
      <c r="D570" s="430"/>
      <c r="F570" s="431"/>
      <c r="G570" s="596"/>
      <c r="H570" s="488"/>
      <c r="J570" s="437"/>
    </row>
    <row r="571" spans="1:10" s="428" customFormat="1" ht="20.399999999999999" customHeight="1">
      <c r="A571" s="449"/>
      <c r="B571" s="431"/>
      <c r="C571" s="437"/>
      <c r="D571" s="430"/>
      <c r="F571" s="431"/>
      <c r="G571" s="596"/>
      <c r="H571" s="488"/>
      <c r="J571" s="437"/>
    </row>
    <row r="572" spans="1:10" s="428" customFormat="1" ht="20.399999999999999" customHeight="1">
      <c r="A572" s="449"/>
      <c r="B572" s="431"/>
      <c r="C572" s="437"/>
      <c r="D572" s="430"/>
      <c r="F572" s="431"/>
      <c r="G572" s="596"/>
      <c r="H572" s="488"/>
      <c r="J572" s="437"/>
    </row>
    <row r="573" spans="1:10" s="428" customFormat="1" ht="20.399999999999999" customHeight="1">
      <c r="A573" s="449"/>
      <c r="B573" s="431"/>
      <c r="C573" s="437"/>
      <c r="D573" s="430"/>
      <c r="F573" s="431"/>
      <c r="G573" s="596"/>
      <c r="H573" s="488"/>
      <c r="J573" s="437"/>
    </row>
    <row r="574" spans="1:10" s="428" customFormat="1" ht="20.399999999999999" customHeight="1">
      <c r="A574" s="449"/>
      <c r="B574" s="431"/>
      <c r="C574" s="437"/>
      <c r="D574" s="430"/>
      <c r="F574" s="431"/>
      <c r="G574" s="596"/>
      <c r="H574" s="488"/>
      <c r="J574" s="437"/>
    </row>
    <row r="575" spans="1:10" s="428" customFormat="1" ht="20.399999999999999" customHeight="1">
      <c r="A575" s="449"/>
      <c r="B575" s="431"/>
      <c r="C575" s="437"/>
      <c r="D575" s="430"/>
      <c r="F575" s="431"/>
      <c r="G575" s="596"/>
      <c r="H575" s="488"/>
      <c r="J575" s="437"/>
    </row>
    <row r="576" spans="1:10" s="428" customFormat="1" ht="20.399999999999999" customHeight="1">
      <c r="A576" s="449"/>
      <c r="B576" s="431"/>
      <c r="C576" s="437"/>
      <c r="D576" s="430"/>
      <c r="F576" s="431"/>
      <c r="G576" s="596"/>
      <c r="H576" s="488"/>
      <c r="J576" s="437"/>
    </row>
    <row r="577" spans="1:10" s="428" customFormat="1" ht="20.399999999999999" customHeight="1">
      <c r="A577" s="449"/>
      <c r="B577" s="431"/>
      <c r="C577" s="437"/>
      <c r="D577" s="430"/>
      <c r="F577" s="431"/>
      <c r="G577" s="596"/>
      <c r="H577" s="488"/>
      <c r="J577" s="437"/>
    </row>
    <row r="578" spans="1:10" s="428" customFormat="1" ht="20.399999999999999" customHeight="1">
      <c r="A578" s="449"/>
      <c r="B578" s="431"/>
      <c r="C578" s="437"/>
      <c r="D578" s="430"/>
      <c r="F578" s="431"/>
      <c r="G578" s="596"/>
      <c r="H578" s="488"/>
      <c r="J578" s="437"/>
    </row>
    <row r="579" spans="1:10" s="428" customFormat="1" ht="20.399999999999999" customHeight="1">
      <c r="A579" s="449"/>
      <c r="B579" s="431"/>
      <c r="C579" s="437"/>
      <c r="D579" s="430"/>
      <c r="F579" s="431"/>
      <c r="G579" s="596"/>
      <c r="H579" s="488"/>
      <c r="J579" s="437"/>
    </row>
    <row r="580" spans="1:10" s="428" customFormat="1" ht="20.399999999999999" customHeight="1">
      <c r="A580" s="449"/>
      <c r="B580" s="431"/>
      <c r="C580" s="437"/>
      <c r="D580" s="430"/>
      <c r="F580" s="431"/>
      <c r="G580" s="596"/>
      <c r="H580" s="488"/>
      <c r="J580" s="437"/>
    </row>
    <row r="581" spans="1:10" s="428" customFormat="1" ht="20.399999999999999" customHeight="1">
      <c r="A581" s="449"/>
      <c r="B581" s="431"/>
      <c r="C581" s="437"/>
      <c r="D581" s="430"/>
      <c r="F581" s="431"/>
      <c r="G581" s="596"/>
      <c r="H581" s="488"/>
      <c r="J581" s="437"/>
    </row>
    <row r="582" spans="1:10" s="428" customFormat="1" ht="20.399999999999999" customHeight="1">
      <c r="A582" s="449"/>
      <c r="B582" s="431"/>
      <c r="C582" s="437"/>
      <c r="D582" s="430"/>
      <c r="F582" s="431"/>
      <c r="G582" s="596"/>
      <c r="H582" s="488"/>
      <c r="J582" s="437"/>
    </row>
    <row r="583" spans="1:10" s="428" customFormat="1" ht="20.399999999999999" customHeight="1">
      <c r="A583" s="449"/>
      <c r="B583" s="431"/>
      <c r="C583" s="437"/>
      <c r="D583" s="430"/>
      <c r="F583" s="431"/>
      <c r="G583" s="596"/>
      <c r="H583" s="488"/>
      <c r="J583" s="437"/>
    </row>
    <row r="584" spans="1:10" s="428" customFormat="1" ht="20.399999999999999" customHeight="1">
      <c r="A584" s="449"/>
      <c r="B584" s="431"/>
      <c r="C584" s="437"/>
      <c r="D584" s="430"/>
      <c r="F584" s="431"/>
      <c r="G584" s="596"/>
      <c r="H584" s="488"/>
      <c r="J584" s="437"/>
    </row>
    <row r="585" spans="1:10" s="428" customFormat="1" ht="20.399999999999999" customHeight="1">
      <c r="A585" s="449"/>
      <c r="B585" s="431"/>
      <c r="C585" s="437"/>
      <c r="D585" s="430"/>
      <c r="F585" s="431"/>
      <c r="G585" s="596"/>
      <c r="H585" s="488"/>
      <c r="J585" s="437"/>
    </row>
    <row r="586" spans="1:10" s="428" customFormat="1" ht="20.399999999999999" customHeight="1">
      <c r="A586" s="449"/>
      <c r="B586" s="431"/>
      <c r="C586" s="437"/>
      <c r="D586" s="430"/>
      <c r="F586" s="431"/>
      <c r="G586" s="596"/>
      <c r="H586" s="488"/>
      <c r="J586" s="437"/>
    </row>
    <row r="587" spans="1:10" s="428" customFormat="1" ht="20.399999999999999" customHeight="1">
      <c r="A587" s="449"/>
      <c r="B587" s="431"/>
      <c r="C587" s="437"/>
      <c r="D587" s="430"/>
      <c r="F587" s="431"/>
      <c r="G587" s="596"/>
      <c r="H587" s="488"/>
      <c r="J587" s="437"/>
    </row>
    <row r="588" spans="1:10" s="428" customFormat="1" ht="20.399999999999999" customHeight="1">
      <c r="A588" s="449"/>
      <c r="B588" s="431"/>
      <c r="C588" s="437"/>
      <c r="D588" s="430"/>
      <c r="F588" s="431"/>
      <c r="G588" s="596"/>
      <c r="H588" s="488"/>
      <c r="J588" s="437"/>
    </row>
    <row r="589" spans="1:10" s="428" customFormat="1" ht="20.399999999999999" customHeight="1">
      <c r="A589" s="449"/>
      <c r="B589" s="431"/>
      <c r="C589" s="437"/>
      <c r="D589" s="430"/>
      <c r="F589" s="431"/>
      <c r="G589" s="596"/>
      <c r="H589" s="488"/>
      <c r="J589" s="437"/>
    </row>
    <row r="590" spans="1:10" s="428" customFormat="1" ht="20.399999999999999" customHeight="1">
      <c r="A590" s="449"/>
      <c r="B590" s="431"/>
      <c r="C590" s="437"/>
      <c r="D590" s="430"/>
      <c r="F590" s="431"/>
      <c r="G590" s="596"/>
      <c r="H590" s="488"/>
      <c r="J590" s="437"/>
    </row>
    <row r="591" spans="1:10" s="428" customFormat="1" ht="20.399999999999999" customHeight="1">
      <c r="A591" s="449"/>
      <c r="B591" s="431"/>
      <c r="C591" s="437"/>
      <c r="D591" s="430"/>
      <c r="F591" s="431"/>
      <c r="G591" s="596"/>
      <c r="H591" s="488"/>
      <c r="J591" s="437"/>
    </row>
    <row r="592" spans="1:10" s="428" customFormat="1" ht="20.399999999999999" customHeight="1">
      <c r="A592" s="449"/>
      <c r="B592" s="431"/>
      <c r="C592" s="437"/>
      <c r="D592" s="430"/>
      <c r="F592" s="431"/>
      <c r="G592" s="596"/>
      <c r="H592" s="488"/>
      <c r="J592" s="437"/>
    </row>
    <row r="593" spans="1:10" s="428" customFormat="1" ht="20.399999999999999" customHeight="1">
      <c r="A593" s="449"/>
      <c r="B593" s="431"/>
      <c r="C593" s="437"/>
      <c r="D593" s="430"/>
      <c r="F593" s="431"/>
      <c r="G593" s="596"/>
      <c r="H593" s="488"/>
      <c r="J593" s="437"/>
    </row>
    <row r="594" spans="1:10" s="428" customFormat="1" ht="20.399999999999999" customHeight="1">
      <c r="A594" s="449"/>
      <c r="B594" s="431"/>
      <c r="C594" s="437"/>
      <c r="D594" s="430"/>
      <c r="F594" s="431"/>
      <c r="G594" s="596"/>
      <c r="H594" s="488"/>
      <c r="J594" s="437"/>
    </row>
    <row r="595" spans="1:10" s="428" customFormat="1" ht="20.399999999999999" customHeight="1">
      <c r="A595" s="449"/>
      <c r="B595" s="431"/>
      <c r="C595" s="437"/>
      <c r="D595" s="430"/>
      <c r="F595" s="431"/>
      <c r="G595" s="596"/>
      <c r="H595" s="488"/>
      <c r="J595" s="437"/>
    </row>
    <row r="596" spans="1:10" s="428" customFormat="1" ht="20.399999999999999" customHeight="1">
      <c r="A596" s="449"/>
      <c r="B596" s="431"/>
      <c r="C596" s="437"/>
      <c r="D596" s="430"/>
      <c r="F596" s="431"/>
      <c r="G596" s="596"/>
      <c r="H596" s="488"/>
      <c r="J596" s="437"/>
    </row>
    <row r="597" spans="1:10" s="428" customFormat="1" ht="20.399999999999999" customHeight="1">
      <c r="A597" s="449"/>
      <c r="B597" s="431"/>
      <c r="C597" s="437"/>
      <c r="D597" s="430"/>
      <c r="F597" s="431"/>
      <c r="G597" s="596"/>
      <c r="H597" s="488"/>
      <c r="J597" s="437"/>
    </row>
    <row r="598" spans="1:10" s="428" customFormat="1" ht="20.399999999999999" customHeight="1">
      <c r="A598" s="449"/>
      <c r="B598" s="431"/>
      <c r="C598" s="437"/>
      <c r="D598" s="430"/>
      <c r="F598" s="431"/>
      <c r="G598" s="596"/>
      <c r="H598" s="488"/>
      <c r="J598" s="437"/>
    </row>
    <row r="599" spans="1:10" s="428" customFormat="1" ht="20.399999999999999" customHeight="1">
      <c r="A599" s="449"/>
      <c r="B599" s="431"/>
      <c r="C599" s="437"/>
      <c r="D599" s="430"/>
      <c r="F599" s="431"/>
      <c r="G599" s="596"/>
      <c r="H599" s="488"/>
      <c r="J599" s="437"/>
    </row>
    <row r="600" spans="1:10" s="428" customFormat="1" ht="20.399999999999999" customHeight="1">
      <c r="A600" s="449"/>
      <c r="B600" s="431"/>
      <c r="C600" s="437"/>
      <c r="D600" s="430"/>
      <c r="F600" s="431"/>
      <c r="G600" s="596"/>
      <c r="H600" s="488"/>
      <c r="J600" s="437"/>
    </row>
    <row r="601" spans="1:10" s="428" customFormat="1" ht="20.399999999999999" customHeight="1">
      <c r="A601" s="449"/>
      <c r="B601" s="431"/>
      <c r="C601" s="437"/>
      <c r="D601" s="430"/>
      <c r="F601" s="431"/>
      <c r="G601" s="596"/>
      <c r="H601" s="488"/>
      <c r="J601" s="437"/>
    </row>
    <row r="602" spans="1:10" s="428" customFormat="1" ht="20.399999999999999" customHeight="1">
      <c r="A602" s="449"/>
      <c r="B602" s="431"/>
      <c r="C602" s="437"/>
      <c r="D602" s="430"/>
      <c r="F602" s="431"/>
      <c r="G602" s="596"/>
      <c r="H602" s="488"/>
      <c r="J602" s="437"/>
    </row>
    <row r="603" spans="1:10" s="428" customFormat="1" ht="20.399999999999999" customHeight="1">
      <c r="A603" s="449"/>
      <c r="B603" s="431"/>
      <c r="C603" s="437"/>
      <c r="D603" s="430"/>
      <c r="F603" s="431"/>
      <c r="G603" s="596"/>
      <c r="H603" s="488"/>
      <c r="J603" s="437"/>
    </row>
    <row r="604" spans="1:10" s="428" customFormat="1" ht="20.399999999999999" customHeight="1">
      <c r="A604" s="449"/>
      <c r="B604" s="431"/>
      <c r="C604" s="437"/>
      <c r="D604" s="430"/>
      <c r="F604" s="431"/>
      <c r="G604" s="596"/>
      <c r="H604" s="488"/>
      <c r="J604" s="437"/>
    </row>
    <row r="605" spans="1:10" s="428" customFormat="1" ht="20.399999999999999" customHeight="1">
      <c r="A605" s="449"/>
      <c r="B605" s="431"/>
      <c r="C605" s="437"/>
      <c r="D605" s="430"/>
      <c r="F605" s="431"/>
      <c r="G605" s="596"/>
      <c r="H605" s="488"/>
      <c r="J605" s="437"/>
    </row>
    <row r="606" spans="1:10" s="428" customFormat="1" ht="20.399999999999999" customHeight="1">
      <c r="A606" s="449"/>
      <c r="B606" s="431"/>
      <c r="C606" s="437"/>
      <c r="D606" s="430"/>
      <c r="F606" s="431"/>
      <c r="G606" s="596"/>
      <c r="H606" s="488"/>
      <c r="J606" s="437"/>
    </row>
    <row r="607" spans="1:10" s="428" customFormat="1" ht="20.399999999999999" customHeight="1">
      <c r="A607" s="449"/>
      <c r="B607" s="431"/>
      <c r="C607" s="437"/>
      <c r="D607" s="430"/>
      <c r="F607" s="431"/>
      <c r="G607" s="596"/>
      <c r="H607" s="488"/>
      <c r="J607" s="437"/>
    </row>
    <row r="608" spans="1:10" s="428" customFormat="1" ht="20.399999999999999" customHeight="1">
      <c r="A608" s="449"/>
      <c r="B608" s="431"/>
      <c r="C608" s="437"/>
      <c r="D608" s="430"/>
      <c r="F608" s="431"/>
      <c r="G608" s="596"/>
      <c r="H608" s="488"/>
      <c r="J608" s="437"/>
    </row>
    <row r="609" spans="1:10" s="428" customFormat="1" ht="20.399999999999999" customHeight="1">
      <c r="A609" s="449"/>
      <c r="B609" s="431"/>
      <c r="C609" s="437"/>
      <c r="D609" s="430"/>
      <c r="F609" s="431"/>
      <c r="G609" s="596"/>
      <c r="H609" s="488"/>
      <c r="J609" s="437"/>
    </row>
    <row r="610" spans="1:10" s="428" customFormat="1" ht="20.399999999999999" customHeight="1">
      <c r="A610" s="449"/>
      <c r="B610" s="431"/>
      <c r="C610" s="437"/>
      <c r="D610" s="430"/>
      <c r="F610" s="431"/>
      <c r="G610" s="596"/>
      <c r="H610" s="488"/>
      <c r="J610" s="437"/>
    </row>
    <row r="611" spans="1:10" s="428" customFormat="1" ht="20.399999999999999" customHeight="1">
      <c r="A611" s="449"/>
      <c r="B611" s="431"/>
      <c r="C611" s="437"/>
      <c r="D611" s="430"/>
      <c r="F611" s="431"/>
      <c r="G611" s="596"/>
      <c r="H611" s="488"/>
      <c r="J611" s="437"/>
    </row>
    <row r="612" spans="1:10" s="428" customFormat="1" ht="20.399999999999999" customHeight="1">
      <c r="A612" s="449"/>
      <c r="B612" s="431"/>
      <c r="C612" s="437"/>
      <c r="D612" s="430"/>
      <c r="F612" s="431"/>
      <c r="G612" s="596"/>
      <c r="H612" s="488"/>
      <c r="J612" s="437"/>
    </row>
    <row r="613" spans="1:10" s="428" customFormat="1" ht="20.399999999999999" customHeight="1">
      <c r="A613" s="449"/>
      <c r="B613" s="431"/>
      <c r="C613" s="437"/>
      <c r="D613" s="430"/>
      <c r="F613" s="431"/>
      <c r="G613" s="596"/>
      <c r="H613" s="488"/>
      <c r="J613" s="437"/>
    </row>
    <row r="614" spans="1:10" s="428" customFormat="1" ht="20.399999999999999" customHeight="1">
      <c r="A614" s="449"/>
      <c r="B614" s="431"/>
      <c r="C614" s="437"/>
      <c r="D614" s="430"/>
      <c r="F614" s="431"/>
      <c r="G614" s="596"/>
      <c r="H614" s="488"/>
      <c r="J614" s="437"/>
    </row>
    <row r="615" spans="1:10" s="428" customFormat="1" ht="20.399999999999999" customHeight="1">
      <c r="A615" s="449"/>
      <c r="B615" s="431"/>
      <c r="C615" s="437"/>
      <c r="D615" s="430"/>
      <c r="F615" s="431"/>
      <c r="G615" s="596"/>
      <c r="H615" s="488"/>
      <c r="J615" s="437"/>
    </row>
    <row r="616" spans="1:10" s="428" customFormat="1" ht="20.399999999999999" customHeight="1">
      <c r="A616" s="449"/>
      <c r="B616" s="431"/>
      <c r="C616" s="437"/>
      <c r="D616" s="430"/>
      <c r="F616" s="431"/>
      <c r="G616" s="596"/>
      <c r="H616" s="488"/>
      <c r="J616" s="437"/>
    </row>
    <row r="617" spans="1:10" s="428" customFormat="1" ht="20.399999999999999" customHeight="1">
      <c r="A617" s="449"/>
      <c r="B617" s="431"/>
      <c r="C617" s="437"/>
      <c r="D617" s="430"/>
      <c r="F617" s="431"/>
      <c r="G617" s="596"/>
      <c r="H617" s="488"/>
      <c r="J617" s="437"/>
    </row>
    <row r="618" spans="1:10" s="428" customFormat="1" ht="20.399999999999999" customHeight="1">
      <c r="A618" s="449"/>
      <c r="B618" s="431"/>
      <c r="C618" s="437"/>
      <c r="D618" s="430"/>
      <c r="F618" s="431"/>
      <c r="G618" s="596"/>
      <c r="H618" s="488"/>
      <c r="J618" s="437"/>
    </row>
    <row r="619" spans="1:10" s="428" customFormat="1" ht="20.399999999999999" customHeight="1">
      <c r="A619" s="449"/>
      <c r="B619" s="431"/>
      <c r="C619" s="437"/>
      <c r="D619" s="430"/>
      <c r="F619" s="431"/>
      <c r="G619" s="596"/>
      <c r="H619" s="488"/>
      <c r="J619" s="437"/>
    </row>
    <row r="620" spans="1:10" s="428" customFormat="1" ht="20.399999999999999" customHeight="1">
      <c r="A620" s="449"/>
      <c r="B620" s="431"/>
      <c r="C620" s="437"/>
      <c r="D620" s="430"/>
      <c r="F620" s="431"/>
      <c r="G620" s="596"/>
      <c r="H620" s="488"/>
      <c r="J620" s="437"/>
    </row>
    <row r="621" spans="1:10" s="428" customFormat="1" ht="20.399999999999999" customHeight="1">
      <c r="A621" s="449"/>
      <c r="B621" s="431"/>
      <c r="C621" s="437"/>
      <c r="D621" s="430"/>
      <c r="F621" s="431"/>
      <c r="G621" s="596"/>
      <c r="H621" s="488"/>
      <c r="J621" s="437"/>
    </row>
    <row r="622" spans="1:10" s="428" customFormat="1" ht="20.399999999999999" customHeight="1">
      <c r="A622" s="449"/>
      <c r="B622" s="431"/>
      <c r="C622" s="437"/>
      <c r="D622" s="430"/>
      <c r="F622" s="431"/>
      <c r="G622" s="596"/>
      <c r="H622" s="488"/>
      <c r="J622" s="437"/>
    </row>
    <row r="623" spans="1:10" s="428" customFormat="1" ht="20.399999999999999" customHeight="1">
      <c r="A623" s="449"/>
      <c r="B623" s="431"/>
      <c r="C623" s="437"/>
      <c r="D623" s="430"/>
      <c r="F623" s="431"/>
      <c r="G623" s="596"/>
      <c r="H623" s="488"/>
      <c r="J623" s="437"/>
    </row>
    <row r="624" spans="1:10" s="428" customFormat="1" ht="20.399999999999999" customHeight="1">
      <c r="A624" s="449"/>
      <c r="B624" s="431"/>
      <c r="C624" s="437"/>
      <c r="D624" s="430"/>
      <c r="F624" s="431"/>
      <c r="G624" s="596"/>
      <c r="H624" s="488"/>
      <c r="J624" s="437"/>
    </row>
    <row r="625" spans="1:10" s="428" customFormat="1" ht="20.399999999999999" customHeight="1">
      <c r="A625" s="449"/>
      <c r="B625" s="431"/>
      <c r="C625" s="437"/>
      <c r="D625" s="430"/>
      <c r="F625" s="431"/>
      <c r="G625" s="596"/>
      <c r="H625" s="488"/>
      <c r="J625" s="437"/>
    </row>
    <row r="626" spans="1:10" s="428" customFormat="1" ht="20.399999999999999" customHeight="1">
      <c r="A626" s="449"/>
      <c r="B626" s="431"/>
      <c r="C626" s="437"/>
      <c r="D626" s="430"/>
      <c r="F626" s="431"/>
      <c r="G626" s="596"/>
      <c r="H626" s="488"/>
      <c r="J626" s="437"/>
    </row>
    <row r="627" spans="1:10" s="428" customFormat="1" ht="20.399999999999999" customHeight="1">
      <c r="A627" s="449"/>
      <c r="B627" s="431"/>
      <c r="C627" s="437"/>
      <c r="D627" s="430"/>
      <c r="F627" s="431"/>
      <c r="G627" s="596"/>
      <c r="H627" s="488"/>
      <c r="J627" s="437"/>
    </row>
    <row r="628" spans="1:10" s="428" customFormat="1" ht="20.399999999999999" customHeight="1">
      <c r="A628" s="449"/>
      <c r="B628" s="431"/>
      <c r="C628" s="437"/>
      <c r="D628" s="430"/>
      <c r="F628" s="431"/>
      <c r="G628" s="596"/>
      <c r="H628" s="488"/>
      <c r="J628" s="437"/>
    </row>
    <row r="629" spans="1:10" s="428" customFormat="1" ht="20.399999999999999" customHeight="1">
      <c r="A629" s="449"/>
      <c r="B629" s="431"/>
      <c r="C629" s="437"/>
      <c r="D629" s="430"/>
      <c r="F629" s="431"/>
      <c r="G629" s="596"/>
      <c r="H629" s="488"/>
      <c r="J629" s="437"/>
    </row>
    <row r="630" spans="1:10" s="428" customFormat="1" ht="20.399999999999999" customHeight="1">
      <c r="A630" s="449"/>
      <c r="B630" s="431"/>
      <c r="C630" s="437"/>
      <c r="D630" s="430"/>
      <c r="F630" s="431"/>
      <c r="G630" s="596"/>
      <c r="H630" s="488"/>
      <c r="J630" s="437"/>
    </row>
    <row r="631" spans="1:10" s="428" customFormat="1" ht="20.399999999999999" customHeight="1">
      <c r="A631" s="449"/>
      <c r="B631" s="431"/>
      <c r="C631" s="437"/>
      <c r="D631" s="430"/>
      <c r="F631" s="431"/>
      <c r="G631" s="596"/>
      <c r="H631" s="488"/>
      <c r="J631" s="437"/>
    </row>
    <row r="632" spans="1:10" s="428" customFormat="1" ht="20.399999999999999" customHeight="1">
      <c r="A632" s="449"/>
      <c r="B632" s="431"/>
      <c r="C632" s="437"/>
      <c r="D632" s="430"/>
      <c r="F632" s="431"/>
      <c r="G632" s="596"/>
      <c r="H632" s="488"/>
      <c r="J632" s="437"/>
    </row>
    <row r="633" spans="1:10" s="428" customFormat="1" ht="20.399999999999999" customHeight="1">
      <c r="A633" s="449"/>
      <c r="B633" s="431"/>
      <c r="C633" s="437"/>
      <c r="D633" s="430"/>
      <c r="F633" s="431"/>
      <c r="G633" s="596"/>
      <c r="H633" s="488"/>
      <c r="J633" s="437"/>
    </row>
    <row r="634" spans="1:10" s="428" customFormat="1" ht="20.399999999999999" customHeight="1">
      <c r="A634" s="449"/>
      <c r="B634" s="431"/>
      <c r="C634" s="437"/>
      <c r="D634" s="430"/>
      <c r="F634" s="431"/>
      <c r="G634" s="596"/>
      <c r="H634" s="488"/>
      <c r="J634" s="437"/>
    </row>
    <row r="635" spans="1:10" s="428" customFormat="1" ht="20.399999999999999" customHeight="1">
      <c r="A635" s="449"/>
      <c r="B635" s="431"/>
      <c r="C635" s="437"/>
      <c r="D635" s="430"/>
      <c r="F635" s="431"/>
      <c r="G635" s="596"/>
      <c r="H635" s="488"/>
      <c r="J635" s="437"/>
    </row>
    <row r="636" spans="1:10" s="428" customFormat="1" ht="20.399999999999999" customHeight="1">
      <c r="A636" s="449"/>
      <c r="B636" s="431"/>
      <c r="C636" s="437"/>
      <c r="D636" s="430"/>
      <c r="F636" s="431"/>
      <c r="G636" s="596"/>
      <c r="H636" s="488"/>
      <c r="J636" s="437"/>
    </row>
    <row r="637" spans="1:10" s="428" customFormat="1" ht="20.399999999999999" customHeight="1">
      <c r="A637" s="449"/>
      <c r="B637" s="431"/>
      <c r="C637" s="437"/>
      <c r="D637" s="430"/>
      <c r="F637" s="431"/>
      <c r="G637" s="596"/>
      <c r="H637" s="488"/>
      <c r="J637" s="437"/>
    </row>
    <row r="638" spans="1:10" s="428" customFormat="1" ht="20.399999999999999" customHeight="1">
      <c r="A638" s="449"/>
      <c r="B638" s="431"/>
      <c r="C638" s="437"/>
      <c r="D638" s="430"/>
      <c r="F638" s="431"/>
      <c r="G638" s="596"/>
      <c r="H638" s="488"/>
      <c r="J638" s="437"/>
    </row>
    <row r="639" spans="1:10" s="428" customFormat="1" ht="20.399999999999999" customHeight="1">
      <c r="A639" s="449"/>
      <c r="B639" s="431"/>
      <c r="C639" s="437"/>
      <c r="D639" s="430"/>
      <c r="F639" s="431"/>
      <c r="G639" s="596"/>
      <c r="H639" s="488"/>
      <c r="J639" s="437"/>
    </row>
    <row r="640" spans="1:10" s="428" customFormat="1" ht="20.399999999999999" customHeight="1">
      <c r="A640" s="449"/>
      <c r="B640" s="431"/>
      <c r="C640" s="437"/>
      <c r="D640" s="430"/>
      <c r="F640" s="431"/>
      <c r="G640" s="596"/>
      <c r="H640" s="488"/>
      <c r="J640" s="437"/>
    </row>
    <row r="641" spans="1:10" s="428" customFormat="1" ht="20.399999999999999" customHeight="1">
      <c r="A641" s="449"/>
      <c r="B641" s="431"/>
      <c r="C641" s="437"/>
      <c r="D641" s="430"/>
      <c r="F641" s="431"/>
      <c r="G641" s="596"/>
      <c r="H641" s="488"/>
      <c r="J641" s="437"/>
    </row>
    <row r="642" spans="1:10" s="428" customFormat="1" ht="20.399999999999999" customHeight="1">
      <c r="A642" s="449"/>
      <c r="B642" s="431"/>
      <c r="C642" s="437"/>
      <c r="D642" s="430"/>
      <c r="F642" s="431"/>
      <c r="G642" s="596"/>
      <c r="H642" s="488"/>
      <c r="J642" s="437"/>
    </row>
    <row r="643" spans="1:10" s="428" customFormat="1" ht="20.399999999999999" customHeight="1">
      <c r="A643" s="449"/>
      <c r="B643" s="431"/>
      <c r="C643" s="437"/>
      <c r="D643" s="430"/>
      <c r="F643" s="431"/>
      <c r="G643" s="596"/>
      <c r="H643" s="488"/>
      <c r="J643" s="437"/>
    </row>
    <row r="644" spans="1:10" s="428" customFormat="1" ht="20.399999999999999" customHeight="1">
      <c r="A644" s="449"/>
      <c r="B644" s="431"/>
      <c r="C644" s="437"/>
      <c r="D644" s="430"/>
      <c r="F644" s="431"/>
      <c r="G644" s="596"/>
      <c r="H644" s="488"/>
      <c r="J644" s="437"/>
    </row>
    <row r="645" spans="1:10" s="428" customFormat="1" ht="20.399999999999999" customHeight="1">
      <c r="A645" s="449"/>
      <c r="B645" s="431"/>
      <c r="C645" s="437"/>
      <c r="D645" s="430"/>
      <c r="F645" s="431"/>
      <c r="G645" s="596"/>
      <c r="H645" s="488"/>
      <c r="J645" s="437"/>
    </row>
    <row r="646" spans="1:10" s="428" customFormat="1" ht="20.399999999999999" customHeight="1">
      <c r="A646" s="449"/>
      <c r="B646" s="431"/>
      <c r="C646" s="437"/>
      <c r="D646" s="430"/>
      <c r="F646" s="431"/>
      <c r="G646" s="596"/>
      <c r="H646" s="488"/>
      <c r="J646" s="437"/>
    </row>
    <row r="647" spans="1:10" s="428" customFormat="1" ht="20.399999999999999" customHeight="1">
      <c r="A647" s="449"/>
      <c r="B647" s="431"/>
      <c r="C647" s="437"/>
      <c r="D647" s="430"/>
      <c r="F647" s="431"/>
      <c r="G647" s="596"/>
      <c r="H647" s="488"/>
      <c r="J647" s="437"/>
    </row>
    <row r="648" spans="1:10" s="428" customFormat="1" ht="20.399999999999999" customHeight="1">
      <c r="A648" s="449"/>
      <c r="B648" s="431"/>
      <c r="C648" s="437"/>
      <c r="D648" s="430"/>
      <c r="F648" s="431"/>
      <c r="G648" s="596"/>
      <c r="H648" s="488"/>
      <c r="J648" s="437"/>
    </row>
    <row r="649" spans="1:10" s="428" customFormat="1" ht="20.399999999999999" customHeight="1">
      <c r="A649" s="449"/>
      <c r="B649" s="431"/>
      <c r="C649" s="437"/>
      <c r="D649" s="430"/>
      <c r="F649" s="431"/>
      <c r="G649" s="596"/>
      <c r="H649" s="488"/>
      <c r="J649" s="437"/>
    </row>
    <row r="650" spans="1:10" s="428" customFormat="1" ht="20.399999999999999" customHeight="1">
      <c r="A650" s="449"/>
      <c r="B650" s="431"/>
      <c r="C650" s="437"/>
      <c r="D650" s="430"/>
      <c r="F650" s="431"/>
      <c r="G650" s="596"/>
      <c r="H650" s="488"/>
      <c r="J650" s="437"/>
    </row>
    <row r="651" spans="1:10" s="428" customFormat="1" ht="20.399999999999999" customHeight="1">
      <c r="A651" s="449"/>
      <c r="B651" s="431"/>
      <c r="C651" s="437"/>
      <c r="D651" s="430"/>
      <c r="F651" s="431"/>
      <c r="G651" s="596"/>
      <c r="H651" s="488"/>
      <c r="J651" s="437"/>
    </row>
    <row r="652" spans="1:10" s="428" customFormat="1" ht="20.399999999999999" customHeight="1">
      <c r="A652" s="449"/>
      <c r="B652" s="431"/>
      <c r="C652" s="437"/>
      <c r="D652" s="430"/>
      <c r="F652" s="431"/>
      <c r="G652" s="596"/>
      <c r="H652" s="488"/>
      <c r="J652" s="437"/>
    </row>
    <row r="653" spans="1:10" s="428" customFormat="1" ht="20.399999999999999" customHeight="1">
      <c r="A653" s="449"/>
      <c r="B653" s="431"/>
      <c r="C653" s="437"/>
      <c r="D653" s="430"/>
      <c r="F653" s="431"/>
      <c r="G653" s="596"/>
      <c r="H653" s="488"/>
      <c r="J653" s="437"/>
    </row>
    <row r="654" spans="1:10" s="428" customFormat="1" ht="20.399999999999999" customHeight="1">
      <c r="A654" s="449"/>
      <c r="B654" s="431"/>
      <c r="C654" s="437"/>
      <c r="D654" s="430"/>
      <c r="F654" s="431"/>
      <c r="G654" s="596"/>
      <c r="H654" s="488"/>
      <c r="J654" s="437"/>
    </row>
    <row r="655" spans="1:10" s="428" customFormat="1" ht="20.399999999999999" customHeight="1">
      <c r="A655" s="449"/>
      <c r="B655" s="431"/>
      <c r="C655" s="437"/>
      <c r="D655" s="430"/>
      <c r="F655" s="431"/>
      <c r="G655" s="596"/>
      <c r="H655" s="488"/>
      <c r="J655" s="437"/>
    </row>
    <row r="656" spans="1:10" s="428" customFormat="1" ht="20.399999999999999" customHeight="1">
      <c r="A656" s="449"/>
      <c r="B656" s="431"/>
      <c r="C656" s="437"/>
      <c r="D656" s="430"/>
      <c r="F656" s="431"/>
      <c r="G656" s="596"/>
      <c r="H656" s="488"/>
      <c r="J656" s="437"/>
    </row>
    <row r="657" spans="1:10" s="428" customFormat="1" ht="20.399999999999999" customHeight="1">
      <c r="A657" s="449"/>
      <c r="B657" s="431"/>
      <c r="C657" s="437"/>
      <c r="D657" s="430"/>
      <c r="F657" s="431"/>
      <c r="G657" s="596"/>
      <c r="H657" s="488"/>
      <c r="J657" s="437"/>
    </row>
    <row r="658" spans="1:10" s="428" customFormat="1" ht="20.399999999999999" customHeight="1">
      <c r="A658" s="449"/>
      <c r="B658" s="431"/>
      <c r="C658" s="437"/>
      <c r="D658" s="430"/>
      <c r="F658" s="431"/>
      <c r="G658" s="596"/>
      <c r="H658" s="488"/>
      <c r="J658" s="437"/>
    </row>
    <row r="659" spans="1:10" s="428" customFormat="1" ht="20.399999999999999" customHeight="1">
      <c r="A659" s="449"/>
      <c r="B659" s="431"/>
      <c r="C659" s="437"/>
      <c r="D659" s="430"/>
      <c r="F659" s="431"/>
      <c r="G659" s="596"/>
      <c r="H659" s="488"/>
      <c r="J659" s="437"/>
    </row>
    <row r="660" spans="1:10" s="428" customFormat="1" ht="20.399999999999999" customHeight="1">
      <c r="A660" s="449"/>
      <c r="B660" s="431"/>
      <c r="C660" s="437"/>
      <c r="D660" s="430"/>
      <c r="F660" s="431"/>
      <c r="G660" s="596"/>
      <c r="H660" s="488"/>
      <c r="J660" s="437"/>
    </row>
    <row r="661" spans="1:10" s="428" customFormat="1" ht="20.399999999999999" customHeight="1">
      <c r="A661" s="449"/>
      <c r="B661" s="431"/>
      <c r="C661" s="437"/>
      <c r="D661" s="430"/>
      <c r="F661" s="431"/>
      <c r="G661" s="596"/>
      <c r="H661" s="488"/>
      <c r="J661" s="437"/>
    </row>
    <row r="662" spans="1:10" s="428" customFormat="1" ht="20.399999999999999" customHeight="1">
      <c r="A662" s="449"/>
      <c r="B662" s="431"/>
      <c r="C662" s="437"/>
      <c r="D662" s="430"/>
      <c r="F662" s="431"/>
      <c r="G662" s="596"/>
      <c r="H662" s="488"/>
      <c r="J662" s="437"/>
    </row>
    <row r="663" spans="1:10" s="428" customFormat="1" ht="20.399999999999999" customHeight="1">
      <c r="A663" s="449"/>
      <c r="B663" s="431"/>
      <c r="C663" s="437"/>
      <c r="D663" s="430"/>
      <c r="F663" s="431"/>
      <c r="G663" s="596"/>
      <c r="H663" s="488"/>
      <c r="J663" s="437"/>
    </row>
    <row r="664" spans="1:10" s="428" customFormat="1" ht="20.399999999999999" customHeight="1">
      <c r="A664" s="449"/>
      <c r="B664" s="431"/>
      <c r="C664" s="437"/>
      <c r="D664" s="430"/>
      <c r="F664" s="431"/>
      <c r="G664" s="596"/>
      <c r="H664" s="488"/>
      <c r="J664" s="437"/>
    </row>
    <row r="665" spans="1:10" s="428" customFormat="1" ht="20.399999999999999" customHeight="1">
      <c r="A665" s="449"/>
      <c r="B665" s="431"/>
      <c r="C665" s="437"/>
      <c r="D665" s="430"/>
      <c r="F665" s="431"/>
      <c r="G665" s="596"/>
      <c r="H665" s="488"/>
      <c r="J665" s="437"/>
    </row>
    <row r="666" spans="1:10" s="428" customFormat="1" ht="20.399999999999999" customHeight="1">
      <c r="A666" s="449"/>
      <c r="B666" s="431"/>
      <c r="C666" s="437"/>
      <c r="D666" s="430"/>
      <c r="F666" s="431"/>
      <c r="G666" s="596"/>
      <c r="H666" s="488"/>
      <c r="J666" s="437"/>
    </row>
    <row r="667" spans="1:10" s="428" customFormat="1" ht="20.399999999999999" customHeight="1">
      <c r="A667" s="449"/>
      <c r="B667" s="431"/>
      <c r="C667" s="437"/>
      <c r="D667" s="430"/>
      <c r="F667" s="431"/>
      <c r="G667" s="596"/>
      <c r="H667" s="488"/>
      <c r="J667" s="437"/>
    </row>
    <row r="668" spans="1:10" s="428" customFormat="1" ht="20.399999999999999" customHeight="1">
      <c r="A668" s="449"/>
      <c r="B668" s="431"/>
      <c r="C668" s="437"/>
      <c r="D668" s="430"/>
      <c r="F668" s="431"/>
      <c r="G668" s="596"/>
      <c r="H668" s="488"/>
      <c r="J668" s="437"/>
    </row>
    <row r="669" spans="1:10" s="428" customFormat="1" ht="20.399999999999999" customHeight="1">
      <c r="A669" s="449"/>
      <c r="B669" s="431"/>
      <c r="C669" s="437"/>
      <c r="D669" s="430"/>
      <c r="F669" s="431"/>
      <c r="G669" s="596"/>
      <c r="H669" s="488"/>
      <c r="J669" s="437"/>
    </row>
    <row r="670" spans="1:10" s="428" customFormat="1" ht="20.399999999999999" customHeight="1">
      <c r="A670" s="449"/>
      <c r="B670" s="431"/>
      <c r="C670" s="437"/>
      <c r="D670" s="430"/>
      <c r="F670" s="431"/>
      <c r="G670" s="596"/>
      <c r="H670" s="488"/>
      <c r="J670" s="437"/>
    </row>
    <row r="671" spans="1:10" s="428" customFormat="1" ht="20.399999999999999" customHeight="1">
      <c r="A671" s="449"/>
      <c r="B671" s="431"/>
      <c r="C671" s="437"/>
      <c r="D671" s="430"/>
      <c r="F671" s="431"/>
      <c r="G671" s="596"/>
      <c r="H671" s="488"/>
      <c r="J671" s="437"/>
    </row>
    <row r="672" spans="1:10" s="428" customFormat="1" ht="20.399999999999999" customHeight="1">
      <c r="A672" s="449"/>
      <c r="B672" s="431"/>
      <c r="C672" s="437"/>
      <c r="D672" s="430"/>
      <c r="F672" s="431"/>
      <c r="G672" s="596"/>
      <c r="H672" s="488"/>
      <c r="J672" s="437"/>
    </row>
    <row r="673" spans="1:10" s="428" customFormat="1" ht="20.399999999999999" customHeight="1">
      <c r="A673" s="449"/>
      <c r="B673" s="431"/>
      <c r="C673" s="437"/>
      <c r="D673" s="430"/>
      <c r="F673" s="431"/>
      <c r="G673" s="596"/>
      <c r="H673" s="488"/>
      <c r="J673" s="437"/>
    </row>
    <row r="674" spans="1:10" s="428" customFormat="1" ht="20.399999999999999" customHeight="1">
      <c r="A674" s="449"/>
      <c r="B674" s="431"/>
      <c r="C674" s="437"/>
      <c r="D674" s="430"/>
      <c r="F674" s="431"/>
      <c r="G674" s="596"/>
      <c r="H674" s="488"/>
      <c r="J674" s="437"/>
    </row>
    <row r="675" spans="1:10" s="428" customFormat="1" ht="20.399999999999999" customHeight="1">
      <c r="A675" s="449"/>
      <c r="B675" s="431"/>
      <c r="C675" s="437"/>
      <c r="D675" s="430"/>
      <c r="F675" s="431"/>
      <c r="G675" s="596"/>
      <c r="H675" s="488"/>
      <c r="J675" s="437"/>
    </row>
    <row r="676" spans="1:10" s="428" customFormat="1" ht="20.399999999999999" customHeight="1">
      <c r="A676" s="449"/>
      <c r="B676" s="431"/>
      <c r="C676" s="437"/>
      <c r="D676" s="430"/>
      <c r="F676" s="431"/>
      <c r="G676" s="596"/>
      <c r="H676" s="488"/>
      <c r="J676" s="437"/>
    </row>
    <row r="677" spans="1:10" s="428" customFormat="1" ht="20.399999999999999" customHeight="1">
      <c r="A677" s="449"/>
      <c r="B677" s="431"/>
      <c r="C677" s="437"/>
      <c r="D677" s="430"/>
      <c r="F677" s="431"/>
      <c r="G677" s="596"/>
      <c r="H677" s="488"/>
      <c r="J677" s="437"/>
    </row>
    <row r="678" spans="1:10" s="428" customFormat="1" ht="20.399999999999999" customHeight="1">
      <c r="A678" s="449"/>
      <c r="B678" s="431"/>
      <c r="C678" s="437"/>
      <c r="D678" s="430"/>
      <c r="F678" s="431"/>
      <c r="G678" s="596"/>
      <c r="H678" s="488"/>
      <c r="J678" s="437"/>
    </row>
    <row r="679" spans="1:10" s="428" customFormat="1" ht="20.399999999999999" customHeight="1">
      <c r="A679" s="449"/>
      <c r="B679" s="431"/>
      <c r="C679" s="437"/>
      <c r="D679" s="430"/>
      <c r="F679" s="431"/>
      <c r="G679" s="596"/>
      <c r="H679" s="488"/>
      <c r="J679" s="437"/>
    </row>
    <row r="680" spans="1:10" s="428" customFormat="1" ht="20.399999999999999" customHeight="1">
      <c r="A680" s="449"/>
      <c r="B680" s="431"/>
      <c r="C680" s="437"/>
      <c r="D680" s="430"/>
      <c r="F680" s="431"/>
      <c r="G680" s="596"/>
      <c r="H680" s="488"/>
      <c r="J680" s="437"/>
    </row>
    <row r="681" spans="1:10" s="428" customFormat="1" ht="20.399999999999999" customHeight="1">
      <c r="A681" s="449"/>
      <c r="B681" s="431"/>
      <c r="C681" s="437"/>
      <c r="D681" s="430"/>
      <c r="F681" s="431"/>
      <c r="G681" s="596"/>
      <c r="H681" s="488"/>
      <c r="J681" s="437"/>
    </row>
    <row r="682" spans="1:10" s="428" customFormat="1" ht="20.399999999999999" customHeight="1">
      <c r="A682" s="449"/>
      <c r="B682" s="431"/>
      <c r="C682" s="437"/>
      <c r="D682" s="430"/>
      <c r="F682" s="431"/>
      <c r="G682" s="596"/>
      <c r="H682" s="488"/>
      <c r="J682" s="437"/>
    </row>
    <row r="683" spans="1:10" s="428" customFormat="1" ht="20.399999999999999" customHeight="1">
      <c r="A683" s="449"/>
      <c r="B683" s="431"/>
      <c r="C683" s="437"/>
      <c r="D683" s="430"/>
      <c r="F683" s="431"/>
      <c r="G683" s="596"/>
      <c r="H683" s="488"/>
      <c r="J683" s="437"/>
    </row>
    <row r="684" spans="1:10" s="428" customFormat="1" ht="20.399999999999999" customHeight="1">
      <c r="A684" s="449"/>
      <c r="B684" s="431"/>
      <c r="C684" s="437"/>
      <c r="D684" s="430"/>
      <c r="F684" s="431"/>
      <c r="G684" s="596"/>
      <c r="H684" s="488"/>
      <c r="J684" s="437"/>
    </row>
    <row r="685" spans="1:10" s="428" customFormat="1" ht="20.399999999999999" customHeight="1">
      <c r="A685" s="449"/>
      <c r="B685" s="431"/>
      <c r="C685" s="437"/>
      <c r="D685" s="430"/>
      <c r="F685" s="431"/>
      <c r="G685" s="596"/>
      <c r="H685" s="488"/>
      <c r="J685" s="437"/>
    </row>
    <row r="686" spans="1:10" s="428" customFormat="1" ht="20.399999999999999" customHeight="1">
      <c r="A686" s="449"/>
      <c r="B686" s="431"/>
      <c r="C686" s="437"/>
      <c r="D686" s="430"/>
      <c r="F686" s="431"/>
      <c r="G686" s="596"/>
      <c r="H686" s="488"/>
      <c r="J686" s="437"/>
    </row>
    <row r="687" spans="1:10" s="428" customFormat="1" ht="20.399999999999999" customHeight="1">
      <c r="A687" s="449"/>
      <c r="B687" s="431"/>
      <c r="C687" s="437"/>
      <c r="D687" s="430"/>
      <c r="F687" s="431"/>
      <c r="G687" s="596"/>
      <c r="H687" s="488"/>
      <c r="J687" s="437"/>
    </row>
    <row r="688" spans="1:10" s="428" customFormat="1" ht="20.399999999999999" customHeight="1">
      <c r="A688" s="449"/>
      <c r="B688" s="431"/>
      <c r="C688" s="437"/>
      <c r="D688" s="430"/>
      <c r="F688" s="431"/>
      <c r="G688" s="596"/>
      <c r="H688" s="488"/>
      <c r="J688" s="437"/>
    </row>
    <row r="689" spans="1:10" s="428" customFormat="1" ht="20.399999999999999" customHeight="1">
      <c r="A689" s="449"/>
      <c r="B689" s="431"/>
      <c r="C689" s="437"/>
      <c r="D689" s="430"/>
      <c r="F689" s="431"/>
      <c r="G689" s="596"/>
      <c r="H689" s="488"/>
      <c r="J689" s="437"/>
    </row>
    <row r="690" spans="1:10" s="428" customFormat="1" ht="20.399999999999999" customHeight="1">
      <c r="A690" s="449"/>
      <c r="B690" s="431"/>
      <c r="C690" s="437"/>
      <c r="D690" s="430"/>
      <c r="F690" s="431"/>
      <c r="G690" s="596"/>
      <c r="H690" s="488"/>
      <c r="J690" s="437"/>
    </row>
    <row r="691" spans="1:10" s="428" customFormat="1" ht="20.399999999999999" customHeight="1">
      <c r="A691" s="449"/>
      <c r="B691" s="431"/>
      <c r="C691" s="437"/>
      <c r="D691" s="430"/>
      <c r="F691" s="431"/>
      <c r="G691" s="596"/>
      <c r="H691" s="488"/>
      <c r="J691" s="437"/>
    </row>
    <row r="692" spans="1:10" s="428" customFormat="1" ht="20.399999999999999" customHeight="1">
      <c r="A692" s="449"/>
      <c r="B692" s="431"/>
      <c r="C692" s="437"/>
      <c r="D692" s="430"/>
      <c r="F692" s="431"/>
      <c r="G692" s="596"/>
      <c r="H692" s="488"/>
      <c r="J692" s="437"/>
    </row>
    <row r="693" spans="1:10" s="428" customFormat="1" ht="20.399999999999999" customHeight="1">
      <c r="A693" s="449"/>
      <c r="B693" s="431"/>
      <c r="C693" s="437"/>
      <c r="D693" s="430"/>
      <c r="F693" s="431"/>
      <c r="G693" s="596"/>
      <c r="H693" s="488"/>
      <c r="J693" s="437"/>
    </row>
    <row r="694" spans="1:10" s="428" customFormat="1" ht="20.399999999999999" customHeight="1">
      <c r="A694" s="449"/>
      <c r="B694" s="431"/>
      <c r="C694" s="437"/>
      <c r="D694" s="430"/>
      <c r="F694" s="431"/>
      <c r="G694" s="596"/>
      <c r="H694" s="488"/>
      <c r="J694" s="437"/>
    </row>
    <row r="695" spans="1:10" s="428" customFormat="1" ht="20.399999999999999" customHeight="1">
      <c r="A695" s="449"/>
      <c r="B695" s="431"/>
      <c r="C695" s="437"/>
      <c r="D695" s="430"/>
      <c r="F695" s="431"/>
      <c r="G695" s="596"/>
      <c r="H695" s="488"/>
      <c r="J695" s="437"/>
    </row>
    <row r="696" spans="1:10" s="428" customFormat="1" ht="20.399999999999999" customHeight="1">
      <c r="A696" s="449"/>
      <c r="B696" s="431"/>
      <c r="C696" s="437"/>
      <c r="D696" s="430"/>
      <c r="F696" s="431"/>
      <c r="G696" s="596"/>
      <c r="H696" s="488"/>
      <c r="J696" s="437"/>
    </row>
    <row r="697" spans="1:10" s="428" customFormat="1" ht="20.399999999999999" customHeight="1">
      <c r="A697" s="449"/>
      <c r="B697" s="431"/>
      <c r="C697" s="437"/>
      <c r="D697" s="430"/>
      <c r="F697" s="431"/>
      <c r="G697" s="596"/>
      <c r="H697" s="488"/>
      <c r="J697" s="437"/>
    </row>
    <row r="698" spans="1:10" s="428" customFormat="1" ht="20.399999999999999" customHeight="1">
      <c r="A698" s="449"/>
      <c r="B698" s="431"/>
      <c r="C698" s="437"/>
      <c r="D698" s="430"/>
      <c r="F698" s="431"/>
      <c r="G698" s="596"/>
      <c r="H698" s="488"/>
      <c r="J698" s="437"/>
    </row>
    <row r="699" spans="1:10" s="428" customFormat="1" ht="20.399999999999999" customHeight="1">
      <c r="A699" s="449"/>
      <c r="B699" s="431"/>
      <c r="C699" s="437"/>
      <c r="D699" s="430"/>
      <c r="F699" s="431"/>
      <c r="G699" s="596"/>
      <c r="H699" s="488"/>
      <c r="J699" s="437"/>
    </row>
    <row r="700" spans="1:10" s="428" customFormat="1" ht="20.399999999999999" customHeight="1">
      <c r="A700" s="449"/>
      <c r="B700" s="431"/>
      <c r="C700" s="437"/>
      <c r="D700" s="430"/>
      <c r="F700" s="431"/>
      <c r="G700" s="596"/>
      <c r="H700" s="488"/>
      <c r="J700" s="437"/>
    </row>
    <row r="701" spans="1:10" s="428" customFormat="1" ht="20.399999999999999" customHeight="1">
      <c r="A701" s="449"/>
      <c r="B701" s="431"/>
      <c r="C701" s="437"/>
      <c r="D701" s="430"/>
      <c r="F701" s="431"/>
      <c r="G701" s="596"/>
      <c r="H701" s="488"/>
      <c r="J701" s="437"/>
    </row>
    <row r="702" spans="1:10" s="428" customFormat="1" ht="20.399999999999999" customHeight="1">
      <c r="A702" s="449"/>
      <c r="B702" s="431"/>
      <c r="C702" s="437"/>
      <c r="D702" s="430"/>
      <c r="F702" s="431"/>
      <c r="G702" s="596"/>
      <c r="H702" s="488"/>
      <c r="J702" s="437"/>
    </row>
    <row r="703" spans="1:10" s="428" customFormat="1" ht="20.399999999999999" customHeight="1">
      <c r="A703" s="449"/>
      <c r="B703" s="431"/>
      <c r="C703" s="437"/>
      <c r="D703" s="430"/>
      <c r="F703" s="431"/>
      <c r="G703" s="596"/>
      <c r="H703" s="488"/>
      <c r="J703" s="437"/>
    </row>
    <row r="704" spans="1:10" s="428" customFormat="1" ht="20.399999999999999" customHeight="1">
      <c r="A704" s="449"/>
      <c r="B704" s="431"/>
      <c r="C704" s="437"/>
      <c r="D704" s="430"/>
      <c r="F704" s="431"/>
      <c r="G704" s="596"/>
      <c r="H704" s="488"/>
      <c r="J704" s="437"/>
    </row>
    <row r="705" spans="1:10" s="428" customFormat="1" ht="20.399999999999999" customHeight="1">
      <c r="A705" s="449"/>
      <c r="B705" s="431"/>
      <c r="C705" s="437"/>
      <c r="D705" s="430"/>
      <c r="F705" s="431"/>
      <c r="G705" s="596"/>
      <c r="H705" s="488"/>
      <c r="J705" s="437"/>
    </row>
    <row r="706" spans="1:10" s="428" customFormat="1" ht="20.399999999999999" customHeight="1">
      <c r="A706" s="449"/>
      <c r="B706" s="431"/>
      <c r="C706" s="437"/>
      <c r="D706" s="430"/>
      <c r="F706" s="431"/>
      <c r="G706" s="596"/>
      <c r="H706" s="488"/>
      <c r="J706" s="437"/>
    </row>
    <row r="707" spans="1:10" s="428" customFormat="1" ht="20.399999999999999" customHeight="1">
      <c r="A707" s="449"/>
      <c r="B707" s="431"/>
      <c r="C707" s="437"/>
      <c r="D707" s="430"/>
      <c r="F707" s="431"/>
      <c r="G707" s="596"/>
      <c r="H707" s="488"/>
      <c r="J707" s="437"/>
    </row>
    <row r="708" spans="1:10" s="428" customFormat="1" ht="20.399999999999999" customHeight="1">
      <c r="A708" s="449"/>
      <c r="B708" s="431"/>
      <c r="C708" s="437"/>
      <c r="D708" s="430"/>
      <c r="F708" s="431"/>
      <c r="G708" s="596"/>
      <c r="H708" s="488"/>
      <c r="J708" s="437"/>
    </row>
    <row r="709" spans="1:10" s="428" customFormat="1" ht="20.399999999999999" customHeight="1">
      <c r="A709" s="449"/>
      <c r="B709" s="431"/>
      <c r="C709" s="437"/>
      <c r="D709" s="430"/>
      <c r="F709" s="431"/>
      <c r="G709" s="596"/>
      <c r="H709" s="488"/>
      <c r="J709" s="437"/>
    </row>
    <row r="710" spans="1:10" s="428" customFormat="1" ht="20.399999999999999" customHeight="1">
      <c r="A710" s="449"/>
      <c r="B710" s="431"/>
      <c r="C710" s="437"/>
      <c r="D710" s="430"/>
      <c r="F710" s="431"/>
      <c r="G710" s="596"/>
      <c r="H710" s="488"/>
      <c r="J710" s="437"/>
    </row>
    <row r="711" spans="1:10" s="428" customFormat="1" ht="20.399999999999999" customHeight="1">
      <c r="A711" s="449"/>
      <c r="B711" s="431"/>
      <c r="C711" s="437"/>
      <c r="D711" s="430"/>
      <c r="F711" s="431"/>
      <c r="G711" s="596"/>
      <c r="H711" s="488"/>
      <c r="J711" s="437"/>
    </row>
    <row r="712" spans="1:10" s="428" customFormat="1" ht="20.399999999999999" customHeight="1">
      <c r="A712" s="449"/>
      <c r="B712" s="431"/>
      <c r="C712" s="437"/>
      <c r="D712" s="430"/>
      <c r="F712" s="431"/>
      <c r="G712" s="596"/>
      <c r="H712" s="488"/>
      <c r="J712" s="437"/>
    </row>
    <row r="713" spans="1:10" s="428" customFormat="1" ht="20.399999999999999" customHeight="1">
      <c r="A713" s="449"/>
      <c r="B713" s="431"/>
      <c r="C713" s="437"/>
      <c r="D713" s="430"/>
      <c r="F713" s="431"/>
      <c r="G713" s="596"/>
      <c r="H713" s="488"/>
      <c r="J713" s="437"/>
    </row>
    <row r="714" spans="1:10" s="428" customFormat="1" ht="20.399999999999999" customHeight="1">
      <c r="A714" s="449"/>
      <c r="B714" s="431"/>
      <c r="C714" s="437"/>
      <c r="D714" s="430"/>
      <c r="F714" s="431"/>
      <c r="G714" s="596"/>
      <c r="H714" s="488"/>
      <c r="J714" s="437"/>
    </row>
    <row r="715" spans="1:10" s="428" customFormat="1" ht="20.399999999999999" customHeight="1">
      <c r="A715" s="449"/>
      <c r="B715" s="431"/>
      <c r="C715" s="437"/>
      <c r="D715" s="430"/>
      <c r="F715" s="431"/>
      <c r="G715" s="596"/>
      <c r="H715" s="488"/>
      <c r="J715" s="437"/>
    </row>
    <row r="716" spans="1:10" s="428" customFormat="1" ht="20.399999999999999" customHeight="1">
      <c r="A716" s="449"/>
      <c r="B716" s="431"/>
      <c r="C716" s="437"/>
      <c r="D716" s="430"/>
      <c r="F716" s="431"/>
      <c r="G716" s="596"/>
      <c r="H716" s="488"/>
      <c r="J716" s="437"/>
    </row>
    <row r="717" spans="1:10" s="428" customFormat="1" ht="20.399999999999999" customHeight="1">
      <c r="A717" s="449"/>
      <c r="B717" s="431"/>
      <c r="C717" s="437"/>
      <c r="D717" s="430"/>
      <c r="F717" s="431"/>
      <c r="G717" s="596"/>
      <c r="H717" s="488"/>
      <c r="J717" s="437"/>
    </row>
    <row r="718" spans="1:10" s="428" customFormat="1" ht="20.399999999999999" customHeight="1">
      <c r="A718" s="449"/>
      <c r="B718" s="431"/>
      <c r="C718" s="437"/>
      <c r="D718" s="430"/>
      <c r="F718" s="431"/>
      <c r="G718" s="596"/>
      <c r="H718" s="488"/>
      <c r="J718" s="437"/>
    </row>
    <row r="719" spans="1:10" s="428" customFormat="1" ht="20.399999999999999" customHeight="1">
      <c r="A719" s="449"/>
      <c r="B719" s="431"/>
      <c r="C719" s="437"/>
      <c r="D719" s="430"/>
      <c r="F719" s="431"/>
      <c r="G719" s="596"/>
      <c r="H719" s="488"/>
      <c r="J719" s="437"/>
    </row>
    <row r="720" spans="1:10" s="428" customFormat="1" ht="20.399999999999999" customHeight="1">
      <c r="A720" s="449"/>
      <c r="B720" s="431"/>
      <c r="C720" s="437"/>
      <c r="D720" s="430"/>
      <c r="F720" s="431"/>
      <c r="G720" s="596"/>
      <c r="H720" s="488"/>
      <c r="J720" s="437"/>
    </row>
    <row r="721" spans="1:10" s="428" customFormat="1" ht="20.399999999999999" customHeight="1">
      <c r="A721" s="449"/>
      <c r="B721" s="431"/>
      <c r="C721" s="437"/>
      <c r="D721" s="430"/>
      <c r="F721" s="431"/>
      <c r="G721" s="596"/>
      <c r="H721" s="488"/>
      <c r="J721" s="437"/>
    </row>
    <row r="722" spans="1:10" s="428" customFormat="1" ht="20.399999999999999" customHeight="1">
      <c r="A722" s="449"/>
      <c r="B722" s="431"/>
      <c r="C722" s="437"/>
      <c r="D722" s="430"/>
      <c r="F722" s="431"/>
      <c r="G722" s="596"/>
      <c r="H722" s="488"/>
      <c r="J722" s="437"/>
    </row>
    <row r="723" spans="1:10" s="428" customFormat="1" ht="20.399999999999999" customHeight="1">
      <c r="A723" s="449"/>
      <c r="B723" s="431"/>
      <c r="C723" s="437"/>
      <c r="D723" s="430"/>
      <c r="F723" s="431"/>
      <c r="G723" s="596"/>
      <c r="H723" s="488"/>
      <c r="J723" s="437"/>
    </row>
    <row r="724" spans="1:10" s="428" customFormat="1" ht="20.399999999999999" customHeight="1">
      <c r="A724" s="449"/>
      <c r="B724" s="431"/>
      <c r="C724" s="437"/>
      <c r="D724" s="430"/>
      <c r="F724" s="431"/>
      <c r="G724" s="596"/>
      <c r="H724" s="488"/>
      <c r="J724" s="437"/>
    </row>
    <row r="725" spans="1:10" s="428" customFormat="1" ht="20.399999999999999" customHeight="1">
      <c r="A725" s="449"/>
      <c r="B725" s="431"/>
      <c r="C725" s="437"/>
      <c r="D725" s="430"/>
      <c r="F725" s="431"/>
      <c r="G725" s="596"/>
      <c r="H725" s="488"/>
      <c r="J725" s="437"/>
    </row>
    <row r="726" spans="1:10" s="428" customFormat="1" ht="20.399999999999999" customHeight="1">
      <c r="A726" s="449"/>
      <c r="B726" s="431"/>
      <c r="C726" s="437"/>
      <c r="D726" s="430"/>
      <c r="F726" s="431"/>
      <c r="G726" s="596"/>
      <c r="H726" s="488"/>
      <c r="J726" s="437"/>
    </row>
    <row r="727" spans="1:10" s="428" customFormat="1" ht="20.399999999999999" customHeight="1">
      <c r="A727" s="449"/>
      <c r="B727" s="431"/>
      <c r="C727" s="437"/>
      <c r="D727" s="430"/>
      <c r="F727" s="431"/>
      <c r="G727" s="596"/>
      <c r="H727" s="488"/>
      <c r="J727" s="437"/>
    </row>
    <row r="728" spans="1:10" s="428" customFormat="1" ht="20.399999999999999" customHeight="1">
      <c r="A728" s="449"/>
      <c r="B728" s="431"/>
      <c r="C728" s="437"/>
      <c r="D728" s="430"/>
      <c r="F728" s="431"/>
      <c r="G728" s="596"/>
      <c r="H728" s="488"/>
      <c r="J728" s="437"/>
    </row>
    <row r="729" spans="1:10" s="428" customFormat="1" ht="20.399999999999999" customHeight="1">
      <c r="A729" s="449"/>
      <c r="B729" s="431"/>
      <c r="C729" s="437"/>
      <c r="D729" s="430"/>
      <c r="F729" s="431"/>
      <c r="G729" s="596"/>
      <c r="H729" s="488"/>
      <c r="J729" s="437"/>
    </row>
    <row r="730" spans="1:10" s="428" customFormat="1" ht="20.399999999999999" customHeight="1">
      <c r="A730" s="449"/>
      <c r="B730" s="431"/>
      <c r="C730" s="437"/>
      <c r="D730" s="430"/>
      <c r="F730" s="431"/>
      <c r="G730" s="596"/>
      <c r="H730" s="488"/>
      <c r="J730" s="437"/>
    </row>
    <row r="731" spans="1:10" s="428" customFormat="1" ht="20.399999999999999" customHeight="1">
      <c r="A731" s="449"/>
      <c r="B731" s="431"/>
      <c r="C731" s="437"/>
      <c r="D731" s="430"/>
      <c r="F731" s="431"/>
      <c r="G731" s="596"/>
      <c r="H731" s="488"/>
      <c r="J731" s="437"/>
    </row>
    <row r="732" spans="1:10" s="428" customFormat="1" ht="20.399999999999999" customHeight="1">
      <c r="A732" s="449"/>
      <c r="B732" s="431"/>
      <c r="C732" s="437"/>
      <c r="D732" s="430"/>
      <c r="F732" s="431"/>
      <c r="G732" s="596"/>
      <c r="H732" s="488"/>
      <c r="J732" s="437"/>
    </row>
    <row r="733" spans="1:10" s="428" customFormat="1" ht="20.399999999999999" customHeight="1">
      <c r="A733" s="449"/>
      <c r="B733" s="431"/>
      <c r="C733" s="437"/>
      <c r="D733" s="430"/>
      <c r="F733" s="431"/>
      <c r="G733" s="596"/>
      <c r="H733" s="488"/>
      <c r="J733" s="437"/>
    </row>
    <row r="734" spans="1:10" s="428" customFormat="1" ht="20.399999999999999" customHeight="1">
      <c r="A734" s="449"/>
      <c r="B734" s="431"/>
      <c r="C734" s="437"/>
      <c r="D734" s="430"/>
      <c r="F734" s="431"/>
      <c r="G734" s="596"/>
      <c r="H734" s="488"/>
      <c r="J734" s="437"/>
    </row>
    <row r="735" spans="1:10" s="428" customFormat="1" ht="20.399999999999999" customHeight="1">
      <c r="A735" s="449"/>
      <c r="B735" s="431"/>
      <c r="C735" s="437"/>
      <c r="D735" s="430"/>
      <c r="F735" s="431"/>
      <c r="G735" s="596"/>
      <c r="H735" s="488"/>
      <c r="J735" s="437"/>
    </row>
    <row r="736" spans="1:10" s="428" customFormat="1" ht="20.399999999999999" customHeight="1">
      <c r="A736" s="449"/>
      <c r="B736" s="431"/>
      <c r="C736" s="437"/>
      <c r="D736" s="430"/>
      <c r="F736" s="431"/>
      <c r="G736" s="596"/>
      <c r="H736" s="488"/>
      <c r="J736" s="437"/>
    </row>
    <row r="737" spans="1:10" s="428" customFormat="1" ht="20.399999999999999" customHeight="1">
      <c r="A737" s="449"/>
      <c r="B737" s="431"/>
      <c r="C737" s="437"/>
      <c r="D737" s="430"/>
      <c r="F737" s="431"/>
      <c r="G737" s="596"/>
      <c r="H737" s="488"/>
      <c r="J737" s="437"/>
    </row>
    <row r="738" spans="1:10" s="428" customFormat="1" ht="20.399999999999999" customHeight="1">
      <c r="A738" s="449"/>
      <c r="B738" s="431"/>
      <c r="C738" s="437"/>
      <c r="D738" s="430"/>
      <c r="F738" s="431"/>
      <c r="G738" s="596"/>
      <c r="H738" s="488"/>
      <c r="J738" s="437"/>
    </row>
    <row r="739" spans="1:10" s="428" customFormat="1" ht="20.399999999999999" customHeight="1">
      <c r="A739" s="449"/>
      <c r="B739" s="431"/>
      <c r="C739" s="437"/>
      <c r="D739" s="430"/>
      <c r="F739" s="431"/>
      <c r="G739" s="596"/>
      <c r="H739" s="488"/>
      <c r="J739" s="437"/>
    </row>
    <row r="740" spans="1:10" s="428" customFormat="1" ht="20.399999999999999" customHeight="1">
      <c r="A740" s="449"/>
      <c r="B740" s="431"/>
      <c r="C740" s="437"/>
      <c r="D740" s="430"/>
      <c r="F740" s="431"/>
      <c r="G740" s="596"/>
      <c r="H740" s="488"/>
      <c r="J740" s="437"/>
    </row>
    <row r="741" spans="1:10" s="428" customFormat="1" ht="20.399999999999999" customHeight="1">
      <c r="A741" s="449"/>
      <c r="B741" s="431"/>
      <c r="C741" s="437"/>
      <c r="D741" s="430"/>
      <c r="F741" s="431"/>
      <c r="G741" s="596"/>
      <c r="H741" s="488"/>
      <c r="J741" s="437"/>
    </row>
    <row r="742" spans="1:10" s="428" customFormat="1" ht="20.399999999999999" customHeight="1">
      <c r="A742" s="449"/>
      <c r="B742" s="431"/>
      <c r="C742" s="437"/>
      <c r="D742" s="430"/>
      <c r="F742" s="431"/>
      <c r="G742" s="596"/>
      <c r="H742" s="488"/>
      <c r="J742" s="437"/>
    </row>
    <row r="743" spans="1:10" s="428" customFormat="1" ht="20.399999999999999" customHeight="1">
      <c r="A743" s="449"/>
      <c r="B743" s="431"/>
      <c r="C743" s="437"/>
      <c r="D743" s="430"/>
      <c r="F743" s="431"/>
      <c r="G743" s="596"/>
      <c r="H743" s="488"/>
      <c r="J743" s="437"/>
    </row>
    <row r="744" spans="1:10" s="428" customFormat="1" ht="20.399999999999999" customHeight="1">
      <c r="A744" s="449"/>
      <c r="B744" s="431"/>
      <c r="C744" s="437"/>
      <c r="D744" s="430"/>
      <c r="F744" s="431"/>
      <c r="G744" s="596"/>
      <c r="H744" s="488"/>
      <c r="J744" s="437"/>
    </row>
    <row r="745" spans="1:10" s="428" customFormat="1" ht="20.399999999999999" customHeight="1">
      <c r="A745" s="449"/>
      <c r="B745" s="431"/>
      <c r="C745" s="437"/>
      <c r="D745" s="430"/>
      <c r="F745" s="431"/>
      <c r="G745" s="596"/>
      <c r="H745" s="488"/>
      <c r="J745" s="437"/>
    </row>
    <row r="746" spans="1:10" s="428" customFormat="1" ht="20.399999999999999" customHeight="1">
      <c r="A746" s="449"/>
      <c r="B746" s="431"/>
      <c r="C746" s="437"/>
      <c r="D746" s="430"/>
      <c r="F746" s="431"/>
      <c r="G746" s="596"/>
      <c r="H746" s="488"/>
      <c r="J746" s="437"/>
    </row>
    <row r="747" spans="1:10" s="428" customFormat="1" ht="20.399999999999999" customHeight="1">
      <c r="A747" s="449"/>
      <c r="B747" s="431"/>
      <c r="C747" s="437"/>
      <c r="D747" s="430"/>
      <c r="F747" s="431"/>
      <c r="G747" s="596"/>
      <c r="H747" s="488"/>
      <c r="J747" s="437"/>
    </row>
    <row r="748" spans="1:10" s="428" customFormat="1" ht="20.399999999999999" customHeight="1">
      <c r="A748" s="449"/>
      <c r="B748" s="431"/>
      <c r="C748" s="437"/>
      <c r="D748" s="430"/>
      <c r="F748" s="431"/>
      <c r="G748" s="596"/>
      <c r="H748" s="488"/>
      <c r="J748" s="437"/>
    </row>
    <row r="749" spans="1:10" s="428" customFormat="1" ht="20.399999999999999" customHeight="1">
      <c r="A749" s="449"/>
      <c r="B749" s="431"/>
      <c r="C749" s="437"/>
      <c r="D749" s="430"/>
      <c r="F749" s="431"/>
      <c r="G749" s="596"/>
      <c r="H749" s="488"/>
      <c r="J749" s="437"/>
    </row>
    <row r="750" spans="1:10" s="428" customFormat="1" ht="20.399999999999999" customHeight="1">
      <c r="A750" s="449"/>
      <c r="B750" s="431"/>
      <c r="C750" s="437"/>
      <c r="D750" s="430"/>
      <c r="F750" s="431"/>
      <c r="G750" s="596"/>
      <c r="H750" s="488"/>
      <c r="J750" s="437"/>
    </row>
    <row r="751" spans="1:10" s="428" customFormat="1" ht="20.399999999999999" customHeight="1">
      <c r="A751" s="449"/>
      <c r="B751" s="431"/>
      <c r="C751" s="437"/>
      <c r="D751" s="430"/>
      <c r="F751" s="431"/>
      <c r="G751" s="596"/>
      <c r="H751" s="488"/>
      <c r="J751" s="437"/>
    </row>
    <row r="752" spans="1:10" s="428" customFormat="1" ht="20.399999999999999" customHeight="1">
      <c r="A752" s="449"/>
      <c r="B752" s="431"/>
      <c r="C752" s="437"/>
      <c r="D752" s="430"/>
      <c r="F752" s="431"/>
      <c r="G752" s="596"/>
      <c r="H752" s="488"/>
      <c r="J752" s="437"/>
    </row>
    <row r="753" spans="1:10" s="428" customFormat="1" ht="20.399999999999999" customHeight="1">
      <c r="A753" s="449"/>
      <c r="B753" s="431"/>
      <c r="C753" s="437"/>
      <c r="D753" s="430"/>
      <c r="F753" s="431"/>
      <c r="G753" s="596"/>
      <c r="H753" s="488"/>
      <c r="J753" s="437"/>
    </row>
    <row r="754" spans="1:10" s="428" customFormat="1" ht="20.399999999999999" customHeight="1">
      <c r="A754" s="449"/>
      <c r="B754" s="431"/>
      <c r="C754" s="437"/>
      <c r="D754" s="430"/>
      <c r="F754" s="431"/>
      <c r="G754" s="596"/>
      <c r="H754" s="488"/>
      <c r="J754" s="437"/>
    </row>
    <row r="755" spans="1:10" s="428" customFormat="1" ht="20.399999999999999" customHeight="1">
      <c r="A755" s="449"/>
      <c r="B755" s="431"/>
      <c r="C755" s="437"/>
      <c r="D755" s="430"/>
      <c r="F755" s="431"/>
      <c r="G755" s="596"/>
      <c r="H755" s="488"/>
      <c r="J755" s="437"/>
    </row>
    <row r="756" spans="1:10" s="428" customFormat="1" ht="20.399999999999999" customHeight="1">
      <c r="A756" s="449"/>
      <c r="B756" s="431"/>
      <c r="C756" s="437"/>
      <c r="D756" s="430"/>
      <c r="F756" s="431"/>
      <c r="G756" s="596"/>
      <c r="H756" s="488"/>
      <c r="J756" s="437"/>
    </row>
    <row r="757" spans="1:10" s="428" customFormat="1" ht="20.399999999999999" customHeight="1">
      <c r="A757" s="449"/>
      <c r="B757" s="431"/>
      <c r="C757" s="437"/>
      <c r="D757" s="430"/>
      <c r="F757" s="431"/>
      <c r="G757" s="596"/>
      <c r="H757" s="488"/>
      <c r="J757" s="437"/>
    </row>
    <row r="758" spans="1:10" s="428" customFormat="1" ht="20.399999999999999" customHeight="1">
      <c r="A758" s="449"/>
      <c r="B758" s="431"/>
      <c r="C758" s="437"/>
      <c r="D758" s="430"/>
      <c r="F758" s="431"/>
      <c r="G758" s="596"/>
      <c r="H758" s="488"/>
      <c r="J758" s="437"/>
    </row>
    <row r="759" spans="1:10" s="428" customFormat="1" ht="20.399999999999999" customHeight="1">
      <c r="A759" s="449"/>
      <c r="B759" s="431"/>
      <c r="C759" s="437"/>
      <c r="D759" s="430"/>
      <c r="F759" s="431"/>
      <c r="G759" s="596"/>
      <c r="H759" s="488"/>
      <c r="J759" s="437"/>
    </row>
    <row r="760" spans="1:10" s="428" customFormat="1" ht="20.399999999999999" customHeight="1">
      <c r="A760" s="449"/>
      <c r="B760" s="431"/>
      <c r="C760" s="437"/>
      <c r="D760" s="430"/>
      <c r="F760" s="431"/>
      <c r="G760" s="596"/>
      <c r="H760" s="488"/>
      <c r="J760" s="437"/>
    </row>
    <row r="761" spans="1:10" s="428" customFormat="1" ht="20.399999999999999" customHeight="1">
      <c r="A761" s="449"/>
      <c r="B761" s="431"/>
      <c r="C761" s="437"/>
      <c r="D761" s="430"/>
      <c r="F761" s="431"/>
      <c r="G761" s="596"/>
      <c r="H761" s="488"/>
      <c r="J761" s="437"/>
    </row>
    <row r="762" spans="1:10" s="428" customFormat="1" ht="20.399999999999999" customHeight="1">
      <c r="A762" s="449"/>
      <c r="B762" s="431"/>
      <c r="C762" s="437"/>
      <c r="D762" s="430"/>
      <c r="F762" s="431"/>
      <c r="G762" s="596"/>
      <c r="H762" s="488"/>
      <c r="J762" s="437"/>
    </row>
    <row r="763" spans="1:10" s="428" customFormat="1" ht="20.399999999999999" customHeight="1">
      <c r="A763" s="449"/>
      <c r="B763" s="431"/>
      <c r="C763" s="437"/>
      <c r="D763" s="430"/>
      <c r="F763" s="431"/>
      <c r="G763" s="596"/>
      <c r="H763" s="488"/>
      <c r="J763" s="437"/>
    </row>
    <row r="764" spans="1:10" s="428" customFormat="1" ht="20.399999999999999" customHeight="1">
      <c r="A764" s="449"/>
      <c r="B764" s="431"/>
      <c r="C764" s="437"/>
      <c r="D764" s="430"/>
      <c r="F764" s="431"/>
      <c r="G764" s="596"/>
      <c r="H764" s="488"/>
      <c r="J764" s="437"/>
    </row>
    <row r="765" spans="1:10" s="428" customFormat="1" ht="20.399999999999999" customHeight="1">
      <c r="A765" s="449"/>
      <c r="B765" s="431"/>
      <c r="C765" s="437"/>
      <c r="D765" s="430"/>
      <c r="F765" s="431"/>
      <c r="G765" s="596"/>
      <c r="H765" s="488"/>
      <c r="J765" s="437"/>
    </row>
    <row r="766" spans="1:10" s="428" customFormat="1" ht="20.399999999999999" customHeight="1">
      <c r="A766" s="449"/>
      <c r="B766" s="431"/>
      <c r="C766" s="437"/>
      <c r="D766" s="430"/>
      <c r="F766" s="431"/>
      <c r="G766" s="596"/>
      <c r="H766" s="488"/>
      <c r="J766" s="437"/>
    </row>
    <row r="767" spans="1:10" s="428" customFormat="1" ht="20.399999999999999" customHeight="1">
      <c r="A767" s="449"/>
      <c r="B767" s="431"/>
      <c r="C767" s="437"/>
      <c r="D767" s="430"/>
      <c r="F767" s="431"/>
      <c r="G767" s="596"/>
      <c r="H767" s="488"/>
      <c r="J767" s="437"/>
    </row>
    <row r="768" spans="1:10" s="428" customFormat="1" ht="20.399999999999999" customHeight="1">
      <c r="A768" s="449"/>
      <c r="B768" s="431"/>
      <c r="C768" s="437"/>
      <c r="D768" s="430"/>
      <c r="F768" s="431"/>
      <c r="G768" s="596"/>
      <c r="H768" s="488"/>
      <c r="J768" s="437"/>
    </row>
    <row r="769" spans="1:10" s="428" customFormat="1" ht="20.399999999999999" customHeight="1">
      <c r="A769" s="449"/>
      <c r="B769" s="431"/>
      <c r="C769" s="437"/>
      <c r="D769" s="430"/>
      <c r="F769" s="431"/>
      <c r="G769" s="596"/>
      <c r="H769" s="488"/>
      <c r="J769" s="437"/>
    </row>
    <row r="770" spans="1:10" s="428" customFormat="1" ht="20.399999999999999" customHeight="1">
      <c r="A770" s="449"/>
      <c r="B770" s="431"/>
      <c r="C770" s="437"/>
      <c r="D770" s="430"/>
      <c r="F770" s="431"/>
      <c r="G770" s="596"/>
      <c r="H770" s="488"/>
      <c r="J770" s="437"/>
    </row>
    <row r="771" spans="1:10" s="428" customFormat="1" ht="20.399999999999999" customHeight="1">
      <c r="A771" s="449"/>
      <c r="B771" s="431"/>
      <c r="C771" s="437"/>
      <c r="D771" s="430"/>
      <c r="F771" s="431"/>
      <c r="G771" s="596"/>
      <c r="H771" s="488"/>
      <c r="J771" s="437"/>
    </row>
    <row r="772" spans="1:10" s="428" customFormat="1" ht="20.399999999999999" customHeight="1">
      <c r="A772" s="449"/>
      <c r="B772" s="431"/>
      <c r="C772" s="437"/>
      <c r="D772" s="430"/>
      <c r="F772" s="431"/>
      <c r="G772" s="596"/>
      <c r="H772" s="488"/>
      <c r="J772" s="437"/>
    </row>
    <row r="773" spans="1:10" s="428" customFormat="1" ht="20.399999999999999" customHeight="1">
      <c r="A773" s="449"/>
      <c r="B773" s="431"/>
      <c r="C773" s="437"/>
      <c r="D773" s="430"/>
      <c r="F773" s="431"/>
      <c r="G773" s="596"/>
      <c r="H773" s="488"/>
      <c r="J773" s="437"/>
    </row>
    <row r="774" spans="1:10" s="428" customFormat="1" ht="20.399999999999999" customHeight="1">
      <c r="A774" s="449"/>
      <c r="B774" s="431"/>
      <c r="C774" s="437"/>
      <c r="D774" s="430"/>
      <c r="F774" s="431"/>
      <c r="G774" s="596"/>
      <c r="H774" s="488"/>
      <c r="J774" s="437"/>
    </row>
    <row r="775" spans="1:10" s="428" customFormat="1" ht="20.399999999999999" customHeight="1">
      <c r="A775" s="449"/>
      <c r="B775" s="431"/>
      <c r="C775" s="437"/>
      <c r="D775" s="430"/>
      <c r="F775" s="431"/>
      <c r="G775" s="596"/>
      <c r="H775" s="488"/>
      <c r="J775" s="437"/>
    </row>
    <row r="776" spans="1:10" s="428" customFormat="1" ht="20.399999999999999" customHeight="1">
      <c r="A776" s="449"/>
      <c r="B776" s="431"/>
      <c r="C776" s="437"/>
      <c r="D776" s="430"/>
      <c r="F776" s="431"/>
      <c r="G776" s="596"/>
      <c r="H776" s="488"/>
      <c r="J776" s="437"/>
    </row>
    <row r="777" spans="1:10" s="428" customFormat="1" ht="20.399999999999999" customHeight="1">
      <c r="A777" s="449"/>
      <c r="B777" s="431"/>
      <c r="C777" s="437"/>
      <c r="D777" s="430"/>
      <c r="F777" s="431"/>
      <c r="G777" s="596"/>
      <c r="H777" s="488"/>
      <c r="J777" s="437"/>
    </row>
    <row r="778" spans="1:10" s="428" customFormat="1" ht="20.399999999999999" customHeight="1">
      <c r="A778" s="449"/>
      <c r="B778" s="431"/>
      <c r="C778" s="437"/>
      <c r="D778" s="430"/>
      <c r="F778" s="431"/>
      <c r="G778" s="596"/>
      <c r="H778" s="488"/>
      <c r="J778" s="437"/>
    </row>
    <row r="779" spans="1:10" s="428" customFormat="1" ht="20.399999999999999" customHeight="1">
      <c r="A779" s="449"/>
      <c r="B779" s="431"/>
      <c r="C779" s="437"/>
      <c r="D779" s="430"/>
      <c r="F779" s="431"/>
      <c r="G779" s="596"/>
      <c r="H779" s="488"/>
      <c r="J779" s="437"/>
    </row>
    <row r="780" spans="1:10" s="428" customFormat="1" ht="20.399999999999999" customHeight="1">
      <c r="A780" s="449"/>
      <c r="B780" s="431"/>
      <c r="C780" s="437"/>
      <c r="D780" s="430"/>
      <c r="F780" s="431"/>
      <c r="G780" s="596"/>
      <c r="H780" s="488"/>
      <c r="J780" s="437"/>
    </row>
    <row r="781" spans="1:10" s="428" customFormat="1" ht="20.399999999999999" customHeight="1">
      <c r="A781" s="449"/>
      <c r="B781" s="431"/>
      <c r="C781" s="437"/>
      <c r="D781" s="430"/>
      <c r="F781" s="431"/>
      <c r="G781" s="596"/>
      <c r="H781" s="488"/>
      <c r="J781" s="437"/>
    </row>
    <row r="782" spans="1:10" s="428" customFormat="1" ht="20.399999999999999" customHeight="1">
      <c r="A782" s="449"/>
      <c r="B782" s="431"/>
      <c r="C782" s="437"/>
      <c r="D782" s="430"/>
      <c r="F782" s="431"/>
      <c r="G782" s="596"/>
      <c r="H782" s="488"/>
      <c r="J782" s="437"/>
    </row>
    <row r="783" spans="1:10" s="428" customFormat="1" ht="20.399999999999999" customHeight="1">
      <c r="A783" s="449"/>
      <c r="B783" s="431"/>
      <c r="C783" s="437"/>
      <c r="D783" s="430"/>
      <c r="F783" s="431"/>
      <c r="G783" s="596"/>
      <c r="H783" s="488"/>
      <c r="J783" s="437"/>
    </row>
    <row r="784" spans="1:10" s="428" customFormat="1" ht="20.399999999999999" customHeight="1">
      <c r="A784" s="449"/>
      <c r="B784" s="431"/>
      <c r="C784" s="437"/>
      <c r="D784" s="430"/>
      <c r="F784" s="431"/>
      <c r="G784" s="596"/>
      <c r="H784" s="488"/>
      <c r="J784" s="437"/>
    </row>
    <row r="785" spans="1:10" s="428" customFormat="1" ht="20.399999999999999" customHeight="1">
      <c r="A785" s="449"/>
      <c r="B785" s="431"/>
      <c r="C785" s="437"/>
      <c r="D785" s="430"/>
      <c r="F785" s="431"/>
      <c r="G785" s="596"/>
      <c r="H785" s="488"/>
      <c r="J785" s="437"/>
    </row>
    <row r="786" spans="1:10" s="428" customFormat="1" ht="20.399999999999999" customHeight="1">
      <c r="A786" s="449"/>
      <c r="B786" s="431"/>
      <c r="C786" s="437"/>
      <c r="D786" s="430"/>
      <c r="F786" s="431"/>
      <c r="G786" s="596"/>
      <c r="H786" s="488"/>
      <c r="J786" s="437"/>
    </row>
    <row r="787" spans="1:10" s="428" customFormat="1" ht="20.399999999999999" customHeight="1">
      <c r="A787" s="449"/>
      <c r="B787" s="431"/>
      <c r="C787" s="437"/>
      <c r="D787" s="430"/>
      <c r="F787" s="431"/>
      <c r="G787" s="596"/>
      <c r="H787" s="488"/>
      <c r="J787" s="437"/>
    </row>
    <row r="788" spans="1:10" s="428" customFormat="1" ht="20.399999999999999" customHeight="1">
      <c r="A788" s="449"/>
      <c r="B788" s="431"/>
      <c r="C788" s="437"/>
      <c r="D788" s="430"/>
      <c r="F788" s="431"/>
      <c r="G788" s="596"/>
      <c r="H788" s="488"/>
      <c r="J788" s="437"/>
    </row>
    <row r="789" spans="1:10" s="428" customFormat="1" ht="20.399999999999999" customHeight="1">
      <c r="A789" s="449"/>
      <c r="B789" s="431"/>
      <c r="C789" s="437"/>
      <c r="D789" s="430"/>
      <c r="F789" s="431"/>
      <c r="G789" s="596"/>
      <c r="H789" s="488"/>
      <c r="J789" s="437"/>
    </row>
    <row r="790" spans="1:10" s="428" customFormat="1" ht="20.399999999999999" customHeight="1">
      <c r="A790" s="449"/>
      <c r="B790" s="431"/>
      <c r="C790" s="437"/>
      <c r="D790" s="430"/>
      <c r="F790" s="431"/>
      <c r="G790" s="596"/>
      <c r="H790" s="488"/>
      <c r="J790" s="437"/>
    </row>
    <row r="791" spans="1:10" s="428" customFormat="1" ht="20.399999999999999" customHeight="1">
      <c r="A791" s="449"/>
      <c r="B791" s="431"/>
      <c r="C791" s="437"/>
      <c r="D791" s="430"/>
      <c r="F791" s="431"/>
      <c r="G791" s="596"/>
      <c r="H791" s="488"/>
      <c r="J791" s="437"/>
    </row>
    <row r="792" spans="1:10" s="428" customFormat="1" ht="20.399999999999999" customHeight="1">
      <c r="A792" s="449"/>
      <c r="B792" s="431"/>
      <c r="C792" s="437"/>
      <c r="D792" s="430"/>
      <c r="F792" s="431"/>
      <c r="G792" s="596"/>
      <c r="H792" s="488"/>
      <c r="J792" s="437"/>
    </row>
    <row r="793" spans="1:10" s="428" customFormat="1" ht="20.399999999999999" customHeight="1">
      <c r="A793" s="449"/>
      <c r="B793" s="431"/>
      <c r="C793" s="437"/>
      <c r="D793" s="430"/>
      <c r="F793" s="431"/>
      <c r="G793" s="596"/>
      <c r="H793" s="488"/>
      <c r="J793" s="437"/>
    </row>
    <row r="794" spans="1:10" s="428" customFormat="1" ht="20.399999999999999" customHeight="1">
      <c r="A794" s="449"/>
      <c r="B794" s="431"/>
      <c r="C794" s="437"/>
      <c r="D794" s="430"/>
      <c r="F794" s="431"/>
      <c r="G794" s="596"/>
      <c r="H794" s="488"/>
      <c r="J794" s="437"/>
    </row>
    <row r="795" spans="1:10" s="428" customFormat="1" ht="20.399999999999999" customHeight="1">
      <c r="A795" s="449"/>
      <c r="B795" s="431"/>
      <c r="C795" s="437"/>
      <c r="D795" s="430"/>
      <c r="F795" s="431"/>
      <c r="G795" s="596"/>
      <c r="H795" s="488"/>
      <c r="J795" s="437"/>
    </row>
    <row r="796" spans="1:10" s="428" customFormat="1" ht="20.399999999999999" customHeight="1">
      <c r="A796" s="449"/>
      <c r="B796" s="431"/>
      <c r="C796" s="437"/>
      <c r="D796" s="430"/>
      <c r="F796" s="431"/>
      <c r="G796" s="596"/>
      <c r="H796" s="488"/>
      <c r="J796" s="437"/>
    </row>
    <row r="797" spans="1:10" s="428" customFormat="1" ht="20.399999999999999" customHeight="1">
      <c r="A797" s="449"/>
      <c r="B797" s="431"/>
      <c r="C797" s="437"/>
      <c r="D797" s="430"/>
      <c r="F797" s="431"/>
      <c r="G797" s="596"/>
      <c r="H797" s="488"/>
      <c r="J797" s="437"/>
    </row>
    <row r="798" spans="1:10" s="428" customFormat="1" ht="20.399999999999999" customHeight="1">
      <c r="A798" s="449"/>
      <c r="B798" s="431"/>
      <c r="C798" s="437"/>
      <c r="D798" s="430"/>
      <c r="F798" s="431"/>
      <c r="G798" s="596"/>
      <c r="H798" s="488"/>
      <c r="J798" s="437"/>
    </row>
    <row r="799" spans="1:10" s="428" customFormat="1" ht="20.399999999999999" customHeight="1">
      <c r="A799" s="449"/>
      <c r="B799" s="431"/>
      <c r="C799" s="437"/>
      <c r="D799" s="430"/>
      <c r="F799" s="431"/>
      <c r="G799" s="596"/>
      <c r="H799" s="488"/>
      <c r="J799" s="437"/>
    </row>
    <row r="800" spans="1:10" s="428" customFormat="1" ht="20.399999999999999" customHeight="1">
      <c r="A800" s="449"/>
      <c r="B800" s="431"/>
      <c r="C800" s="437"/>
      <c r="D800" s="430"/>
      <c r="F800" s="431"/>
      <c r="G800" s="596"/>
      <c r="H800" s="488"/>
      <c r="J800" s="437"/>
    </row>
    <row r="801" spans="1:10" s="428" customFormat="1" ht="20.399999999999999" customHeight="1">
      <c r="A801" s="449"/>
      <c r="B801" s="431"/>
      <c r="C801" s="437"/>
      <c r="D801" s="430"/>
      <c r="F801" s="431"/>
      <c r="G801" s="596"/>
      <c r="H801" s="488"/>
      <c r="J801" s="437"/>
    </row>
    <row r="802" spans="1:10" s="428" customFormat="1" ht="20.399999999999999" customHeight="1">
      <c r="A802" s="449"/>
      <c r="B802" s="431"/>
      <c r="C802" s="437"/>
      <c r="D802" s="430"/>
      <c r="F802" s="431"/>
      <c r="G802" s="596"/>
      <c r="H802" s="488"/>
      <c r="J802" s="437"/>
    </row>
    <row r="803" spans="1:10" s="428" customFormat="1" ht="20.399999999999999" customHeight="1">
      <c r="A803" s="449"/>
      <c r="B803" s="431"/>
      <c r="C803" s="437"/>
      <c r="D803" s="430"/>
      <c r="F803" s="431"/>
      <c r="G803" s="596"/>
      <c r="H803" s="488"/>
      <c r="J803" s="437"/>
    </row>
    <row r="804" spans="1:10" s="428" customFormat="1" ht="20.399999999999999" customHeight="1">
      <c r="A804" s="449"/>
      <c r="B804" s="431"/>
      <c r="C804" s="437"/>
      <c r="D804" s="430"/>
      <c r="F804" s="431"/>
      <c r="G804" s="596"/>
      <c r="H804" s="488"/>
      <c r="J804" s="437"/>
    </row>
    <row r="805" spans="1:10" s="428" customFormat="1" ht="20.399999999999999" customHeight="1">
      <c r="A805" s="449"/>
      <c r="B805" s="431"/>
      <c r="C805" s="437"/>
      <c r="D805" s="430"/>
      <c r="F805" s="431"/>
      <c r="G805" s="596"/>
      <c r="H805" s="488"/>
      <c r="J805" s="437"/>
    </row>
    <row r="806" spans="1:10" s="428" customFormat="1" ht="20.399999999999999" customHeight="1">
      <c r="A806" s="449"/>
      <c r="B806" s="431"/>
      <c r="C806" s="437"/>
      <c r="D806" s="430"/>
      <c r="F806" s="431"/>
      <c r="G806" s="596"/>
      <c r="H806" s="488"/>
      <c r="J806" s="437"/>
    </row>
    <row r="807" spans="1:10" s="428" customFormat="1" ht="20.399999999999999" customHeight="1">
      <c r="A807" s="449"/>
      <c r="B807" s="431"/>
      <c r="C807" s="437"/>
      <c r="D807" s="430"/>
      <c r="F807" s="431"/>
      <c r="G807" s="596"/>
      <c r="H807" s="488"/>
      <c r="J807" s="437"/>
    </row>
    <row r="808" spans="1:10" s="428" customFormat="1" ht="20.399999999999999" customHeight="1">
      <c r="A808" s="449"/>
      <c r="B808" s="431"/>
      <c r="C808" s="437"/>
      <c r="D808" s="430"/>
      <c r="F808" s="431"/>
      <c r="G808" s="596"/>
      <c r="H808" s="488"/>
      <c r="J808" s="437"/>
    </row>
    <row r="809" spans="1:10" s="428" customFormat="1" ht="20.399999999999999" customHeight="1">
      <c r="A809" s="449"/>
      <c r="B809" s="431"/>
      <c r="C809" s="437"/>
      <c r="D809" s="430"/>
      <c r="F809" s="431"/>
      <c r="G809" s="596"/>
      <c r="H809" s="488"/>
      <c r="J809" s="437"/>
    </row>
    <row r="810" spans="1:10" s="428" customFormat="1" ht="20.399999999999999" customHeight="1">
      <c r="A810" s="449"/>
      <c r="B810" s="431"/>
      <c r="C810" s="437"/>
      <c r="D810" s="430"/>
      <c r="F810" s="431"/>
      <c r="G810" s="596"/>
      <c r="H810" s="488"/>
      <c r="J810" s="437"/>
    </row>
    <row r="811" spans="1:10" s="428" customFormat="1" ht="20.399999999999999" customHeight="1">
      <c r="A811" s="449"/>
      <c r="B811" s="431"/>
      <c r="C811" s="437"/>
      <c r="D811" s="430"/>
      <c r="F811" s="431"/>
      <c r="G811" s="596"/>
      <c r="H811" s="488"/>
      <c r="J811" s="437"/>
    </row>
    <row r="812" spans="1:10" s="428" customFormat="1" ht="20.399999999999999" customHeight="1">
      <c r="A812" s="449"/>
      <c r="B812" s="431"/>
      <c r="C812" s="437"/>
      <c r="D812" s="430"/>
      <c r="F812" s="431"/>
      <c r="G812" s="596"/>
      <c r="H812" s="488"/>
      <c r="J812" s="437"/>
    </row>
    <row r="813" spans="1:10" s="428" customFormat="1" ht="20.399999999999999" customHeight="1">
      <c r="A813" s="449"/>
      <c r="B813" s="431"/>
      <c r="C813" s="437"/>
      <c r="D813" s="430"/>
      <c r="F813" s="431"/>
      <c r="G813" s="596"/>
      <c r="H813" s="488"/>
      <c r="J813" s="437"/>
    </row>
    <row r="814" spans="1:10" s="428" customFormat="1" ht="20.399999999999999" customHeight="1">
      <c r="A814" s="449"/>
      <c r="B814" s="431"/>
      <c r="C814" s="437"/>
      <c r="D814" s="430"/>
      <c r="F814" s="431"/>
      <c r="G814" s="596"/>
      <c r="H814" s="488"/>
      <c r="J814" s="437"/>
    </row>
    <row r="815" spans="1:10" s="428" customFormat="1" ht="20.399999999999999" customHeight="1">
      <c r="A815" s="449"/>
      <c r="B815" s="431"/>
      <c r="C815" s="437"/>
      <c r="D815" s="430"/>
      <c r="F815" s="431"/>
      <c r="G815" s="596"/>
      <c r="H815" s="488"/>
      <c r="J815" s="437"/>
    </row>
    <row r="816" spans="1:10" s="428" customFormat="1" ht="20.399999999999999" customHeight="1">
      <c r="A816" s="449"/>
      <c r="B816" s="431"/>
      <c r="C816" s="437"/>
      <c r="D816" s="430"/>
      <c r="F816" s="431"/>
      <c r="G816" s="596"/>
      <c r="H816" s="488"/>
      <c r="J816" s="437"/>
    </row>
    <row r="817" spans="1:10" s="428" customFormat="1" ht="20.399999999999999" customHeight="1">
      <c r="A817" s="449"/>
      <c r="B817" s="431"/>
      <c r="C817" s="437"/>
      <c r="D817" s="430"/>
      <c r="F817" s="431"/>
      <c r="G817" s="596"/>
      <c r="H817" s="488"/>
      <c r="J817" s="437"/>
    </row>
    <row r="818" spans="1:10" s="428" customFormat="1" ht="20.399999999999999" customHeight="1">
      <c r="A818" s="449"/>
      <c r="B818" s="431"/>
      <c r="C818" s="437"/>
      <c r="D818" s="430"/>
      <c r="F818" s="431"/>
      <c r="G818" s="596"/>
      <c r="H818" s="488"/>
      <c r="J818" s="437"/>
    </row>
    <row r="819" spans="1:10" s="428" customFormat="1" ht="20.399999999999999" customHeight="1">
      <c r="A819" s="449"/>
      <c r="B819" s="431"/>
      <c r="C819" s="437"/>
      <c r="D819" s="430"/>
      <c r="F819" s="431"/>
      <c r="G819" s="596"/>
      <c r="H819" s="488"/>
      <c r="J819" s="437"/>
    </row>
    <row r="820" spans="1:10" s="428" customFormat="1" ht="20.399999999999999" customHeight="1">
      <c r="A820" s="449"/>
      <c r="B820" s="431"/>
      <c r="C820" s="437"/>
      <c r="D820" s="430"/>
      <c r="F820" s="431"/>
      <c r="G820" s="596"/>
      <c r="H820" s="488"/>
      <c r="J820" s="437"/>
    </row>
    <row r="821" spans="1:10" s="428" customFormat="1" ht="20.399999999999999" customHeight="1">
      <c r="A821" s="449"/>
      <c r="B821" s="431"/>
      <c r="C821" s="437"/>
      <c r="D821" s="430"/>
      <c r="F821" s="431"/>
      <c r="G821" s="596"/>
      <c r="H821" s="488"/>
      <c r="J821" s="437"/>
    </row>
    <row r="822" spans="1:10" s="428" customFormat="1" ht="20.399999999999999" customHeight="1">
      <c r="A822" s="449"/>
      <c r="B822" s="431"/>
      <c r="C822" s="437"/>
      <c r="D822" s="430"/>
      <c r="F822" s="431"/>
      <c r="G822" s="596"/>
      <c r="H822" s="488"/>
      <c r="J822" s="437"/>
    </row>
    <row r="823" spans="1:10" s="428" customFormat="1" ht="20.399999999999999" customHeight="1">
      <c r="A823" s="449"/>
      <c r="B823" s="431"/>
      <c r="C823" s="437"/>
      <c r="D823" s="430"/>
      <c r="F823" s="431"/>
      <c r="G823" s="596"/>
      <c r="H823" s="488"/>
      <c r="J823" s="437"/>
    </row>
    <row r="824" spans="1:10" s="428" customFormat="1" ht="20.399999999999999" customHeight="1">
      <c r="A824" s="449"/>
      <c r="B824" s="431"/>
      <c r="C824" s="437"/>
      <c r="D824" s="430"/>
      <c r="F824" s="431"/>
      <c r="G824" s="596"/>
      <c r="H824" s="488"/>
      <c r="J824" s="437"/>
    </row>
    <row r="825" spans="1:10" s="428" customFormat="1" ht="20.399999999999999" customHeight="1">
      <c r="A825" s="449"/>
      <c r="B825" s="431"/>
      <c r="C825" s="437"/>
      <c r="D825" s="430"/>
      <c r="F825" s="431"/>
      <c r="G825" s="596"/>
      <c r="H825" s="488"/>
      <c r="J825" s="437"/>
    </row>
    <row r="826" spans="1:10" s="428" customFormat="1" ht="20.399999999999999" customHeight="1">
      <c r="A826" s="449"/>
      <c r="B826" s="431"/>
      <c r="C826" s="437"/>
      <c r="D826" s="430"/>
      <c r="F826" s="431"/>
      <c r="G826" s="596"/>
      <c r="H826" s="488"/>
      <c r="J826" s="437"/>
    </row>
    <row r="827" spans="1:10" s="428" customFormat="1" ht="20.399999999999999" customHeight="1">
      <c r="A827" s="449"/>
      <c r="B827" s="431"/>
      <c r="C827" s="437"/>
      <c r="D827" s="430"/>
      <c r="F827" s="431"/>
      <c r="G827" s="596"/>
      <c r="H827" s="488"/>
      <c r="J827" s="437"/>
    </row>
    <row r="828" spans="1:10" s="428" customFormat="1" ht="20.399999999999999" customHeight="1">
      <c r="A828" s="449"/>
      <c r="B828" s="431"/>
      <c r="C828" s="437"/>
      <c r="D828" s="430"/>
      <c r="F828" s="431"/>
      <c r="G828" s="596"/>
      <c r="H828" s="488"/>
      <c r="J828" s="437"/>
    </row>
    <row r="829" spans="1:10" s="428" customFormat="1" ht="20.399999999999999" customHeight="1">
      <c r="A829" s="449"/>
      <c r="B829" s="431"/>
      <c r="C829" s="437"/>
      <c r="D829" s="430"/>
      <c r="F829" s="431"/>
      <c r="G829" s="596"/>
      <c r="H829" s="488"/>
      <c r="J829" s="437"/>
    </row>
    <row r="830" spans="1:10" s="428" customFormat="1" ht="20.399999999999999" customHeight="1">
      <c r="A830" s="449"/>
      <c r="B830" s="431"/>
      <c r="C830" s="437"/>
      <c r="D830" s="430"/>
      <c r="F830" s="431"/>
      <c r="G830" s="596"/>
      <c r="H830" s="488"/>
      <c r="J830" s="437"/>
    </row>
    <row r="831" spans="1:10" s="428" customFormat="1" ht="20.399999999999999" customHeight="1">
      <c r="A831" s="449"/>
      <c r="B831" s="431"/>
      <c r="C831" s="437"/>
      <c r="D831" s="430"/>
      <c r="F831" s="431"/>
      <c r="G831" s="596"/>
      <c r="H831" s="488"/>
      <c r="J831" s="437"/>
    </row>
    <row r="832" spans="1:10" s="428" customFormat="1" ht="20.399999999999999" customHeight="1">
      <c r="A832" s="449"/>
      <c r="B832" s="431"/>
      <c r="C832" s="437"/>
      <c r="D832" s="430"/>
      <c r="F832" s="431"/>
      <c r="G832" s="596"/>
      <c r="H832" s="488"/>
      <c r="J832" s="437"/>
    </row>
    <row r="833" spans="1:10" s="428" customFormat="1" ht="20.399999999999999" customHeight="1">
      <c r="A833" s="449"/>
      <c r="B833" s="431"/>
      <c r="C833" s="437"/>
      <c r="D833" s="430"/>
      <c r="F833" s="431"/>
      <c r="G833" s="596"/>
      <c r="H833" s="488"/>
      <c r="J833" s="437"/>
    </row>
    <row r="834" spans="1:10" s="428" customFormat="1" ht="20.399999999999999" customHeight="1">
      <c r="A834" s="449"/>
      <c r="B834" s="431"/>
      <c r="C834" s="437"/>
      <c r="D834" s="430"/>
      <c r="F834" s="431"/>
      <c r="G834" s="596"/>
      <c r="H834" s="488"/>
      <c r="J834" s="437"/>
    </row>
    <row r="835" spans="1:10" s="428" customFormat="1" ht="20.399999999999999" customHeight="1">
      <c r="A835" s="449"/>
      <c r="B835" s="431"/>
      <c r="C835" s="437"/>
      <c r="D835" s="430"/>
      <c r="F835" s="431"/>
      <c r="G835" s="596"/>
      <c r="H835" s="488"/>
      <c r="J835" s="437"/>
    </row>
    <row r="836" spans="1:10" s="428" customFormat="1" ht="20.399999999999999" customHeight="1">
      <c r="A836" s="449"/>
      <c r="B836" s="431"/>
      <c r="C836" s="437"/>
      <c r="D836" s="430"/>
      <c r="F836" s="431"/>
      <c r="G836" s="596"/>
      <c r="H836" s="488"/>
      <c r="J836" s="437"/>
    </row>
    <row r="837" spans="1:10" s="428" customFormat="1" ht="20.399999999999999" customHeight="1">
      <c r="A837" s="449"/>
      <c r="B837" s="431"/>
      <c r="C837" s="437"/>
      <c r="D837" s="430"/>
      <c r="F837" s="431"/>
      <c r="G837" s="596"/>
      <c r="H837" s="488"/>
      <c r="J837" s="437"/>
    </row>
    <row r="838" spans="1:10" s="428" customFormat="1" ht="20.399999999999999" customHeight="1">
      <c r="A838" s="449"/>
      <c r="B838" s="431"/>
      <c r="C838" s="437"/>
      <c r="D838" s="430"/>
      <c r="F838" s="431"/>
      <c r="G838" s="596"/>
      <c r="H838" s="488"/>
      <c r="J838" s="437"/>
    </row>
    <row r="839" spans="1:10" s="428" customFormat="1" ht="20.399999999999999" customHeight="1">
      <c r="A839" s="449"/>
      <c r="B839" s="431"/>
      <c r="C839" s="437"/>
      <c r="D839" s="430"/>
      <c r="F839" s="431"/>
      <c r="G839" s="596"/>
      <c r="H839" s="488"/>
      <c r="J839" s="437"/>
    </row>
    <row r="840" spans="1:10" s="428" customFormat="1" ht="20.399999999999999" customHeight="1">
      <c r="A840" s="449"/>
      <c r="B840" s="431"/>
      <c r="C840" s="437"/>
      <c r="D840" s="430"/>
      <c r="F840" s="431"/>
      <c r="G840" s="596"/>
      <c r="H840" s="488"/>
      <c r="J840" s="437"/>
    </row>
    <row r="841" spans="1:10" s="428" customFormat="1" ht="20.399999999999999" customHeight="1">
      <c r="A841" s="449"/>
      <c r="B841" s="431"/>
      <c r="C841" s="437"/>
      <c r="D841" s="430"/>
      <c r="F841" s="431"/>
      <c r="G841" s="596"/>
      <c r="H841" s="488"/>
      <c r="J841" s="437"/>
    </row>
    <row r="842" spans="1:10" s="428" customFormat="1" ht="20.399999999999999" customHeight="1">
      <c r="A842" s="449"/>
      <c r="B842" s="431"/>
      <c r="C842" s="437"/>
      <c r="D842" s="430"/>
      <c r="F842" s="431"/>
      <c r="G842" s="596"/>
      <c r="H842" s="488"/>
      <c r="J842" s="437"/>
    </row>
    <row r="843" spans="1:10" s="428" customFormat="1" ht="20.399999999999999" customHeight="1">
      <c r="A843" s="449"/>
      <c r="B843" s="431"/>
      <c r="C843" s="437"/>
      <c r="D843" s="430"/>
      <c r="F843" s="431"/>
      <c r="G843" s="596"/>
      <c r="H843" s="488"/>
      <c r="J843" s="437"/>
    </row>
    <row r="844" spans="1:10" s="428" customFormat="1" ht="20.399999999999999" customHeight="1">
      <c r="A844" s="449"/>
      <c r="B844" s="431"/>
      <c r="C844" s="437"/>
      <c r="D844" s="430"/>
      <c r="F844" s="431"/>
      <c r="G844" s="596"/>
      <c r="H844" s="488"/>
      <c r="J844" s="437"/>
    </row>
    <row r="845" spans="1:10" s="428" customFormat="1" ht="20.399999999999999" customHeight="1">
      <c r="A845" s="449"/>
      <c r="B845" s="431"/>
      <c r="C845" s="437"/>
      <c r="D845" s="430"/>
      <c r="F845" s="431"/>
      <c r="G845" s="596"/>
      <c r="H845" s="488"/>
      <c r="J845" s="437"/>
    </row>
    <row r="846" spans="1:10" s="428" customFormat="1" ht="20.399999999999999" customHeight="1">
      <c r="A846" s="449"/>
      <c r="B846" s="431"/>
      <c r="C846" s="437"/>
      <c r="D846" s="430"/>
      <c r="F846" s="431"/>
      <c r="G846" s="596"/>
      <c r="H846" s="488"/>
      <c r="J846" s="437"/>
    </row>
    <row r="847" spans="1:10" s="428" customFormat="1" ht="20.399999999999999" customHeight="1">
      <c r="A847" s="449"/>
      <c r="B847" s="431"/>
      <c r="C847" s="437"/>
      <c r="D847" s="430"/>
      <c r="F847" s="431"/>
      <c r="G847" s="596"/>
      <c r="H847" s="488"/>
      <c r="J847" s="437"/>
    </row>
    <row r="848" spans="1:10" s="428" customFormat="1" ht="20.399999999999999" customHeight="1">
      <c r="A848" s="449"/>
      <c r="B848" s="431"/>
      <c r="C848" s="437"/>
      <c r="D848" s="430"/>
      <c r="F848" s="431"/>
      <c r="G848" s="596"/>
      <c r="H848" s="488"/>
      <c r="J848" s="437"/>
    </row>
    <row r="849" spans="1:10" s="428" customFormat="1" ht="20.399999999999999" customHeight="1">
      <c r="A849" s="449"/>
      <c r="B849" s="431"/>
      <c r="C849" s="437"/>
      <c r="D849" s="430"/>
      <c r="F849" s="431"/>
      <c r="G849" s="596"/>
      <c r="H849" s="488"/>
      <c r="J849" s="437"/>
    </row>
    <row r="850" spans="1:10" s="428" customFormat="1" ht="20.399999999999999" customHeight="1">
      <c r="A850" s="449"/>
      <c r="B850" s="431"/>
      <c r="C850" s="437"/>
      <c r="D850" s="430"/>
      <c r="F850" s="431"/>
      <c r="G850" s="596"/>
      <c r="H850" s="488"/>
      <c r="J850" s="437"/>
    </row>
    <row r="851" spans="1:10" s="428" customFormat="1" ht="20.399999999999999" customHeight="1">
      <c r="A851" s="449"/>
      <c r="B851" s="431"/>
      <c r="C851" s="437"/>
      <c r="D851" s="430"/>
      <c r="F851" s="431"/>
      <c r="G851" s="596"/>
      <c r="H851" s="488"/>
      <c r="J851" s="437"/>
    </row>
    <row r="852" spans="1:10" s="428" customFormat="1" ht="20.399999999999999" customHeight="1">
      <c r="A852" s="449"/>
      <c r="B852" s="431"/>
      <c r="C852" s="437"/>
      <c r="D852" s="430"/>
      <c r="F852" s="431"/>
      <c r="G852" s="596"/>
      <c r="H852" s="488"/>
      <c r="J852" s="437"/>
    </row>
    <row r="853" spans="1:10" s="428" customFormat="1" ht="20.399999999999999" customHeight="1">
      <c r="A853" s="449"/>
      <c r="B853" s="431"/>
      <c r="C853" s="437"/>
      <c r="D853" s="430"/>
      <c r="F853" s="431"/>
      <c r="G853" s="596"/>
      <c r="H853" s="488"/>
      <c r="J853" s="437"/>
    </row>
    <row r="854" spans="1:10" s="428" customFormat="1" ht="20.399999999999999" customHeight="1">
      <c r="A854" s="449"/>
      <c r="B854" s="431"/>
      <c r="C854" s="437"/>
      <c r="D854" s="430"/>
      <c r="F854" s="431"/>
      <c r="G854" s="596"/>
      <c r="H854" s="488"/>
      <c r="J854" s="437"/>
    </row>
    <row r="855" spans="1:10" s="428" customFormat="1" ht="20.399999999999999" customHeight="1">
      <c r="A855" s="449"/>
      <c r="B855" s="431"/>
      <c r="C855" s="437"/>
      <c r="D855" s="430"/>
      <c r="F855" s="431"/>
      <c r="G855" s="596"/>
      <c r="H855" s="488"/>
      <c r="J855" s="437"/>
    </row>
    <row r="856" spans="1:10" s="428" customFormat="1" ht="20.399999999999999" customHeight="1">
      <c r="A856" s="449"/>
      <c r="B856" s="431"/>
      <c r="C856" s="437"/>
      <c r="D856" s="430"/>
      <c r="F856" s="431"/>
      <c r="G856" s="596"/>
      <c r="H856" s="488"/>
      <c r="J856" s="437"/>
    </row>
    <row r="857" spans="1:10" s="428" customFormat="1" ht="20.399999999999999" customHeight="1">
      <c r="A857" s="449"/>
      <c r="B857" s="431"/>
      <c r="C857" s="437"/>
      <c r="D857" s="430"/>
      <c r="F857" s="431"/>
      <c r="G857" s="596"/>
      <c r="H857" s="488"/>
      <c r="J857" s="437"/>
    </row>
    <row r="858" spans="1:10" s="428" customFormat="1" ht="20.399999999999999" customHeight="1">
      <c r="A858" s="449"/>
      <c r="B858" s="431"/>
      <c r="C858" s="437"/>
      <c r="D858" s="430"/>
      <c r="F858" s="431"/>
      <c r="G858" s="596"/>
      <c r="H858" s="488"/>
      <c r="J858" s="437"/>
    </row>
    <row r="859" spans="1:10" s="428" customFormat="1" ht="20.399999999999999" customHeight="1">
      <c r="A859" s="449"/>
      <c r="B859" s="431"/>
      <c r="C859" s="437"/>
      <c r="D859" s="430"/>
      <c r="F859" s="431"/>
      <c r="G859" s="596"/>
      <c r="H859" s="488"/>
      <c r="J859" s="437"/>
    </row>
    <row r="860" spans="1:10" s="428" customFormat="1" ht="20.399999999999999" customHeight="1">
      <c r="A860" s="449"/>
      <c r="B860" s="431"/>
      <c r="C860" s="437"/>
      <c r="D860" s="430"/>
      <c r="F860" s="431"/>
      <c r="G860" s="596"/>
      <c r="H860" s="488"/>
      <c r="J860" s="437"/>
    </row>
    <row r="861" spans="1:10" s="428" customFormat="1" ht="20.399999999999999" customHeight="1">
      <c r="A861" s="449"/>
      <c r="B861" s="431"/>
      <c r="C861" s="437"/>
      <c r="D861" s="430"/>
      <c r="F861" s="431"/>
      <c r="G861" s="596"/>
      <c r="H861" s="488"/>
      <c r="J861" s="437"/>
    </row>
    <row r="862" spans="1:10" s="428" customFormat="1" ht="20.399999999999999" customHeight="1">
      <c r="A862" s="449"/>
      <c r="B862" s="431"/>
      <c r="C862" s="437"/>
      <c r="D862" s="430"/>
      <c r="F862" s="431"/>
      <c r="G862" s="596"/>
      <c r="H862" s="488"/>
      <c r="J862" s="437"/>
    </row>
    <row r="863" spans="1:10" s="428" customFormat="1" ht="20.399999999999999" customHeight="1">
      <c r="A863" s="449"/>
      <c r="B863" s="431"/>
      <c r="C863" s="437"/>
      <c r="D863" s="430"/>
      <c r="F863" s="431"/>
      <c r="G863" s="596"/>
      <c r="H863" s="488"/>
      <c r="J863" s="437"/>
    </row>
    <row r="864" spans="1:10" s="428" customFormat="1" ht="20.399999999999999" customHeight="1">
      <c r="A864" s="449"/>
      <c r="B864" s="431"/>
      <c r="C864" s="437"/>
      <c r="D864" s="430"/>
      <c r="F864" s="431"/>
      <c r="G864" s="596"/>
      <c r="H864" s="488"/>
      <c r="J864" s="437"/>
    </row>
    <row r="865" spans="1:10" s="428" customFormat="1" ht="20.399999999999999" customHeight="1">
      <c r="A865" s="449"/>
      <c r="B865" s="431"/>
      <c r="C865" s="437"/>
      <c r="D865" s="430"/>
      <c r="F865" s="431"/>
      <c r="G865" s="596"/>
      <c r="H865" s="488"/>
      <c r="J865" s="437"/>
    </row>
    <row r="866" spans="1:10" s="428" customFormat="1" ht="20.399999999999999" customHeight="1">
      <c r="A866" s="449"/>
      <c r="B866" s="431"/>
      <c r="C866" s="437"/>
      <c r="D866" s="430"/>
      <c r="F866" s="431"/>
      <c r="G866" s="596"/>
      <c r="H866" s="488"/>
      <c r="J866" s="437"/>
    </row>
    <row r="867" spans="1:10" s="428" customFormat="1" ht="20.399999999999999" customHeight="1">
      <c r="A867" s="449"/>
      <c r="B867" s="431"/>
      <c r="C867" s="437"/>
      <c r="D867" s="430"/>
      <c r="F867" s="431"/>
      <c r="G867" s="596"/>
      <c r="H867" s="488"/>
      <c r="J867" s="437"/>
    </row>
    <row r="868" spans="1:10" s="428" customFormat="1" ht="20.399999999999999" customHeight="1">
      <c r="A868" s="449"/>
      <c r="B868" s="431"/>
      <c r="C868" s="437"/>
      <c r="D868" s="430"/>
      <c r="F868" s="431"/>
      <c r="G868" s="596"/>
      <c r="H868" s="488"/>
      <c r="J868" s="437"/>
    </row>
    <row r="869" spans="1:10" s="428" customFormat="1" ht="20.399999999999999" customHeight="1">
      <c r="A869" s="449"/>
      <c r="B869" s="431"/>
      <c r="C869" s="437"/>
      <c r="D869" s="430"/>
      <c r="F869" s="431"/>
      <c r="G869" s="596"/>
      <c r="H869" s="488"/>
      <c r="J869" s="437"/>
    </row>
    <row r="870" spans="1:10" s="428" customFormat="1" ht="20.399999999999999" customHeight="1">
      <c r="A870" s="449"/>
      <c r="B870" s="431"/>
      <c r="C870" s="437"/>
      <c r="D870" s="430"/>
      <c r="F870" s="431"/>
      <c r="G870" s="596"/>
      <c r="H870" s="488"/>
      <c r="J870" s="437"/>
    </row>
    <row r="871" spans="1:10" s="428" customFormat="1" ht="20.399999999999999" customHeight="1">
      <c r="A871" s="449"/>
      <c r="B871" s="431"/>
      <c r="C871" s="437"/>
      <c r="D871" s="430"/>
      <c r="F871" s="431"/>
      <c r="G871" s="596"/>
      <c r="H871" s="488"/>
      <c r="J871" s="437"/>
    </row>
    <row r="872" spans="1:10" s="428" customFormat="1" ht="20.399999999999999" customHeight="1">
      <c r="A872" s="449"/>
      <c r="B872" s="431"/>
      <c r="C872" s="437"/>
      <c r="D872" s="430"/>
      <c r="F872" s="431"/>
      <c r="G872" s="596"/>
      <c r="H872" s="488"/>
      <c r="J872" s="437"/>
    </row>
    <row r="873" spans="1:10" s="428" customFormat="1" ht="20.399999999999999" customHeight="1">
      <c r="A873" s="449"/>
      <c r="B873" s="431"/>
      <c r="C873" s="437"/>
      <c r="D873" s="430"/>
      <c r="F873" s="431"/>
      <c r="G873" s="596"/>
      <c r="H873" s="488"/>
      <c r="J873" s="437"/>
    </row>
    <row r="874" spans="1:10" s="428" customFormat="1" ht="20.399999999999999" customHeight="1">
      <c r="A874" s="449"/>
      <c r="B874" s="431"/>
      <c r="C874" s="437"/>
      <c r="D874" s="430"/>
      <c r="F874" s="431"/>
      <c r="G874" s="596"/>
      <c r="H874" s="488"/>
      <c r="J874" s="437"/>
    </row>
    <row r="875" spans="1:10" s="428" customFormat="1" ht="20.399999999999999" customHeight="1">
      <c r="A875" s="449"/>
      <c r="B875" s="431"/>
      <c r="C875" s="437"/>
      <c r="D875" s="430"/>
      <c r="F875" s="431"/>
      <c r="G875" s="596"/>
      <c r="H875" s="488"/>
      <c r="J875" s="437"/>
    </row>
    <row r="876" spans="1:10" s="428" customFormat="1" ht="20.399999999999999" customHeight="1">
      <c r="A876" s="449"/>
      <c r="B876" s="431"/>
      <c r="C876" s="437"/>
      <c r="D876" s="430"/>
      <c r="F876" s="431"/>
      <c r="G876" s="596"/>
      <c r="H876" s="488"/>
      <c r="J876" s="437"/>
    </row>
    <row r="877" spans="1:10" s="428" customFormat="1" ht="20.399999999999999" customHeight="1">
      <c r="A877" s="449"/>
      <c r="B877" s="431"/>
      <c r="C877" s="437"/>
      <c r="D877" s="430"/>
      <c r="F877" s="431"/>
      <c r="G877" s="596"/>
      <c r="H877" s="488"/>
      <c r="J877" s="437"/>
    </row>
    <row r="878" spans="1:10" s="428" customFormat="1" ht="20.399999999999999" customHeight="1">
      <c r="A878" s="449"/>
      <c r="B878" s="431"/>
      <c r="C878" s="437"/>
      <c r="D878" s="430"/>
      <c r="F878" s="431"/>
      <c r="G878" s="596"/>
      <c r="H878" s="488"/>
      <c r="J878" s="437"/>
    </row>
    <row r="879" spans="1:10" s="428" customFormat="1" ht="20.399999999999999" customHeight="1">
      <c r="A879" s="449"/>
      <c r="B879" s="431"/>
      <c r="C879" s="437"/>
      <c r="D879" s="430"/>
      <c r="F879" s="431"/>
      <c r="G879" s="596"/>
      <c r="H879" s="488"/>
      <c r="J879" s="437"/>
    </row>
    <row r="880" spans="1:10" s="428" customFormat="1" ht="20.399999999999999" customHeight="1">
      <c r="A880" s="449"/>
      <c r="B880" s="431"/>
      <c r="C880" s="437"/>
      <c r="D880" s="430"/>
      <c r="F880" s="431"/>
      <c r="G880" s="596"/>
      <c r="H880" s="488"/>
      <c r="J880" s="437"/>
    </row>
    <row r="881" spans="1:10" s="428" customFormat="1" ht="20.399999999999999" customHeight="1">
      <c r="A881" s="449"/>
      <c r="B881" s="431"/>
      <c r="C881" s="437"/>
      <c r="D881" s="430"/>
      <c r="F881" s="431"/>
      <c r="G881" s="596"/>
      <c r="H881" s="488"/>
      <c r="J881" s="437"/>
    </row>
    <row r="882" spans="1:10" s="428" customFormat="1" ht="20.399999999999999" customHeight="1">
      <c r="A882" s="449"/>
      <c r="B882" s="431"/>
      <c r="C882" s="437"/>
      <c r="D882" s="430"/>
      <c r="F882" s="431"/>
      <c r="G882" s="596"/>
      <c r="H882" s="488"/>
      <c r="J882" s="437"/>
    </row>
    <row r="883" spans="1:10" s="428" customFormat="1" ht="20.399999999999999" customHeight="1">
      <c r="A883" s="449"/>
      <c r="B883" s="431"/>
      <c r="C883" s="437"/>
      <c r="D883" s="430"/>
      <c r="F883" s="431"/>
      <c r="G883" s="596"/>
      <c r="H883" s="488"/>
      <c r="J883" s="437"/>
    </row>
    <row r="884" spans="1:10" s="428" customFormat="1" ht="20.399999999999999" customHeight="1">
      <c r="A884" s="449"/>
      <c r="B884" s="431"/>
      <c r="C884" s="437"/>
      <c r="D884" s="430"/>
      <c r="F884" s="431"/>
      <c r="G884" s="596"/>
      <c r="H884" s="488"/>
      <c r="J884" s="437"/>
    </row>
    <row r="885" spans="1:10" s="428" customFormat="1" ht="20.399999999999999" customHeight="1">
      <c r="A885" s="449"/>
      <c r="B885" s="431"/>
      <c r="C885" s="437"/>
      <c r="D885" s="430"/>
      <c r="F885" s="431"/>
      <c r="G885" s="596"/>
      <c r="H885" s="488"/>
      <c r="J885" s="437"/>
    </row>
    <row r="886" spans="1:10" s="428" customFormat="1" ht="20.399999999999999" customHeight="1">
      <c r="A886" s="449"/>
      <c r="B886" s="431"/>
      <c r="C886" s="437"/>
      <c r="D886" s="430"/>
      <c r="F886" s="431"/>
      <c r="G886" s="596"/>
      <c r="H886" s="488"/>
      <c r="J886" s="437"/>
    </row>
    <row r="887" spans="1:10" s="428" customFormat="1" ht="20.399999999999999" customHeight="1">
      <c r="A887" s="449"/>
      <c r="B887" s="431"/>
      <c r="C887" s="437"/>
      <c r="D887" s="430"/>
      <c r="F887" s="431"/>
      <c r="G887" s="596"/>
      <c r="H887" s="488"/>
      <c r="J887" s="437"/>
    </row>
    <row r="888" spans="1:10" s="428" customFormat="1" ht="20.399999999999999" customHeight="1">
      <c r="A888" s="449"/>
      <c r="B888" s="431"/>
      <c r="C888" s="437"/>
      <c r="D888" s="430"/>
      <c r="F888" s="431"/>
      <c r="G888" s="596"/>
      <c r="H888" s="488"/>
      <c r="J888" s="437"/>
    </row>
    <row r="889" spans="1:10" s="428" customFormat="1" ht="20.399999999999999" customHeight="1">
      <c r="A889" s="449"/>
      <c r="B889" s="431"/>
      <c r="C889" s="437"/>
      <c r="D889" s="430"/>
      <c r="F889" s="431"/>
      <c r="G889" s="596"/>
      <c r="H889" s="488"/>
      <c r="J889" s="437"/>
    </row>
    <row r="890" spans="1:10" s="428" customFormat="1" ht="20.399999999999999" customHeight="1">
      <c r="A890" s="449"/>
      <c r="B890" s="431"/>
      <c r="C890" s="437"/>
      <c r="D890" s="430"/>
      <c r="F890" s="431"/>
      <c r="G890" s="596"/>
      <c r="H890" s="488"/>
      <c r="J890" s="437"/>
    </row>
    <row r="891" spans="1:10" s="428" customFormat="1" ht="20.399999999999999" customHeight="1">
      <c r="A891" s="449"/>
      <c r="B891" s="431"/>
      <c r="C891" s="437"/>
      <c r="D891" s="430"/>
      <c r="F891" s="431"/>
      <c r="G891" s="596"/>
      <c r="H891" s="488"/>
      <c r="J891" s="437"/>
    </row>
    <row r="892" spans="1:10" s="428" customFormat="1" ht="20.399999999999999" customHeight="1">
      <c r="A892" s="449"/>
      <c r="B892" s="431"/>
      <c r="C892" s="437"/>
      <c r="D892" s="430"/>
      <c r="F892" s="431"/>
      <c r="G892" s="596"/>
      <c r="H892" s="488"/>
      <c r="J892" s="437"/>
    </row>
    <row r="893" spans="1:10" s="428" customFormat="1" ht="20.399999999999999" customHeight="1">
      <c r="A893" s="449"/>
      <c r="B893" s="431"/>
      <c r="C893" s="437"/>
      <c r="D893" s="430"/>
      <c r="F893" s="431"/>
      <c r="G893" s="596"/>
      <c r="H893" s="488"/>
      <c r="J893" s="437"/>
    </row>
    <row r="894" spans="1:10" s="428" customFormat="1" ht="20.399999999999999" customHeight="1">
      <c r="A894" s="449"/>
      <c r="B894" s="431"/>
      <c r="C894" s="437"/>
      <c r="D894" s="430"/>
      <c r="F894" s="431"/>
      <c r="G894" s="596"/>
      <c r="H894" s="488"/>
      <c r="J894" s="437"/>
    </row>
    <row r="895" spans="1:10" s="428" customFormat="1" ht="20.399999999999999" customHeight="1">
      <c r="A895" s="449"/>
      <c r="B895" s="431"/>
      <c r="C895" s="437"/>
      <c r="D895" s="430"/>
      <c r="F895" s="431"/>
      <c r="G895" s="596"/>
      <c r="H895" s="488"/>
      <c r="J895" s="437"/>
    </row>
    <row r="896" spans="1:10" s="428" customFormat="1" ht="20.399999999999999" customHeight="1">
      <c r="A896" s="449"/>
      <c r="B896" s="431"/>
      <c r="C896" s="437"/>
      <c r="D896" s="430"/>
      <c r="F896" s="431"/>
      <c r="G896" s="596"/>
      <c r="H896" s="488"/>
      <c r="J896" s="437"/>
    </row>
    <row r="897" spans="1:10" s="428" customFormat="1" ht="20.399999999999999" customHeight="1">
      <c r="A897" s="449"/>
      <c r="B897" s="431"/>
      <c r="C897" s="437"/>
      <c r="D897" s="430"/>
      <c r="F897" s="431"/>
      <c r="G897" s="596"/>
      <c r="H897" s="488"/>
      <c r="J897" s="437"/>
    </row>
    <row r="898" spans="1:10" s="428" customFormat="1" ht="20.399999999999999" customHeight="1">
      <c r="A898" s="449"/>
      <c r="B898" s="431"/>
      <c r="C898" s="437"/>
      <c r="D898" s="430"/>
      <c r="F898" s="431"/>
      <c r="G898" s="596"/>
      <c r="H898" s="488"/>
      <c r="J898" s="437"/>
    </row>
    <row r="899" spans="1:10" s="428" customFormat="1" ht="20.399999999999999" customHeight="1">
      <c r="A899" s="449"/>
      <c r="B899" s="431"/>
      <c r="C899" s="437"/>
      <c r="D899" s="430"/>
      <c r="F899" s="431"/>
      <c r="G899" s="596"/>
      <c r="H899" s="488"/>
      <c r="J899" s="437"/>
    </row>
    <row r="900" spans="1:10" s="428" customFormat="1" ht="20.399999999999999" customHeight="1">
      <c r="A900" s="449"/>
      <c r="B900" s="431"/>
      <c r="C900" s="437"/>
      <c r="D900" s="430"/>
      <c r="F900" s="431"/>
      <c r="G900" s="596"/>
      <c r="H900" s="488"/>
      <c r="J900" s="437"/>
    </row>
    <row r="901" spans="1:10" s="428" customFormat="1" ht="20.399999999999999" customHeight="1">
      <c r="A901" s="449"/>
      <c r="B901" s="431"/>
      <c r="C901" s="437"/>
      <c r="D901" s="430"/>
      <c r="F901" s="431"/>
      <c r="G901" s="596"/>
      <c r="H901" s="488"/>
      <c r="J901" s="437"/>
    </row>
    <row r="902" spans="1:10" s="428" customFormat="1" ht="20.399999999999999" customHeight="1">
      <c r="A902" s="449"/>
      <c r="B902" s="431"/>
      <c r="C902" s="437"/>
      <c r="D902" s="430"/>
      <c r="F902" s="431"/>
      <c r="G902" s="596"/>
      <c r="H902" s="488"/>
      <c r="J902" s="437"/>
    </row>
    <row r="903" spans="1:10" s="428" customFormat="1" ht="20.399999999999999" customHeight="1">
      <c r="A903" s="449"/>
      <c r="B903" s="431"/>
      <c r="C903" s="437"/>
      <c r="D903" s="430"/>
      <c r="F903" s="431"/>
      <c r="G903" s="596"/>
      <c r="H903" s="488"/>
      <c r="J903" s="437"/>
    </row>
    <row r="904" spans="1:10" s="428" customFormat="1" ht="20.399999999999999" customHeight="1">
      <c r="A904" s="449"/>
      <c r="B904" s="431"/>
      <c r="C904" s="437"/>
      <c r="D904" s="430"/>
      <c r="F904" s="431"/>
      <c r="G904" s="596"/>
      <c r="H904" s="488"/>
      <c r="J904" s="437"/>
    </row>
    <row r="905" spans="1:10" s="428" customFormat="1" ht="20.399999999999999" customHeight="1">
      <c r="A905" s="449"/>
      <c r="B905" s="431"/>
      <c r="C905" s="437"/>
      <c r="D905" s="430"/>
      <c r="F905" s="431"/>
      <c r="G905" s="596"/>
      <c r="H905" s="488"/>
      <c r="J905" s="437"/>
    </row>
    <row r="906" spans="1:10" s="428" customFormat="1" ht="20.399999999999999" customHeight="1">
      <c r="A906" s="449"/>
      <c r="B906" s="431"/>
      <c r="C906" s="437"/>
      <c r="D906" s="430"/>
      <c r="F906" s="431"/>
      <c r="G906" s="596"/>
      <c r="H906" s="488"/>
      <c r="J906" s="437"/>
    </row>
    <row r="907" spans="1:10" s="428" customFormat="1" ht="20.399999999999999" customHeight="1">
      <c r="A907" s="449"/>
      <c r="B907" s="431"/>
      <c r="C907" s="437"/>
      <c r="D907" s="430"/>
      <c r="F907" s="431"/>
      <c r="G907" s="596"/>
      <c r="H907" s="488"/>
      <c r="J907" s="437"/>
    </row>
    <row r="908" spans="1:10" s="428" customFormat="1" ht="20.399999999999999" customHeight="1">
      <c r="A908" s="449"/>
      <c r="B908" s="431"/>
      <c r="C908" s="437"/>
      <c r="D908" s="430"/>
      <c r="F908" s="431"/>
      <c r="G908" s="596"/>
      <c r="H908" s="488"/>
      <c r="J908" s="437"/>
    </row>
    <row r="909" spans="1:10" s="428" customFormat="1" ht="20.399999999999999" customHeight="1">
      <c r="A909" s="449"/>
      <c r="B909" s="431"/>
      <c r="C909" s="437"/>
      <c r="D909" s="430"/>
      <c r="F909" s="431"/>
      <c r="G909" s="596"/>
      <c r="H909" s="488"/>
      <c r="J909" s="437"/>
    </row>
    <row r="910" spans="1:10" s="428" customFormat="1" ht="20.399999999999999" customHeight="1">
      <c r="A910" s="449"/>
      <c r="B910" s="431"/>
      <c r="C910" s="437"/>
      <c r="D910" s="430"/>
      <c r="F910" s="431"/>
      <c r="G910" s="596"/>
      <c r="H910" s="488"/>
      <c r="J910" s="437"/>
    </row>
    <row r="911" spans="1:10" s="428" customFormat="1" ht="20.399999999999999" customHeight="1">
      <c r="A911" s="449"/>
      <c r="B911" s="431"/>
      <c r="C911" s="437"/>
      <c r="D911" s="430"/>
      <c r="F911" s="431"/>
      <c r="G911" s="596"/>
      <c r="H911" s="488"/>
      <c r="J911" s="437"/>
    </row>
    <row r="912" spans="1:10" s="428" customFormat="1" ht="20.399999999999999" customHeight="1">
      <c r="A912" s="449"/>
      <c r="B912" s="431"/>
      <c r="C912" s="437"/>
      <c r="D912" s="430"/>
      <c r="F912" s="431"/>
      <c r="G912" s="596"/>
      <c r="H912" s="488"/>
      <c r="J912" s="437"/>
    </row>
    <row r="913" spans="1:10" s="428" customFormat="1" ht="20.399999999999999" customHeight="1">
      <c r="A913" s="449"/>
      <c r="B913" s="431"/>
      <c r="C913" s="437"/>
      <c r="D913" s="430"/>
      <c r="F913" s="431"/>
      <c r="G913" s="596"/>
      <c r="H913" s="488"/>
      <c r="J913" s="437"/>
    </row>
    <row r="914" spans="1:10" s="428" customFormat="1" ht="20.399999999999999" customHeight="1">
      <c r="A914" s="449"/>
      <c r="B914" s="431"/>
      <c r="C914" s="437"/>
      <c r="D914" s="430"/>
      <c r="F914" s="431"/>
      <c r="G914" s="596"/>
      <c r="H914" s="488"/>
      <c r="J914" s="437"/>
    </row>
    <row r="915" spans="1:10" s="428" customFormat="1" ht="20.399999999999999" customHeight="1">
      <c r="A915" s="449"/>
      <c r="B915" s="431"/>
      <c r="C915" s="437"/>
      <c r="D915" s="430"/>
      <c r="F915" s="431"/>
      <c r="G915" s="596"/>
      <c r="H915" s="488"/>
      <c r="J915" s="437"/>
    </row>
    <row r="916" spans="1:10" s="428" customFormat="1" ht="20.399999999999999" customHeight="1">
      <c r="A916" s="449"/>
      <c r="B916" s="431"/>
      <c r="C916" s="437"/>
      <c r="D916" s="430"/>
      <c r="F916" s="431"/>
      <c r="G916" s="596"/>
      <c r="H916" s="488"/>
      <c r="J916" s="437"/>
    </row>
    <row r="917" spans="1:10" s="428" customFormat="1" ht="20.399999999999999" customHeight="1">
      <c r="A917" s="449"/>
      <c r="B917" s="431"/>
      <c r="C917" s="437"/>
      <c r="D917" s="430"/>
      <c r="F917" s="431"/>
      <c r="G917" s="596"/>
      <c r="H917" s="488"/>
      <c r="J917" s="437"/>
    </row>
    <row r="918" spans="1:10" s="428" customFormat="1" ht="20.399999999999999" customHeight="1">
      <c r="A918" s="449"/>
      <c r="B918" s="431"/>
      <c r="C918" s="437"/>
      <c r="D918" s="430"/>
      <c r="F918" s="431"/>
      <c r="G918" s="596"/>
      <c r="H918" s="488"/>
      <c r="J918" s="437"/>
    </row>
    <row r="919" spans="1:10" s="428" customFormat="1" ht="20.399999999999999" customHeight="1">
      <c r="A919" s="449"/>
      <c r="B919" s="431"/>
      <c r="C919" s="437"/>
      <c r="D919" s="430"/>
      <c r="F919" s="431"/>
      <c r="G919" s="596"/>
      <c r="H919" s="488"/>
      <c r="J919" s="437"/>
    </row>
    <row r="920" spans="1:10" s="428" customFormat="1" ht="20.399999999999999" customHeight="1">
      <c r="A920" s="449"/>
      <c r="B920" s="431"/>
      <c r="C920" s="437"/>
      <c r="D920" s="430"/>
      <c r="F920" s="431"/>
      <c r="G920" s="596"/>
      <c r="H920" s="488"/>
      <c r="J920" s="437"/>
    </row>
    <row r="921" spans="1:10" s="428" customFormat="1" ht="20.399999999999999" customHeight="1">
      <c r="A921" s="449"/>
      <c r="B921" s="431"/>
      <c r="C921" s="437"/>
      <c r="D921" s="430"/>
      <c r="F921" s="431"/>
      <c r="G921" s="596"/>
      <c r="H921" s="488"/>
      <c r="J921" s="437"/>
    </row>
    <row r="922" spans="1:10" s="428" customFormat="1" ht="20.399999999999999" customHeight="1">
      <c r="A922" s="449"/>
      <c r="B922" s="431"/>
      <c r="C922" s="437"/>
      <c r="D922" s="430"/>
      <c r="F922" s="431"/>
      <c r="G922" s="596"/>
      <c r="H922" s="488"/>
      <c r="J922" s="437"/>
    </row>
    <row r="923" spans="1:10" s="428" customFormat="1" ht="20.399999999999999" customHeight="1">
      <c r="A923" s="449"/>
      <c r="B923" s="431"/>
      <c r="C923" s="437"/>
      <c r="D923" s="430"/>
      <c r="F923" s="431"/>
      <c r="G923" s="596"/>
      <c r="H923" s="488"/>
      <c r="J923" s="437"/>
    </row>
    <row r="924" spans="1:10" s="428" customFormat="1" ht="20.399999999999999" customHeight="1">
      <c r="A924" s="449"/>
      <c r="B924" s="431"/>
      <c r="C924" s="437"/>
      <c r="D924" s="430"/>
      <c r="F924" s="431"/>
      <c r="G924" s="596"/>
      <c r="H924" s="488"/>
      <c r="J924" s="437"/>
    </row>
    <row r="925" spans="1:10" s="428" customFormat="1" ht="20.399999999999999" customHeight="1">
      <c r="A925" s="449"/>
      <c r="B925" s="431"/>
      <c r="C925" s="437"/>
      <c r="D925" s="430"/>
      <c r="F925" s="431"/>
      <c r="G925" s="596"/>
      <c r="H925" s="488"/>
      <c r="J925" s="437"/>
    </row>
    <row r="926" spans="1:10" s="428" customFormat="1" ht="20.399999999999999" customHeight="1">
      <c r="A926" s="449"/>
      <c r="B926" s="431"/>
      <c r="C926" s="437"/>
      <c r="D926" s="430"/>
      <c r="F926" s="431"/>
      <c r="G926" s="596"/>
      <c r="H926" s="488"/>
      <c r="J926" s="437"/>
    </row>
    <row r="927" spans="1:10" s="428" customFormat="1" ht="20.399999999999999" customHeight="1">
      <c r="A927" s="449"/>
      <c r="B927" s="431"/>
      <c r="C927" s="437"/>
      <c r="D927" s="430"/>
      <c r="F927" s="431"/>
      <c r="G927" s="596"/>
      <c r="H927" s="488"/>
      <c r="J927" s="437"/>
    </row>
    <row r="928" spans="1:10" s="428" customFormat="1" ht="20.399999999999999" customHeight="1">
      <c r="A928" s="449"/>
      <c r="B928" s="431"/>
      <c r="C928" s="437"/>
      <c r="D928" s="430"/>
      <c r="F928" s="431"/>
      <c r="G928" s="596"/>
      <c r="H928" s="488"/>
      <c r="J928" s="437"/>
    </row>
    <row r="929" spans="1:10" s="428" customFormat="1" ht="20.399999999999999" customHeight="1">
      <c r="A929" s="449"/>
      <c r="B929" s="431"/>
      <c r="C929" s="437"/>
      <c r="D929" s="430"/>
      <c r="F929" s="431"/>
      <c r="G929" s="596"/>
      <c r="H929" s="488"/>
      <c r="J929" s="437"/>
    </row>
    <row r="930" spans="1:10" s="428" customFormat="1" ht="20.399999999999999" customHeight="1">
      <c r="A930" s="449"/>
      <c r="B930" s="431"/>
      <c r="C930" s="437"/>
      <c r="D930" s="430"/>
      <c r="F930" s="431"/>
      <c r="G930" s="596"/>
      <c r="H930" s="488"/>
      <c r="J930" s="437"/>
    </row>
    <row r="931" spans="1:10" s="428" customFormat="1" ht="20.399999999999999" customHeight="1">
      <c r="A931" s="449"/>
      <c r="B931" s="431"/>
      <c r="C931" s="437"/>
      <c r="D931" s="430"/>
      <c r="F931" s="431"/>
      <c r="G931" s="596"/>
      <c r="H931" s="488"/>
      <c r="J931" s="437"/>
    </row>
    <row r="932" spans="1:10" s="428" customFormat="1" ht="20.399999999999999" customHeight="1">
      <c r="A932" s="449"/>
      <c r="B932" s="431"/>
      <c r="C932" s="437"/>
      <c r="D932" s="430"/>
      <c r="F932" s="431"/>
      <c r="G932" s="596"/>
      <c r="H932" s="488"/>
      <c r="J932" s="437"/>
    </row>
    <row r="933" spans="1:10" s="428" customFormat="1" ht="20.399999999999999" customHeight="1">
      <c r="A933" s="449"/>
      <c r="B933" s="431"/>
      <c r="C933" s="437"/>
      <c r="D933" s="430"/>
      <c r="F933" s="431"/>
      <c r="G933" s="596"/>
      <c r="H933" s="488"/>
      <c r="J933" s="437"/>
    </row>
    <row r="934" spans="1:10" s="428" customFormat="1" ht="20.399999999999999" customHeight="1">
      <c r="A934" s="449"/>
      <c r="B934" s="431"/>
      <c r="C934" s="437"/>
      <c r="D934" s="430"/>
      <c r="F934" s="431"/>
      <c r="G934" s="596"/>
      <c r="H934" s="488"/>
      <c r="J934" s="437"/>
    </row>
    <row r="935" spans="1:10" s="428" customFormat="1" ht="20.399999999999999" customHeight="1">
      <c r="A935" s="449"/>
      <c r="B935" s="431"/>
      <c r="C935" s="437"/>
      <c r="D935" s="430"/>
      <c r="F935" s="431"/>
      <c r="G935" s="596"/>
      <c r="H935" s="488"/>
      <c r="J935" s="437"/>
    </row>
    <row r="936" spans="1:10" s="428" customFormat="1" ht="20.399999999999999" customHeight="1">
      <c r="A936" s="449"/>
      <c r="B936" s="431"/>
      <c r="C936" s="437"/>
      <c r="D936" s="430"/>
      <c r="F936" s="431"/>
      <c r="G936" s="596"/>
      <c r="H936" s="488"/>
      <c r="J936" s="437"/>
    </row>
    <row r="937" spans="1:10" s="428" customFormat="1" ht="20.399999999999999" customHeight="1">
      <c r="A937" s="449"/>
      <c r="B937" s="431"/>
      <c r="C937" s="437"/>
      <c r="D937" s="430"/>
      <c r="F937" s="431"/>
      <c r="G937" s="596"/>
      <c r="H937" s="488"/>
      <c r="J937" s="437"/>
    </row>
    <row r="938" spans="1:10" s="428" customFormat="1" ht="20.399999999999999" customHeight="1">
      <c r="A938" s="449"/>
      <c r="B938" s="431"/>
      <c r="C938" s="437"/>
      <c r="D938" s="430"/>
      <c r="F938" s="431"/>
      <c r="G938" s="596"/>
      <c r="H938" s="488"/>
      <c r="J938" s="437"/>
    </row>
    <row r="939" spans="1:10" s="428" customFormat="1" ht="20.399999999999999" customHeight="1">
      <c r="A939" s="449"/>
      <c r="B939" s="431"/>
      <c r="C939" s="437"/>
      <c r="D939" s="430"/>
      <c r="F939" s="431"/>
      <c r="G939" s="596"/>
      <c r="H939" s="488"/>
      <c r="J939" s="437"/>
    </row>
    <row r="940" spans="1:10" s="428" customFormat="1" ht="20.399999999999999" customHeight="1">
      <c r="A940" s="449"/>
      <c r="B940" s="431"/>
      <c r="C940" s="437"/>
      <c r="D940" s="430"/>
      <c r="F940" s="431"/>
      <c r="G940" s="596"/>
      <c r="H940" s="488"/>
      <c r="J940" s="437"/>
    </row>
    <row r="941" spans="1:10" s="428" customFormat="1" ht="20.399999999999999" customHeight="1">
      <c r="A941" s="449"/>
      <c r="B941" s="431"/>
      <c r="C941" s="437"/>
      <c r="D941" s="430"/>
      <c r="F941" s="431"/>
      <c r="G941" s="596"/>
      <c r="H941" s="488"/>
      <c r="J941" s="437"/>
    </row>
    <row r="942" spans="1:10" s="428" customFormat="1" ht="20.399999999999999" customHeight="1">
      <c r="A942" s="449"/>
      <c r="B942" s="431"/>
      <c r="C942" s="437"/>
      <c r="D942" s="430"/>
      <c r="F942" s="431"/>
      <c r="G942" s="596"/>
      <c r="H942" s="488"/>
      <c r="J942" s="437"/>
    </row>
    <row r="943" spans="1:10" s="428" customFormat="1" ht="20.399999999999999" customHeight="1">
      <c r="A943" s="449"/>
      <c r="B943" s="431"/>
      <c r="C943" s="437"/>
      <c r="D943" s="430"/>
      <c r="F943" s="431"/>
      <c r="G943" s="596"/>
      <c r="H943" s="488"/>
      <c r="J943" s="437"/>
    </row>
    <row r="944" spans="1:10" s="428" customFormat="1" ht="20.399999999999999" customHeight="1">
      <c r="A944" s="449"/>
      <c r="B944" s="431"/>
      <c r="C944" s="437"/>
      <c r="D944" s="430"/>
      <c r="F944" s="431"/>
      <c r="G944" s="596"/>
      <c r="H944" s="488"/>
      <c r="J944" s="437"/>
    </row>
    <row r="945" spans="1:10" s="428" customFormat="1" ht="20.399999999999999" customHeight="1">
      <c r="A945" s="449"/>
      <c r="B945" s="431"/>
      <c r="C945" s="437"/>
      <c r="D945" s="430"/>
      <c r="F945" s="431"/>
      <c r="G945" s="596"/>
      <c r="H945" s="488"/>
      <c r="J945" s="437"/>
    </row>
    <row r="946" spans="1:10" s="428" customFormat="1" ht="20.399999999999999" customHeight="1">
      <c r="A946" s="449"/>
      <c r="B946" s="431"/>
      <c r="C946" s="437"/>
      <c r="D946" s="430"/>
      <c r="F946" s="431"/>
      <c r="G946" s="596"/>
      <c r="H946" s="488"/>
      <c r="J946" s="437"/>
    </row>
    <row r="947" spans="1:10" s="428" customFormat="1" ht="20.399999999999999" customHeight="1">
      <c r="A947" s="449"/>
      <c r="B947" s="431"/>
      <c r="C947" s="437"/>
      <c r="D947" s="430"/>
      <c r="F947" s="431"/>
      <c r="G947" s="596"/>
      <c r="H947" s="488"/>
      <c r="J947" s="437"/>
    </row>
    <row r="948" spans="1:10" s="428" customFormat="1" ht="20.399999999999999" customHeight="1">
      <c r="A948" s="449"/>
      <c r="B948" s="431"/>
      <c r="C948" s="437"/>
      <c r="D948" s="430"/>
      <c r="F948" s="431"/>
      <c r="G948" s="596"/>
      <c r="H948" s="488"/>
      <c r="J948" s="437"/>
    </row>
    <row r="949" spans="1:10" s="428" customFormat="1" ht="20.399999999999999" customHeight="1">
      <c r="A949" s="449"/>
      <c r="B949" s="431"/>
      <c r="C949" s="437"/>
      <c r="D949" s="430"/>
      <c r="F949" s="431"/>
      <c r="G949" s="596"/>
      <c r="H949" s="488"/>
      <c r="J949" s="437"/>
    </row>
    <row r="950" spans="1:10" s="428" customFormat="1" ht="20.399999999999999" customHeight="1">
      <c r="A950" s="449"/>
      <c r="B950" s="431"/>
      <c r="C950" s="437"/>
      <c r="D950" s="430"/>
      <c r="F950" s="431"/>
      <c r="G950" s="596"/>
      <c r="H950" s="488"/>
      <c r="J950" s="437"/>
    </row>
    <row r="951" spans="1:10" s="428" customFormat="1" ht="20.399999999999999" customHeight="1">
      <c r="A951" s="449"/>
      <c r="B951" s="431"/>
      <c r="C951" s="437"/>
      <c r="D951" s="430"/>
      <c r="F951" s="431"/>
      <c r="G951" s="596"/>
      <c r="H951" s="488"/>
      <c r="J951" s="437"/>
    </row>
    <row r="952" spans="1:10" s="428" customFormat="1" ht="20.399999999999999" customHeight="1">
      <c r="A952" s="449"/>
      <c r="B952" s="431"/>
      <c r="C952" s="437"/>
      <c r="D952" s="430"/>
      <c r="F952" s="431"/>
      <c r="G952" s="596"/>
      <c r="H952" s="488"/>
      <c r="J952" s="437"/>
    </row>
    <row r="953" spans="1:10" s="428" customFormat="1" ht="20.399999999999999" customHeight="1">
      <c r="A953" s="449"/>
      <c r="B953" s="431"/>
      <c r="C953" s="437"/>
      <c r="D953" s="430"/>
      <c r="F953" s="431"/>
      <c r="G953" s="596"/>
      <c r="H953" s="488"/>
      <c r="J953" s="437"/>
    </row>
    <row r="954" spans="1:10" s="428" customFormat="1" ht="20.399999999999999" customHeight="1">
      <c r="A954" s="449"/>
      <c r="B954" s="431"/>
      <c r="C954" s="437"/>
      <c r="D954" s="430"/>
      <c r="F954" s="431"/>
      <c r="G954" s="596"/>
      <c r="H954" s="488"/>
      <c r="J954" s="437"/>
    </row>
    <row r="955" spans="1:10" s="428" customFormat="1" ht="20.399999999999999" customHeight="1">
      <c r="A955" s="449"/>
      <c r="B955" s="431"/>
      <c r="C955" s="437"/>
      <c r="D955" s="430"/>
      <c r="F955" s="431"/>
      <c r="G955" s="596"/>
      <c r="H955" s="488"/>
      <c r="J955" s="437"/>
    </row>
    <row r="956" spans="1:10" s="428" customFormat="1" ht="20.399999999999999" customHeight="1">
      <c r="A956" s="449"/>
      <c r="B956" s="431"/>
      <c r="C956" s="437"/>
      <c r="D956" s="430"/>
      <c r="F956" s="431"/>
      <c r="G956" s="596"/>
      <c r="H956" s="488"/>
      <c r="J956" s="437"/>
    </row>
    <row r="957" spans="1:10" s="428" customFormat="1" ht="20.399999999999999" customHeight="1">
      <c r="A957" s="449"/>
      <c r="B957" s="431"/>
      <c r="C957" s="437"/>
      <c r="D957" s="430"/>
      <c r="F957" s="431"/>
      <c r="G957" s="596"/>
      <c r="H957" s="488"/>
      <c r="J957" s="437"/>
    </row>
    <row r="958" spans="1:10" s="428" customFormat="1" ht="20.399999999999999" customHeight="1">
      <c r="A958" s="449"/>
      <c r="B958" s="431"/>
      <c r="C958" s="437"/>
      <c r="D958" s="430"/>
      <c r="F958" s="431"/>
      <c r="G958" s="596"/>
      <c r="H958" s="488"/>
      <c r="J958" s="437"/>
    </row>
    <row r="959" spans="1:10" s="428" customFormat="1" ht="20.399999999999999" customHeight="1">
      <c r="A959" s="449"/>
      <c r="B959" s="431"/>
      <c r="C959" s="437"/>
      <c r="D959" s="430"/>
      <c r="F959" s="431"/>
      <c r="G959" s="596"/>
      <c r="H959" s="488"/>
      <c r="J959" s="437"/>
    </row>
    <row r="960" spans="1:10" s="428" customFormat="1" ht="20.399999999999999" customHeight="1">
      <c r="A960" s="449"/>
      <c r="B960" s="431"/>
      <c r="C960" s="437"/>
      <c r="D960" s="430"/>
      <c r="F960" s="431"/>
      <c r="G960" s="596"/>
      <c r="H960" s="488"/>
      <c r="J960" s="437"/>
    </row>
    <row r="961" spans="1:10" s="428" customFormat="1" ht="20.399999999999999" customHeight="1">
      <c r="A961" s="449"/>
      <c r="B961" s="431"/>
      <c r="C961" s="437"/>
      <c r="D961" s="430"/>
      <c r="F961" s="431"/>
      <c r="G961" s="596"/>
      <c r="H961" s="488"/>
      <c r="J961" s="437"/>
    </row>
    <row r="962" spans="1:10" s="428" customFormat="1" ht="20.399999999999999" customHeight="1">
      <c r="A962" s="449"/>
      <c r="B962" s="431"/>
      <c r="C962" s="437"/>
      <c r="D962" s="430"/>
      <c r="F962" s="431"/>
      <c r="G962" s="596"/>
      <c r="H962" s="488"/>
      <c r="J962" s="437"/>
    </row>
    <row r="963" spans="1:10" s="428" customFormat="1" ht="20.399999999999999" customHeight="1">
      <c r="A963" s="449"/>
      <c r="B963" s="431"/>
      <c r="C963" s="437"/>
      <c r="D963" s="430"/>
      <c r="F963" s="431"/>
      <c r="G963" s="596"/>
      <c r="H963" s="488"/>
      <c r="J963" s="437"/>
    </row>
    <row r="964" spans="1:10" s="428" customFormat="1" ht="20.399999999999999" customHeight="1">
      <c r="A964" s="449"/>
      <c r="B964" s="431"/>
      <c r="C964" s="437"/>
      <c r="D964" s="430"/>
      <c r="F964" s="431"/>
      <c r="G964" s="596"/>
      <c r="H964" s="488"/>
      <c r="J964" s="437"/>
    </row>
    <row r="965" spans="1:10" s="428" customFormat="1" ht="20.399999999999999" customHeight="1">
      <c r="A965" s="449"/>
      <c r="B965" s="431"/>
      <c r="C965" s="437"/>
      <c r="D965" s="430"/>
      <c r="F965" s="431"/>
      <c r="G965" s="596"/>
      <c r="H965" s="488"/>
      <c r="J965" s="437"/>
    </row>
    <row r="966" spans="1:10" s="428" customFormat="1" ht="20.399999999999999" customHeight="1">
      <c r="A966" s="449"/>
      <c r="B966" s="431"/>
      <c r="C966" s="437"/>
      <c r="D966" s="430"/>
      <c r="F966" s="431"/>
      <c r="G966" s="596"/>
      <c r="H966" s="488"/>
      <c r="J966" s="437"/>
    </row>
    <row r="967" spans="1:10" s="428" customFormat="1" ht="20.399999999999999" customHeight="1">
      <c r="A967" s="449"/>
      <c r="B967" s="431"/>
      <c r="C967" s="437"/>
      <c r="D967" s="430"/>
      <c r="F967" s="431"/>
      <c r="G967" s="596"/>
      <c r="H967" s="488"/>
      <c r="J967" s="437"/>
    </row>
    <row r="968" spans="1:10" s="428" customFormat="1" ht="20.399999999999999" customHeight="1">
      <c r="A968" s="449"/>
      <c r="B968" s="431"/>
      <c r="C968" s="437"/>
      <c r="D968" s="430"/>
      <c r="F968" s="431"/>
      <c r="G968" s="596"/>
      <c r="H968" s="488"/>
      <c r="J968" s="437"/>
    </row>
    <row r="969" spans="1:10" s="428" customFormat="1" ht="20.399999999999999" customHeight="1">
      <c r="A969" s="449"/>
      <c r="B969" s="431"/>
      <c r="C969" s="437"/>
      <c r="D969" s="430"/>
      <c r="F969" s="431"/>
      <c r="G969" s="596"/>
      <c r="H969" s="488"/>
      <c r="J969" s="437"/>
    </row>
    <row r="970" spans="1:10" s="428" customFormat="1" ht="20.399999999999999" customHeight="1">
      <c r="A970" s="449"/>
      <c r="B970" s="431"/>
      <c r="C970" s="437"/>
      <c r="D970" s="430"/>
      <c r="F970" s="431"/>
      <c r="G970" s="596"/>
      <c r="H970" s="488"/>
      <c r="J970" s="437"/>
    </row>
    <row r="971" spans="1:10" s="428" customFormat="1" ht="20.399999999999999" customHeight="1">
      <c r="A971" s="449"/>
      <c r="B971" s="431"/>
      <c r="C971" s="437"/>
      <c r="D971" s="430"/>
      <c r="F971" s="431"/>
      <c r="G971" s="596"/>
      <c r="H971" s="488"/>
      <c r="J971" s="437"/>
    </row>
    <row r="972" spans="1:10" s="428" customFormat="1" ht="20.399999999999999" customHeight="1">
      <c r="A972" s="449"/>
      <c r="B972" s="431"/>
      <c r="C972" s="437"/>
      <c r="D972" s="430"/>
      <c r="F972" s="431"/>
      <c r="G972" s="596"/>
      <c r="H972" s="488"/>
      <c r="J972" s="437"/>
    </row>
    <row r="973" spans="1:10" s="428" customFormat="1" ht="20.399999999999999" customHeight="1">
      <c r="A973" s="449"/>
      <c r="B973" s="431"/>
      <c r="C973" s="437"/>
      <c r="D973" s="430"/>
      <c r="F973" s="431"/>
      <c r="G973" s="596"/>
      <c r="H973" s="488"/>
      <c r="J973" s="437"/>
    </row>
    <row r="974" spans="1:10" s="428" customFormat="1" ht="20.399999999999999" customHeight="1">
      <c r="A974" s="449"/>
      <c r="B974" s="431"/>
      <c r="C974" s="437"/>
      <c r="D974" s="430"/>
      <c r="F974" s="431"/>
      <c r="G974" s="596"/>
      <c r="H974" s="488"/>
      <c r="J974" s="437"/>
    </row>
    <row r="975" spans="1:10" s="428" customFormat="1" ht="20.399999999999999" customHeight="1">
      <c r="A975" s="449"/>
      <c r="B975" s="431"/>
      <c r="C975" s="437"/>
      <c r="D975" s="430"/>
      <c r="F975" s="431"/>
      <c r="G975" s="596"/>
      <c r="H975" s="488"/>
      <c r="J975" s="437"/>
    </row>
    <row r="976" spans="1:10" s="428" customFormat="1" ht="20.399999999999999" customHeight="1">
      <c r="A976" s="449"/>
      <c r="B976" s="431"/>
      <c r="C976" s="437"/>
      <c r="D976" s="430"/>
      <c r="F976" s="431"/>
      <c r="G976" s="596"/>
      <c r="H976" s="488"/>
      <c r="J976" s="437"/>
    </row>
    <row r="977" spans="1:10" s="428" customFormat="1" ht="20.399999999999999" customHeight="1">
      <c r="A977" s="449"/>
      <c r="B977" s="431"/>
      <c r="C977" s="437"/>
      <c r="D977" s="430"/>
      <c r="F977" s="431"/>
      <c r="G977" s="596"/>
      <c r="H977" s="488"/>
      <c r="J977" s="437"/>
    </row>
    <row r="978" spans="1:10" s="428" customFormat="1" ht="20.399999999999999" customHeight="1">
      <c r="A978" s="449"/>
      <c r="B978" s="431"/>
      <c r="C978" s="437"/>
      <c r="D978" s="430"/>
      <c r="F978" s="431"/>
      <c r="G978" s="596"/>
      <c r="H978" s="488"/>
      <c r="J978" s="437"/>
    </row>
    <row r="979" spans="1:10" s="428" customFormat="1" ht="20.399999999999999" customHeight="1">
      <c r="A979" s="449"/>
      <c r="B979" s="431"/>
      <c r="C979" s="437"/>
      <c r="D979" s="430"/>
      <c r="F979" s="431"/>
      <c r="G979" s="596"/>
      <c r="H979" s="488"/>
      <c r="J979" s="437"/>
    </row>
    <row r="980" spans="1:10" s="428" customFormat="1" ht="20.399999999999999" customHeight="1">
      <c r="A980" s="449"/>
      <c r="B980" s="431"/>
      <c r="C980" s="437"/>
      <c r="D980" s="430"/>
      <c r="F980" s="431"/>
      <c r="G980" s="596"/>
      <c r="H980" s="488"/>
      <c r="J980" s="437"/>
    </row>
    <row r="981" spans="1:10" s="428" customFormat="1" ht="20.399999999999999" customHeight="1">
      <c r="A981" s="449"/>
      <c r="B981" s="431"/>
      <c r="C981" s="437"/>
      <c r="D981" s="430"/>
      <c r="F981" s="431"/>
      <c r="G981" s="596"/>
      <c r="H981" s="488"/>
      <c r="J981" s="437"/>
    </row>
    <row r="982" spans="1:10" s="428" customFormat="1" ht="20.399999999999999" customHeight="1">
      <c r="A982" s="449"/>
      <c r="B982" s="431"/>
      <c r="C982" s="437"/>
      <c r="D982" s="430"/>
      <c r="F982" s="431"/>
      <c r="G982" s="596"/>
      <c r="H982" s="488"/>
      <c r="J982" s="437"/>
    </row>
    <row r="983" spans="1:10" s="428" customFormat="1" ht="20.399999999999999" customHeight="1">
      <c r="A983" s="449"/>
      <c r="B983" s="431"/>
      <c r="C983" s="437"/>
      <c r="D983" s="430"/>
      <c r="F983" s="431"/>
      <c r="G983" s="596"/>
      <c r="H983" s="488"/>
      <c r="J983" s="437"/>
    </row>
    <row r="984" spans="1:10" s="428" customFormat="1" ht="20.399999999999999" customHeight="1">
      <c r="A984" s="449"/>
      <c r="B984" s="431"/>
      <c r="C984" s="437"/>
      <c r="D984" s="430"/>
      <c r="F984" s="431"/>
      <c r="G984" s="596"/>
      <c r="H984" s="488"/>
      <c r="J984" s="437"/>
    </row>
    <row r="985" spans="1:10" s="428" customFormat="1" ht="20.399999999999999" customHeight="1">
      <c r="A985" s="449"/>
      <c r="B985" s="431"/>
      <c r="C985" s="437"/>
      <c r="D985" s="430"/>
      <c r="F985" s="431"/>
      <c r="G985" s="596"/>
      <c r="H985" s="488"/>
      <c r="J985" s="437"/>
    </row>
    <row r="986" spans="1:10" s="428" customFormat="1" ht="20.399999999999999" customHeight="1">
      <c r="A986" s="449"/>
      <c r="B986" s="431"/>
      <c r="C986" s="437"/>
      <c r="D986" s="430"/>
      <c r="F986" s="431"/>
      <c r="G986" s="596"/>
      <c r="H986" s="488"/>
      <c r="J986" s="437"/>
    </row>
    <row r="987" spans="1:10" s="428" customFormat="1" ht="20.399999999999999" customHeight="1">
      <c r="A987" s="449"/>
      <c r="B987" s="431"/>
      <c r="C987" s="437"/>
      <c r="D987" s="430"/>
      <c r="F987" s="431"/>
      <c r="G987" s="596"/>
      <c r="H987" s="488"/>
      <c r="J987" s="437"/>
    </row>
    <row r="988" spans="1:10" s="428" customFormat="1" ht="20.399999999999999" customHeight="1">
      <c r="A988" s="449"/>
      <c r="B988" s="431"/>
      <c r="C988" s="437"/>
      <c r="D988" s="430"/>
      <c r="F988" s="431"/>
      <c r="G988" s="596"/>
      <c r="H988" s="488"/>
      <c r="J988" s="437"/>
    </row>
    <row r="989" spans="1:10" s="428" customFormat="1" ht="20.399999999999999" customHeight="1">
      <c r="A989" s="449"/>
      <c r="B989" s="431"/>
      <c r="C989" s="437"/>
      <c r="D989" s="430"/>
      <c r="F989" s="431"/>
      <c r="G989" s="596"/>
      <c r="H989" s="488"/>
      <c r="J989" s="437"/>
    </row>
    <row r="990" spans="1:10" s="428" customFormat="1" ht="20.399999999999999" customHeight="1">
      <c r="A990" s="449"/>
      <c r="B990" s="431"/>
      <c r="C990" s="437"/>
      <c r="D990" s="430"/>
      <c r="F990" s="431"/>
      <c r="G990" s="596"/>
      <c r="H990" s="488"/>
      <c r="J990" s="437"/>
    </row>
    <row r="991" spans="1:10" s="428" customFormat="1" ht="20.399999999999999" customHeight="1">
      <c r="A991" s="449"/>
      <c r="B991" s="431"/>
      <c r="C991" s="437"/>
      <c r="D991" s="430"/>
      <c r="F991" s="431"/>
      <c r="G991" s="596"/>
      <c r="H991" s="488"/>
      <c r="J991" s="437"/>
    </row>
    <row r="992" spans="1:10" s="428" customFormat="1" ht="20.399999999999999" customHeight="1">
      <c r="A992" s="449"/>
      <c r="B992" s="431"/>
      <c r="C992" s="437"/>
      <c r="D992" s="430"/>
      <c r="F992" s="431"/>
      <c r="G992" s="596"/>
      <c r="H992" s="488"/>
      <c r="J992" s="437"/>
    </row>
    <row r="993" spans="1:10" s="428" customFormat="1" ht="20.399999999999999" customHeight="1">
      <c r="A993" s="449"/>
      <c r="B993" s="431"/>
      <c r="C993" s="437"/>
      <c r="D993" s="430"/>
      <c r="F993" s="431"/>
      <c r="G993" s="596"/>
      <c r="H993" s="488"/>
      <c r="J993" s="437"/>
    </row>
    <row r="994" spans="1:10" s="428" customFormat="1" ht="20.399999999999999" customHeight="1">
      <c r="A994" s="449"/>
      <c r="B994" s="431"/>
      <c r="C994" s="437"/>
      <c r="D994" s="430"/>
      <c r="F994" s="431"/>
      <c r="G994" s="596"/>
      <c r="H994" s="488"/>
      <c r="J994" s="437"/>
    </row>
    <row r="995" spans="1:10" s="428" customFormat="1" ht="20.399999999999999" customHeight="1">
      <c r="A995" s="449"/>
      <c r="B995" s="431"/>
      <c r="C995" s="437"/>
      <c r="D995" s="430"/>
      <c r="F995" s="431"/>
      <c r="G995" s="596"/>
      <c r="H995" s="488"/>
      <c r="J995" s="437"/>
    </row>
    <row r="996" spans="1:10" s="428" customFormat="1" ht="20.399999999999999" customHeight="1">
      <c r="A996" s="449"/>
      <c r="B996" s="431"/>
      <c r="C996" s="437"/>
      <c r="D996" s="430"/>
      <c r="F996" s="431"/>
      <c r="G996" s="596"/>
      <c r="H996" s="488"/>
      <c r="J996" s="437"/>
    </row>
    <row r="997" spans="1:10" s="428" customFormat="1" ht="20.399999999999999" customHeight="1">
      <c r="A997" s="449"/>
      <c r="B997" s="431"/>
      <c r="C997" s="437"/>
      <c r="D997" s="430"/>
      <c r="F997" s="431"/>
      <c r="G997" s="596"/>
      <c r="H997" s="488"/>
      <c r="J997" s="437"/>
    </row>
    <row r="998" spans="1:10" s="428" customFormat="1" ht="20.399999999999999" customHeight="1">
      <c r="A998" s="449"/>
      <c r="B998" s="431"/>
      <c r="C998" s="437"/>
      <c r="D998" s="430"/>
      <c r="F998" s="431"/>
      <c r="G998" s="596"/>
      <c r="H998" s="488"/>
      <c r="J998" s="437"/>
    </row>
    <row r="999" spans="1:10" s="428" customFormat="1" ht="20.399999999999999" customHeight="1">
      <c r="A999" s="449"/>
      <c r="B999" s="431"/>
      <c r="C999" s="437"/>
      <c r="D999" s="430"/>
      <c r="F999" s="431"/>
      <c r="G999" s="596"/>
      <c r="H999" s="488"/>
      <c r="J999" s="437"/>
    </row>
    <row r="1000" spans="1:10" s="428" customFormat="1" ht="20.399999999999999" customHeight="1">
      <c r="A1000" s="449"/>
      <c r="B1000" s="431"/>
      <c r="C1000" s="437"/>
      <c r="D1000" s="430"/>
      <c r="F1000" s="431"/>
      <c r="G1000" s="596"/>
      <c r="H1000" s="488"/>
      <c r="J1000" s="437"/>
    </row>
    <row r="1001" spans="1:10" s="428" customFormat="1" ht="20.399999999999999" customHeight="1">
      <c r="A1001" s="449"/>
      <c r="B1001" s="431"/>
      <c r="C1001" s="437"/>
      <c r="D1001" s="430"/>
      <c r="F1001" s="431"/>
      <c r="G1001" s="596"/>
      <c r="H1001" s="488"/>
      <c r="J1001" s="437"/>
    </row>
    <row r="1002" spans="1:10" s="428" customFormat="1" ht="20.399999999999999" customHeight="1">
      <c r="A1002" s="449"/>
      <c r="B1002" s="431"/>
      <c r="C1002" s="437"/>
      <c r="D1002" s="430"/>
      <c r="F1002" s="431"/>
      <c r="G1002" s="596"/>
      <c r="H1002" s="488"/>
      <c r="J1002" s="437"/>
    </row>
    <row r="1003" spans="1:10" s="428" customFormat="1" ht="20.399999999999999" customHeight="1">
      <c r="A1003" s="449"/>
      <c r="B1003" s="431"/>
      <c r="C1003" s="437"/>
      <c r="D1003" s="430"/>
      <c r="F1003" s="431"/>
      <c r="G1003" s="596"/>
      <c r="H1003" s="488"/>
      <c r="J1003" s="437"/>
    </row>
    <row r="1004" spans="1:10" s="428" customFormat="1" ht="20.399999999999999" customHeight="1">
      <c r="A1004" s="449"/>
      <c r="B1004" s="431"/>
      <c r="C1004" s="437"/>
      <c r="D1004" s="430"/>
      <c r="F1004" s="431"/>
      <c r="G1004" s="596"/>
      <c r="H1004" s="488"/>
      <c r="J1004" s="437"/>
    </row>
    <row r="1005" spans="1:10" s="428" customFormat="1" ht="20.399999999999999" customHeight="1">
      <c r="A1005" s="449"/>
      <c r="B1005" s="431"/>
      <c r="C1005" s="437"/>
      <c r="D1005" s="430"/>
      <c r="F1005" s="431"/>
      <c r="G1005" s="596"/>
      <c r="H1005" s="488"/>
      <c r="J1005" s="437"/>
    </row>
    <row r="1006" spans="1:10" s="428" customFormat="1" ht="20.399999999999999" customHeight="1">
      <c r="A1006" s="449"/>
      <c r="B1006" s="431"/>
      <c r="C1006" s="437"/>
      <c r="D1006" s="430"/>
      <c r="F1006" s="431"/>
      <c r="G1006" s="596"/>
      <c r="H1006" s="488"/>
      <c r="J1006" s="437"/>
    </row>
    <row r="1007" spans="1:10" s="428" customFormat="1" ht="20.399999999999999" customHeight="1">
      <c r="A1007" s="449"/>
      <c r="B1007" s="431"/>
      <c r="C1007" s="437"/>
      <c r="D1007" s="430"/>
      <c r="F1007" s="431"/>
      <c r="G1007" s="596"/>
      <c r="H1007" s="488"/>
      <c r="J1007" s="437"/>
    </row>
    <row r="1008" spans="1:10" s="428" customFormat="1" ht="20.399999999999999" customHeight="1">
      <c r="A1008" s="449"/>
      <c r="B1008" s="431"/>
      <c r="C1008" s="437"/>
      <c r="D1008" s="430"/>
      <c r="F1008" s="431"/>
      <c r="G1008" s="596"/>
      <c r="H1008" s="488"/>
      <c r="J1008" s="437"/>
    </row>
    <row r="1009" spans="1:10" s="428" customFormat="1" ht="20.399999999999999" customHeight="1">
      <c r="A1009" s="449"/>
      <c r="B1009" s="431"/>
      <c r="C1009" s="437"/>
      <c r="D1009" s="430"/>
      <c r="F1009" s="431"/>
      <c r="G1009" s="596"/>
      <c r="H1009" s="488"/>
      <c r="J1009" s="437"/>
    </row>
    <row r="1010" spans="1:10" s="428" customFormat="1" ht="20.399999999999999" customHeight="1">
      <c r="A1010" s="449"/>
      <c r="B1010" s="431"/>
      <c r="C1010" s="437"/>
      <c r="D1010" s="430"/>
      <c r="F1010" s="431"/>
      <c r="G1010" s="596"/>
      <c r="H1010" s="488"/>
      <c r="J1010" s="437"/>
    </row>
    <row r="1011" spans="1:10" s="428" customFormat="1" ht="20.399999999999999" customHeight="1">
      <c r="A1011" s="449"/>
      <c r="B1011" s="431"/>
      <c r="C1011" s="437"/>
      <c r="D1011" s="430"/>
      <c r="F1011" s="431"/>
      <c r="G1011" s="596"/>
      <c r="H1011" s="488"/>
      <c r="J1011" s="437"/>
    </row>
    <row r="1012" spans="1:10" s="428" customFormat="1" ht="20.399999999999999" customHeight="1">
      <c r="A1012" s="449"/>
      <c r="B1012" s="431"/>
      <c r="C1012" s="437"/>
      <c r="D1012" s="430"/>
      <c r="F1012" s="431"/>
      <c r="G1012" s="596"/>
      <c r="H1012" s="488"/>
      <c r="J1012" s="437"/>
    </row>
    <row r="1013" spans="1:10" s="428" customFormat="1" ht="20.399999999999999" customHeight="1">
      <c r="A1013" s="449"/>
      <c r="B1013" s="431"/>
      <c r="C1013" s="437"/>
      <c r="D1013" s="430"/>
      <c r="F1013" s="431"/>
      <c r="G1013" s="596"/>
      <c r="H1013" s="488"/>
      <c r="J1013" s="437"/>
    </row>
    <row r="1014" spans="1:10" s="428" customFormat="1" ht="20.399999999999999" customHeight="1">
      <c r="A1014" s="449"/>
      <c r="B1014" s="431"/>
      <c r="C1014" s="437"/>
      <c r="D1014" s="430"/>
      <c r="F1014" s="431"/>
      <c r="G1014" s="596"/>
      <c r="H1014" s="488"/>
      <c r="J1014" s="437"/>
    </row>
    <row r="1015" spans="1:10" s="428" customFormat="1" ht="20.399999999999999" customHeight="1">
      <c r="A1015" s="449"/>
      <c r="B1015" s="431"/>
      <c r="C1015" s="437"/>
      <c r="D1015" s="430"/>
      <c r="F1015" s="431"/>
      <c r="G1015" s="596"/>
      <c r="H1015" s="488"/>
      <c r="J1015" s="437"/>
    </row>
    <row r="1016" spans="1:10" s="428" customFormat="1">
      <c r="A1016" s="449"/>
      <c r="B1016" s="431"/>
      <c r="C1016" s="437"/>
      <c r="F1016" s="431"/>
      <c r="G1016" s="596"/>
      <c r="H1016" s="488"/>
      <c r="J1016" s="437"/>
    </row>
    <row r="1017" spans="1:10" s="428" customFormat="1">
      <c r="A1017" s="449"/>
      <c r="B1017" s="431"/>
      <c r="C1017" s="437"/>
      <c r="F1017" s="431"/>
      <c r="G1017" s="596"/>
      <c r="H1017" s="488"/>
      <c r="J1017" s="437"/>
    </row>
    <row r="1018" spans="1:10" s="428" customFormat="1">
      <c r="A1018" s="449"/>
      <c r="B1018" s="431"/>
      <c r="C1018" s="437"/>
      <c r="F1018" s="431"/>
      <c r="G1018" s="596"/>
      <c r="H1018" s="488"/>
      <c r="J1018" s="437"/>
    </row>
    <row r="1019" spans="1:10" s="428" customFormat="1">
      <c r="A1019" s="449"/>
      <c r="B1019" s="431"/>
      <c r="C1019" s="437"/>
      <c r="F1019" s="431"/>
      <c r="G1019" s="596"/>
      <c r="H1019" s="488"/>
      <c r="J1019" s="437"/>
    </row>
    <row r="1020" spans="1:10" s="428" customFormat="1">
      <c r="A1020" s="449"/>
      <c r="B1020" s="431"/>
      <c r="C1020" s="437"/>
      <c r="F1020" s="431"/>
      <c r="G1020" s="596"/>
      <c r="H1020" s="488"/>
      <c r="J1020" s="437"/>
    </row>
    <row r="1021" spans="1:10" s="428" customFormat="1">
      <c r="A1021" s="449"/>
      <c r="B1021" s="431"/>
      <c r="C1021" s="437"/>
      <c r="F1021" s="431"/>
      <c r="G1021" s="596"/>
      <c r="H1021" s="488"/>
      <c r="J1021" s="437"/>
    </row>
    <row r="1022" spans="1:10" s="428" customFormat="1">
      <c r="A1022" s="449"/>
      <c r="B1022" s="431"/>
      <c r="C1022" s="437"/>
      <c r="F1022" s="431"/>
      <c r="G1022" s="596"/>
      <c r="H1022" s="488"/>
      <c r="J1022" s="437"/>
    </row>
    <row r="1023" spans="1:10" s="428" customFormat="1">
      <c r="A1023" s="449"/>
      <c r="B1023" s="431"/>
      <c r="C1023" s="437"/>
      <c r="F1023" s="431"/>
      <c r="G1023" s="596"/>
      <c r="H1023" s="488"/>
      <c r="J1023" s="437"/>
    </row>
    <row r="1024" spans="1:10" s="428" customFormat="1">
      <c r="A1024" s="449"/>
      <c r="B1024" s="431"/>
      <c r="C1024" s="437"/>
      <c r="F1024" s="431"/>
      <c r="G1024" s="596"/>
      <c r="H1024" s="488"/>
      <c r="J1024" s="437"/>
    </row>
    <row r="1025" spans="1:10" s="428" customFormat="1">
      <c r="A1025" s="449"/>
      <c r="B1025" s="431"/>
      <c r="C1025" s="437"/>
      <c r="F1025" s="431"/>
      <c r="G1025" s="596"/>
      <c r="H1025" s="488"/>
      <c r="J1025" s="437"/>
    </row>
    <row r="1026" spans="1:10" s="428" customFormat="1">
      <c r="A1026" s="449"/>
      <c r="B1026" s="431"/>
      <c r="C1026" s="437"/>
      <c r="F1026" s="431"/>
      <c r="G1026" s="596"/>
      <c r="H1026" s="488"/>
      <c r="J1026" s="437"/>
    </row>
    <row r="1027" spans="1:10" s="428" customFormat="1">
      <c r="A1027" s="449"/>
      <c r="B1027" s="431"/>
      <c r="C1027" s="437"/>
      <c r="F1027" s="431"/>
      <c r="G1027" s="596"/>
      <c r="H1027" s="488"/>
      <c r="J1027" s="437"/>
    </row>
    <row r="1028" spans="1:10" s="428" customFormat="1">
      <c r="A1028" s="449"/>
      <c r="B1028" s="431"/>
      <c r="C1028" s="437"/>
      <c r="F1028" s="431"/>
      <c r="G1028" s="596"/>
      <c r="H1028" s="488"/>
      <c r="J1028" s="437"/>
    </row>
    <row r="1029" spans="1:10" s="428" customFormat="1">
      <c r="A1029" s="449"/>
      <c r="B1029" s="431"/>
      <c r="C1029" s="437"/>
      <c r="F1029" s="431"/>
      <c r="G1029" s="596"/>
      <c r="H1029" s="488"/>
      <c r="J1029" s="437"/>
    </row>
    <row r="1030" spans="1:10" s="428" customFormat="1">
      <c r="A1030" s="449"/>
      <c r="B1030" s="431"/>
      <c r="C1030" s="437"/>
      <c r="F1030" s="431"/>
      <c r="G1030" s="596"/>
      <c r="H1030" s="488"/>
      <c r="J1030" s="437"/>
    </row>
    <row r="1031" spans="1:10" s="428" customFormat="1">
      <c r="A1031" s="449"/>
      <c r="B1031" s="431"/>
      <c r="C1031" s="437"/>
      <c r="F1031" s="431"/>
      <c r="G1031" s="596"/>
      <c r="H1031" s="488"/>
      <c r="J1031" s="437"/>
    </row>
    <row r="1032" spans="1:10" s="428" customFormat="1">
      <c r="A1032" s="449"/>
      <c r="B1032" s="431"/>
      <c r="C1032" s="437"/>
      <c r="F1032" s="431"/>
      <c r="G1032" s="596"/>
      <c r="H1032" s="488"/>
      <c r="J1032" s="437"/>
    </row>
    <row r="1033" spans="1:10" s="428" customFormat="1">
      <c r="A1033" s="449"/>
      <c r="B1033" s="431"/>
      <c r="C1033" s="437"/>
      <c r="F1033" s="431"/>
      <c r="G1033" s="596"/>
      <c r="H1033" s="488"/>
      <c r="J1033" s="437"/>
    </row>
    <row r="1034" spans="1:10" s="428" customFormat="1">
      <c r="A1034" s="449"/>
      <c r="B1034" s="431"/>
      <c r="C1034" s="437"/>
      <c r="F1034" s="431"/>
      <c r="G1034" s="596"/>
      <c r="H1034" s="488"/>
      <c r="J1034" s="437"/>
    </row>
    <row r="1035" spans="1:10" s="428" customFormat="1">
      <c r="A1035" s="449"/>
      <c r="B1035" s="431"/>
      <c r="C1035" s="437"/>
      <c r="F1035" s="431"/>
      <c r="G1035" s="596"/>
      <c r="H1035" s="488"/>
      <c r="J1035" s="437"/>
    </row>
    <row r="1036" spans="1:10" s="428" customFormat="1">
      <c r="A1036" s="449"/>
      <c r="B1036" s="431"/>
      <c r="C1036" s="437"/>
      <c r="F1036" s="431"/>
      <c r="G1036" s="596"/>
      <c r="H1036" s="488"/>
      <c r="J1036" s="437"/>
    </row>
    <row r="1037" spans="1:10" s="428" customFormat="1">
      <c r="A1037" s="449"/>
      <c r="B1037" s="431"/>
      <c r="C1037" s="437"/>
      <c r="F1037" s="431"/>
      <c r="G1037" s="596"/>
      <c r="H1037" s="488"/>
      <c r="J1037" s="437"/>
    </row>
    <row r="1038" spans="1:10" s="428" customFormat="1">
      <c r="A1038" s="449"/>
      <c r="B1038" s="431"/>
      <c r="C1038" s="437"/>
      <c r="F1038" s="431"/>
      <c r="G1038" s="596"/>
      <c r="H1038" s="488"/>
      <c r="J1038" s="437"/>
    </row>
    <row r="1039" spans="1:10" s="428" customFormat="1">
      <c r="A1039" s="449"/>
      <c r="B1039" s="431"/>
      <c r="C1039" s="437"/>
      <c r="F1039" s="431"/>
      <c r="G1039" s="596"/>
      <c r="H1039" s="488"/>
      <c r="J1039" s="437"/>
    </row>
    <row r="1040" spans="1:10" s="428" customFormat="1">
      <c r="A1040" s="449"/>
      <c r="B1040" s="431"/>
      <c r="C1040" s="437"/>
      <c r="F1040" s="431"/>
      <c r="G1040" s="596"/>
      <c r="H1040" s="488"/>
      <c r="J1040" s="437"/>
    </row>
    <row r="1041" spans="1:10" s="428" customFormat="1">
      <c r="A1041" s="449"/>
      <c r="B1041" s="431"/>
      <c r="C1041" s="437"/>
      <c r="F1041" s="431"/>
      <c r="G1041" s="596"/>
      <c r="H1041" s="488"/>
      <c r="J1041" s="437"/>
    </row>
    <row r="1042" spans="1:10" s="428" customFormat="1">
      <c r="A1042" s="449"/>
      <c r="B1042" s="431"/>
      <c r="C1042" s="437"/>
      <c r="F1042" s="431"/>
      <c r="G1042" s="596"/>
      <c r="H1042" s="488"/>
      <c r="J1042" s="437"/>
    </row>
    <row r="1043" spans="1:10" s="428" customFormat="1">
      <c r="A1043" s="449"/>
      <c r="B1043" s="431"/>
      <c r="C1043" s="437"/>
      <c r="F1043" s="431"/>
      <c r="G1043" s="596"/>
      <c r="H1043" s="488"/>
      <c r="J1043" s="437"/>
    </row>
    <row r="1044" spans="1:10" s="428" customFormat="1">
      <c r="A1044" s="449"/>
      <c r="B1044" s="431"/>
      <c r="C1044" s="437"/>
      <c r="F1044" s="431"/>
      <c r="G1044" s="596"/>
      <c r="H1044" s="488"/>
      <c r="J1044" s="437"/>
    </row>
    <row r="1045" spans="1:10" s="428" customFormat="1">
      <c r="A1045" s="449"/>
      <c r="B1045" s="431"/>
      <c r="C1045" s="437"/>
      <c r="F1045" s="431"/>
      <c r="G1045" s="596"/>
      <c r="H1045" s="488"/>
      <c r="J1045" s="437"/>
    </row>
    <row r="1046" spans="1:10" s="428" customFormat="1">
      <c r="A1046" s="449"/>
      <c r="B1046" s="431"/>
      <c r="C1046" s="437"/>
      <c r="F1046" s="431"/>
      <c r="G1046" s="596"/>
      <c r="H1046" s="488"/>
      <c r="J1046" s="437"/>
    </row>
    <row r="1047" spans="1:10" s="428" customFormat="1">
      <c r="A1047" s="449"/>
      <c r="B1047" s="431"/>
      <c r="C1047" s="437"/>
      <c r="F1047" s="431"/>
      <c r="G1047" s="596"/>
      <c r="H1047" s="488"/>
      <c r="J1047" s="437"/>
    </row>
    <row r="1048" spans="1:10" s="428" customFormat="1">
      <c r="A1048" s="449"/>
      <c r="B1048" s="431"/>
      <c r="C1048" s="437"/>
      <c r="F1048" s="431"/>
      <c r="G1048" s="596"/>
      <c r="H1048" s="488"/>
      <c r="J1048" s="437"/>
    </row>
    <row r="1049" spans="1:10" s="428" customFormat="1">
      <c r="A1049" s="449"/>
      <c r="B1049" s="431"/>
      <c r="C1049" s="437"/>
      <c r="F1049" s="431"/>
      <c r="G1049" s="596"/>
      <c r="H1049" s="488"/>
      <c r="J1049" s="437"/>
    </row>
    <row r="1050" spans="1:10" s="428" customFormat="1">
      <c r="A1050" s="449"/>
      <c r="B1050" s="431"/>
      <c r="C1050" s="437"/>
      <c r="F1050" s="431"/>
      <c r="G1050" s="596"/>
      <c r="H1050" s="488"/>
      <c r="J1050" s="437"/>
    </row>
    <row r="1051" spans="1:10" s="428" customFormat="1">
      <c r="A1051" s="449"/>
      <c r="B1051" s="431"/>
      <c r="C1051" s="437"/>
      <c r="F1051" s="431"/>
      <c r="G1051" s="596"/>
      <c r="H1051" s="488"/>
      <c r="J1051" s="437"/>
    </row>
    <row r="1052" spans="1:10" s="428" customFormat="1">
      <c r="A1052" s="449"/>
      <c r="B1052" s="431"/>
      <c r="C1052" s="437"/>
      <c r="F1052" s="431"/>
      <c r="G1052" s="596"/>
      <c r="H1052" s="488"/>
      <c r="J1052" s="437"/>
    </row>
    <row r="1053" spans="1:10" s="428" customFormat="1">
      <c r="A1053" s="449"/>
      <c r="B1053" s="431"/>
      <c r="C1053" s="437"/>
      <c r="F1053" s="431"/>
      <c r="G1053" s="596"/>
      <c r="H1053" s="488"/>
      <c r="J1053" s="437"/>
    </row>
    <row r="1054" spans="1:10" s="428" customFormat="1">
      <c r="A1054" s="449"/>
      <c r="B1054" s="431"/>
      <c r="C1054" s="437"/>
      <c r="F1054" s="431"/>
      <c r="G1054" s="596"/>
      <c r="H1054" s="488"/>
      <c r="J1054" s="437"/>
    </row>
    <row r="1055" spans="1:10" s="428" customFormat="1">
      <c r="A1055" s="449"/>
      <c r="B1055" s="431"/>
      <c r="C1055" s="437"/>
      <c r="F1055" s="431"/>
      <c r="G1055" s="596"/>
      <c r="H1055" s="488"/>
      <c r="J1055" s="437"/>
    </row>
    <row r="1056" spans="1:10" s="428" customFormat="1">
      <c r="A1056" s="449"/>
      <c r="B1056" s="431"/>
      <c r="C1056" s="437"/>
      <c r="F1056" s="431"/>
      <c r="G1056" s="596"/>
      <c r="H1056" s="488"/>
      <c r="J1056" s="437"/>
    </row>
    <row r="1057" spans="1:10" s="428" customFormat="1">
      <c r="A1057" s="449"/>
      <c r="B1057" s="431"/>
      <c r="C1057" s="437"/>
      <c r="F1057" s="431"/>
      <c r="G1057" s="596"/>
      <c r="H1057" s="488"/>
      <c r="J1057" s="437"/>
    </row>
    <row r="1058" spans="1:10" s="428" customFormat="1">
      <c r="A1058" s="449"/>
      <c r="B1058" s="431"/>
      <c r="C1058" s="437"/>
      <c r="F1058" s="431"/>
      <c r="G1058" s="596"/>
      <c r="H1058" s="488"/>
      <c r="J1058" s="437"/>
    </row>
    <row r="1059" spans="1:10" s="428" customFormat="1">
      <c r="A1059" s="449"/>
      <c r="B1059" s="431"/>
      <c r="C1059" s="437"/>
      <c r="F1059" s="431"/>
      <c r="G1059" s="596"/>
      <c r="H1059" s="488"/>
      <c r="J1059" s="437"/>
    </row>
    <row r="1060" spans="1:10" s="428" customFormat="1">
      <c r="A1060" s="449"/>
      <c r="B1060" s="431"/>
      <c r="C1060" s="437"/>
      <c r="F1060" s="431"/>
      <c r="G1060" s="596"/>
      <c r="H1060" s="488"/>
      <c r="J1060" s="437"/>
    </row>
    <row r="1061" spans="1:10" s="428" customFormat="1">
      <c r="A1061" s="449"/>
      <c r="B1061" s="431"/>
      <c r="C1061" s="437"/>
      <c r="F1061" s="431"/>
      <c r="G1061" s="596"/>
      <c r="H1061" s="488"/>
      <c r="J1061" s="437"/>
    </row>
    <row r="1062" spans="1:10" s="428" customFormat="1">
      <c r="A1062" s="449"/>
      <c r="B1062" s="431"/>
      <c r="C1062" s="437"/>
      <c r="F1062" s="431"/>
      <c r="G1062" s="596"/>
      <c r="H1062" s="488"/>
      <c r="J1062" s="437"/>
    </row>
    <row r="1063" spans="1:10" s="428" customFormat="1">
      <c r="A1063" s="449"/>
      <c r="B1063" s="431"/>
      <c r="C1063" s="437"/>
      <c r="F1063" s="431"/>
      <c r="G1063" s="596"/>
      <c r="H1063" s="488"/>
      <c r="J1063" s="437"/>
    </row>
    <row r="1064" spans="1:10" s="428" customFormat="1">
      <c r="A1064" s="449"/>
      <c r="B1064" s="431"/>
      <c r="C1064" s="437"/>
      <c r="F1064" s="431"/>
      <c r="G1064" s="596"/>
      <c r="H1064" s="488"/>
      <c r="J1064" s="437"/>
    </row>
    <row r="1065" spans="1:10" s="428" customFormat="1">
      <c r="A1065" s="449"/>
      <c r="B1065" s="431"/>
      <c r="C1065" s="437"/>
      <c r="F1065" s="431"/>
      <c r="G1065" s="596"/>
      <c r="H1065" s="488"/>
      <c r="J1065" s="437"/>
    </row>
    <row r="1066" spans="1:10" s="428" customFormat="1">
      <c r="A1066" s="449"/>
      <c r="B1066" s="431"/>
      <c r="C1066" s="437"/>
      <c r="F1066" s="431"/>
      <c r="G1066" s="596"/>
      <c r="H1066" s="488"/>
      <c r="J1066" s="437"/>
    </row>
    <row r="1067" spans="1:10" s="428" customFormat="1">
      <c r="A1067" s="449"/>
      <c r="B1067" s="431"/>
      <c r="C1067" s="437"/>
      <c r="F1067" s="431"/>
      <c r="G1067" s="596"/>
      <c r="H1067" s="488"/>
      <c r="J1067" s="437"/>
    </row>
    <row r="1068" spans="1:10" s="428" customFormat="1">
      <c r="A1068" s="449"/>
      <c r="B1068" s="431"/>
      <c r="C1068" s="437"/>
      <c r="F1068" s="431"/>
      <c r="G1068" s="596"/>
      <c r="H1068" s="488"/>
      <c r="J1068" s="437"/>
    </row>
    <row r="1069" spans="1:10" s="428" customFormat="1">
      <c r="A1069" s="449"/>
      <c r="B1069" s="431"/>
      <c r="C1069" s="437"/>
      <c r="F1069" s="431"/>
      <c r="G1069" s="596"/>
      <c r="H1069" s="488"/>
      <c r="J1069" s="437"/>
    </row>
    <row r="1070" spans="1:10" s="428" customFormat="1">
      <c r="A1070" s="449"/>
      <c r="B1070" s="431"/>
      <c r="C1070" s="437"/>
      <c r="F1070" s="431"/>
      <c r="G1070" s="596"/>
      <c r="H1070" s="488"/>
      <c r="J1070" s="437"/>
    </row>
    <row r="1071" spans="1:10" s="428" customFormat="1">
      <c r="A1071" s="449"/>
      <c r="B1071" s="431"/>
      <c r="C1071" s="437"/>
      <c r="F1071" s="431"/>
      <c r="G1071" s="596"/>
      <c r="H1071" s="488"/>
      <c r="J1071" s="437"/>
    </row>
    <row r="1072" spans="1:10" s="428" customFormat="1">
      <c r="A1072" s="449"/>
      <c r="B1072" s="431"/>
      <c r="C1072" s="437"/>
      <c r="F1072" s="431"/>
      <c r="G1072" s="596"/>
      <c r="H1072" s="488"/>
      <c r="J1072" s="437"/>
    </row>
    <row r="1073" spans="1:10" s="428" customFormat="1">
      <c r="A1073" s="449"/>
      <c r="B1073" s="431"/>
      <c r="C1073" s="437"/>
      <c r="F1073" s="431"/>
      <c r="G1073" s="596"/>
      <c r="H1073" s="488"/>
      <c r="J1073" s="437"/>
    </row>
    <row r="1074" spans="1:10" s="428" customFormat="1">
      <c r="A1074" s="449"/>
      <c r="B1074" s="431"/>
      <c r="C1074" s="437"/>
      <c r="F1074" s="431"/>
      <c r="G1074" s="596"/>
      <c r="H1074" s="488"/>
      <c r="J1074" s="437"/>
    </row>
    <row r="1075" spans="1:10" s="428" customFormat="1">
      <c r="A1075" s="449"/>
      <c r="B1075" s="431"/>
      <c r="C1075" s="437"/>
      <c r="F1075" s="431"/>
      <c r="G1075" s="596"/>
      <c r="H1075" s="488"/>
      <c r="J1075" s="437"/>
    </row>
    <row r="1076" spans="1:10" s="428" customFormat="1">
      <c r="A1076" s="449"/>
      <c r="B1076" s="431"/>
      <c r="C1076" s="437"/>
      <c r="F1076" s="431"/>
      <c r="G1076" s="596"/>
      <c r="H1076" s="488"/>
      <c r="J1076" s="437"/>
    </row>
    <row r="1077" spans="1:10" s="428" customFormat="1">
      <c r="A1077" s="449"/>
      <c r="B1077" s="431"/>
      <c r="C1077" s="437"/>
      <c r="F1077" s="431"/>
      <c r="G1077" s="596"/>
      <c r="H1077" s="488"/>
      <c r="J1077" s="437"/>
    </row>
    <row r="1078" spans="1:10" s="428" customFormat="1">
      <c r="A1078" s="449"/>
      <c r="B1078" s="431"/>
      <c r="C1078" s="437"/>
      <c r="F1078" s="431"/>
      <c r="G1078" s="596"/>
      <c r="H1078" s="488"/>
      <c r="J1078" s="437"/>
    </row>
    <row r="1079" spans="1:10" s="428" customFormat="1">
      <c r="A1079" s="449"/>
      <c r="B1079" s="431"/>
      <c r="C1079" s="437"/>
      <c r="F1079" s="431"/>
      <c r="G1079" s="596"/>
      <c r="H1079" s="488"/>
      <c r="J1079" s="437"/>
    </row>
    <row r="1080" spans="1:10" s="428" customFormat="1">
      <c r="A1080" s="449"/>
      <c r="B1080" s="431"/>
      <c r="C1080" s="437"/>
      <c r="F1080" s="431"/>
      <c r="G1080" s="596"/>
      <c r="H1080" s="488"/>
      <c r="J1080" s="437"/>
    </row>
    <row r="1081" spans="1:10" s="428" customFormat="1">
      <c r="A1081" s="449"/>
      <c r="B1081" s="431"/>
      <c r="C1081" s="437"/>
      <c r="F1081" s="431"/>
      <c r="G1081" s="596"/>
      <c r="H1081" s="488"/>
      <c r="J1081" s="437"/>
    </row>
    <row r="1082" spans="1:10" s="428" customFormat="1">
      <c r="A1082" s="449"/>
      <c r="B1082" s="431"/>
      <c r="C1082" s="437"/>
      <c r="F1082" s="431"/>
      <c r="G1082" s="596"/>
      <c r="H1082" s="488"/>
      <c r="J1082" s="437"/>
    </row>
    <row r="1083" spans="1:10" s="428" customFormat="1">
      <c r="A1083" s="449"/>
      <c r="B1083" s="431"/>
      <c r="C1083" s="437"/>
      <c r="F1083" s="431"/>
      <c r="G1083" s="596"/>
      <c r="H1083" s="488"/>
      <c r="J1083" s="437"/>
    </row>
    <row r="1084" spans="1:10" s="428" customFormat="1">
      <c r="A1084" s="449"/>
      <c r="B1084" s="431"/>
      <c r="C1084" s="437"/>
      <c r="F1084" s="431"/>
      <c r="G1084" s="596"/>
      <c r="H1084" s="488"/>
      <c r="J1084" s="437"/>
    </row>
    <row r="1085" spans="1:10" s="428" customFormat="1">
      <c r="A1085" s="449"/>
      <c r="B1085" s="431"/>
      <c r="C1085" s="437"/>
      <c r="F1085" s="431"/>
      <c r="G1085" s="596"/>
      <c r="H1085" s="488"/>
      <c r="J1085" s="437"/>
    </row>
    <row r="1086" spans="1:10" s="428" customFormat="1">
      <c r="A1086" s="449"/>
      <c r="B1086" s="431"/>
      <c r="C1086" s="437"/>
      <c r="F1086" s="431"/>
      <c r="G1086" s="596"/>
      <c r="H1086" s="488"/>
      <c r="J1086" s="437"/>
    </row>
    <row r="1087" spans="1:10" s="428" customFormat="1">
      <c r="A1087" s="449"/>
      <c r="B1087" s="431"/>
      <c r="C1087" s="437"/>
      <c r="F1087" s="431"/>
      <c r="G1087" s="596"/>
      <c r="H1087" s="488"/>
      <c r="J1087" s="437"/>
    </row>
    <row r="1088" spans="1:10" s="428" customFormat="1">
      <c r="A1088" s="449"/>
      <c r="B1088" s="431"/>
      <c r="C1088" s="437"/>
      <c r="F1088" s="431"/>
      <c r="G1088" s="596"/>
      <c r="H1088" s="488"/>
      <c r="J1088" s="437"/>
    </row>
    <row r="1089" spans="1:10" s="428" customFormat="1">
      <c r="A1089" s="449"/>
      <c r="B1089" s="431"/>
      <c r="C1089" s="437"/>
      <c r="F1089" s="431"/>
      <c r="G1089" s="596"/>
      <c r="H1089" s="488"/>
      <c r="J1089" s="437"/>
    </row>
    <row r="1090" spans="1:10" s="428" customFormat="1">
      <c r="A1090" s="449"/>
      <c r="B1090" s="431"/>
      <c r="C1090" s="437"/>
      <c r="F1090" s="431"/>
      <c r="G1090" s="596"/>
      <c r="H1090" s="488"/>
      <c r="J1090" s="437"/>
    </row>
    <row r="1091" spans="1:10" s="428" customFormat="1">
      <c r="A1091" s="449"/>
      <c r="B1091" s="431"/>
      <c r="C1091" s="437"/>
      <c r="F1091" s="431"/>
      <c r="G1091" s="596"/>
      <c r="H1091" s="488"/>
      <c r="J1091" s="437"/>
    </row>
    <row r="1092" spans="1:10" s="428" customFormat="1">
      <c r="A1092" s="449"/>
      <c r="B1092" s="431"/>
      <c r="C1092" s="437"/>
      <c r="F1092" s="431"/>
      <c r="G1092" s="596"/>
      <c r="H1092" s="488"/>
      <c r="J1092" s="437"/>
    </row>
    <row r="1093" spans="1:10" s="428" customFormat="1">
      <c r="A1093" s="449"/>
      <c r="B1093" s="431"/>
      <c r="C1093" s="437"/>
      <c r="F1093" s="431"/>
      <c r="G1093" s="596"/>
      <c r="H1093" s="488"/>
      <c r="J1093" s="437"/>
    </row>
    <row r="1094" spans="1:10" s="428" customFormat="1">
      <c r="A1094" s="449"/>
      <c r="B1094" s="431"/>
      <c r="C1094" s="437"/>
      <c r="F1094" s="431"/>
      <c r="G1094" s="596"/>
      <c r="H1094" s="488"/>
      <c r="J1094" s="437"/>
    </row>
    <row r="1095" spans="1:10" s="428" customFormat="1">
      <c r="A1095" s="449"/>
      <c r="B1095" s="431"/>
      <c r="C1095" s="437"/>
      <c r="F1095" s="431"/>
      <c r="G1095" s="596"/>
      <c r="H1095" s="488"/>
      <c r="J1095" s="437"/>
    </row>
    <row r="1096" spans="1:10" s="428" customFormat="1">
      <c r="A1096" s="449"/>
      <c r="B1096" s="431"/>
      <c r="C1096" s="437"/>
      <c r="F1096" s="431"/>
      <c r="G1096" s="596"/>
      <c r="H1096" s="488"/>
      <c r="J1096" s="437"/>
    </row>
    <row r="1097" spans="1:10" s="428" customFormat="1">
      <c r="A1097" s="449"/>
      <c r="B1097" s="431"/>
      <c r="C1097" s="437"/>
      <c r="F1097" s="431"/>
      <c r="G1097" s="596"/>
      <c r="H1097" s="488"/>
      <c r="J1097" s="437"/>
    </row>
    <row r="1098" spans="1:10" s="428" customFormat="1">
      <c r="A1098" s="449"/>
      <c r="B1098" s="431"/>
      <c r="C1098" s="437"/>
      <c r="F1098" s="431"/>
      <c r="G1098" s="596"/>
      <c r="H1098" s="488"/>
      <c r="J1098" s="437"/>
    </row>
    <row r="1099" spans="1:10" s="428" customFormat="1">
      <c r="A1099" s="449"/>
      <c r="B1099" s="431"/>
      <c r="C1099" s="437"/>
      <c r="F1099" s="431"/>
      <c r="G1099" s="596"/>
      <c r="H1099" s="488"/>
      <c r="J1099" s="437"/>
    </row>
    <row r="1100" spans="1:10" s="428" customFormat="1">
      <c r="A1100" s="449"/>
      <c r="B1100" s="431"/>
      <c r="C1100" s="437"/>
      <c r="F1100" s="431"/>
      <c r="G1100" s="596"/>
      <c r="H1100" s="488"/>
      <c r="J1100" s="437"/>
    </row>
    <row r="1101" spans="1:10" s="428" customFormat="1">
      <c r="A1101" s="449"/>
      <c r="B1101" s="431"/>
      <c r="C1101" s="437"/>
      <c r="F1101" s="431"/>
      <c r="G1101" s="596"/>
      <c r="H1101" s="488"/>
      <c r="J1101" s="437"/>
    </row>
    <row r="1102" spans="1:10" s="428" customFormat="1">
      <c r="A1102" s="449"/>
      <c r="B1102" s="431"/>
      <c r="C1102" s="437"/>
      <c r="F1102" s="431"/>
      <c r="G1102" s="596"/>
      <c r="H1102" s="488"/>
      <c r="J1102" s="437"/>
    </row>
    <row r="1103" spans="1:10" s="428" customFormat="1">
      <c r="A1103" s="449"/>
      <c r="B1103" s="431"/>
      <c r="C1103" s="437"/>
      <c r="F1103" s="431"/>
      <c r="G1103" s="596"/>
      <c r="H1103" s="488"/>
      <c r="J1103" s="437"/>
    </row>
    <row r="1104" spans="1:10" s="428" customFormat="1">
      <c r="A1104" s="449"/>
      <c r="B1104" s="431"/>
      <c r="C1104" s="437"/>
      <c r="F1104" s="431"/>
      <c r="G1104" s="596"/>
      <c r="H1104" s="488"/>
      <c r="J1104" s="437"/>
    </row>
    <row r="1105" spans="1:10" s="428" customFormat="1">
      <c r="A1105" s="449"/>
      <c r="B1105" s="431"/>
      <c r="C1105" s="437"/>
      <c r="F1105" s="431"/>
      <c r="G1105" s="596"/>
      <c r="H1105" s="488"/>
      <c r="J1105" s="437"/>
    </row>
    <row r="1106" spans="1:10" s="428" customFormat="1">
      <c r="A1106" s="449"/>
      <c r="B1106" s="431"/>
      <c r="C1106" s="437"/>
      <c r="F1106" s="431"/>
      <c r="G1106" s="596"/>
      <c r="H1106" s="488"/>
      <c r="J1106" s="437"/>
    </row>
    <row r="1107" spans="1:10" s="428" customFormat="1">
      <c r="A1107" s="449"/>
      <c r="B1107" s="431"/>
      <c r="C1107" s="437"/>
      <c r="F1107" s="431"/>
      <c r="G1107" s="596"/>
      <c r="H1107" s="488"/>
      <c r="J1107" s="437"/>
    </row>
    <row r="1108" spans="1:10" s="428" customFormat="1">
      <c r="A1108" s="449"/>
      <c r="B1108" s="431"/>
      <c r="C1108" s="437"/>
      <c r="F1108" s="431"/>
      <c r="G1108" s="596"/>
      <c r="H1108" s="488"/>
      <c r="J1108" s="437"/>
    </row>
    <row r="1109" spans="1:10" s="428" customFormat="1">
      <c r="A1109" s="449"/>
      <c r="B1109" s="431"/>
      <c r="C1109" s="437"/>
      <c r="F1109" s="431"/>
      <c r="G1109" s="596"/>
      <c r="H1109" s="488"/>
      <c r="J1109" s="437"/>
    </row>
    <row r="1110" spans="1:10" s="428" customFormat="1">
      <c r="A1110" s="449"/>
      <c r="B1110" s="431"/>
      <c r="C1110" s="437"/>
      <c r="F1110" s="431"/>
      <c r="G1110" s="596"/>
      <c r="H1110" s="488"/>
      <c r="J1110" s="437"/>
    </row>
    <row r="1111" spans="1:10" s="428" customFormat="1">
      <c r="A1111" s="449"/>
      <c r="B1111" s="431"/>
      <c r="C1111" s="437"/>
      <c r="F1111" s="431"/>
      <c r="G1111" s="596"/>
      <c r="H1111" s="488"/>
      <c r="J1111" s="437"/>
    </row>
    <row r="1112" spans="1:10" s="428" customFormat="1">
      <c r="A1112" s="449"/>
      <c r="B1112" s="431"/>
      <c r="C1112" s="437"/>
      <c r="F1112" s="431"/>
      <c r="G1112" s="596"/>
      <c r="H1112" s="488"/>
      <c r="J1112" s="437"/>
    </row>
    <row r="1113" spans="1:10" s="428" customFormat="1">
      <c r="A1113" s="449"/>
      <c r="B1113" s="431"/>
      <c r="C1113" s="437"/>
      <c r="F1113" s="431"/>
      <c r="G1113" s="596"/>
      <c r="H1113" s="488"/>
      <c r="J1113" s="437"/>
    </row>
    <row r="1114" spans="1:10" s="428" customFormat="1">
      <c r="A1114" s="449"/>
      <c r="B1114" s="431"/>
      <c r="C1114" s="437"/>
      <c r="F1114" s="431"/>
      <c r="G1114" s="596"/>
      <c r="H1114" s="488"/>
      <c r="J1114" s="437"/>
    </row>
    <row r="1115" spans="1:10" s="428" customFormat="1">
      <c r="A1115" s="449"/>
      <c r="B1115" s="431"/>
      <c r="C1115" s="437"/>
      <c r="F1115" s="431"/>
      <c r="G1115" s="596"/>
      <c r="H1115" s="488"/>
      <c r="J1115" s="437"/>
    </row>
    <row r="1116" spans="1:10" s="428" customFormat="1">
      <c r="A1116" s="449"/>
      <c r="B1116" s="431"/>
      <c r="C1116" s="437"/>
      <c r="F1116" s="431"/>
      <c r="G1116" s="596"/>
      <c r="H1116" s="488"/>
      <c r="J1116" s="437"/>
    </row>
    <row r="1117" spans="1:10" s="428" customFormat="1">
      <c r="A1117" s="449"/>
      <c r="B1117" s="431"/>
      <c r="C1117" s="437"/>
      <c r="F1117" s="431"/>
      <c r="G1117" s="596"/>
      <c r="H1117" s="488"/>
      <c r="J1117" s="437"/>
    </row>
    <row r="1118" spans="1:10" s="428" customFormat="1">
      <c r="A1118" s="449"/>
      <c r="B1118" s="431"/>
      <c r="C1118" s="437"/>
      <c r="F1118" s="431"/>
      <c r="G1118" s="596"/>
      <c r="H1118" s="488"/>
      <c r="J1118" s="437"/>
    </row>
    <row r="1119" spans="1:10" s="428" customFormat="1">
      <c r="A1119" s="449"/>
      <c r="B1119" s="431"/>
      <c r="C1119" s="437"/>
      <c r="F1119" s="431"/>
      <c r="G1119" s="596"/>
      <c r="H1119" s="488"/>
      <c r="J1119" s="437"/>
    </row>
    <row r="1120" spans="1:10" s="428" customFormat="1">
      <c r="A1120" s="449"/>
      <c r="B1120" s="431"/>
      <c r="C1120" s="437"/>
      <c r="F1120" s="431"/>
      <c r="G1120" s="596"/>
      <c r="H1120" s="488"/>
      <c r="J1120" s="437"/>
    </row>
    <row r="1121" spans="1:10" s="428" customFormat="1">
      <c r="A1121" s="449"/>
      <c r="B1121" s="431"/>
      <c r="C1121" s="437"/>
      <c r="F1121" s="431"/>
      <c r="G1121" s="596"/>
      <c r="H1121" s="488"/>
      <c r="J1121" s="437"/>
    </row>
    <row r="1122" spans="1:10" s="428" customFormat="1">
      <c r="A1122" s="449"/>
      <c r="B1122" s="431"/>
      <c r="C1122" s="437"/>
      <c r="F1122" s="431"/>
      <c r="G1122" s="596"/>
      <c r="H1122" s="488"/>
      <c r="J1122" s="437"/>
    </row>
    <row r="1123" spans="1:10" s="428" customFormat="1">
      <c r="A1123" s="449"/>
      <c r="B1123" s="431"/>
      <c r="C1123" s="437"/>
      <c r="F1123" s="431"/>
      <c r="G1123" s="596"/>
      <c r="H1123" s="488"/>
      <c r="J1123" s="437"/>
    </row>
    <row r="1124" spans="1:10" s="428" customFormat="1">
      <c r="A1124" s="449"/>
      <c r="B1124" s="431"/>
      <c r="C1124" s="437"/>
      <c r="F1124" s="431"/>
      <c r="G1124" s="596"/>
      <c r="H1124" s="488"/>
      <c r="J1124" s="437"/>
    </row>
    <row r="1125" spans="1:10" s="428" customFormat="1">
      <c r="A1125" s="449"/>
      <c r="B1125" s="431"/>
      <c r="C1125" s="437"/>
      <c r="F1125" s="431"/>
      <c r="G1125" s="596"/>
      <c r="H1125" s="488"/>
      <c r="J1125" s="437"/>
    </row>
    <row r="1126" spans="1:10" s="428" customFormat="1">
      <c r="A1126" s="449"/>
      <c r="B1126" s="431"/>
      <c r="C1126" s="437"/>
      <c r="F1126" s="431"/>
      <c r="G1126" s="596"/>
      <c r="H1126" s="488"/>
      <c r="J1126" s="437"/>
    </row>
    <row r="1127" spans="1:10" s="428" customFormat="1">
      <c r="A1127" s="449"/>
      <c r="B1127" s="431"/>
      <c r="C1127" s="437"/>
      <c r="F1127" s="431"/>
      <c r="G1127" s="596"/>
      <c r="H1127" s="488"/>
      <c r="J1127" s="437"/>
    </row>
    <row r="1128" spans="1:10" s="428" customFormat="1">
      <c r="A1128" s="449"/>
      <c r="B1128" s="431"/>
      <c r="C1128" s="437"/>
      <c r="F1128" s="431"/>
      <c r="G1128" s="596"/>
      <c r="H1128" s="488"/>
      <c r="J1128" s="437"/>
    </row>
    <row r="1129" spans="1:10" s="428" customFormat="1">
      <c r="A1129" s="449"/>
      <c r="B1129" s="431"/>
      <c r="C1129" s="437"/>
      <c r="F1129" s="431"/>
      <c r="G1129" s="596"/>
      <c r="H1129" s="488"/>
      <c r="J1129" s="437"/>
    </row>
    <row r="1130" spans="1:10" s="428" customFormat="1">
      <c r="A1130" s="449"/>
      <c r="B1130" s="431"/>
      <c r="C1130" s="437"/>
      <c r="F1130" s="431"/>
      <c r="G1130" s="596"/>
      <c r="H1130" s="488"/>
      <c r="J1130" s="437"/>
    </row>
    <row r="1131" spans="1:10" s="428" customFormat="1">
      <c r="A1131" s="449"/>
      <c r="B1131" s="431"/>
      <c r="C1131" s="437"/>
      <c r="F1131" s="431"/>
      <c r="G1131" s="596"/>
      <c r="H1131" s="488"/>
      <c r="J1131" s="437"/>
    </row>
    <row r="1132" spans="1:10" s="428" customFormat="1">
      <c r="A1132" s="449"/>
      <c r="B1132" s="431"/>
      <c r="C1132" s="437"/>
      <c r="F1132" s="431"/>
      <c r="G1132" s="596"/>
      <c r="H1132" s="488"/>
      <c r="J1132" s="437"/>
    </row>
    <row r="1133" spans="1:10" s="428" customFormat="1">
      <c r="A1133" s="449"/>
      <c r="B1133" s="431"/>
      <c r="C1133" s="437"/>
      <c r="F1133" s="431"/>
      <c r="G1133" s="596"/>
      <c r="H1133" s="488"/>
      <c r="J1133" s="437"/>
    </row>
    <row r="1134" spans="1:10" s="428" customFormat="1">
      <c r="A1134" s="449"/>
      <c r="B1134" s="431"/>
      <c r="C1134" s="437"/>
      <c r="F1134" s="431"/>
      <c r="G1134" s="596"/>
      <c r="H1134" s="488"/>
      <c r="J1134" s="437"/>
    </row>
    <row r="1135" spans="1:10" s="428" customFormat="1">
      <c r="A1135" s="449"/>
      <c r="B1135" s="431"/>
      <c r="C1135" s="437"/>
      <c r="F1135" s="431"/>
      <c r="G1135" s="596"/>
      <c r="H1135" s="488"/>
      <c r="J1135" s="437"/>
    </row>
    <row r="1136" spans="1:10" s="428" customFormat="1">
      <c r="A1136" s="449"/>
      <c r="B1136" s="431"/>
      <c r="C1136" s="437"/>
      <c r="F1136" s="431"/>
      <c r="G1136" s="596"/>
      <c r="H1136" s="488"/>
      <c r="J1136" s="437"/>
    </row>
    <row r="1137" spans="1:10" s="428" customFormat="1">
      <c r="A1137" s="449"/>
      <c r="B1137" s="431"/>
      <c r="C1137" s="437"/>
      <c r="F1137" s="431"/>
      <c r="G1137" s="596"/>
      <c r="H1137" s="488"/>
      <c r="J1137" s="437"/>
    </row>
    <row r="1138" spans="1:10" s="428" customFormat="1">
      <c r="A1138" s="449"/>
      <c r="B1138" s="431"/>
      <c r="C1138" s="437"/>
      <c r="F1138" s="431"/>
      <c r="G1138" s="596"/>
      <c r="H1138" s="488"/>
      <c r="J1138" s="437"/>
    </row>
    <row r="1139" spans="1:10" s="428" customFormat="1">
      <c r="A1139" s="449"/>
      <c r="B1139" s="431"/>
      <c r="C1139" s="437"/>
      <c r="F1139" s="431"/>
      <c r="G1139" s="596"/>
      <c r="H1139" s="488"/>
      <c r="J1139" s="437"/>
    </row>
    <row r="1140" spans="1:10" s="428" customFormat="1">
      <c r="A1140" s="449"/>
      <c r="B1140" s="431"/>
      <c r="C1140" s="437"/>
      <c r="F1140" s="431"/>
      <c r="G1140" s="596"/>
      <c r="H1140" s="488"/>
      <c r="J1140" s="437"/>
    </row>
    <row r="1141" spans="1:10" s="428" customFormat="1">
      <c r="A1141" s="449"/>
      <c r="B1141" s="431"/>
      <c r="C1141" s="437"/>
      <c r="F1141" s="431"/>
      <c r="G1141" s="596"/>
      <c r="H1141" s="488"/>
      <c r="J1141" s="437"/>
    </row>
    <row r="1142" spans="1:10" s="428" customFormat="1">
      <c r="A1142" s="449"/>
      <c r="B1142" s="431"/>
      <c r="C1142" s="437"/>
      <c r="F1142" s="431"/>
      <c r="G1142" s="596"/>
      <c r="H1142" s="488"/>
      <c r="J1142" s="437"/>
    </row>
    <row r="1143" spans="1:10" s="428" customFormat="1">
      <c r="A1143" s="449"/>
      <c r="B1143" s="431"/>
      <c r="C1143" s="437"/>
      <c r="F1143" s="431"/>
      <c r="G1143" s="596"/>
      <c r="H1143" s="488"/>
      <c r="J1143" s="437"/>
    </row>
    <row r="1144" spans="1:10" s="428" customFormat="1">
      <c r="A1144" s="449"/>
      <c r="B1144" s="431"/>
      <c r="C1144" s="437"/>
      <c r="F1144" s="431"/>
      <c r="G1144" s="596"/>
      <c r="H1144" s="488"/>
      <c r="J1144" s="437"/>
    </row>
    <row r="1145" spans="1:10" s="428" customFormat="1">
      <c r="A1145" s="449"/>
      <c r="B1145" s="431"/>
      <c r="C1145" s="437"/>
      <c r="F1145" s="431"/>
      <c r="G1145" s="596"/>
      <c r="H1145" s="488"/>
      <c r="J1145" s="437"/>
    </row>
    <row r="1146" spans="1:10" s="428" customFormat="1">
      <c r="A1146" s="449"/>
      <c r="B1146" s="431"/>
      <c r="C1146" s="437"/>
      <c r="F1146" s="431"/>
      <c r="G1146" s="596"/>
      <c r="H1146" s="488"/>
      <c r="J1146" s="437"/>
    </row>
    <row r="1147" spans="1:10" s="428" customFormat="1">
      <c r="A1147" s="449"/>
      <c r="B1147" s="431"/>
      <c r="C1147" s="437"/>
      <c r="F1147" s="431"/>
      <c r="G1147" s="596"/>
      <c r="H1147" s="488"/>
      <c r="J1147" s="437"/>
    </row>
    <row r="1148" spans="1:10" s="428" customFormat="1">
      <c r="A1148" s="449"/>
      <c r="B1148" s="431"/>
      <c r="C1148" s="437"/>
      <c r="F1148" s="431"/>
      <c r="G1148" s="596"/>
      <c r="H1148" s="488"/>
      <c r="J1148" s="437"/>
    </row>
    <row r="1149" spans="1:10" s="428" customFormat="1">
      <c r="A1149" s="449"/>
      <c r="B1149" s="431"/>
      <c r="C1149" s="437"/>
      <c r="F1149" s="431"/>
      <c r="G1149" s="596"/>
      <c r="H1149" s="488"/>
      <c r="J1149" s="437"/>
    </row>
    <row r="1150" spans="1:10" s="428" customFormat="1">
      <c r="A1150" s="449"/>
      <c r="B1150" s="431"/>
      <c r="C1150" s="437"/>
      <c r="F1150" s="431"/>
      <c r="G1150" s="596"/>
      <c r="H1150" s="488"/>
      <c r="J1150" s="437"/>
    </row>
    <row r="1151" spans="1:10" s="428" customFormat="1">
      <c r="A1151" s="449"/>
      <c r="B1151" s="431"/>
      <c r="C1151" s="437"/>
      <c r="F1151" s="431"/>
      <c r="G1151" s="596"/>
      <c r="H1151" s="488"/>
      <c r="J1151" s="437"/>
    </row>
    <row r="1152" spans="1:10" s="428" customFormat="1">
      <c r="A1152" s="449"/>
      <c r="B1152" s="431"/>
      <c r="C1152" s="437"/>
      <c r="F1152" s="431"/>
      <c r="G1152" s="596"/>
      <c r="H1152" s="488"/>
      <c r="J1152" s="437"/>
    </row>
    <row r="1153" spans="1:10" s="428" customFormat="1">
      <c r="A1153" s="449"/>
      <c r="B1153" s="431"/>
      <c r="C1153" s="437"/>
      <c r="F1153" s="431"/>
      <c r="G1153" s="596"/>
      <c r="H1153" s="488"/>
      <c r="J1153" s="437"/>
    </row>
    <row r="1154" spans="1:10" s="428" customFormat="1">
      <c r="A1154" s="449"/>
      <c r="B1154" s="431"/>
      <c r="C1154" s="437"/>
      <c r="F1154" s="431"/>
      <c r="G1154" s="596"/>
      <c r="H1154" s="488"/>
      <c r="J1154" s="437"/>
    </row>
    <row r="1155" spans="1:10" s="428" customFormat="1">
      <c r="A1155" s="449"/>
      <c r="B1155" s="431"/>
      <c r="C1155" s="437"/>
      <c r="F1155" s="431"/>
      <c r="G1155" s="596"/>
      <c r="H1155" s="488"/>
      <c r="J1155" s="437"/>
    </row>
    <row r="1156" spans="1:10" s="428" customFormat="1">
      <c r="A1156" s="449"/>
      <c r="B1156" s="431"/>
      <c r="C1156" s="437"/>
      <c r="F1156" s="431"/>
      <c r="G1156" s="596"/>
      <c r="H1156" s="488"/>
      <c r="J1156" s="437"/>
    </row>
    <row r="1157" spans="1:10" s="428" customFormat="1">
      <c r="A1157" s="449"/>
      <c r="B1157" s="431"/>
      <c r="C1157" s="437"/>
      <c r="F1157" s="431"/>
      <c r="G1157" s="596"/>
      <c r="H1157" s="488"/>
      <c r="J1157" s="437"/>
    </row>
    <row r="1158" spans="1:10" s="428" customFormat="1">
      <c r="A1158" s="449"/>
      <c r="B1158" s="431"/>
      <c r="C1158" s="437"/>
      <c r="F1158" s="431"/>
      <c r="G1158" s="596"/>
      <c r="H1158" s="488"/>
      <c r="J1158" s="437"/>
    </row>
    <row r="1159" spans="1:10" s="428" customFormat="1">
      <c r="A1159" s="449"/>
      <c r="B1159" s="431"/>
      <c r="C1159" s="437"/>
      <c r="F1159" s="431"/>
      <c r="G1159" s="596"/>
      <c r="H1159" s="488"/>
      <c r="J1159" s="437"/>
    </row>
    <row r="1160" spans="1:10" s="428" customFormat="1">
      <c r="A1160" s="449"/>
      <c r="B1160" s="431"/>
      <c r="C1160" s="437"/>
      <c r="F1160" s="431"/>
      <c r="G1160" s="596"/>
      <c r="H1160" s="488"/>
      <c r="J1160" s="437"/>
    </row>
    <row r="1161" spans="1:10" s="428" customFormat="1">
      <c r="A1161" s="449"/>
      <c r="B1161" s="431"/>
      <c r="C1161" s="437"/>
      <c r="F1161" s="431"/>
      <c r="G1161" s="596"/>
      <c r="H1161" s="488"/>
      <c r="J1161" s="437"/>
    </row>
    <row r="1162" spans="1:10" s="428" customFormat="1">
      <c r="A1162" s="449"/>
      <c r="B1162" s="431"/>
      <c r="C1162" s="437"/>
      <c r="F1162" s="431"/>
      <c r="G1162" s="596"/>
      <c r="H1162" s="488"/>
      <c r="J1162" s="437"/>
    </row>
    <row r="1163" spans="1:10" s="428" customFormat="1">
      <c r="A1163" s="449"/>
      <c r="B1163" s="431"/>
      <c r="C1163" s="437"/>
      <c r="F1163" s="431"/>
      <c r="G1163" s="596"/>
      <c r="H1163" s="488"/>
      <c r="J1163" s="437"/>
    </row>
    <row r="1164" spans="1:10" s="428" customFormat="1">
      <c r="A1164" s="449"/>
      <c r="B1164" s="431"/>
      <c r="C1164" s="437"/>
      <c r="F1164" s="431"/>
      <c r="G1164" s="596"/>
      <c r="H1164" s="488"/>
      <c r="J1164" s="437"/>
    </row>
    <row r="1165" spans="1:10" s="428" customFormat="1">
      <c r="A1165" s="449"/>
      <c r="B1165" s="431"/>
      <c r="C1165" s="437"/>
      <c r="F1165" s="431"/>
      <c r="G1165" s="596"/>
      <c r="H1165" s="488"/>
      <c r="J1165" s="437"/>
    </row>
    <row r="1166" spans="1:10" s="428" customFormat="1">
      <c r="A1166" s="449"/>
      <c r="B1166" s="431"/>
      <c r="C1166" s="437"/>
      <c r="F1166" s="431"/>
      <c r="G1166" s="596"/>
      <c r="H1166" s="488"/>
      <c r="J1166" s="437"/>
    </row>
    <row r="1167" spans="1:10" s="428" customFormat="1">
      <c r="A1167" s="449"/>
      <c r="B1167" s="431"/>
      <c r="C1167" s="437"/>
      <c r="F1167" s="431"/>
      <c r="G1167" s="596"/>
      <c r="H1167" s="488"/>
      <c r="J1167" s="437"/>
    </row>
    <row r="1168" spans="1:10" s="428" customFormat="1">
      <c r="A1168" s="449"/>
      <c r="B1168" s="431"/>
      <c r="C1168" s="437"/>
      <c r="F1168" s="431"/>
      <c r="G1168" s="596"/>
      <c r="H1168" s="488"/>
      <c r="J1168" s="437"/>
    </row>
    <row r="1169" spans="1:10" s="428" customFormat="1">
      <c r="A1169" s="449"/>
      <c r="B1169" s="431"/>
      <c r="C1169" s="437"/>
      <c r="F1169" s="431"/>
      <c r="G1169" s="596"/>
      <c r="H1169" s="488"/>
      <c r="J1169" s="437"/>
    </row>
    <row r="1170" spans="1:10" s="428" customFormat="1">
      <c r="A1170" s="449"/>
      <c r="B1170" s="431"/>
      <c r="C1170" s="437"/>
      <c r="F1170" s="431"/>
      <c r="G1170" s="596"/>
      <c r="H1170" s="488"/>
      <c r="J1170" s="437"/>
    </row>
    <row r="1171" spans="1:10" s="428" customFormat="1">
      <c r="A1171" s="449"/>
      <c r="B1171" s="431"/>
      <c r="C1171" s="437"/>
      <c r="F1171" s="431"/>
      <c r="G1171" s="596"/>
      <c r="H1171" s="488"/>
      <c r="J1171" s="437"/>
    </row>
    <row r="1172" spans="1:10" s="428" customFormat="1">
      <c r="A1172" s="449"/>
      <c r="B1172" s="431"/>
      <c r="C1172" s="437"/>
      <c r="F1172" s="431"/>
      <c r="G1172" s="596"/>
      <c r="H1172" s="488"/>
      <c r="J1172" s="437"/>
    </row>
    <row r="1173" spans="1:10" s="428" customFormat="1">
      <c r="A1173" s="449"/>
      <c r="B1173" s="431"/>
      <c r="C1173" s="437"/>
      <c r="F1173" s="431"/>
      <c r="G1173" s="596"/>
      <c r="H1173" s="488"/>
      <c r="J1173" s="437"/>
    </row>
    <row r="1174" spans="1:10" s="428" customFormat="1">
      <c r="A1174" s="449"/>
      <c r="B1174" s="431"/>
      <c r="C1174" s="437"/>
      <c r="F1174" s="431"/>
      <c r="G1174" s="596"/>
      <c r="H1174" s="488"/>
      <c r="J1174" s="437"/>
    </row>
    <row r="1175" spans="1:10" s="428" customFormat="1">
      <c r="A1175" s="449"/>
      <c r="B1175" s="431"/>
      <c r="C1175" s="437"/>
      <c r="F1175" s="431"/>
      <c r="G1175" s="596"/>
      <c r="H1175" s="488"/>
      <c r="J1175" s="437"/>
    </row>
    <row r="1176" spans="1:10" s="428" customFormat="1">
      <c r="A1176" s="449"/>
      <c r="B1176" s="431"/>
      <c r="C1176" s="437"/>
      <c r="F1176" s="431"/>
      <c r="G1176" s="596"/>
      <c r="H1176" s="488"/>
      <c r="J1176" s="437"/>
    </row>
    <row r="1177" spans="1:10" s="428" customFormat="1">
      <c r="A1177" s="449"/>
      <c r="B1177" s="431"/>
      <c r="C1177" s="437"/>
      <c r="F1177" s="431"/>
      <c r="G1177" s="596"/>
      <c r="H1177" s="488"/>
      <c r="J1177" s="437"/>
    </row>
    <row r="1178" spans="1:10" s="428" customFormat="1">
      <c r="A1178" s="449"/>
      <c r="B1178" s="431"/>
      <c r="C1178" s="437"/>
      <c r="F1178" s="431"/>
      <c r="G1178" s="596"/>
      <c r="H1178" s="488"/>
      <c r="J1178" s="437"/>
    </row>
    <row r="1179" spans="1:10" s="428" customFormat="1">
      <c r="A1179" s="449"/>
      <c r="B1179" s="431"/>
      <c r="C1179" s="437"/>
      <c r="F1179" s="431"/>
      <c r="G1179" s="596"/>
      <c r="H1179" s="488"/>
      <c r="J1179" s="437"/>
    </row>
    <row r="1180" spans="1:10" s="428" customFormat="1">
      <c r="A1180" s="449"/>
      <c r="B1180" s="431"/>
      <c r="C1180" s="437"/>
      <c r="F1180" s="431"/>
      <c r="G1180" s="596"/>
      <c r="H1180" s="488"/>
      <c r="J1180" s="437"/>
    </row>
    <row r="1181" spans="1:10" s="428" customFormat="1">
      <c r="A1181" s="449"/>
      <c r="B1181" s="431"/>
      <c r="C1181" s="437"/>
      <c r="F1181" s="431"/>
      <c r="G1181" s="596"/>
      <c r="H1181" s="488"/>
      <c r="J1181" s="437"/>
    </row>
    <row r="1182" spans="1:10" s="428" customFormat="1">
      <c r="A1182" s="449"/>
      <c r="B1182" s="431"/>
      <c r="C1182" s="437"/>
      <c r="F1182" s="431"/>
      <c r="G1182" s="596"/>
      <c r="H1182" s="488"/>
      <c r="J1182" s="437"/>
    </row>
    <row r="1183" spans="1:10" s="428" customFormat="1">
      <c r="A1183" s="449"/>
      <c r="B1183" s="431"/>
      <c r="C1183" s="437"/>
      <c r="F1183" s="431"/>
      <c r="G1183" s="596"/>
      <c r="H1183" s="488"/>
      <c r="J1183" s="437"/>
    </row>
    <row r="1184" spans="1:10" s="428" customFormat="1">
      <c r="A1184" s="449"/>
      <c r="B1184" s="431"/>
      <c r="C1184" s="437"/>
      <c r="F1184" s="431"/>
      <c r="G1184" s="596"/>
      <c r="H1184" s="488"/>
      <c r="J1184" s="437"/>
    </row>
    <row r="1185" spans="1:10" s="428" customFormat="1">
      <c r="A1185" s="449"/>
      <c r="B1185" s="431"/>
      <c r="C1185" s="437"/>
      <c r="F1185" s="431"/>
      <c r="G1185" s="596"/>
      <c r="H1185" s="488"/>
      <c r="J1185" s="437"/>
    </row>
    <row r="1186" spans="1:10" s="428" customFormat="1">
      <c r="A1186" s="449"/>
      <c r="B1186" s="431"/>
      <c r="C1186" s="437"/>
      <c r="F1186" s="431"/>
      <c r="G1186" s="596"/>
      <c r="H1186" s="488"/>
      <c r="J1186" s="437"/>
    </row>
    <row r="1187" spans="1:10" s="428" customFormat="1">
      <c r="A1187" s="449"/>
      <c r="B1187" s="431"/>
      <c r="C1187" s="437"/>
      <c r="F1187" s="431"/>
      <c r="G1187" s="596"/>
      <c r="H1187" s="488"/>
      <c r="J1187" s="437"/>
    </row>
    <row r="1188" spans="1:10" s="428" customFormat="1">
      <c r="A1188" s="449"/>
      <c r="B1188" s="431"/>
      <c r="C1188" s="437"/>
      <c r="F1188" s="431"/>
      <c r="G1188" s="596"/>
      <c r="H1188" s="488"/>
      <c r="J1188" s="437"/>
    </row>
    <row r="1189" spans="1:10" s="428" customFormat="1">
      <c r="A1189" s="449"/>
      <c r="B1189" s="431"/>
      <c r="C1189" s="437"/>
      <c r="F1189" s="431"/>
      <c r="G1189" s="596"/>
      <c r="H1189" s="488"/>
      <c r="J1189" s="437"/>
    </row>
    <row r="1190" spans="1:10" s="428" customFormat="1">
      <c r="A1190" s="449"/>
      <c r="B1190" s="431"/>
      <c r="C1190" s="437"/>
      <c r="F1190" s="431"/>
      <c r="G1190" s="596"/>
      <c r="H1190" s="488"/>
      <c r="J1190" s="437"/>
    </row>
    <row r="1191" spans="1:10" s="428" customFormat="1">
      <c r="A1191" s="449"/>
      <c r="B1191" s="431"/>
      <c r="C1191" s="437"/>
      <c r="F1191" s="431"/>
      <c r="G1191" s="596"/>
      <c r="H1191" s="488"/>
      <c r="J1191" s="437"/>
    </row>
    <row r="1192" spans="1:10" s="428" customFormat="1">
      <c r="A1192" s="449"/>
      <c r="B1192" s="431"/>
      <c r="C1192" s="437"/>
      <c r="F1192" s="431"/>
      <c r="G1192" s="596"/>
      <c r="H1192" s="488"/>
      <c r="J1192" s="437"/>
    </row>
    <row r="1193" spans="1:10" s="428" customFormat="1">
      <c r="A1193" s="449"/>
      <c r="B1193" s="431"/>
      <c r="C1193" s="437"/>
      <c r="F1193" s="431"/>
      <c r="G1193" s="596"/>
      <c r="H1193" s="488"/>
      <c r="J1193" s="437"/>
    </row>
    <row r="1194" spans="1:10" s="428" customFormat="1">
      <c r="A1194" s="449"/>
      <c r="B1194" s="431"/>
      <c r="C1194" s="437"/>
      <c r="F1194" s="431"/>
      <c r="G1194" s="596"/>
      <c r="H1194" s="488"/>
      <c r="J1194" s="437"/>
    </row>
    <row r="1195" spans="1:10" s="428" customFormat="1">
      <c r="A1195" s="449"/>
      <c r="B1195" s="431"/>
      <c r="C1195" s="437"/>
      <c r="F1195" s="431"/>
      <c r="G1195" s="596"/>
      <c r="H1195" s="488"/>
      <c r="J1195" s="437"/>
    </row>
    <row r="1196" spans="1:10" s="428" customFormat="1">
      <c r="A1196" s="449"/>
      <c r="B1196" s="431"/>
      <c r="C1196" s="437"/>
      <c r="F1196" s="431"/>
      <c r="G1196" s="596"/>
      <c r="H1196" s="488"/>
      <c r="J1196" s="437"/>
    </row>
    <row r="1197" spans="1:10" s="428" customFormat="1">
      <c r="A1197" s="449"/>
      <c r="B1197" s="431"/>
      <c r="C1197" s="437"/>
      <c r="F1197" s="431"/>
      <c r="G1197" s="596"/>
      <c r="H1197" s="488"/>
      <c r="J1197" s="437"/>
    </row>
    <row r="1198" spans="1:10" s="428" customFormat="1">
      <c r="A1198" s="449"/>
      <c r="B1198" s="431"/>
      <c r="C1198" s="437"/>
      <c r="F1198" s="431"/>
      <c r="G1198" s="596"/>
      <c r="H1198" s="488"/>
      <c r="J1198" s="437"/>
    </row>
    <row r="1199" spans="1:10" s="428" customFormat="1">
      <c r="A1199" s="449"/>
      <c r="B1199" s="431"/>
      <c r="C1199" s="437"/>
      <c r="F1199" s="431"/>
      <c r="G1199" s="596"/>
      <c r="H1199" s="488"/>
      <c r="J1199" s="437"/>
    </row>
    <row r="1200" spans="1:10" s="428" customFormat="1">
      <c r="A1200" s="449"/>
      <c r="B1200" s="431"/>
      <c r="C1200" s="437"/>
      <c r="F1200" s="431"/>
      <c r="G1200" s="596"/>
      <c r="H1200" s="488"/>
      <c r="J1200" s="437"/>
    </row>
    <row r="1201" spans="1:10" s="428" customFormat="1">
      <c r="A1201" s="449"/>
      <c r="B1201" s="431"/>
      <c r="C1201" s="437"/>
      <c r="F1201" s="431"/>
      <c r="G1201" s="596"/>
      <c r="H1201" s="488"/>
      <c r="J1201" s="437"/>
    </row>
    <row r="1202" spans="1:10" s="428" customFormat="1">
      <c r="A1202" s="449"/>
      <c r="B1202" s="431"/>
      <c r="C1202" s="437"/>
      <c r="F1202" s="431"/>
      <c r="G1202" s="596"/>
      <c r="H1202" s="488"/>
      <c r="J1202" s="437"/>
    </row>
    <row r="1203" spans="1:10" s="428" customFormat="1">
      <c r="A1203" s="449"/>
      <c r="B1203" s="431"/>
      <c r="C1203" s="437"/>
      <c r="F1203" s="431"/>
      <c r="G1203" s="596"/>
      <c r="H1203" s="488"/>
      <c r="J1203" s="437"/>
    </row>
    <row r="1204" spans="1:10" s="428" customFormat="1">
      <c r="A1204" s="449"/>
      <c r="B1204" s="431"/>
      <c r="C1204" s="437"/>
      <c r="F1204" s="431"/>
      <c r="G1204" s="596"/>
      <c r="H1204" s="488"/>
      <c r="J1204" s="437"/>
    </row>
    <row r="1205" spans="1:10" s="428" customFormat="1">
      <c r="A1205" s="449"/>
      <c r="B1205" s="431"/>
      <c r="C1205" s="437"/>
      <c r="F1205" s="431"/>
      <c r="G1205" s="596"/>
      <c r="H1205" s="488"/>
      <c r="J1205" s="437"/>
    </row>
    <row r="1206" spans="1:10" s="428" customFormat="1">
      <c r="A1206" s="449"/>
      <c r="B1206" s="431"/>
      <c r="C1206" s="437"/>
      <c r="F1206" s="431"/>
      <c r="G1206" s="596"/>
      <c r="H1206" s="488"/>
      <c r="J1206" s="437"/>
    </row>
    <row r="1207" spans="1:10" s="428" customFormat="1">
      <c r="A1207" s="449"/>
      <c r="B1207" s="431"/>
      <c r="C1207" s="437"/>
      <c r="F1207" s="431"/>
      <c r="G1207" s="596"/>
      <c r="H1207" s="488"/>
      <c r="J1207" s="437"/>
    </row>
    <row r="1208" spans="1:10" s="428" customFormat="1">
      <c r="A1208" s="449"/>
      <c r="B1208" s="431"/>
      <c r="C1208" s="437"/>
      <c r="F1208" s="431"/>
      <c r="G1208" s="596"/>
      <c r="H1208" s="488"/>
      <c r="J1208" s="437"/>
    </row>
    <row r="1209" spans="1:10" s="428" customFormat="1">
      <c r="A1209" s="449"/>
      <c r="B1209" s="431"/>
      <c r="C1209" s="437"/>
      <c r="F1209" s="431"/>
      <c r="G1209" s="596"/>
      <c r="H1209" s="488"/>
      <c r="J1209" s="437"/>
    </row>
    <row r="1210" spans="1:10" s="428" customFormat="1">
      <c r="A1210" s="449"/>
      <c r="B1210" s="431"/>
      <c r="C1210" s="437"/>
      <c r="F1210" s="431"/>
      <c r="G1210" s="596"/>
      <c r="H1210" s="488"/>
      <c r="J1210" s="437"/>
    </row>
    <row r="1211" spans="1:10" s="428" customFormat="1">
      <c r="A1211" s="449"/>
      <c r="B1211" s="431"/>
      <c r="C1211" s="437"/>
      <c r="F1211" s="431"/>
      <c r="G1211" s="596"/>
      <c r="H1211" s="488"/>
      <c r="J1211" s="437"/>
    </row>
    <row r="1212" spans="1:10" s="428" customFormat="1">
      <c r="A1212" s="449"/>
      <c r="B1212" s="431"/>
      <c r="C1212" s="437"/>
      <c r="F1212" s="431"/>
      <c r="G1212" s="596"/>
      <c r="H1212" s="488"/>
      <c r="J1212" s="437"/>
    </row>
    <row r="1213" spans="1:10" s="428" customFormat="1">
      <c r="A1213" s="449"/>
      <c r="B1213" s="431"/>
      <c r="C1213" s="437"/>
      <c r="F1213" s="431"/>
      <c r="G1213" s="596"/>
      <c r="H1213" s="488"/>
      <c r="J1213" s="437"/>
    </row>
    <row r="1214" spans="1:10" s="428" customFormat="1">
      <c r="A1214" s="449"/>
      <c r="B1214" s="431"/>
      <c r="C1214" s="437"/>
      <c r="F1214" s="431"/>
      <c r="G1214" s="596"/>
      <c r="H1214" s="488"/>
      <c r="J1214" s="437"/>
    </row>
    <row r="1215" spans="1:10" s="428" customFormat="1">
      <c r="A1215" s="449"/>
      <c r="B1215" s="431"/>
      <c r="C1215" s="437"/>
      <c r="F1215" s="431"/>
      <c r="G1215" s="596"/>
      <c r="H1215" s="488"/>
      <c r="J1215" s="437"/>
    </row>
    <row r="1216" spans="1:10" s="428" customFormat="1">
      <c r="A1216" s="449"/>
      <c r="B1216" s="431"/>
      <c r="C1216" s="437"/>
      <c r="F1216" s="431"/>
      <c r="G1216" s="596"/>
      <c r="H1216" s="488"/>
      <c r="J1216" s="437"/>
    </row>
    <row r="1217" spans="1:10" s="428" customFormat="1">
      <c r="A1217" s="449"/>
      <c r="B1217" s="431"/>
      <c r="C1217" s="437"/>
      <c r="F1217" s="431"/>
      <c r="G1217" s="596"/>
      <c r="H1217" s="488"/>
      <c r="J1217" s="437"/>
    </row>
    <row r="1218" spans="1:10" s="428" customFormat="1">
      <c r="A1218" s="449"/>
      <c r="B1218" s="431"/>
      <c r="C1218" s="437"/>
      <c r="F1218" s="431"/>
      <c r="G1218" s="596"/>
      <c r="H1218" s="488"/>
      <c r="J1218" s="437"/>
    </row>
    <row r="1219" spans="1:10" s="428" customFormat="1">
      <c r="A1219" s="449"/>
      <c r="B1219" s="431"/>
      <c r="C1219" s="437"/>
      <c r="F1219" s="431"/>
      <c r="G1219" s="596"/>
      <c r="H1219" s="488"/>
      <c r="J1219" s="437"/>
    </row>
    <row r="1220" spans="1:10" s="428" customFormat="1">
      <c r="A1220" s="449"/>
      <c r="B1220" s="431"/>
      <c r="C1220" s="437"/>
      <c r="F1220" s="431"/>
      <c r="G1220" s="596"/>
      <c r="H1220" s="488"/>
      <c r="J1220" s="437"/>
    </row>
    <row r="1221" spans="1:10" s="428" customFormat="1">
      <c r="A1221" s="449"/>
      <c r="B1221" s="431"/>
      <c r="C1221" s="437"/>
      <c r="F1221" s="431"/>
      <c r="G1221" s="596"/>
      <c r="H1221" s="488"/>
      <c r="J1221" s="437"/>
    </row>
    <row r="1222" spans="1:10" s="428" customFormat="1">
      <c r="A1222" s="449"/>
      <c r="B1222" s="431"/>
      <c r="C1222" s="437"/>
      <c r="F1222" s="431"/>
      <c r="G1222" s="596"/>
      <c r="H1222" s="488"/>
      <c r="J1222" s="437"/>
    </row>
    <row r="1223" spans="1:10" s="428" customFormat="1">
      <c r="A1223" s="449"/>
      <c r="B1223" s="431"/>
      <c r="C1223" s="437"/>
      <c r="F1223" s="431"/>
      <c r="G1223" s="596"/>
      <c r="H1223" s="488"/>
      <c r="J1223" s="437"/>
    </row>
    <row r="1224" spans="1:10" s="428" customFormat="1">
      <c r="A1224" s="449"/>
      <c r="B1224" s="431"/>
      <c r="C1224" s="437"/>
      <c r="F1224" s="431"/>
      <c r="G1224" s="596"/>
      <c r="H1224" s="488"/>
      <c r="J1224" s="437"/>
    </row>
    <row r="1225" spans="1:10" s="428" customFormat="1">
      <c r="A1225" s="449"/>
      <c r="B1225" s="431"/>
      <c r="C1225" s="437"/>
      <c r="F1225" s="431"/>
      <c r="G1225" s="596"/>
      <c r="H1225" s="488"/>
      <c r="J1225" s="437"/>
    </row>
    <row r="1226" spans="1:10" s="428" customFormat="1">
      <c r="A1226" s="449"/>
      <c r="B1226" s="431"/>
      <c r="C1226" s="437"/>
      <c r="F1226" s="431"/>
      <c r="G1226" s="596"/>
      <c r="H1226" s="488"/>
      <c r="J1226" s="437"/>
    </row>
    <row r="1227" spans="1:10" s="428" customFormat="1">
      <c r="A1227" s="449"/>
      <c r="B1227" s="431"/>
      <c r="C1227" s="437"/>
      <c r="F1227" s="431"/>
      <c r="G1227" s="596"/>
      <c r="H1227" s="488"/>
      <c r="J1227" s="437"/>
    </row>
    <row r="1228" spans="1:10" s="428" customFormat="1">
      <c r="A1228" s="449"/>
      <c r="B1228" s="431"/>
      <c r="C1228" s="437"/>
      <c r="F1228" s="431"/>
      <c r="G1228" s="596"/>
      <c r="H1228" s="488"/>
      <c r="J1228" s="437"/>
    </row>
    <row r="1229" spans="1:10" s="428" customFormat="1">
      <c r="A1229" s="449"/>
      <c r="B1229" s="431"/>
      <c r="C1229" s="437"/>
      <c r="F1229" s="431"/>
      <c r="G1229" s="596"/>
      <c r="H1229" s="488"/>
      <c r="J1229" s="437"/>
    </row>
    <row r="1230" spans="1:10" s="428" customFormat="1">
      <c r="A1230" s="449"/>
      <c r="B1230" s="431"/>
      <c r="C1230" s="437"/>
      <c r="F1230" s="431"/>
      <c r="G1230" s="596"/>
      <c r="H1230" s="488"/>
      <c r="J1230" s="437"/>
    </row>
    <row r="1231" spans="1:10" s="428" customFormat="1">
      <c r="A1231" s="449"/>
      <c r="B1231" s="431"/>
      <c r="C1231" s="437"/>
      <c r="F1231" s="431"/>
      <c r="G1231" s="596"/>
      <c r="H1231" s="488"/>
      <c r="J1231" s="437"/>
    </row>
    <row r="1232" spans="1:10" s="428" customFormat="1">
      <c r="A1232" s="449"/>
      <c r="B1232" s="431"/>
      <c r="C1232" s="437"/>
      <c r="F1232" s="431"/>
      <c r="G1232" s="596"/>
      <c r="H1232" s="488"/>
      <c r="J1232" s="437"/>
    </row>
    <row r="1233" spans="1:10" s="428" customFormat="1">
      <c r="A1233" s="449"/>
      <c r="B1233" s="431"/>
      <c r="C1233" s="437"/>
      <c r="F1233" s="431"/>
      <c r="G1233" s="596"/>
      <c r="H1233" s="488"/>
      <c r="J1233" s="437"/>
    </row>
    <row r="1234" spans="1:10" s="428" customFormat="1">
      <c r="A1234" s="449"/>
      <c r="B1234" s="431"/>
      <c r="C1234" s="437"/>
      <c r="F1234" s="431"/>
      <c r="G1234" s="596"/>
      <c r="H1234" s="488"/>
      <c r="J1234" s="437"/>
    </row>
    <row r="1235" spans="1:10" s="428" customFormat="1">
      <c r="A1235" s="449"/>
      <c r="B1235" s="431"/>
      <c r="C1235" s="437"/>
      <c r="F1235" s="431"/>
      <c r="G1235" s="596"/>
      <c r="H1235" s="488"/>
      <c r="J1235" s="437"/>
    </row>
    <row r="1236" spans="1:10" s="428" customFormat="1">
      <c r="A1236" s="449"/>
      <c r="B1236" s="431"/>
      <c r="C1236" s="437"/>
      <c r="F1236" s="431"/>
      <c r="G1236" s="596"/>
      <c r="H1236" s="488"/>
      <c r="J1236" s="437"/>
    </row>
    <row r="1237" spans="1:10" s="428" customFormat="1">
      <c r="A1237" s="449"/>
      <c r="B1237" s="431"/>
      <c r="C1237" s="437"/>
      <c r="F1237" s="431"/>
      <c r="G1237" s="596"/>
      <c r="H1237" s="488"/>
      <c r="J1237" s="437"/>
    </row>
    <row r="1238" spans="1:10" s="428" customFormat="1">
      <c r="A1238" s="449"/>
      <c r="B1238" s="431"/>
      <c r="C1238" s="437"/>
      <c r="F1238" s="431"/>
      <c r="G1238" s="596"/>
      <c r="H1238" s="488"/>
      <c r="J1238" s="437"/>
    </row>
    <row r="1239" spans="1:10" s="428" customFormat="1">
      <c r="A1239" s="449"/>
      <c r="B1239" s="431"/>
      <c r="C1239" s="437"/>
      <c r="F1239" s="431"/>
      <c r="G1239" s="596"/>
      <c r="H1239" s="488"/>
      <c r="J1239" s="437"/>
    </row>
    <row r="1240" spans="1:10" s="428" customFormat="1">
      <c r="A1240" s="449"/>
      <c r="B1240" s="431"/>
      <c r="C1240" s="437"/>
      <c r="F1240" s="431"/>
      <c r="G1240" s="596"/>
      <c r="H1240" s="488"/>
      <c r="J1240" s="437"/>
    </row>
    <row r="1241" spans="1:10" s="428" customFormat="1">
      <c r="A1241" s="449"/>
      <c r="B1241" s="431"/>
      <c r="C1241" s="437"/>
      <c r="F1241" s="431"/>
      <c r="G1241" s="596"/>
      <c r="H1241" s="488"/>
      <c r="J1241" s="437"/>
    </row>
    <row r="1242" spans="1:10" s="428" customFormat="1">
      <c r="A1242" s="449"/>
      <c r="B1242" s="431"/>
      <c r="C1242" s="437"/>
      <c r="F1242" s="431"/>
      <c r="G1242" s="596"/>
      <c r="H1242" s="488"/>
      <c r="J1242" s="437"/>
    </row>
    <row r="1243" spans="1:10" s="428" customFormat="1">
      <c r="A1243" s="449"/>
      <c r="B1243" s="431"/>
      <c r="C1243" s="437"/>
      <c r="F1243" s="431"/>
      <c r="G1243" s="596"/>
      <c r="H1243" s="488"/>
      <c r="J1243" s="437"/>
    </row>
    <row r="1244" spans="1:10" s="428" customFormat="1">
      <c r="A1244" s="449"/>
      <c r="B1244" s="431"/>
      <c r="C1244" s="437"/>
      <c r="F1244" s="431"/>
      <c r="G1244" s="596"/>
      <c r="H1244" s="488"/>
      <c r="J1244" s="437"/>
    </row>
    <row r="1245" spans="1:10" s="428" customFormat="1">
      <c r="A1245" s="449"/>
      <c r="B1245" s="431"/>
      <c r="C1245" s="437"/>
      <c r="F1245" s="431"/>
      <c r="G1245" s="596"/>
      <c r="H1245" s="488"/>
      <c r="J1245" s="437"/>
    </row>
    <row r="1246" spans="1:10" s="428" customFormat="1">
      <c r="A1246" s="449"/>
      <c r="B1246" s="431"/>
      <c r="C1246" s="437"/>
      <c r="F1246" s="431"/>
      <c r="G1246" s="596"/>
      <c r="H1246" s="488"/>
      <c r="J1246" s="437"/>
    </row>
    <row r="1247" spans="1:10" s="428" customFormat="1">
      <c r="A1247" s="449"/>
      <c r="B1247" s="431"/>
      <c r="C1247" s="437"/>
      <c r="F1247" s="431"/>
      <c r="G1247" s="596"/>
      <c r="H1247" s="488"/>
      <c r="J1247" s="437"/>
    </row>
    <row r="1248" spans="1:10" s="428" customFormat="1">
      <c r="A1248" s="449"/>
      <c r="B1248" s="431"/>
      <c r="C1248" s="437"/>
      <c r="F1248" s="431"/>
      <c r="G1248" s="596"/>
      <c r="H1248" s="488"/>
      <c r="J1248" s="437"/>
    </row>
    <row r="1249" spans="1:10" s="428" customFormat="1">
      <c r="A1249" s="449"/>
      <c r="B1249" s="431"/>
      <c r="C1249" s="437"/>
      <c r="F1249" s="431"/>
      <c r="G1249" s="596"/>
      <c r="H1249" s="488"/>
      <c r="J1249" s="437"/>
    </row>
    <row r="1250" spans="1:10" s="428" customFormat="1">
      <c r="A1250" s="449"/>
      <c r="B1250" s="431"/>
      <c r="C1250" s="437"/>
      <c r="F1250" s="431"/>
      <c r="G1250" s="596"/>
      <c r="H1250" s="488"/>
      <c r="J1250" s="437"/>
    </row>
    <row r="1251" spans="1:10" s="428" customFormat="1">
      <c r="A1251" s="449"/>
      <c r="B1251" s="431"/>
      <c r="C1251" s="437"/>
      <c r="F1251" s="431"/>
      <c r="G1251" s="596"/>
      <c r="H1251" s="488"/>
      <c r="J1251" s="437"/>
    </row>
    <row r="1252" spans="1:10" s="428" customFormat="1">
      <c r="A1252" s="449"/>
      <c r="B1252" s="431"/>
      <c r="C1252" s="437"/>
      <c r="F1252" s="431"/>
      <c r="G1252" s="596"/>
      <c r="H1252" s="488"/>
      <c r="J1252" s="437"/>
    </row>
    <row r="1253" spans="1:10" s="428" customFormat="1">
      <c r="A1253" s="449"/>
      <c r="B1253" s="431"/>
      <c r="C1253" s="437"/>
      <c r="F1253" s="431"/>
      <c r="G1253" s="596"/>
      <c r="H1253" s="488"/>
      <c r="J1253" s="437"/>
    </row>
    <row r="1254" spans="1:10" s="428" customFormat="1">
      <c r="A1254" s="449"/>
      <c r="B1254" s="431"/>
      <c r="C1254" s="437"/>
      <c r="F1254" s="431"/>
      <c r="G1254" s="596"/>
      <c r="H1254" s="488"/>
      <c r="J1254" s="437"/>
    </row>
    <row r="1255" spans="1:10" s="428" customFormat="1">
      <c r="A1255" s="449"/>
      <c r="B1255" s="431"/>
      <c r="C1255" s="437"/>
      <c r="F1255" s="431"/>
      <c r="G1255" s="596"/>
      <c r="H1255" s="488"/>
      <c r="J1255" s="437"/>
    </row>
    <row r="1256" spans="1:10" s="428" customFormat="1">
      <c r="A1256" s="449"/>
      <c r="B1256" s="431"/>
      <c r="C1256" s="437"/>
      <c r="F1256" s="431"/>
      <c r="G1256" s="596"/>
      <c r="H1256" s="488"/>
      <c r="J1256" s="437"/>
    </row>
    <row r="1257" spans="1:10" s="428" customFormat="1">
      <c r="A1257" s="449"/>
      <c r="B1257" s="431"/>
      <c r="C1257" s="437"/>
      <c r="F1257" s="431"/>
      <c r="G1257" s="596"/>
      <c r="H1257" s="488"/>
      <c r="J1257" s="437"/>
    </row>
    <row r="1258" spans="1:10" s="428" customFormat="1">
      <c r="A1258" s="449"/>
      <c r="B1258" s="431"/>
      <c r="C1258" s="437"/>
      <c r="F1258" s="431"/>
      <c r="G1258" s="596"/>
      <c r="H1258" s="488"/>
      <c r="J1258" s="437"/>
    </row>
    <row r="1259" spans="1:10" s="428" customFormat="1">
      <c r="A1259" s="449"/>
      <c r="B1259" s="431"/>
      <c r="C1259" s="437"/>
      <c r="F1259" s="431"/>
      <c r="G1259" s="596"/>
      <c r="H1259" s="488"/>
      <c r="J1259" s="437"/>
    </row>
    <row r="1260" spans="1:10" s="428" customFormat="1">
      <c r="A1260" s="449"/>
      <c r="B1260" s="431"/>
      <c r="C1260" s="437"/>
      <c r="F1260" s="431"/>
      <c r="G1260" s="596"/>
      <c r="H1260" s="488"/>
      <c r="J1260" s="437"/>
    </row>
    <row r="1261" spans="1:10" s="428" customFormat="1">
      <c r="A1261" s="449"/>
      <c r="B1261" s="431"/>
      <c r="C1261" s="437"/>
      <c r="F1261" s="431"/>
      <c r="G1261" s="596"/>
      <c r="H1261" s="488"/>
      <c r="J1261" s="437"/>
    </row>
    <row r="1262" spans="1:10" s="428" customFormat="1">
      <c r="A1262" s="449"/>
      <c r="B1262" s="431"/>
      <c r="C1262" s="437"/>
      <c r="F1262" s="431"/>
      <c r="G1262" s="596"/>
      <c r="H1262" s="488"/>
      <c r="J1262" s="437"/>
    </row>
    <row r="1263" spans="1:10" s="428" customFormat="1">
      <c r="A1263" s="449"/>
      <c r="B1263" s="431"/>
      <c r="C1263" s="437"/>
      <c r="F1263" s="431"/>
      <c r="G1263" s="596"/>
      <c r="H1263" s="488"/>
      <c r="J1263" s="437"/>
    </row>
    <row r="1264" spans="1:10" s="428" customFormat="1">
      <c r="A1264" s="449"/>
      <c r="B1264" s="431"/>
      <c r="C1264" s="437"/>
      <c r="F1264" s="431"/>
      <c r="G1264" s="596"/>
      <c r="H1264" s="488"/>
      <c r="J1264" s="437"/>
    </row>
    <row r="1265" spans="1:10" s="428" customFormat="1">
      <c r="A1265" s="449"/>
      <c r="B1265" s="431"/>
      <c r="C1265" s="437"/>
      <c r="F1265" s="431"/>
      <c r="G1265" s="596"/>
      <c r="H1265" s="488"/>
      <c r="J1265" s="437"/>
    </row>
    <row r="1266" spans="1:10" s="428" customFormat="1">
      <c r="A1266" s="449"/>
      <c r="B1266" s="431"/>
      <c r="C1266" s="437"/>
      <c r="F1266" s="431"/>
      <c r="G1266" s="596"/>
      <c r="H1266" s="488"/>
      <c r="J1266" s="437"/>
    </row>
    <row r="1267" spans="1:10" s="428" customFormat="1">
      <c r="A1267" s="449"/>
      <c r="B1267" s="431"/>
      <c r="C1267" s="437"/>
      <c r="F1267" s="431"/>
      <c r="G1267" s="596"/>
      <c r="H1267" s="488"/>
      <c r="J1267" s="437"/>
    </row>
    <row r="1268" spans="1:10" s="428" customFormat="1">
      <c r="A1268" s="449"/>
      <c r="B1268" s="431"/>
      <c r="C1268" s="437"/>
      <c r="F1268" s="431"/>
      <c r="G1268" s="596"/>
      <c r="H1268" s="488"/>
      <c r="J1268" s="437"/>
    </row>
    <row r="1269" spans="1:10" s="428" customFormat="1">
      <c r="A1269" s="449"/>
      <c r="B1269" s="431"/>
      <c r="C1269" s="437"/>
      <c r="F1269" s="431"/>
      <c r="G1269" s="596"/>
      <c r="H1269" s="488"/>
      <c r="J1269" s="437"/>
    </row>
    <row r="1270" spans="1:10" s="428" customFormat="1">
      <c r="A1270" s="449"/>
      <c r="B1270" s="431"/>
      <c r="C1270" s="437"/>
      <c r="F1270" s="431"/>
      <c r="G1270" s="596"/>
      <c r="H1270" s="488"/>
      <c r="J1270" s="437"/>
    </row>
    <row r="1271" spans="1:10" s="428" customFormat="1">
      <c r="A1271" s="449"/>
      <c r="B1271" s="431"/>
      <c r="C1271" s="437"/>
      <c r="F1271" s="431"/>
      <c r="G1271" s="596"/>
      <c r="H1271" s="488"/>
      <c r="J1271" s="437"/>
    </row>
    <row r="1272" spans="1:10" s="428" customFormat="1">
      <c r="A1272" s="449"/>
      <c r="B1272" s="431"/>
      <c r="C1272" s="437"/>
      <c r="F1272" s="431"/>
      <c r="G1272" s="596"/>
      <c r="H1272" s="488"/>
      <c r="J1272" s="437"/>
    </row>
    <row r="1273" spans="1:10" s="428" customFormat="1">
      <c r="A1273" s="449"/>
      <c r="B1273" s="431"/>
      <c r="C1273" s="437"/>
      <c r="F1273" s="431"/>
      <c r="G1273" s="596"/>
      <c r="H1273" s="488"/>
      <c r="J1273" s="437"/>
    </row>
    <row r="1274" spans="1:10" s="428" customFormat="1">
      <c r="A1274" s="449"/>
      <c r="B1274" s="431"/>
      <c r="C1274" s="437"/>
      <c r="F1274" s="431"/>
      <c r="G1274" s="596"/>
      <c r="H1274" s="488"/>
      <c r="J1274" s="437"/>
    </row>
    <row r="1275" spans="1:10" s="428" customFormat="1">
      <c r="A1275" s="449"/>
      <c r="B1275" s="431"/>
      <c r="C1275" s="437"/>
      <c r="F1275" s="431"/>
      <c r="G1275" s="596"/>
      <c r="H1275" s="488"/>
      <c r="J1275" s="437"/>
    </row>
    <row r="1276" spans="1:10" s="428" customFormat="1">
      <c r="A1276" s="449"/>
      <c r="B1276" s="431"/>
      <c r="C1276" s="437"/>
      <c r="F1276" s="431"/>
      <c r="G1276" s="596"/>
      <c r="H1276" s="488"/>
      <c r="J1276" s="437"/>
    </row>
    <row r="1277" spans="1:10" s="428" customFormat="1">
      <c r="A1277" s="449"/>
      <c r="B1277" s="431"/>
      <c r="C1277" s="437"/>
      <c r="F1277" s="431"/>
      <c r="G1277" s="596"/>
      <c r="H1277" s="488"/>
      <c r="J1277" s="437"/>
    </row>
    <row r="1278" spans="1:10" s="428" customFormat="1">
      <c r="A1278" s="449"/>
      <c r="B1278" s="431"/>
      <c r="C1278" s="437"/>
      <c r="F1278" s="431"/>
      <c r="G1278" s="596"/>
      <c r="H1278" s="488"/>
      <c r="J1278" s="437"/>
    </row>
    <row r="1279" spans="1:10" s="428" customFormat="1">
      <c r="A1279" s="449"/>
      <c r="B1279" s="431"/>
      <c r="C1279" s="437"/>
      <c r="F1279" s="431"/>
      <c r="G1279" s="596"/>
      <c r="H1279" s="488"/>
      <c r="J1279" s="437"/>
    </row>
    <row r="1280" spans="1:10" s="428" customFormat="1">
      <c r="A1280" s="449"/>
      <c r="B1280" s="431"/>
      <c r="C1280" s="437"/>
      <c r="F1280" s="431"/>
      <c r="G1280" s="596"/>
      <c r="H1280" s="488"/>
      <c r="J1280" s="437"/>
    </row>
    <row r="1281" spans="1:10" s="428" customFormat="1">
      <c r="A1281" s="449"/>
      <c r="B1281" s="431"/>
      <c r="C1281" s="437"/>
      <c r="F1281" s="431"/>
      <c r="G1281" s="596"/>
      <c r="H1281" s="488"/>
      <c r="J1281" s="437"/>
    </row>
    <row r="1282" spans="1:10" s="428" customFormat="1">
      <c r="A1282" s="449"/>
      <c r="B1282" s="431"/>
      <c r="C1282" s="437"/>
      <c r="F1282" s="431"/>
      <c r="G1282" s="596"/>
      <c r="H1282" s="488"/>
      <c r="J1282" s="437"/>
    </row>
    <row r="1283" spans="1:10" s="428" customFormat="1">
      <c r="A1283" s="449"/>
      <c r="B1283" s="431"/>
      <c r="C1283" s="437"/>
      <c r="F1283" s="431"/>
      <c r="G1283" s="596"/>
      <c r="H1283" s="488"/>
      <c r="J1283" s="437"/>
    </row>
    <row r="1284" spans="1:10" s="428" customFormat="1">
      <c r="A1284" s="449"/>
      <c r="B1284" s="431"/>
      <c r="C1284" s="437"/>
      <c r="F1284" s="431"/>
      <c r="G1284" s="596"/>
      <c r="H1284" s="488"/>
      <c r="J1284" s="437"/>
    </row>
    <row r="1285" spans="1:10" s="428" customFormat="1">
      <c r="A1285" s="449"/>
      <c r="B1285" s="431"/>
      <c r="C1285" s="437"/>
      <c r="F1285" s="431"/>
      <c r="G1285" s="596"/>
      <c r="H1285" s="488"/>
      <c r="J1285" s="437"/>
    </row>
    <row r="1286" spans="1:10" s="428" customFormat="1">
      <c r="A1286" s="449"/>
      <c r="B1286" s="431"/>
      <c r="C1286" s="437"/>
      <c r="F1286" s="431"/>
      <c r="G1286" s="596"/>
      <c r="H1286" s="488"/>
      <c r="J1286" s="437"/>
    </row>
    <row r="1287" spans="1:10" s="428" customFormat="1">
      <c r="A1287" s="449"/>
      <c r="B1287" s="431"/>
      <c r="C1287" s="437"/>
      <c r="F1287" s="431"/>
      <c r="G1287" s="596"/>
      <c r="H1287" s="488"/>
      <c r="J1287" s="437"/>
    </row>
    <row r="1288" spans="1:10" s="428" customFormat="1">
      <c r="A1288" s="449"/>
      <c r="B1288" s="431"/>
      <c r="C1288" s="437"/>
      <c r="F1288" s="431"/>
      <c r="G1288" s="596"/>
      <c r="H1288" s="488"/>
      <c r="J1288" s="437"/>
    </row>
    <row r="1289" spans="1:10" s="428" customFormat="1">
      <c r="A1289" s="449"/>
      <c r="B1289" s="431"/>
      <c r="C1289" s="437"/>
      <c r="F1289" s="431"/>
      <c r="G1289" s="596"/>
      <c r="H1289" s="488"/>
      <c r="J1289" s="437"/>
    </row>
    <row r="1290" spans="1:10" s="428" customFormat="1">
      <c r="A1290" s="449"/>
      <c r="B1290" s="431"/>
      <c r="C1290" s="437"/>
      <c r="F1290" s="431"/>
      <c r="G1290" s="596"/>
      <c r="H1290" s="488"/>
      <c r="J1290" s="437"/>
    </row>
    <row r="1291" spans="1:10" s="428" customFormat="1">
      <c r="A1291" s="449"/>
      <c r="B1291" s="431"/>
      <c r="C1291" s="437"/>
      <c r="F1291" s="431"/>
      <c r="G1291" s="596"/>
      <c r="H1291" s="488"/>
      <c r="J1291" s="437"/>
    </row>
    <row r="1292" spans="1:10" s="428" customFormat="1">
      <c r="A1292" s="449"/>
      <c r="B1292" s="431"/>
      <c r="C1292" s="437"/>
      <c r="F1292" s="431"/>
      <c r="G1292" s="596"/>
      <c r="H1292" s="488"/>
      <c r="J1292" s="437"/>
    </row>
    <row r="1293" spans="1:10" s="428" customFormat="1">
      <c r="A1293" s="449"/>
      <c r="B1293" s="431"/>
      <c r="C1293" s="437"/>
      <c r="F1293" s="431"/>
      <c r="G1293" s="596"/>
      <c r="H1293" s="488"/>
      <c r="J1293" s="437"/>
    </row>
    <row r="1294" spans="1:10" s="428" customFormat="1">
      <c r="A1294" s="449"/>
      <c r="B1294" s="431"/>
      <c r="C1294" s="437"/>
      <c r="F1294" s="431"/>
      <c r="G1294" s="596"/>
      <c r="H1294" s="488"/>
      <c r="J1294" s="437"/>
    </row>
    <row r="1295" spans="1:10" s="428" customFormat="1">
      <c r="A1295" s="449"/>
      <c r="B1295" s="431"/>
      <c r="C1295" s="437"/>
      <c r="F1295" s="431"/>
      <c r="G1295" s="596"/>
      <c r="H1295" s="488"/>
      <c r="J1295" s="437"/>
    </row>
    <row r="1296" spans="1:10" s="428" customFormat="1">
      <c r="A1296" s="449"/>
      <c r="B1296" s="431"/>
      <c r="C1296" s="437"/>
      <c r="F1296" s="431"/>
      <c r="G1296" s="596"/>
      <c r="H1296" s="488"/>
      <c r="J1296" s="437"/>
    </row>
    <row r="1297" spans="1:10" s="428" customFormat="1">
      <c r="A1297" s="449"/>
      <c r="B1297" s="431"/>
      <c r="C1297" s="437"/>
      <c r="F1297" s="431"/>
      <c r="G1297" s="596"/>
      <c r="H1297" s="488"/>
      <c r="J1297" s="437"/>
    </row>
    <row r="1298" spans="1:10" s="428" customFormat="1">
      <c r="A1298" s="449"/>
      <c r="B1298" s="431"/>
      <c r="C1298" s="437"/>
      <c r="F1298" s="431"/>
      <c r="G1298" s="596"/>
      <c r="H1298" s="488"/>
      <c r="J1298" s="437"/>
    </row>
    <row r="1299" spans="1:10" s="428" customFormat="1">
      <c r="A1299" s="449"/>
      <c r="B1299" s="431"/>
      <c r="C1299" s="437"/>
      <c r="F1299" s="431"/>
      <c r="G1299" s="596"/>
      <c r="H1299" s="488"/>
      <c r="J1299" s="437"/>
    </row>
    <row r="1300" spans="1:10" s="428" customFormat="1">
      <c r="A1300" s="449"/>
      <c r="B1300" s="431"/>
      <c r="C1300" s="437"/>
      <c r="F1300" s="431"/>
      <c r="G1300" s="596"/>
      <c r="H1300" s="488"/>
      <c r="J1300" s="437"/>
    </row>
    <row r="1301" spans="1:10" s="428" customFormat="1">
      <c r="A1301" s="449"/>
      <c r="B1301" s="431"/>
      <c r="C1301" s="437"/>
      <c r="F1301" s="431"/>
      <c r="G1301" s="596"/>
      <c r="H1301" s="488"/>
      <c r="J1301" s="437"/>
    </row>
    <row r="1302" spans="1:10" s="428" customFormat="1">
      <c r="A1302" s="449"/>
      <c r="B1302" s="431"/>
      <c r="C1302" s="437"/>
      <c r="F1302" s="431"/>
      <c r="G1302" s="596"/>
      <c r="H1302" s="488"/>
      <c r="J1302" s="437"/>
    </row>
    <row r="1303" spans="1:10" s="428" customFormat="1">
      <c r="A1303" s="449"/>
      <c r="B1303" s="431"/>
      <c r="C1303" s="437"/>
      <c r="F1303" s="431"/>
      <c r="G1303" s="596"/>
      <c r="H1303" s="488"/>
      <c r="J1303" s="437"/>
    </row>
    <row r="1304" spans="1:10" s="428" customFormat="1">
      <c r="A1304" s="449"/>
      <c r="B1304" s="431"/>
      <c r="C1304" s="437"/>
      <c r="F1304" s="431"/>
      <c r="G1304" s="596"/>
      <c r="H1304" s="488"/>
      <c r="J1304" s="437"/>
    </row>
    <row r="1305" spans="1:10" s="428" customFormat="1">
      <c r="A1305" s="449"/>
      <c r="B1305" s="431"/>
      <c r="C1305" s="437"/>
      <c r="F1305" s="431"/>
      <c r="G1305" s="596"/>
      <c r="H1305" s="488"/>
      <c r="J1305" s="437"/>
    </row>
    <row r="1306" spans="1:10" s="428" customFormat="1">
      <c r="A1306" s="449"/>
      <c r="B1306" s="431"/>
      <c r="C1306" s="437"/>
      <c r="F1306" s="431"/>
      <c r="G1306" s="596"/>
      <c r="H1306" s="488"/>
      <c r="J1306" s="437"/>
    </row>
    <row r="1307" spans="1:10" s="428" customFormat="1">
      <c r="A1307" s="449"/>
      <c r="B1307" s="431"/>
      <c r="C1307" s="437"/>
      <c r="F1307" s="431"/>
      <c r="G1307" s="596"/>
      <c r="H1307" s="488"/>
      <c r="J1307" s="437"/>
    </row>
    <row r="1308" spans="1:10" s="428" customFormat="1">
      <c r="A1308" s="449"/>
      <c r="B1308" s="431"/>
      <c r="C1308" s="437"/>
      <c r="F1308" s="431"/>
      <c r="G1308" s="596"/>
      <c r="H1308" s="488"/>
      <c r="J1308" s="437"/>
    </row>
    <row r="1309" spans="1:10" s="428" customFormat="1">
      <c r="A1309" s="449"/>
      <c r="B1309" s="431"/>
      <c r="C1309" s="437"/>
      <c r="F1309" s="431"/>
      <c r="G1309" s="596"/>
      <c r="H1309" s="488"/>
      <c r="J1309" s="437"/>
    </row>
    <row r="1310" spans="1:10" s="428" customFormat="1">
      <c r="A1310" s="449"/>
      <c r="B1310" s="431"/>
      <c r="C1310" s="437"/>
      <c r="F1310" s="431"/>
      <c r="G1310" s="596"/>
      <c r="H1310" s="488"/>
      <c r="J1310" s="437"/>
    </row>
    <row r="1311" spans="1:10" s="428" customFormat="1">
      <c r="A1311" s="449"/>
      <c r="B1311" s="431"/>
      <c r="C1311" s="437"/>
      <c r="F1311" s="431"/>
      <c r="G1311" s="596"/>
      <c r="H1311" s="488"/>
      <c r="J1311" s="437"/>
    </row>
    <row r="1312" spans="1:10" s="428" customFormat="1">
      <c r="A1312" s="449"/>
      <c r="B1312" s="431"/>
      <c r="C1312" s="437"/>
      <c r="F1312" s="431"/>
      <c r="G1312" s="596"/>
      <c r="H1312" s="488"/>
      <c r="J1312" s="437"/>
    </row>
    <row r="1313" spans="1:10" s="428" customFormat="1">
      <c r="A1313" s="449"/>
      <c r="B1313" s="431"/>
      <c r="C1313" s="437"/>
      <c r="F1313" s="431"/>
      <c r="G1313" s="596"/>
      <c r="H1313" s="488"/>
      <c r="J1313" s="437"/>
    </row>
    <row r="1314" spans="1:10" s="428" customFormat="1">
      <c r="A1314" s="449"/>
      <c r="B1314" s="431"/>
      <c r="C1314" s="437"/>
      <c r="F1314" s="431"/>
      <c r="G1314" s="596"/>
      <c r="H1314" s="488"/>
      <c r="J1314" s="437"/>
    </row>
    <row r="1315" spans="1:10" s="428" customFormat="1">
      <c r="A1315" s="449"/>
      <c r="B1315" s="431"/>
      <c r="C1315" s="437"/>
      <c r="F1315" s="431"/>
      <c r="G1315" s="596"/>
      <c r="H1315" s="488"/>
      <c r="J1315" s="437"/>
    </row>
    <row r="1316" spans="1:10" s="428" customFormat="1">
      <c r="A1316" s="449"/>
      <c r="B1316" s="431"/>
      <c r="C1316" s="437"/>
      <c r="F1316" s="431"/>
      <c r="G1316" s="596"/>
      <c r="H1316" s="488"/>
      <c r="J1316" s="437"/>
    </row>
    <row r="1317" spans="1:10" s="428" customFormat="1">
      <c r="A1317" s="449"/>
      <c r="B1317" s="431"/>
      <c r="C1317" s="437"/>
      <c r="F1317" s="431"/>
      <c r="G1317" s="596"/>
      <c r="H1317" s="488"/>
      <c r="J1317" s="437"/>
    </row>
    <row r="1318" spans="1:10" s="428" customFormat="1">
      <c r="A1318" s="449"/>
      <c r="B1318" s="431"/>
      <c r="C1318" s="437"/>
      <c r="F1318" s="431"/>
      <c r="G1318" s="596"/>
      <c r="H1318" s="488"/>
      <c r="J1318" s="437"/>
    </row>
    <row r="1319" spans="1:10" s="428" customFormat="1">
      <c r="A1319" s="449"/>
      <c r="B1319" s="431"/>
      <c r="C1319" s="437"/>
      <c r="F1319" s="431"/>
      <c r="G1319" s="596"/>
      <c r="H1319" s="488"/>
      <c r="J1319" s="437"/>
    </row>
    <row r="1320" spans="1:10" s="428" customFormat="1">
      <c r="A1320" s="449"/>
      <c r="B1320" s="431"/>
      <c r="C1320" s="437"/>
      <c r="F1320" s="431"/>
      <c r="G1320" s="596"/>
      <c r="H1320" s="488"/>
      <c r="J1320" s="437"/>
    </row>
    <row r="1321" spans="1:10" s="428" customFormat="1">
      <c r="A1321" s="449"/>
      <c r="B1321" s="431"/>
      <c r="C1321" s="437"/>
      <c r="F1321" s="431"/>
      <c r="G1321" s="596"/>
      <c r="H1321" s="488"/>
      <c r="J1321" s="437"/>
    </row>
    <row r="1322" spans="1:10" s="428" customFormat="1">
      <c r="A1322" s="449"/>
      <c r="B1322" s="431"/>
      <c r="C1322" s="437"/>
      <c r="F1322" s="431"/>
      <c r="G1322" s="596"/>
      <c r="H1322" s="488"/>
      <c r="J1322" s="437"/>
    </row>
    <row r="1323" spans="1:10" s="428" customFormat="1">
      <c r="A1323" s="449"/>
      <c r="B1323" s="431"/>
      <c r="C1323" s="437"/>
      <c r="F1323" s="431"/>
      <c r="G1323" s="596"/>
      <c r="H1323" s="488"/>
      <c r="J1323" s="437"/>
    </row>
    <row r="1324" spans="1:10" s="428" customFormat="1">
      <c r="A1324" s="449"/>
      <c r="B1324" s="431"/>
      <c r="C1324" s="437"/>
      <c r="F1324" s="431"/>
      <c r="G1324" s="596"/>
      <c r="H1324" s="488"/>
      <c r="J1324" s="437"/>
    </row>
    <row r="1325" spans="1:10" s="428" customFormat="1">
      <c r="A1325" s="449"/>
      <c r="B1325" s="431"/>
      <c r="C1325" s="437"/>
      <c r="F1325" s="431"/>
      <c r="G1325" s="596"/>
      <c r="H1325" s="488"/>
      <c r="J1325" s="437"/>
    </row>
    <row r="1326" spans="1:10" s="428" customFormat="1">
      <c r="A1326" s="449"/>
      <c r="B1326" s="431"/>
      <c r="C1326" s="437"/>
      <c r="F1326" s="431"/>
      <c r="G1326" s="596"/>
      <c r="H1326" s="488"/>
      <c r="J1326" s="437"/>
    </row>
    <row r="1327" spans="1:10" s="428" customFormat="1">
      <c r="A1327" s="449"/>
      <c r="B1327" s="431"/>
      <c r="C1327" s="437"/>
      <c r="F1327" s="431"/>
      <c r="G1327" s="596"/>
      <c r="H1327" s="488"/>
      <c r="J1327" s="437"/>
    </row>
    <row r="1328" spans="1:10" s="428" customFormat="1">
      <c r="A1328" s="449"/>
      <c r="B1328" s="431"/>
      <c r="C1328" s="437"/>
      <c r="F1328" s="431"/>
      <c r="G1328" s="596"/>
      <c r="H1328" s="488"/>
      <c r="J1328" s="437"/>
    </row>
    <row r="1329" spans="1:10" s="428" customFormat="1">
      <c r="A1329" s="449"/>
      <c r="B1329" s="431"/>
      <c r="C1329" s="437"/>
      <c r="F1329" s="431"/>
      <c r="G1329" s="596"/>
      <c r="H1329" s="488"/>
      <c r="J1329" s="437"/>
    </row>
    <row r="1330" spans="1:10" s="428" customFormat="1">
      <c r="A1330" s="449"/>
      <c r="B1330" s="431"/>
      <c r="C1330" s="437"/>
      <c r="F1330" s="431"/>
      <c r="G1330" s="596"/>
      <c r="H1330" s="488"/>
      <c r="J1330" s="437"/>
    </row>
    <row r="1331" spans="1:10" s="428" customFormat="1">
      <c r="A1331" s="449"/>
      <c r="B1331" s="431"/>
      <c r="C1331" s="437"/>
      <c r="F1331" s="431"/>
      <c r="G1331" s="596"/>
      <c r="H1331" s="488"/>
      <c r="J1331" s="437"/>
    </row>
    <row r="1332" spans="1:10" s="428" customFormat="1">
      <c r="A1332" s="449"/>
      <c r="B1332" s="431"/>
      <c r="C1332" s="437"/>
      <c r="F1332" s="431"/>
      <c r="G1332" s="596"/>
      <c r="H1332" s="488"/>
      <c r="J1332" s="437"/>
    </row>
    <row r="1333" spans="1:10" s="428" customFormat="1">
      <c r="A1333" s="449"/>
      <c r="B1333" s="431"/>
      <c r="C1333" s="437"/>
      <c r="F1333" s="431"/>
      <c r="G1333" s="596"/>
      <c r="H1333" s="488"/>
      <c r="J1333" s="437"/>
    </row>
    <row r="1334" spans="1:10" s="428" customFormat="1">
      <c r="A1334" s="449"/>
      <c r="B1334" s="431"/>
      <c r="C1334" s="437"/>
      <c r="F1334" s="431"/>
      <c r="G1334" s="596"/>
      <c r="H1334" s="488"/>
      <c r="J1334" s="437"/>
    </row>
    <row r="1335" spans="1:10" s="428" customFormat="1">
      <c r="A1335" s="449"/>
      <c r="B1335" s="431"/>
      <c r="C1335" s="437"/>
      <c r="F1335" s="431"/>
      <c r="G1335" s="596"/>
      <c r="H1335" s="488"/>
      <c r="J1335" s="437"/>
    </row>
    <row r="1336" spans="1:10" s="428" customFormat="1">
      <c r="A1336" s="449"/>
      <c r="B1336" s="431"/>
      <c r="C1336" s="437"/>
      <c r="F1336" s="431"/>
      <c r="G1336" s="596"/>
      <c r="H1336" s="488"/>
      <c r="J1336" s="437"/>
    </row>
    <row r="1337" spans="1:10" s="428" customFormat="1">
      <c r="A1337" s="449"/>
      <c r="B1337" s="431"/>
      <c r="C1337" s="437"/>
      <c r="F1337" s="431"/>
      <c r="G1337" s="596"/>
      <c r="H1337" s="488"/>
      <c r="J1337" s="437"/>
    </row>
    <row r="1338" spans="1:10" s="428" customFormat="1">
      <c r="A1338" s="449"/>
      <c r="B1338" s="431"/>
      <c r="C1338" s="437"/>
      <c r="F1338" s="431"/>
      <c r="G1338" s="596"/>
      <c r="H1338" s="488"/>
      <c r="J1338" s="437"/>
    </row>
    <row r="1339" spans="1:10" s="428" customFormat="1">
      <c r="A1339" s="449"/>
      <c r="B1339" s="431"/>
      <c r="C1339" s="437"/>
      <c r="F1339" s="431"/>
      <c r="G1339" s="596"/>
      <c r="H1339" s="488"/>
      <c r="J1339" s="437"/>
    </row>
    <row r="1340" spans="1:10" s="428" customFormat="1">
      <c r="A1340" s="449"/>
      <c r="B1340" s="431"/>
      <c r="C1340" s="437"/>
      <c r="F1340" s="431"/>
      <c r="G1340" s="596"/>
      <c r="H1340" s="488"/>
      <c r="J1340" s="437"/>
    </row>
    <row r="1341" spans="1:10" s="428" customFormat="1">
      <c r="A1341" s="449"/>
      <c r="B1341" s="431"/>
      <c r="C1341" s="437"/>
      <c r="F1341" s="431"/>
      <c r="G1341" s="596"/>
      <c r="H1341" s="488"/>
      <c r="J1341" s="437"/>
    </row>
    <row r="1342" spans="1:10" s="428" customFormat="1">
      <c r="A1342" s="449"/>
      <c r="B1342" s="431"/>
      <c r="C1342" s="437"/>
      <c r="F1342" s="431"/>
      <c r="G1342" s="596"/>
      <c r="H1342" s="488"/>
      <c r="J1342" s="437"/>
    </row>
    <row r="1343" spans="1:10" s="428" customFormat="1">
      <c r="A1343" s="449"/>
      <c r="B1343" s="431"/>
      <c r="C1343" s="437"/>
      <c r="F1343" s="431"/>
      <c r="G1343" s="596"/>
      <c r="H1343" s="488"/>
      <c r="J1343" s="437"/>
    </row>
    <row r="1344" spans="1:10" s="428" customFormat="1">
      <c r="A1344" s="449"/>
      <c r="B1344" s="431"/>
      <c r="C1344" s="437"/>
      <c r="F1344" s="431"/>
      <c r="G1344" s="596"/>
      <c r="H1344" s="488"/>
      <c r="J1344" s="437"/>
    </row>
    <row r="1345" spans="1:10" s="428" customFormat="1">
      <c r="A1345" s="449"/>
      <c r="B1345" s="431"/>
      <c r="C1345" s="437"/>
      <c r="F1345" s="431"/>
      <c r="G1345" s="596"/>
      <c r="H1345" s="488"/>
      <c r="J1345" s="437"/>
    </row>
    <row r="1346" spans="1:10" s="428" customFormat="1">
      <c r="A1346" s="449"/>
      <c r="B1346" s="431"/>
      <c r="C1346" s="437"/>
      <c r="F1346" s="431"/>
      <c r="G1346" s="596"/>
      <c r="H1346" s="488"/>
      <c r="J1346" s="437"/>
    </row>
    <row r="1347" spans="1:10" s="428" customFormat="1">
      <c r="A1347" s="449"/>
      <c r="B1347" s="431"/>
      <c r="C1347" s="437"/>
      <c r="F1347" s="431"/>
      <c r="G1347" s="596"/>
      <c r="H1347" s="488"/>
      <c r="J1347" s="437"/>
    </row>
    <row r="1348" spans="1:10" s="428" customFormat="1">
      <c r="A1348" s="449"/>
      <c r="B1348" s="431"/>
      <c r="C1348" s="437"/>
      <c r="F1348" s="431"/>
      <c r="G1348" s="596"/>
      <c r="H1348" s="488"/>
      <c r="J1348" s="437"/>
    </row>
    <row r="1349" spans="1:10" s="428" customFormat="1">
      <c r="A1349" s="449"/>
      <c r="B1349" s="431"/>
      <c r="C1349" s="437"/>
      <c r="F1349" s="431"/>
      <c r="G1349" s="596"/>
      <c r="H1349" s="488"/>
      <c r="J1349" s="437"/>
    </row>
    <row r="1350" spans="1:10" s="428" customFormat="1">
      <c r="A1350" s="449"/>
      <c r="B1350" s="431"/>
      <c r="C1350" s="437"/>
      <c r="F1350" s="431"/>
      <c r="G1350" s="596"/>
      <c r="H1350" s="488"/>
      <c r="J1350" s="437"/>
    </row>
    <row r="1351" spans="1:10" s="428" customFormat="1">
      <c r="A1351" s="449"/>
      <c r="B1351" s="431"/>
      <c r="C1351" s="437"/>
      <c r="F1351" s="431"/>
      <c r="G1351" s="596"/>
      <c r="H1351" s="488"/>
      <c r="J1351" s="437"/>
    </row>
    <row r="1352" spans="1:10" s="428" customFormat="1">
      <c r="A1352" s="449"/>
      <c r="B1352" s="431"/>
      <c r="C1352" s="437"/>
      <c r="F1352" s="431"/>
      <c r="G1352" s="596"/>
      <c r="H1352" s="488"/>
      <c r="J1352" s="437"/>
    </row>
    <row r="1353" spans="1:10" s="428" customFormat="1">
      <c r="A1353" s="449"/>
      <c r="B1353" s="431"/>
      <c r="C1353" s="437"/>
      <c r="F1353" s="431"/>
      <c r="G1353" s="596"/>
      <c r="H1353" s="488"/>
      <c r="J1353" s="437"/>
    </row>
    <row r="1354" spans="1:10" s="428" customFormat="1">
      <c r="A1354" s="449"/>
      <c r="B1354" s="431"/>
      <c r="C1354" s="437"/>
      <c r="F1354" s="431"/>
      <c r="G1354" s="596"/>
      <c r="H1354" s="488"/>
      <c r="J1354" s="437"/>
    </row>
    <row r="1355" spans="1:10" s="428" customFormat="1">
      <c r="A1355" s="449"/>
      <c r="B1355" s="431"/>
      <c r="C1355" s="437"/>
      <c r="F1355" s="431"/>
      <c r="G1355" s="596"/>
      <c r="H1355" s="488"/>
      <c r="J1355" s="437"/>
    </row>
    <row r="1356" spans="1:10" s="428" customFormat="1">
      <c r="A1356" s="449"/>
      <c r="B1356" s="431"/>
      <c r="C1356" s="437"/>
      <c r="F1356" s="431"/>
      <c r="G1356" s="596"/>
      <c r="H1356" s="488"/>
      <c r="J1356" s="437"/>
    </row>
    <row r="1357" spans="1:10" s="428" customFormat="1">
      <c r="A1357" s="449"/>
      <c r="B1357" s="431"/>
      <c r="C1357" s="437"/>
      <c r="F1357" s="431"/>
      <c r="G1357" s="596"/>
      <c r="H1357" s="488"/>
      <c r="J1357" s="437"/>
    </row>
    <row r="1358" spans="1:10" s="428" customFormat="1">
      <c r="A1358" s="449"/>
      <c r="B1358" s="431"/>
      <c r="C1358" s="437"/>
      <c r="F1358" s="431"/>
      <c r="G1358" s="596"/>
      <c r="H1358" s="488"/>
      <c r="J1358" s="437"/>
    </row>
    <row r="1359" spans="1:10" s="428" customFormat="1">
      <c r="A1359" s="449"/>
      <c r="B1359" s="431"/>
      <c r="C1359" s="437"/>
      <c r="F1359" s="431"/>
      <c r="G1359" s="596"/>
      <c r="H1359" s="488"/>
      <c r="J1359" s="437"/>
    </row>
    <row r="1360" spans="1:10" s="428" customFormat="1">
      <c r="A1360" s="449"/>
      <c r="B1360" s="431"/>
      <c r="C1360" s="437"/>
      <c r="F1360" s="431"/>
      <c r="G1360" s="596"/>
      <c r="H1360" s="488"/>
      <c r="J1360" s="437"/>
    </row>
    <row r="1361" spans="1:10" s="428" customFormat="1">
      <c r="A1361" s="449"/>
      <c r="B1361" s="431"/>
      <c r="C1361" s="437"/>
      <c r="F1361" s="431"/>
      <c r="G1361" s="596"/>
      <c r="H1361" s="488"/>
      <c r="J1361" s="437"/>
    </row>
    <row r="1362" spans="1:10" s="428" customFormat="1">
      <c r="A1362" s="449"/>
      <c r="B1362" s="431"/>
      <c r="C1362" s="437"/>
      <c r="F1362" s="431"/>
      <c r="G1362" s="596"/>
      <c r="H1362" s="488"/>
      <c r="J1362" s="437"/>
    </row>
    <row r="1363" spans="1:10" s="428" customFormat="1">
      <c r="A1363" s="449"/>
      <c r="B1363" s="431"/>
      <c r="C1363" s="437"/>
      <c r="F1363" s="431"/>
      <c r="G1363" s="596"/>
      <c r="H1363" s="488"/>
      <c r="J1363" s="437"/>
    </row>
    <row r="1364" spans="1:10" s="428" customFormat="1">
      <c r="A1364" s="449"/>
      <c r="B1364" s="431"/>
      <c r="C1364" s="437"/>
      <c r="F1364" s="431"/>
      <c r="G1364" s="596"/>
      <c r="H1364" s="488"/>
      <c r="J1364" s="437"/>
    </row>
    <row r="1365" spans="1:10" s="428" customFormat="1">
      <c r="A1365" s="449"/>
      <c r="B1365" s="431"/>
      <c r="C1365" s="437"/>
      <c r="F1365" s="431"/>
      <c r="G1365" s="596"/>
      <c r="H1365" s="488"/>
      <c r="J1365" s="437"/>
    </row>
    <row r="1366" spans="1:10" s="428" customFormat="1">
      <c r="A1366" s="449"/>
      <c r="B1366" s="431"/>
      <c r="C1366" s="437"/>
      <c r="F1366" s="431"/>
      <c r="G1366" s="596"/>
      <c r="H1366" s="488"/>
      <c r="J1366" s="437"/>
    </row>
    <row r="1367" spans="1:10" s="428" customFormat="1">
      <c r="A1367" s="449"/>
      <c r="B1367" s="431"/>
      <c r="C1367" s="437"/>
      <c r="F1367" s="431"/>
      <c r="G1367" s="596"/>
      <c r="H1367" s="488"/>
      <c r="J1367" s="437"/>
    </row>
    <row r="1368" spans="1:10" s="428" customFormat="1">
      <c r="A1368" s="449"/>
      <c r="B1368" s="431"/>
      <c r="C1368" s="437"/>
      <c r="F1368" s="431"/>
      <c r="G1368" s="596"/>
      <c r="H1368" s="488"/>
      <c r="J1368" s="437"/>
    </row>
    <row r="1369" spans="1:10" s="428" customFormat="1">
      <c r="A1369" s="449"/>
      <c r="B1369" s="431"/>
      <c r="C1369" s="437"/>
      <c r="F1369" s="431"/>
      <c r="G1369" s="596"/>
      <c r="H1369" s="488"/>
      <c r="J1369" s="437"/>
    </row>
    <row r="1370" spans="1:10" s="428" customFormat="1">
      <c r="A1370" s="449"/>
      <c r="B1370" s="431"/>
      <c r="C1370" s="437"/>
      <c r="F1370" s="431"/>
      <c r="G1370" s="596"/>
      <c r="H1370" s="488"/>
      <c r="J1370" s="437"/>
    </row>
    <row r="1371" spans="1:10" s="428" customFormat="1">
      <c r="A1371" s="449"/>
      <c r="B1371" s="431"/>
      <c r="C1371" s="437"/>
      <c r="F1371" s="431"/>
      <c r="G1371" s="596"/>
      <c r="H1371" s="488"/>
      <c r="J1371" s="437"/>
    </row>
    <row r="1372" spans="1:10" s="428" customFormat="1">
      <c r="A1372" s="449"/>
      <c r="B1372" s="431"/>
      <c r="C1372" s="437"/>
      <c r="F1372" s="431"/>
      <c r="G1372" s="596"/>
      <c r="H1372" s="488"/>
      <c r="J1372" s="437"/>
    </row>
    <row r="1373" spans="1:10" s="428" customFormat="1">
      <c r="A1373" s="449"/>
      <c r="B1373" s="431"/>
      <c r="C1373" s="437"/>
      <c r="F1373" s="431"/>
      <c r="G1373" s="596"/>
      <c r="H1373" s="488"/>
      <c r="J1373" s="437"/>
    </row>
    <row r="1374" spans="1:10" s="428" customFormat="1">
      <c r="A1374" s="449"/>
      <c r="B1374" s="431"/>
      <c r="C1374" s="437"/>
      <c r="F1374" s="431"/>
      <c r="G1374" s="596"/>
      <c r="H1374" s="488"/>
      <c r="J1374" s="437"/>
    </row>
    <row r="1375" spans="1:10" s="428" customFormat="1">
      <c r="A1375" s="449"/>
      <c r="B1375" s="431"/>
      <c r="C1375" s="437"/>
      <c r="F1375" s="431"/>
      <c r="G1375" s="596"/>
      <c r="H1375" s="488"/>
      <c r="J1375" s="437"/>
    </row>
    <row r="1376" spans="1:10" s="428" customFormat="1">
      <c r="A1376" s="449"/>
      <c r="B1376" s="431"/>
      <c r="C1376" s="437"/>
      <c r="F1376" s="431"/>
      <c r="G1376" s="596"/>
      <c r="H1376" s="488"/>
      <c r="J1376" s="437"/>
    </row>
    <row r="1377" spans="1:10" s="428" customFormat="1">
      <c r="A1377" s="449"/>
      <c r="B1377" s="431"/>
      <c r="C1377" s="437"/>
      <c r="F1377" s="431"/>
      <c r="G1377" s="596"/>
      <c r="H1377" s="488"/>
      <c r="J1377" s="437"/>
    </row>
    <row r="1378" spans="1:10" s="428" customFormat="1">
      <c r="A1378" s="449"/>
      <c r="B1378" s="431"/>
      <c r="C1378" s="437"/>
      <c r="F1378" s="431"/>
      <c r="G1378" s="596"/>
      <c r="H1378" s="488"/>
      <c r="J1378" s="437"/>
    </row>
    <row r="1379" spans="1:10" s="428" customFormat="1">
      <c r="A1379" s="449"/>
      <c r="B1379" s="431"/>
      <c r="C1379" s="437"/>
      <c r="F1379" s="431"/>
      <c r="G1379" s="596"/>
      <c r="H1379" s="488"/>
      <c r="J1379" s="437"/>
    </row>
    <row r="1380" spans="1:10" s="428" customFormat="1">
      <c r="A1380" s="449"/>
      <c r="B1380" s="431"/>
      <c r="C1380" s="437"/>
      <c r="F1380" s="431"/>
      <c r="G1380" s="596"/>
      <c r="H1380" s="488"/>
      <c r="J1380" s="437"/>
    </row>
    <row r="1381" spans="1:10" s="428" customFormat="1">
      <c r="A1381" s="449"/>
      <c r="B1381" s="431"/>
      <c r="C1381" s="437"/>
      <c r="F1381" s="431"/>
      <c r="G1381" s="596"/>
      <c r="H1381" s="488"/>
      <c r="J1381" s="437"/>
    </row>
    <row r="1382" spans="1:10" s="428" customFormat="1">
      <c r="A1382" s="449"/>
      <c r="B1382" s="431"/>
      <c r="C1382" s="437"/>
      <c r="F1382" s="431"/>
      <c r="G1382" s="596"/>
      <c r="H1382" s="488"/>
      <c r="J1382" s="437"/>
    </row>
    <row r="1383" spans="1:10" s="428" customFormat="1">
      <c r="A1383" s="449"/>
      <c r="B1383" s="431"/>
      <c r="C1383" s="437"/>
      <c r="F1383" s="431"/>
      <c r="G1383" s="596"/>
      <c r="H1383" s="488"/>
      <c r="J1383" s="437"/>
    </row>
    <row r="1384" spans="1:10" s="428" customFormat="1">
      <c r="A1384" s="449"/>
      <c r="B1384" s="431"/>
      <c r="C1384" s="437"/>
      <c r="F1384" s="431"/>
      <c r="G1384" s="596"/>
      <c r="H1384" s="488"/>
      <c r="J1384" s="437"/>
    </row>
    <row r="1385" spans="1:10" s="428" customFormat="1">
      <c r="A1385" s="449"/>
      <c r="B1385" s="431"/>
      <c r="C1385" s="437"/>
      <c r="F1385" s="431"/>
      <c r="G1385" s="596"/>
      <c r="H1385" s="488"/>
      <c r="J1385" s="437"/>
    </row>
    <row r="1386" spans="1:10" s="428" customFormat="1">
      <c r="A1386" s="449"/>
      <c r="B1386" s="431"/>
      <c r="C1386" s="437"/>
      <c r="F1386" s="431"/>
      <c r="G1386" s="596"/>
      <c r="H1386" s="488"/>
      <c r="J1386" s="437"/>
    </row>
    <row r="1387" spans="1:10" s="428" customFormat="1">
      <c r="A1387" s="449"/>
      <c r="B1387" s="431"/>
      <c r="C1387" s="437"/>
      <c r="F1387" s="431"/>
      <c r="G1387" s="596"/>
      <c r="H1387" s="488"/>
      <c r="J1387" s="437"/>
    </row>
    <row r="1388" spans="1:10" s="428" customFormat="1">
      <c r="A1388" s="449"/>
      <c r="B1388" s="431"/>
      <c r="C1388" s="437"/>
      <c r="F1388" s="431"/>
      <c r="G1388" s="596"/>
      <c r="H1388" s="488"/>
      <c r="J1388" s="437"/>
    </row>
    <row r="1389" spans="1:10" s="428" customFormat="1">
      <c r="A1389" s="449"/>
      <c r="B1389" s="431"/>
      <c r="C1389" s="437"/>
      <c r="F1389" s="431"/>
      <c r="G1389" s="596"/>
      <c r="H1389" s="488"/>
      <c r="J1389" s="437"/>
    </row>
    <row r="1390" spans="1:10" s="428" customFormat="1">
      <c r="A1390" s="449"/>
      <c r="B1390" s="431"/>
      <c r="C1390" s="437"/>
      <c r="F1390" s="431"/>
      <c r="G1390" s="596"/>
      <c r="H1390" s="488"/>
      <c r="J1390" s="437"/>
    </row>
    <row r="1391" spans="1:10" s="428" customFormat="1">
      <c r="A1391" s="449"/>
      <c r="B1391" s="431"/>
      <c r="C1391" s="437"/>
      <c r="F1391" s="431"/>
      <c r="G1391" s="596"/>
      <c r="H1391" s="488"/>
      <c r="J1391" s="437"/>
    </row>
    <row r="1392" spans="1:10" s="428" customFormat="1">
      <c r="A1392" s="449"/>
      <c r="B1392" s="431"/>
      <c r="C1392" s="437"/>
      <c r="F1392" s="431"/>
      <c r="G1392" s="596"/>
      <c r="H1392" s="488"/>
      <c r="J1392" s="437"/>
    </row>
    <row r="1393" spans="1:10" s="428" customFormat="1">
      <c r="A1393" s="449"/>
      <c r="B1393" s="431"/>
      <c r="C1393" s="437"/>
      <c r="F1393" s="431"/>
      <c r="G1393" s="596"/>
      <c r="H1393" s="488"/>
      <c r="J1393" s="437"/>
    </row>
    <row r="1394" spans="1:10" s="428" customFormat="1">
      <c r="A1394" s="449"/>
      <c r="B1394" s="431"/>
      <c r="C1394" s="437"/>
      <c r="F1394" s="431"/>
      <c r="G1394" s="596"/>
      <c r="H1394" s="488"/>
      <c r="J1394" s="437"/>
    </row>
    <row r="1395" spans="1:10" s="428" customFormat="1">
      <c r="A1395" s="449"/>
      <c r="B1395" s="431"/>
      <c r="C1395" s="437"/>
      <c r="F1395" s="431"/>
      <c r="G1395" s="596"/>
      <c r="H1395" s="488"/>
      <c r="J1395" s="437"/>
    </row>
    <row r="1396" spans="1:10" s="428" customFormat="1">
      <c r="A1396" s="449"/>
      <c r="B1396" s="431"/>
      <c r="C1396" s="437"/>
      <c r="F1396" s="431"/>
      <c r="G1396" s="596"/>
      <c r="H1396" s="488"/>
      <c r="J1396" s="437"/>
    </row>
    <row r="1397" spans="1:10" s="428" customFormat="1">
      <c r="A1397" s="449"/>
      <c r="B1397" s="431"/>
      <c r="C1397" s="437"/>
      <c r="F1397" s="431"/>
      <c r="G1397" s="596"/>
      <c r="H1397" s="488"/>
      <c r="J1397" s="437"/>
    </row>
    <row r="1398" spans="1:10" s="428" customFormat="1">
      <c r="A1398" s="449"/>
      <c r="B1398" s="431"/>
      <c r="C1398" s="437"/>
      <c r="F1398" s="431"/>
      <c r="G1398" s="596"/>
      <c r="H1398" s="488"/>
      <c r="J1398" s="437"/>
    </row>
    <row r="1399" spans="1:10" s="428" customFormat="1">
      <c r="A1399" s="449"/>
      <c r="B1399" s="431"/>
      <c r="C1399" s="437"/>
      <c r="F1399" s="431"/>
      <c r="G1399" s="596"/>
      <c r="H1399" s="488"/>
      <c r="J1399" s="437"/>
    </row>
    <row r="1400" spans="1:10" s="428" customFormat="1">
      <c r="A1400" s="449"/>
      <c r="B1400" s="431"/>
      <c r="C1400" s="437"/>
      <c r="F1400" s="431"/>
      <c r="G1400" s="596"/>
      <c r="H1400" s="488"/>
      <c r="J1400" s="437"/>
    </row>
    <row r="1401" spans="1:10" s="428" customFormat="1">
      <c r="A1401" s="449"/>
      <c r="B1401" s="431"/>
      <c r="C1401" s="437"/>
      <c r="F1401" s="431"/>
      <c r="G1401" s="596"/>
      <c r="H1401" s="488"/>
      <c r="J1401" s="437"/>
    </row>
    <row r="1402" spans="1:10" s="428" customFormat="1">
      <c r="A1402" s="449"/>
      <c r="B1402" s="431"/>
      <c r="C1402" s="437"/>
      <c r="F1402" s="431"/>
      <c r="G1402" s="596"/>
      <c r="H1402" s="488"/>
      <c r="J1402" s="437"/>
    </row>
    <row r="1403" spans="1:10" s="428" customFormat="1">
      <c r="A1403" s="449"/>
      <c r="B1403" s="431"/>
      <c r="C1403" s="437"/>
      <c r="F1403" s="431"/>
      <c r="G1403" s="596"/>
      <c r="H1403" s="488"/>
      <c r="J1403" s="437"/>
    </row>
    <row r="1404" spans="1:10" s="428" customFormat="1">
      <c r="A1404" s="449"/>
      <c r="B1404" s="431"/>
      <c r="C1404" s="437"/>
      <c r="F1404" s="431"/>
      <c r="G1404" s="596"/>
      <c r="H1404" s="488"/>
      <c r="J1404" s="437"/>
    </row>
    <row r="1405" spans="1:10" s="428" customFormat="1">
      <c r="A1405" s="449"/>
      <c r="B1405" s="431"/>
      <c r="C1405" s="437"/>
      <c r="F1405" s="431"/>
      <c r="G1405" s="596"/>
      <c r="H1405" s="488"/>
      <c r="J1405" s="437"/>
    </row>
    <row r="1406" spans="1:10" s="428" customFormat="1">
      <c r="A1406" s="449"/>
      <c r="B1406" s="431"/>
      <c r="C1406" s="437"/>
      <c r="F1406" s="431"/>
      <c r="G1406" s="596"/>
      <c r="H1406" s="488"/>
      <c r="J1406" s="437"/>
    </row>
    <row r="1407" spans="1:10" s="428" customFormat="1">
      <c r="A1407" s="449"/>
      <c r="B1407" s="431"/>
      <c r="C1407" s="437"/>
      <c r="F1407" s="431"/>
      <c r="G1407" s="596"/>
      <c r="H1407" s="488"/>
      <c r="J1407" s="437"/>
    </row>
    <row r="1408" spans="1:10" s="428" customFormat="1">
      <c r="A1408" s="449"/>
      <c r="B1408" s="431"/>
      <c r="C1408" s="437"/>
      <c r="F1408" s="431"/>
      <c r="G1408" s="596"/>
      <c r="H1408" s="488"/>
      <c r="J1408" s="437"/>
    </row>
    <row r="1409" spans="1:10" s="428" customFormat="1">
      <c r="A1409" s="449"/>
      <c r="B1409" s="431"/>
      <c r="C1409" s="437"/>
      <c r="F1409" s="431"/>
      <c r="G1409" s="596"/>
      <c r="H1409" s="488"/>
      <c r="J1409" s="437"/>
    </row>
    <row r="1410" spans="1:10" s="428" customFormat="1">
      <c r="A1410" s="449"/>
      <c r="B1410" s="431"/>
      <c r="C1410" s="437"/>
      <c r="F1410" s="431"/>
      <c r="G1410" s="596"/>
      <c r="H1410" s="488"/>
      <c r="J1410" s="437"/>
    </row>
    <row r="1411" spans="1:10" s="428" customFormat="1">
      <c r="A1411" s="449"/>
      <c r="B1411" s="431"/>
      <c r="C1411" s="437"/>
      <c r="F1411" s="431"/>
      <c r="G1411" s="596"/>
      <c r="H1411" s="488"/>
      <c r="J1411" s="437"/>
    </row>
    <row r="1412" spans="1:10" s="428" customFormat="1">
      <c r="A1412" s="449"/>
      <c r="B1412" s="431"/>
      <c r="C1412" s="437"/>
      <c r="F1412" s="431"/>
      <c r="G1412" s="596"/>
      <c r="H1412" s="488"/>
      <c r="J1412" s="437"/>
    </row>
    <row r="1413" spans="1:10" s="428" customFormat="1">
      <c r="A1413" s="449"/>
      <c r="B1413" s="431"/>
      <c r="C1413" s="437"/>
      <c r="F1413" s="431"/>
      <c r="G1413" s="596"/>
      <c r="H1413" s="488"/>
      <c r="J1413" s="437"/>
    </row>
    <row r="1414" spans="1:10" s="428" customFormat="1">
      <c r="A1414" s="449"/>
      <c r="B1414" s="431"/>
      <c r="C1414" s="437"/>
      <c r="F1414" s="431"/>
      <c r="G1414" s="596"/>
      <c r="H1414" s="488"/>
      <c r="J1414" s="437"/>
    </row>
    <row r="1415" spans="1:10" s="428" customFormat="1">
      <c r="A1415" s="449"/>
      <c r="B1415" s="431"/>
      <c r="C1415" s="437"/>
      <c r="F1415" s="431"/>
      <c r="G1415" s="596"/>
      <c r="H1415" s="488"/>
      <c r="J1415" s="437"/>
    </row>
    <row r="1416" spans="1:10" s="428" customFormat="1">
      <c r="A1416" s="449"/>
      <c r="B1416" s="431"/>
      <c r="C1416" s="437"/>
      <c r="F1416" s="431"/>
      <c r="G1416" s="596"/>
      <c r="H1416" s="488"/>
      <c r="J1416" s="437"/>
    </row>
    <row r="1417" spans="1:10" s="428" customFormat="1">
      <c r="A1417" s="449"/>
      <c r="B1417" s="431"/>
      <c r="C1417" s="437"/>
      <c r="F1417" s="431"/>
      <c r="G1417" s="596"/>
      <c r="H1417" s="488"/>
      <c r="J1417" s="437"/>
    </row>
    <row r="1418" spans="1:10" s="428" customFormat="1">
      <c r="A1418" s="449"/>
      <c r="B1418" s="431"/>
      <c r="C1418" s="437"/>
      <c r="F1418" s="431"/>
      <c r="G1418" s="596"/>
      <c r="H1418" s="488"/>
      <c r="J1418" s="437"/>
    </row>
    <row r="1419" spans="1:10" s="428" customFormat="1">
      <c r="A1419" s="449"/>
      <c r="B1419" s="431"/>
      <c r="C1419" s="437"/>
      <c r="F1419" s="431"/>
      <c r="G1419" s="596"/>
      <c r="H1419" s="488"/>
      <c r="J1419" s="437"/>
    </row>
    <row r="1420" spans="1:10" s="428" customFormat="1">
      <c r="A1420" s="449"/>
      <c r="B1420" s="431"/>
      <c r="C1420" s="437"/>
      <c r="F1420" s="431"/>
      <c r="G1420" s="596"/>
      <c r="H1420" s="488"/>
      <c r="J1420" s="437"/>
    </row>
    <row r="1421" spans="1:10" s="428" customFormat="1">
      <c r="A1421" s="449"/>
      <c r="B1421" s="431"/>
      <c r="C1421" s="437"/>
      <c r="F1421" s="431"/>
      <c r="G1421" s="596"/>
      <c r="H1421" s="488"/>
      <c r="J1421" s="437"/>
    </row>
    <row r="1422" spans="1:10" s="428" customFormat="1">
      <c r="A1422" s="449"/>
      <c r="B1422" s="431"/>
      <c r="C1422" s="437"/>
      <c r="F1422" s="431"/>
      <c r="G1422" s="596"/>
      <c r="H1422" s="488"/>
      <c r="J1422" s="437"/>
    </row>
    <row r="1423" spans="1:10" s="428" customFormat="1">
      <c r="A1423" s="449"/>
      <c r="B1423" s="431"/>
      <c r="C1423" s="437"/>
      <c r="F1423" s="431"/>
      <c r="G1423" s="596"/>
      <c r="H1423" s="488"/>
      <c r="J1423" s="437"/>
    </row>
    <row r="1424" spans="1:10" s="428" customFormat="1">
      <c r="A1424" s="449"/>
      <c r="B1424" s="431"/>
      <c r="C1424" s="437"/>
      <c r="F1424" s="431"/>
      <c r="G1424" s="596"/>
      <c r="H1424" s="488"/>
      <c r="J1424" s="437"/>
    </row>
    <row r="1425" spans="1:10" s="428" customFormat="1">
      <c r="A1425" s="449"/>
      <c r="B1425" s="431"/>
      <c r="C1425" s="437"/>
      <c r="F1425" s="431"/>
      <c r="G1425" s="596"/>
      <c r="H1425" s="488"/>
      <c r="J1425" s="437"/>
    </row>
    <row r="1426" spans="1:10" s="428" customFormat="1">
      <c r="A1426" s="449"/>
      <c r="B1426" s="431"/>
      <c r="C1426" s="437"/>
      <c r="F1426" s="431"/>
      <c r="G1426" s="596"/>
      <c r="H1426" s="488"/>
      <c r="J1426" s="437"/>
    </row>
    <row r="1427" spans="1:10" s="428" customFormat="1">
      <c r="A1427" s="449"/>
      <c r="B1427" s="431"/>
      <c r="C1427" s="437"/>
      <c r="F1427" s="431"/>
      <c r="G1427" s="596"/>
      <c r="H1427" s="488"/>
      <c r="J1427" s="437"/>
    </row>
    <row r="1428" spans="1:10" s="428" customFormat="1">
      <c r="A1428" s="449"/>
      <c r="B1428" s="431"/>
      <c r="C1428" s="437"/>
      <c r="F1428" s="431"/>
      <c r="G1428" s="596"/>
      <c r="H1428" s="488"/>
      <c r="J1428" s="437"/>
    </row>
    <row r="1429" spans="1:10" s="428" customFormat="1">
      <c r="A1429" s="449"/>
      <c r="B1429" s="431"/>
      <c r="C1429" s="437"/>
      <c r="F1429" s="431"/>
      <c r="G1429" s="596"/>
      <c r="H1429" s="488"/>
      <c r="J1429" s="437"/>
    </row>
    <row r="1430" spans="1:10" s="428" customFormat="1">
      <c r="A1430" s="449"/>
      <c r="B1430" s="431"/>
      <c r="C1430" s="437"/>
      <c r="F1430" s="431"/>
      <c r="G1430" s="596"/>
      <c r="H1430" s="488"/>
      <c r="J1430" s="437"/>
    </row>
    <row r="1431" spans="1:10" s="428" customFormat="1">
      <c r="A1431" s="449"/>
      <c r="B1431" s="431"/>
      <c r="C1431" s="437"/>
      <c r="F1431" s="431"/>
      <c r="G1431" s="596"/>
      <c r="H1431" s="488"/>
      <c r="J1431" s="437"/>
    </row>
    <row r="1432" spans="1:10" s="428" customFormat="1">
      <c r="A1432" s="449"/>
      <c r="B1432" s="431"/>
      <c r="C1432" s="437"/>
      <c r="F1432" s="431"/>
      <c r="G1432" s="596"/>
      <c r="H1432" s="488"/>
      <c r="J1432" s="437"/>
    </row>
    <row r="1433" spans="1:10" s="428" customFormat="1">
      <c r="A1433" s="449"/>
      <c r="B1433" s="431"/>
      <c r="C1433" s="437"/>
      <c r="F1433" s="431"/>
      <c r="G1433" s="596"/>
      <c r="H1433" s="488"/>
      <c r="J1433" s="437"/>
    </row>
    <row r="1434" spans="1:10" s="428" customFormat="1">
      <c r="A1434" s="449"/>
      <c r="B1434" s="431"/>
      <c r="C1434" s="437"/>
      <c r="F1434" s="431"/>
      <c r="G1434" s="596"/>
      <c r="H1434" s="488"/>
      <c r="J1434" s="437"/>
    </row>
    <row r="1435" spans="1:10" s="428" customFormat="1">
      <c r="A1435" s="449"/>
      <c r="B1435" s="431"/>
      <c r="C1435" s="437"/>
      <c r="F1435" s="431"/>
      <c r="G1435" s="596"/>
      <c r="H1435" s="488"/>
      <c r="J1435" s="437"/>
    </row>
    <row r="1436" spans="1:10" s="428" customFormat="1">
      <c r="A1436" s="449"/>
      <c r="B1436" s="431"/>
      <c r="C1436" s="437"/>
      <c r="F1436" s="431"/>
      <c r="G1436" s="596"/>
      <c r="H1436" s="488"/>
      <c r="J1436" s="437"/>
    </row>
    <row r="1437" spans="1:10" s="428" customFormat="1">
      <c r="A1437" s="449"/>
      <c r="B1437" s="431"/>
      <c r="C1437" s="437"/>
      <c r="F1437" s="431"/>
      <c r="G1437" s="596"/>
      <c r="H1437" s="488"/>
      <c r="J1437" s="437"/>
    </row>
    <row r="1438" spans="1:10" s="428" customFormat="1">
      <c r="A1438" s="449"/>
      <c r="B1438" s="431"/>
      <c r="C1438" s="437"/>
      <c r="F1438" s="431"/>
      <c r="G1438" s="596"/>
      <c r="H1438" s="488"/>
      <c r="J1438" s="437"/>
    </row>
    <row r="1439" spans="1:10" s="428" customFormat="1">
      <c r="A1439" s="449"/>
      <c r="B1439" s="431"/>
      <c r="C1439" s="437"/>
      <c r="F1439" s="431"/>
      <c r="G1439" s="596"/>
      <c r="H1439" s="488"/>
      <c r="J1439" s="437"/>
    </row>
    <row r="1440" spans="1:10" s="428" customFormat="1">
      <c r="A1440" s="449"/>
      <c r="B1440" s="431"/>
      <c r="C1440" s="437"/>
      <c r="F1440" s="431"/>
      <c r="G1440" s="596"/>
      <c r="H1440" s="488"/>
      <c r="J1440" s="437"/>
    </row>
    <row r="1441" spans="1:10" s="428" customFormat="1">
      <c r="A1441" s="449"/>
      <c r="B1441" s="431"/>
      <c r="C1441" s="437"/>
      <c r="F1441" s="431"/>
      <c r="G1441" s="596"/>
      <c r="H1441" s="488"/>
      <c r="J1441" s="437"/>
    </row>
    <row r="1442" spans="1:10" s="428" customFormat="1">
      <c r="A1442" s="449"/>
      <c r="B1442" s="431"/>
      <c r="C1442" s="437"/>
      <c r="F1442" s="431"/>
      <c r="G1442" s="596"/>
      <c r="H1442" s="488"/>
      <c r="J1442" s="437"/>
    </row>
    <row r="1443" spans="1:10" s="428" customFormat="1">
      <c r="A1443" s="449"/>
      <c r="B1443" s="431"/>
      <c r="C1443" s="437"/>
      <c r="F1443" s="431"/>
      <c r="G1443" s="596"/>
      <c r="H1443" s="488"/>
      <c r="J1443" s="437"/>
    </row>
    <row r="1444" spans="1:10" s="428" customFormat="1">
      <c r="A1444" s="449"/>
      <c r="B1444" s="431"/>
      <c r="C1444" s="437"/>
      <c r="F1444" s="431"/>
      <c r="G1444" s="596"/>
      <c r="H1444" s="488"/>
      <c r="J1444" s="437"/>
    </row>
    <row r="1445" spans="1:10" s="428" customFormat="1">
      <c r="A1445" s="449"/>
      <c r="B1445" s="431"/>
      <c r="C1445" s="437"/>
      <c r="F1445" s="431"/>
      <c r="G1445" s="596"/>
      <c r="H1445" s="488"/>
      <c r="J1445" s="437"/>
    </row>
    <row r="1446" spans="1:10" s="428" customFormat="1">
      <c r="A1446" s="449"/>
      <c r="B1446" s="431"/>
      <c r="C1446" s="437"/>
      <c r="F1446" s="431"/>
      <c r="G1446" s="596"/>
      <c r="H1446" s="488"/>
      <c r="J1446" s="437"/>
    </row>
    <row r="1447" spans="1:10" s="428" customFormat="1">
      <c r="A1447" s="449"/>
      <c r="B1447" s="431"/>
      <c r="C1447" s="437"/>
      <c r="F1447" s="431"/>
      <c r="G1447" s="596"/>
      <c r="H1447" s="488"/>
      <c r="J1447" s="437"/>
    </row>
    <row r="1448" spans="1:10" s="428" customFormat="1">
      <c r="A1448" s="449"/>
      <c r="B1448" s="431"/>
      <c r="C1448" s="437"/>
      <c r="F1448" s="431"/>
      <c r="G1448" s="596"/>
      <c r="H1448" s="488"/>
      <c r="J1448" s="437"/>
    </row>
    <row r="1449" spans="1:10" s="428" customFormat="1">
      <c r="A1449" s="449"/>
      <c r="B1449" s="431"/>
      <c r="C1449" s="437"/>
      <c r="F1449" s="431"/>
      <c r="G1449" s="596"/>
      <c r="H1449" s="488"/>
      <c r="J1449" s="437"/>
    </row>
    <row r="1450" spans="1:10" s="428" customFormat="1">
      <c r="A1450" s="449"/>
      <c r="B1450" s="431"/>
      <c r="C1450" s="437"/>
      <c r="F1450" s="431"/>
      <c r="G1450" s="596"/>
      <c r="H1450" s="488"/>
      <c r="J1450" s="437"/>
    </row>
    <row r="1451" spans="1:10" s="428" customFormat="1">
      <c r="A1451" s="449"/>
      <c r="B1451" s="431"/>
      <c r="C1451" s="437"/>
      <c r="F1451" s="431"/>
      <c r="G1451" s="596"/>
      <c r="H1451" s="488"/>
      <c r="J1451" s="437"/>
    </row>
    <row r="1452" spans="1:10" s="428" customFormat="1">
      <c r="A1452" s="449"/>
      <c r="B1452" s="431"/>
      <c r="C1452" s="437"/>
      <c r="F1452" s="431"/>
      <c r="G1452" s="596"/>
      <c r="H1452" s="488"/>
      <c r="J1452" s="437"/>
    </row>
    <row r="1453" spans="1:10" s="428" customFormat="1">
      <c r="A1453" s="449"/>
      <c r="B1453" s="431"/>
      <c r="C1453" s="437"/>
      <c r="F1453" s="431"/>
      <c r="G1453" s="596"/>
      <c r="H1453" s="488"/>
      <c r="J1453" s="437"/>
    </row>
    <row r="1454" spans="1:10" s="428" customFormat="1">
      <c r="A1454" s="449"/>
      <c r="B1454" s="431"/>
      <c r="C1454" s="437"/>
      <c r="F1454" s="431"/>
      <c r="G1454" s="596"/>
      <c r="H1454" s="488"/>
      <c r="J1454" s="437"/>
    </row>
    <row r="1455" spans="1:10" s="428" customFormat="1">
      <c r="A1455" s="449"/>
      <c r="B1455" s="431"/>
      <c r="C1455" s="437"/>
      <c r="F1455" s="431"/>
      <c r="G1455" s="596"/>
      <c r="H1455" s="488"/>
      <c r="J1455" s="437"/>
    </row>
    <row r="1456" spans="1:10" s="428" customFormat="1">
      <c r="A1456" s="449"/>
      <c r="B1456" s="431"/>
      <c r="C1456" s="437"/>
      <c r="F1456" s="431"/>
      <c r="G1456" s="596"/>
      <c r="H1456" s="488"/>
      <c r="J1456" s="437"/>
    </row>
    <row r="1457" spans="1:10" s="428" customFormat="1">
      <c r="A1457" s="449"/>
      <c r="B1457" s="431"/>
      <c r="C1457" s="437"/>
      <c r="F1457" s="431"/>
      <c r="G1457" s="596"/>
      <c r="H1457" s="488"/>
      <c r="J1457" s="437"/>
    </row>
    <row r="1458" spans="1:10" s="428" customFormat="1">
      <c r="A1458" s="449"/>
      <c r="B1458" s="431"/>
      <c r="C1458" s="437"/>
      <c r="F1458" s="431"/>
      <c r="G1458" s="596"/>
      <c r="H1458" s="488"/>
      <c r="J1458" s="437"/>
    </row>
    <row r="1459" spans="1:10" s="428" customFormat="1">
      <c r="A1459" s="449"/>
      <c r="B1459" s="431"/>
      <c r="C1459" s="437"/>
      <c r="F1459" s="431"/>
      <c r="G1459" s="596"/>
      <c r="H1459" s="488"/>
      <c r="J1459" s="437"/>
    </row>
    <row r="1460" spans="1:10" s="428" customFormat="1">
      <c r="A1460" s="449"/>
      <c r="B1460" s="431"/>
      <c r="C1460" s="437"/>
      <c r="F1460" s="431"/>
      <c r="G1460" s="596"/>
      <c r="H1460" s="488"/>
      <c r="J1460" s="437"/>
    </row>
    <row r="1461" spans="1:10" s="428" customFormat="1">
      <c r="A1461" s="449"/>
      <c r="B1461" s="431"/>
      <c r="C1461" s="437"/>
      <c r="F1461" s="431"/>
      <c r="G1461" s="596"/>
      <c r="H1461" s="488"/>
      <c r="J1461" s="437"/>
    </row>
    <row r="1462" spans="1:10" s="428" customFormat="1">
      <c r="A1462" s="449"/>
      <c r="B1462" s="431"/>
      <c r="C1462" s="437"/>
      <c r="F1462" s="431"/>
      <c r="G1462" s="596"/>
      <c r="H1462" s="488"/>
      <c r="J1462" s="437"/>
    </row>
    <row r="1463" spans="1:10" s="428" customFormat="1">
      <c r="A1463" s="449"/>
      <c r="B1463" s="431"/>
      <c r="C1463" s="437"/>
      <c r="F1463" s="431"/>
      <c r="G1463" s="596"/>
      <c r="H1463" s="488"/>
      <c r="J1463" s="437"/>
    </row>
    <row r="1464" spans="1:10" s="428" customFormat="1">
      <c r="A1464" s="449"/>
      <c r="B1464" s="431"/>
      <c r="C1464" s="437"/>
      <c r="F1464" s="431"/>
      <c r="G1464" s="596"/>
      <c r="H1464" s="488"/>
      <c r="J1464" s="437"/>
    </row>
    <row r="1465" spans="1:10" s="428" customFormat="1">
      <c r="A1465" s="449"/>
      <c r="B1465" s="431"/>
      <c r="C1465" s="437"/>
      <c r="F1465" s="431"/>
      <c r="G1465" s="596"/>
      <c r="H1465" s="488"/>
      <c r="J1465" s="437"/>
    </row>
    <row r="1466" spans="1:10" s="428" customFormat="1">
      <c r="A1466" s="449"/>
      <c r="B1466" s="431"/>
      <c r="C1466" s="437"/>
      <c r="F1466" s="431"/>
      <c r="G1466" s="596"/>
      <c r="H1466" s="488"/>
      <c r="J1466" s="437"/>
    </row>
    <row r="1467" spans="1:10" s="428" customFormat="1">
      <c r="A1467" s="449"/>
      <c r="B1467" s="431"/>
      <c r="C1467" s="437"/>
      <c r="F1467" s="431"/>
      <c r="G1467" s="596"/>
      <c r="H1467" s="488"/>
      <c r="J1467" s="437"/>
    </row>
    <row r="1468" spans="1:10" s="428" customFormat="1">
      <c r="A1468" s="449"/>
      <c r="B1468" s="431"/>
      <c r="C1468" s="437"/>
      <c r="F1468" s="431"/>
      <c r="G1468" s="596"/>
      <c r="H1468" s="488"/>
      <c r="J1468" s="437"/>
    </row>
    <row r="1469" spans="1:10" s="428" customFormat="1">
      <c r="A1469" s="449"/>
      <c r="B1469" s="431"/>
      <c r="C1469" s="437"/>
      <c r="F1469" s="431"/>
      <c r="G1469" s="596"/>
      <c r="H1469" s="488"/>
      <c r="J1469" s="437"/>
    </row>
    <row r="1470" spans="1:10" s="428" customFormat="1">
      <c r="A1470" s="449"/>
      <c r="B1470" s="431"/>
      <c r="C1470" s="437"/>
      <c r="F1470" s="431"/>
      <c r="G1470" s="596"/>
      <c r="H1470" s="488"/>
      <c r="J1470" s="437"/>
    </row>
    <row r="1471" spans="1:10" s="428" customFormat="1">
      <c r="A1471" s="449"/>
      <c r="B1471" s="431"/>
      <c r="C1471" s="437"/>
      <c r="F1471" s="431"/>
      <c r="G1471" s="596"/>
      <c r="H1471" s="488"/>
      <c r="J1471" s="437"/>
    </row>
    <row r="1472" spans="1:10" s="428" customFormat="1">
      <c r="A1472" s="449"/>
      <c r="B1472" s="431"/>
      <c r="C1472" s="437"/>
      <c r="F1472" s="431"/>
      <c r="G1472" s="596"/>
      <c r="H1472" s="488"/>
      <c r="J1472" s="437"/>
    </row>
    <row r="1473" spans="1:10" s="428" customFormat="1">
      <c r="A1473" s="449"/>
      <c r="B1473" s="431"/>
      <c r="C1473" s="437"/>
      <c r="F1473" s="431"/>
      <c r="G1473" s="596"/>
      <c r="H1473" s="488"/>
      <c r="J1473" s="437"/>
    </row>
    <row r="1474" spans="1:10" s="428" customFormat="1">
      <c r="A1474" s="449"/>
      <c r="B1474" s="431"/>
      <c r="C1474" s="437"/>
      <c r="F1474" s="431"/>
      <c r="G1474" s="596"/>
      <c r="H1474" s="488"/>
      <c r="J1474" s="437"/>
    </row>
    <row r="1475" spans="1:10" s="428" customFormat="1">
      <c r="A1475" s="449"/>
      <c r="B1475" s="431"/>
      <c r="C1475" s="437"/>
      <c r="F1475" s="431"/>
      <c r="G1475" s="596"/>
      <c r="H1475" s="488"/>
      <c r="J1475" s="437"/>
    </row>
    <row r="1476" spans="1:10" s="428" customFormat="1">
      <c r="A1476" s="449"/>
      <c r="B1476" s="431"/>
      <c r="C1476" s="437"/>
      <c r="F1476" s="431"/>
      <c r="G1476" s="596"/>
      <c r="H1476" s="488"/>
      <c r="J1476" s="437"/>
    </row>
    <row r="1477" spans="1:10" s="428" customFormat="1">
      <c r="A1477" s="449"/>
      <c r="B1477" s="431"/>
      <c r="C1477" s="437"/>
      <c r="F1477" s="431"/>
      <c r="G1477" s="596"/>
      <c r="H1477" s="488"/>
      <c r="J1477" s="437"/>
    </row>
    <row r="1478" spans="1:10" s="428" customFormat="1">
      <c r="A1478" s="449"/>
      <c r="B1478" s="431"/>
      <c r="C1478" s="437"/>
      <c r="F1478" s="431"/>
      <c r="G1478" s="596"/>
      <c r="H1478" s="488"/>
      <c r="J1478" s="437"/>
    </row>
    <row r="1479" spans="1:10" s="428" customFormat="1">
      <c r="A1479" s="449"/>
      <c r="B1479" s="431"/>
      <c r="C1479" s="437"/>
      <c r="F1479" s="431"/>
      <c r="G1479" s="596"/>
      <c r="H1479" s="488"/>
      <c r="J1479" s="437"/>
    </row>
    <row r="1480" spans="1:10" s="428" customFormat="1">
      <c r="A1480" s="449"/>
      <c r="B1480" s="431"/>
      <c r="C1480" s="437"/>
      <c r="F1480" s="431"/>
      <c r="G1480" s="596"/>
      <c r="H1480" s="488"/>
      <c r="J1480" s="437"/>
    </row>
    <row r="1481" spans="1:10" s="428" customFormat="1">
      <c r="A1481" s="449"/>
      <c r="B1481" s="431"/>
      <c r="C1481" s="437"/>
      <c r="F1481" s="431"/>
      <c r="G1481" s="596"/>
      <c r="H1481" s="488"/>
      <c r="J1481" s="437"/>
    </row>
    <row r="1482" spans="1:10" s="428" customFormat="1">
      <c r="A1482" s="449"/>
      <c r="B1482" s="431"/>
      <c r="C1482" s="437"/>
      <c r="F1482" s="431"/>
      <c r="G1482" s="596"/>
      <c r="H1482" s="488"/>
      <c r="J1482" s="437"/>
    </row>
    <row r="1483" spans="1:10" s="428" customFormat="1">
      <c r="A1483" s="449"/>
      <c r="B1483" s="431"/>
      <c r="C1483" s="437"/>
      <c r="F1483" s="431"/>
      <c r="G1483" s="596"/>
      <c r="H1483" s="488"/>
      <c r="J1483" s="437"/>
    </row>
    <row r="1484" spans="1:10" s="428" customFormat="1">
      <c r="A1484" s="449"/>
      <c r="B1484" s="431"/>
      <c r="C1484" s="437"/>
      <c r="F1484" s="431"/>
      <c r="G1484" s="596"/>
      <c r="H1484" s="488"/>
      <c r="J1484" s="437"/>
    </row>
    <row r="1485" spans="1:10" s="428" customFormat="1">
      <c r="A1485" s="449"/>
      <c r="B1485" s="431"/>
      <c r="C1485" s="437"/>
      <c r="F1485" s="431"/>
      <c r="G1485" s="596"/>
      <c r="H1485" s="488"/>
      <c r="J1485" s="437"/>
    </row>
    <row r="1486" spans="1:10" s="428" customFormat="1">
      <c r="A1486" s="449"/>
      <c r="B1486" s="431"/>
      <c r="C1486" s="437"/>
      <c r="F1486" s="431"/>
      <c r="G1486" s="596"/>
      <c r="H1486" s="488"/>
      <c r="J1486" s="437"/>
    </row>
    <row r="1487" spans="1:10" s="428" customFormat="1">
      <c r="A1487" s="449"/>
      <c r="B1487" s="431"/>
      <c r="C1487" s="437"/>
      <c r="F1487" s="431"/>
      <c r="G1487" s="596"/>
      <c r="H1487" s="488"/>
      <c r="J1487" s="437"/>
    </row>
    <row r="1488" spans="1:10" s="428" customFormat="1">
      <c r="A1488" s="449"/>
      <c r="B1488" s="431"/>
      <c r="C1488" s="437"/>
      <c r="F1488" s="431"/>
      <c r="G1488" s="596"/>
      <c r="H1488" s="488"/>
      <c r="J1488" s="437"/>
    </row>
    <row r="1489" spans="1:10" s="428" customFormat="1">
      <c r="A1489" s="449"/>
      <c r="B1489" s="431"/>
      <c r="C1489" s="437"/>
      <c r="F1489" s="431"/>
      <c r="G1489" s="596"/>
      <c r="H1489" s="488"/>
      <c r="J1489" s="437"/>
    </row>
    <row r="1490" spans="1:10" s="428" customFormat="1">
      <c r="A1490" s="449"/>
      <c r="B1490" s="431"/>
      <c r="C1490" s="437"/>
      <c r="F1490" s="431"/>
      <c r="G1490" s="596"/>
      <c r="H1490" s="488"/>
      <c r="J1490" s="437"/>
    </row>
    <row r="1491" spans="1:10" s="428" customFormat="1">
      <c r="A1491" s="449"/>
      <c r="B1491" s="431"/>
      <c r="C1491" s="437"/>
      <c r="F1491" s="431"/>
      <c r="G1491" s="596"/>
      <c r="H1491" s="488"/>
      <c r="J1491" s="437"/>
    </row>
    <row r="1492" spans="1:10" s="428" customFormat="1">
      <c r="A1492" s="449"/>
      <c r="B1492" s="431"/>
      <c r="C1492" s="437"/>
      <c r="F1492" s="431"/>
      <c r="G1492" s="596"/>
      <c r="H1492" s="488"/>
      <c r="J1492" s="437"/>
    </row>
    <row r="1493" spans="1:10" s="428" customFormat="1">
      <c r="A1493" s="449"/>
      <c r="B1493" s="431"/>
      <c r="C1493" s="437"/>
      <c r="F1493" s="431"/>
      <c r="G1493" s="596"/>
      <c r="H1493" s="488"/>
      <c r="J1493" s="437"/>
    </row>
    <row r="1494" spans="1:10" s="428" customFormat="1">
      <c r="A1494" s="449"/>
      <c r="B1494" s="431"/>
      <c r="C1494" s="437"/>
      <c r="F1494" s="431"/>
      <c r="G1494" s="596"/>
      <c r="H1494" s="488"/>
      <c r="J1494" s="437"/>
    </row>
    <row r="1495" spans="1:10" s="428" customFormat="1">
      <c r="A1495" s="449"/>
      <c r="B1495" s="431"/>
      <c r="C1495" s="437"/>
      <c r="F1495" s="431"/>
      <c r="G1495" s="596"/>
      <c r="H1495" s="488"/>
      <c r="J1495" s="437"/>
    </row>
    <row r="1496" spans="1:10" s="428" customFormat="1">
      <c r="A1496" s="449"/>
      <c r="B1496" s="431"/>
      <c r="C1496" s="437"/>
      <c r="F1496" s="431"/>
      <c r="G1496" s="596"/>
      <c r="H1496" s="488"/>
      <c r="J1496" s="437"/>
    </row>
    <row r="1497" spans="1:10" s="428" customFormat="1">
      <c r="A1497" s="449"/>
      <c r="B1497" s="431"/>
      <c r="C1497" s="437"/>
      <c r="F1497" s="431"/>
      <c r="G1497" s="596"/>
      <c r="H1497" s="488"/>
      <c r="J1497" s="437"/>
    </row>
    <row r="1498" spans="1:10" s="428" customFormat="1">
      <c r="A1498" s="449"/>
      <c r="B1498" s="431"/>
      <c r="C1498" s="437"/>
      <c r="F1498" s="431"/>
      <c r="G1498" s="596"/>
      <c r="H1498" s="488"/>
      <c r="J1498" s="437"/>
    </row>
    <row r="1499" spans="1:10" s="428" customFormat="1">
      <c r="A1499" s="449"/>
      <c r="B1499" s="431"/>
      <c r="C1499" s="437"/>
      <c r="F1499" s="431"/>
      <c r="G1499" s="596"/>
      <c r="H1499" s="488"/>
      <c r="J1499" s="437"/>
    </row>
    <row r="1500" spans="1:10" s="428" customFormat="1">
      <c r="A1500" s="449"/>
      <c r="B1500" s="431"/>
      <c r="C1500" s="437"/>
      <c r="F1500" s="431"/>
      <c r="G1500" s="596"/>
      <c r="H1500" s="488"/>
      <c r="J1500" s="437"/>
    </row>
    <row r="1501" spans="1:10" s="428" customFormat="1">
      <c r="A1501" s="449"/>
      <c r="B1501" s="431"/>
      <c r="C1501" s="437"/>
      <c r="F1501" s="431"/>
      <c r="G1501" s="596"/>
      <c r="H1501" s="488"/>
      <c r="J1501" s="437"/>
    </row>
    <row r="1502" spans="1:10" s="428" customFormat="1">
      <c r="A1502" s="449"/>
      <c r="B1502" s="431"/>
      <c r="C1502" s="437"/>
      <c r="F1502" s="431"/>
      <c r="G1502" s="596"/>
      <c r="H1502" s="488"/>
      <c r="J1502" s="437"/>
    </row>
    <row r="1503" spans="1:10" s="428" customFormat="1">
      <c r="A1503" s="449"/>
      <c r="B1503" s="431"/>
      <c r="C1503" s="437"/>
      <c r="F1503" s="431"/>
      <c r="G1503" s="596"/>
      <c r="H1503" s="488"/>
      <c r="J1503" s="437"/>
    </row>
    <row r="1504" spans="1:10" s="428" customFormat="1">
      <c r="A1504" s="449"/>
      <c r="B1504" s="431"/>
      <c r="C1504" s="437"/>
      <c r="F1504" s="431"/>
      <c r="G1504" s="596"/>
      <c r="H1504" s="488"/>
      <c r="J1504" s="437"/>
    </row>
    <row r="1505" spans="1:10" s="428" customFormat="1">
      <c r="A1505" s="449"/>
      <c r="B1505" s="431"/>
      <c r="C1505" s="437"/>
      <c r="F1505" s="431"/>
      <c r="G1505" s="596"/>
      <c r="H1505" s="488"/>
      <c r="J1505" s="437"/>
    </row>
    <row r="1506" spans="1:10" s="428" customFormat="1">
      <c r="A1506" s="449"/>
      <c r="B1506" s="431"/>
      <c r="C1506" s="437"/>
      <c r="F1506" s="431"/>
      <c r="G1506" s="596"/>
      <c r="H1506" s="488"/>
      <c r="J1506" s="437"/>
    </row>
    <row r="1507" spans="1:10" s="428" customFormat="1">
      <c r="A1507" s="449"/>
      <c r="B1507" s="431"/>
      <c r="C1507" s="437"/>
      <c r="F1507" s="431"/>
      <c r="G1507" s="596"/>
      <c r="H1507" s="488"/>
      <c r="J1507" s="437"/>
    </row>
    <row r="1508" spans="1:10" s="428" customFormat="1">
      <c r="A1508" s="449"/>
      <c r="B1508" s="431"/>
      <c r="C1508" s="437"/>
      <c r="F1508" s="431"/>
      <c r="G1508" s="596"/>
      <c r="H1508" s="488"/>
      <c r="J1508" s="437"/>
    </row>
    <row r="1509" spans="1:10" s="428" customFormat="1">
      <c r="A1509" s="449"/>
      <c r="B1509" s="431"/>
      <c r="C1509" s="437"/>
      <c r="F1509" s="431"/>
      <c r="G1509" s="596"/>
      <c r="H1509" s="488"/>
      <c r="J1509" s="437"/>
    </row>
    <row r="1510" spans="1:10" s="428" customFormat="1">
      <c r="A1510" s="449"/>
      <c r="B1510" s="431"/>
      <c r="C1510" s="437"/>
      <c r="F1510" s="431"/>
      <c r="G1510" s="596"/>
      <c r="H1510" s="488"/>
      <c r="J1510" s="437"/>
    </row>
    <row r="1511" spans="1:10" s="428" customFormat="1">
      <c r="A1511" s="449"/>
      <c r="B1511" s="431"/>
      <c r="C1511" s="437"/>
      <c r="F1511" s="431"/>
      <c r="G1511" s="596"/>
      <c r="H1511" s="488"/>
      <c r="J1511" s="437"/>
    </row>
    <row r="1512" spans="1:10" s="428" customFormat="1">
      <c r="A1512" s="449"/>
      <c r="B1512" s="431"/>
      <c r="C1512" s="437"/>
      <c r="F1512" s="431"/>
      <c r="G1512" s="596"/>
      <c r="H1512" s="488"/>
      <c r="J1512" s="437"/>
    </row>
    <row r="1513" spans="1:10" s="428" customFormat="1">
      <c r="A1513" s="449"/>
      <c r="B1513" s="431"/>
      <c r="C1513" s="437"/>
      <c r="F1513" s="431"/>
      <c r="G1513" s="596"/>
      <c r="H1513" s="488"/>
      <c r="J1513" s="437"/>
    </row>
    <row r="1514" spans="1:10" s="428" customFormat="1">
      <c r="A1514" s="449"/>
      <c r="B1514" s="431"/>
      <c r="C1514" s="437"/>
      <c r="F1514" s="431"/>
      <c r="G1514" s="596"/>
      <c r="H1514" s="488"/>
      <c r="J1514" s="437"/>
    </row>
    <row r="1515" spans="1:10" s="428" customFormat="1">
      <c r="A1515" s="449"/>
      <c r="B1515" s="431"/>
      <c r="C1515" s="437"/>
      <c r="F1515" s="431"/>
      <c r="G1515" s="596"/>
      <c r="H1515" s="488"/>
      <c r="J1515" s="437"/>
    </row>
    <row r="1516" spans="1:10" s="428" customFormat="1">
      <c r="A1516" s="449"/>
      <c r="B1516" s="431"/>
      <c r="C1516" s="437"/>
      <c r="F1516" s="431"/>
      <c r="G1516" s="596"/>
      <c r="H1516" s="488"/>
      <c r="J1516" s="437"/>
    </row>
    <row r="1517" spans="1:10" s="428" customFormat="1">
      <c r="A1517" s="449"/>
      <c r="B1517" s="431"/>
      <c r="C1517" s="437"/>
      <c r="F1517" s="431"/>
      <c r="G1517" s="596"/>
      <c r="H1517" s="488"/>
      <c r="J1517" s="437"/>
    </row>
    <row r="1518" spans="1:10" s="428" customFormat="1">
      <c r="A1518" s="449"/>
      <c r="B1518" s="431"/>
      <c r="C1518" s="437"/>
      <c r="F1518" s="431"/>
      <c r="G1518" s="596"/>
      <c r="H1518" s="488"/>
      <c r="J1518" s="437"/>
    </row>
    <row r="1519" spans="1:10" s="428" customFormat="1">
      <c r="A1519" s="449"/>
      <c r="B1519" s="431"/>
      <c r="C1519" s="437"/>
      <c r="F1519" s="431"/>
      <c r="G1519" s="596"/>
      <c r="H1519" s="488"/>
      <c r="J1519" s="437"/>
    </row>
    <row r="1520" spans="1:10" s="428" customFormat="1">
      <c r="A1520" s="449"/>
      <c r="B1520" s="431"/>
      <c r="C1520" s="437"/>
      <c r="F1520" s="431"/>
      <c r="G1520" s="596"/>
      <c r="H1520" s="488"/>
      <c r="J1520" s="437"/>
    </row>
    <row r="1521" spans="1:10" s="428" customFormat="1">
      <c r="A1521" s="449"/>
      <c r="B1521" s="431"/>
      <c r="C1521" s="437"/>
      <c r="F1521" s="431"/>
      <c r="G1521" s="596"/>
      <c r="H1521" s="488"/>
      <c r="J1521" s="437"/>
    </row>
    <row r="1522" spans="1:10" s="428" customFormat="1">
      <c r="A1522" s="449"/>
      <c r="B1522" s="431"/>
      <c r="C1522" s="437"/>
      <c r="F1522" s="431"/>
      <c r="G1522" s="596"/>
      <c r="H1522" s="488"/>
      <c r="J1522" s="437"/>
    </row>
    <row r="1523" spans="1:10" s="428" customFormat="1">
      <c r="A1523" s="449"/>
      <c r="B1523" s="431"/>
      <c r="C1523" s="437"/>
      <c r="F1523" s="431"/>
      <c r="G1523" s="596"/>
      <c r="H1523" s="488"/>
      <c r="J1523" s="437"/>
    </row>
    <row r="1524" spans="1:10" s="428" customFormat="1">
      <c r="A1524" s="449"/>
      <c r="B1524" s="431"/>
      <c r="C1524" s="437"/>
      <c r="F1524" s="431"/>
      <c r="G1524" s="596"/>
      <c r="H1524" s="488"/>
      <c r="J1524" s="437"/>
    </row>
    <row r="1525" spans="1:10" s="428" customFormat="1">
      <c r="A1525" s="449"/>
      <c r="B1525" s="431"/>
      <c r="C1525" s="437"/>
      <c r="F1525" s="431"/>
      <c r="G1525" s="596"/>
      <c r="H1525" s="488"/>
      <c r="J1525" s="437"/>
    </row>
    <row r="1526" spans="1:10" s="428" customFormat="1">
      <c r="A1526" s="449"/>
      <c r="B1526" s="431"/>
      <c r="C1526" s="437"/>
      <c r="F1526" s="431"/>
      <c r="G1526" s="596"/>
      <c r="H1526" s="488"/>
      <c r="J1526" s="437"/>
    </row>
    <row r="1527" spans="1:10" s="428" customFormat="1">
      <c r="A1527" s="449"/>
      <c r="B1527" s="431"/>
      <c r="C1527" s="437"/>
      <c r="F1527" s="431"/>
      <c r="G1527" s="596"/>
      <c r="H1527" s="488"/>
      <c r="J1527" s="437"/>
    </row>
    <row r="1528" spans="1:10" s="428" customFormat="1">
      <c r="A1528" s="449"/>
      <c r="B1528" s="431"/>
      <c r="C1528" s="437"/>
      <c r="F1528" s="431"/>
      <c r="G1528" s="596"/>
      <c r="H1528" s="488"/>
      <c r="J1528" s="437"/>
    </row>
    <row r="1529" spans="1:10" s="428" customFormat="1">
      <c r="A1529" s="449"/>
      <c r="B1529" s="431"/>
      <c r="C1529" s="437"/>
      <c r="F1529" s="431"/>
      <c r="G1529" s="596"/>
      <c r="H1529" s="488"/>
      <c r="J1529" s="437"/>
    </row>
    <row r="1530" spans="1:10" s="428" customFormat="1">
      <c r="A1530" s="449"/>
      <c r="B1530" s="431"/>
      <c r="C1530" s="437"/>
      <c r="F1530" s="431"/>
      <c r="G1530" s="596"/>
      <c r="H1530" s="488"/>
      <c r="J1530" s="437"/>
    </row>
    <row r="1531" spans="1:10" s="428" customFormat="1">
      <c r="A1531" s="449"/>
      <c r="B1531" s="431"/>
      <c r="C1531" s="437"/>
      <c r="F1531" s="431"/>
      <c r="G1531" s="596"/>
      <c r="H1531" s="488"/>
      <c r="J1531" s="437"/>
    </row>
    <row r="1532" spans="1:10" s="428" customFormat="1">
      <c r="A1532" s="449"/>
      <c r="B1532" s="431"/>
      <c r="C1532" s="437"/>
      <c r="F1532" s="431"/>
      <c r="G1532" s="596"/>
      <c r="H1532" s="488"/>
      <c r="J1532" s="437"/>
    </row>
    <row r="1533" spans="1:10" s="428" customFormat="1">
      <c r="A1533" s="449"/>
      <c r="B1533" s="431"/>
      <c r="C1533" s="437"/>
      <c r="F1533" s="431"/>
      <c r="G1533" s="596"/>
      <c r="H1533" s="488"/>
      <c r="J1533" s="437"/>
    </row>
    <row r="1534" spans="1:10" s="428" customFormat="1">
      <c r="A1534" s="449"/>
      <c r="B1534" s="431"/>
      <c r="C1534" s="437"/>
      <c r="F1534" s="431"/>
      <c r="G1534" s="596"/>
      <c r="H1534" s="488"/>
      <c r="J1534" s="437"/>
    </row>
    <row r="1535" spans="1:10" s="428" customFormat="1">
      <c r="A1535" s="449"/>
      <c r="B1535" s="431"/>
      <c r="C1535" s="437"/>
      <c r="F1535" s="431"/>
      <c r="G1535" s="596"/>
      <c r="H1535" s="488"/>
      <c r="J1535" s="437"/>
    </row>
    <row r="1536" spans="1:10" s="428" customFormat="1">
      <c r="A1536" s="449"/>
      <c r="B1536" s="431"/>
      <c r="C1536" s="437"/>
      <c r="F1536" s="431"/>
      <c r="G1536" s="596"/>
      <c r="H1536" s="488"/>
      <c r="J1536" s="437"/>
    </row>
    <row r="1537" spans="1:10" s="428" customFormat="1">
      <c r="A1537" s="449"/>
      <c r="B1537" s="431"/>
      <c r="C1537" s="437"/>
      <c r="F1537" s="431"/>
      <c r="G1537" s="596"/>
      <c r="H1537" s="488"/>
      <c r="J1537" s="437"/>
    </row>
    <row r="1538" spans="1:10" s="428" customFormat="1">
      <c r="A1538" s="449"/>
      <c r="B1538" s="431"/>
      <c r="C1538" s="437"/>
      <c r="F1538" s="431"/>
      <c r="G1538" s="596"/>
      <c r="H1538" s="488"/>
      <c r="J1538" s="437"/>
    </row>
    <row r="1539" spans="1:10" s="428" customFormat="1">
      <c r="A1539" s="449"/>
      <c r="B1539" s="431"/>
      <c r="C1539" s="437"/>
      <c r="F1539" s="431"/>
      <c r="G1539" s="596"/>
      <c r="H1539" s="488"/>
      <c r="J1539" s="437"/>
    </row>
    <row r="1540" spans="1:10" s="428" customFormat="1">
      <c r="A1540" s="449"/>
      <c r="B1540" s="431"/>
      <c r="C1540" s="437"/>
      <c r="F1540" s="431"/>
      <c r="G1540" s="596"/>
      <c r="H1540" s="488"/>
      <c r="J1540" s="437"/>
    </row>
    <row r="1541" spans="1:10" s="428" customFormat="1">
      <c r="A1541" s="449"/>
      <c r="B1541" s="431"/>
      <c r="C1541" s="437"/>
      <c r="F1541" s="431"/>
      <c r="G1541" s="596"/>
      <c r="H1541" s="488"/>
      <c r="J1541" s="437"/>
    </row>
    <row r="1542" spans="1:10" s="428" customFormat="1">
      <c r="A1542" s="449"/>
      <c r="B1542" s="431"/>
      <c r="C1542" s="437"/>
      <c r="F1542" s="431"/>
      <c r="G1542" s="596"/>
      <c r="H1542" s="488"/>
      <c r="J1542" s="437"/>
    </row>
    <row r="1543" spans="1:10" s="428" customFormat="1">
      <c r="A1543" s="449"/>
      <c r="B1543" s="431"/>
      <c r="C1543" s="437"/>
      <c r="F1543" s="431"/>
      <c r="G1543" s="596"/>
      <c r="H1543" s="488"/>
      <c r="J1543" s="437"/>
    </row>
    <row r="1544" spans="1:10" s="428" customFormat="1">
      <c r="A1544" s="449"/>
      <c r="B1544" s="431"/>
      <c r="C1544" s="437"/>
      <c r="F1544" s="431"/>
      <c r="G1544" s="596"/>
      <c r="H1544" s="488"/>
      <c r="J1544" s="437"/>
    </row>
    <row r="1545" spans="1:10" s="428" customFormat="1">
      <c r="A1545" s="449"/>
      <c r="B1545" s="431"/>
      <c r="C1545" s="437"/>
      <c r="F1545" s="431"/>
      <c r="G1545" s="596"/>
      <c r="H1545" s="488"/>
      <c r="J1545" s="437"/>
    </row>
    <row r="1546" spans="1:10" s="428" customFormat="1">
      <c r="A1546" s="449"/>
      <c r="B1546" s="431"/>
      <c r="C1546" s="437"/>
      <c r="F1546" s="431"/>
      <c r="G1546" s="596"/>
      <c r="H1546" s="488"/>
      <c r="J1546" s="437"/>
    </row>
    <row r="1547" spans="1:10" s="428" customFormat="1">
      <c r="A1547" s="449"/>
      <c r="B1547" s="431"/>
      <c r="C1547" s="437"/>
      <c r="F1547" s="431"/>
      <c r="G1547" s="596"/>
      <c r="H1547" s="488"/>
      <c r="J1547" s="437"/>
    </row>
    <row r="1548" spans="1:10" s="428" customFormat="1">
      <c r="A1548" s="449"/>
      <c r="B1548" s="431"/>
      <c r="C1548" s="437"/>
      <c r="F1548" s="431"/>
      <c r="G1548" s="596"/>
      <c r="H1548" s="488"/>
      <c r="J1548" s="437"/>
    </row>
    <row r="1549" spans="1:10" s="428" customFormat="1">
      <c r="A1549" s="449"/>
      <c r="B1549" s="431"/>
      <c r="C1549" s="437"/>
      <c r="F1549" s="431"/>
      <c r="G1549" s="596"/>
      <c r="H1549" s="488"/>
      <c r="J1549" s="437"/>
    </row>
    <row r="1550" spans="1:10" s="428" customFormat="1">
      <c r="A1550" s="449"/>
      <c r="B1550" s="431"/>
      <c r="C1550" s="437"/>
      <c r="F1550" s="431"/>
      <c r="G1550" s="596"/>
      <c r="H1550" s="488"/>
      <c r="J1550" s="437"/>
    </row>
    <row r="1551" spans="1:10" s="428" customFormat="1">
      <c r="A1551" s="449"/>
      <c r="B1551" s="431"/>
      <c r="C1551" s="437"/>
      <c r="F1551" s="431"/>
      <c r="G1551" s="596"/>
      <c r="H1551" s="488"/>
      <c r="J1551" s="437"/>
    </row>
    <row r="1552" spans="1:10" s="428" customFormat="1">
      <c r="A1552" s="449"/>
      <c r="B1552" s="431"/>
      <c r="C1552" s="437"/>
      <c r="F1552" s="431"/>
      <c r="G1552" s="596"/>
      <c r="H1552" s="488"/>
      <c r="J1552" s="437"/>
    </row>
    <row r="1553" spans="1:10" s="428" customFormat="1">
      <c r="A1553" s="449"/>
      <c r="B1553" s="431"/>
      <c r="C1553" s="437"/>
      <c r="F1553" s="431"/>
      <c r="G1553" s="596"/>
      <c r="H1553" s="488"/>
      <c r="J1553" s="437"/>
    </row>
    <row r="1554" spans="1:10" s="428" customFormat="1">
      <c r="A1554" s="449"/>
      <c r="B1554" s="431"/>
      <c r="C1554" s="437"/>
      <c r="F1554" s="431"/>
      <c r="G1554" s="596"/>
      <c r="H1554" s="488"/>
      <c r="J1554" s="437"/>
    </row>
    <row r="1555" spans="1:10" s="428" customFormat="1">
      <c r="A1555" s="449"/>
      <c r="B1555" s="431"/>
      <c r="C1555" s="437"/>
      <c r="F1555" s="431"/>
      <c r="G1555" s="596"/>
      <c r="H1555" s="488"/>
      <c r="J1555" s="437"/>
    </row>
    <row r="1556" spans="1:10" s="428" customFormat="1">
      <c r="A1556" s="449"/>
      <c r="B1556" s="431"/>
      <c r="C1556" s="437"/>
      <c r="F1556" s="431"/>
      <c r="G1556" s="596"/>
      <c r="H1556" s="488"/>
      <c r="J1556" s="437"/>
    </row>
    <row r="1557" spans="1:10" s="428" customFormat="1">
      <c r="A1557" s="449"/>
      <c r="B1557" s="431"/>
      <c r="C1557" s="437"/>
      <c r="F1557" s="431"/>
      <c r="G1557" s="596"/>
      <c r="H1557" s="488"/>
      <c r="J1557" s="437"/>
    </row>
    <row r="1558" spans="1:10" s="428" customFormat="1">
      <c r="A1558" s="449"/>
      <c r="B1558" s="431"/>
      <c r="C1558" s="437"/>
      <c r="F1558" s="431"/>
      <c r="G1558" s="596"/>
      <c r="H1558" s="488"/>
      <c r="J1558" s="437"/>
    </row>
    <row r="1559" spans="1:10" s="428" customFormat="1">
      <c r="A1559" s="449"/>
      <c r="B1559" s="431"/>
      <c r="C1559" s="437"/>
      <c r="F1559" s="431"/>
      <c r="G1559" s="596"/>
      <c r="H1559" s="488"/>
      <c r="J1559" s="437"/>
    </row>
    <row r="1560" spans="1:10" s="428" customFormat="1">
      <c r="A1560" s="449"/>
      <c r="B1560" s="431"/>
      <c r="C1560" s="437"/>
      <c r="F1560" s="431"/>
      <c r="G1560" s="596"/>
      <c r="H1560" s="488"/>
      <c r="J1560" s="437"/>
    </row>
    <row r="1561" spans="1:10" s="428" customFormat="1">
      <c r="A1561" s="449"/>
      <c r="B1561" s="431"/>
      <c r="C1561" s="437"/>
      <c r="F1561" s="431"/>
      <c r="G1561" s="596"/>
      <c r="H1561" s="488"/>
      <c r="J1561" s="437"/>
    </row>
    <row r="1562" spans="1:10" s="428" customFormat="1">
      <c r="A1562" s="449"/>
      <c r="B1562" s="431"/>
      <c r="C1562" s="437"/>
      <c r="F1562" s="431"/>
      <c r="G1562" s="596"/>
      <c r="H1562" s="488"/>
      <c r="J1562" s="437"/>
    </row>
    <row r="1563" spans="1:10" s="428" customFormat="1">
      <c r="A1563" s="449"/>
      <c r="B1563" s="431"/>
      <c r="C1563" s="437"/>
      <c r="F1563" s="431"/>
      <c r="G1563" s="596"/>
      <c r="H1563" s="488"/>
      <c r="J1563" s="437"/>
    </row>
    <row r="1564" spans="1:10" s="428" customFormat="1">
      <c r="A1564" s="449"/>
      <c r="B1564" s="431"/>
      <c r="C1564" s="437"/>
      <c r="F1564" s="431"/>
      <c r="G1564" s="596"/>
      <c r="H1564" s="488"/>
      <c r="J1564" s="437"/>
    </row>
    <row r="1565" spans="1:10" s="428" customFormat="1">
      <c r="A1565" s="449"/>
      <c r="B1565" s="431"/>
      <c r="C1565" s="437"/>
      <c r="F1565" s="431"/>
      <c r="G1565" s="596"/>
      <c r="H1565" s="488"/>
      <c r="J1565" s="437"/>
    </row>
    <row r="1566" spans="1:10" s="428" customFormat="1">
      <c r="A1566" s="449"/>
      <c r="B1566" s="431"/>
      <c r="C1566" s="437"/>
      <c r="F1566" s="431"/>
      <c r="G1566" s="596"/>
      <c r="H1566" s="488"/>
      <c r="J1566" s="437"/>
    </row>
    <row r="1567" spans="1:10" s="428" customFormat="1">
      <c r="A1567" s="449"/>
      <c r="B1567" s="431"/>
      <c r="C1567" s="437"/>
      <c r="F1567" s="431"/>
      <c r="G1567" s="596"/>
      <c r="H1567" s="488"/>
      <c r="J1567" s="437"/>
    </row>
    <row r="1568" spans="1:10" s="428" customFormat="1">
      <c r="A1568" s="449"/>
      <c r="B1568" s="431"/>
      <c r="C1568" s="437"/>
      <c r="F1568" s="431"/>
      <c r="G1568" s="596"/>
      <c r="H1568" s="488"/>
      <c r="J1568" s="437"/>
    </row>
    <row r="1569" spans="1:10" s="428" customFormat="1">
      <c r="A1569" s="449"/>
      <c r="B1569" s="431"/>
      <c r="C1569" s="437"/>
      <c r="F1569" s="431"/>
      <c r="G1569" s="596"/>
      <c r="H1569" s="488"/>
      <c r="J1569" s="437"/>
    </row>
    <row r="1570" spans="1:10" s="428" customFormat="1">
      <c r="A1570" s="449"/>
      <c r="B1570" s="431"/>
      <c r="C1570" s="437"/>
      <c r="F1570" s="431"/>
      <c r="G1570" s="596"/>
      <c r="H1570" s="488"/>
      <c r="J1570" s="437"/>
    </row>
    <row r="1571" spans="1:10" s="428" customFormat="1">
      <c r="A1571" s="449"/>
      <c r="B1571" s="431"/>
      <c r="C1571" s="437"/>
      <c r="F1571" s="431"/>
      <c r="G1571" s="596"/>
      <c r="H1571" s="488"/>
      <c r="J1571" s="437"/>
    </row>
    <row r="1572" spans="1:10" s="428" customFormat="1">
      <c r="A1572" s="449"/>
      <c r="B1572" s="431"/>
      <c r="C1572" s="437"/>
      <c r="F1572" s="431"/>
      <c r="G1572" s="596"/>
      <c r="H1572" s="488"/>
      <c r="J1572" s="437"/>
    </row>
    <row r="1573" spans="1:10" s="428" customFormat="1">
      <c r="A1573" s="449"/>
      <c r="B1573" s="431"/>
      <c r="C1573" s="437"/>
      <c r="F1573" s="431"/>
      <c r="G1573" s="596"/>
      <c r="H1573" s="488"/>
      <c r="J1573" s="437"/>
    </row>
    <row r="1574" spans="1:10" s="428" customFormat="1">
      <c r="A1574" s="449"/>
      <c r="B1574" s="431"/>
      <c r="C1574" s="437"/>
      <c r="F1574" s="431"/>
      <c r="G1574" s="596"/>
      <c r="H1574" s="488"/>
      <c r="J1574" s="437"/>
    </row>
    <row r="1575" spans="1:10" s="428" customFormat="1">
      <c r="A1575" s="449"/>
      <c r="B1575" s="431"/>
      <c r="C1575" s="437"/>
      <c r="F1575" s="431"/>
      <c r="G1575" s="596"/>
      <c r="H1575" s="488"/>
      <c r="J1575" s="437"/>
    </row>
    <row r="1576" spans="1:10" s="428" customFormat="1">
      <c r="A1576" s="449"/>
      <c r="B1576" s="431"/>
      <c r="C1576" s="437"/>
      <c r="F1576" s="431"/>
      <c r="G1576" s="596"/>
      <c r="H1576" s="488"/>
      <c r="J1576" s="437"/>
    </row>
    <row r="1577" spans="1:10" s="428" customFormat="1">
      <c r="A1577" s="449"/>
      <c r="B1577" s="431"/>
      <c r="C1577" s="437"/>
      <c r="F1577" s="431"/>
      <c r="G1577" s="596"/>
      <c r="H1577" s="488"/>
      <c r="J1577" s="437"/>
    </row>
    <row r="1578" spans="1:10" s="428" customFormat="1">
      <c r="A1578" s="449"/>
      <c r="B1578" s="431"/>
      <c r="C1578" s="437"/>
      <c r="F1578" s="431"/>
      <c r="G1578" s="596"/>
      <c r="H1578" s="488"/>
      <c r="J1578" s="437"/>
    </row>
    <row r="1579" spans="1:10" s="428" customFormat="1">
      <c r="A1579" s="449"/>
      <c r="B1579" s="431"/>
      <c r="C1579" s="437"/>
      <c r="F1579" s="431"/>
      <c r="G1579" s="596"/>
      <c r="H1579" s="488"/>
      <c r="J1579" s="437"/>
    </row>
    <row r="1580" spans="1:10" s="428" customFormat="1">
      <c r="A1580" s="449"/>
      <c r="B1580" s="431"/>
      <c r="C1580" s="437"/>
      <c r="F1580" s="431"/>
      <c r="G1580" s="596"/>
      <c r="H1580" s="488"/>
      <c r="J1580" s="437"/>
    </row>
    <row r="1581" spans="1:10" s="428" customFormat="1">
      <c r="A1581" s="449"/>
      <c r="B1581" s="431"/>
      <c r="C1581" s="437"/>
      <c r="F1581" s="431"/>
      <c r="G1581" s="596"/>
      <c r="H1581" s="488"/>
      <c r="J1581" s="437"/>
    </row>
    <row r="1582" spans="1:10" s="428" customFormat="1">
      <c r="A1582" s="449"/>
      <c r="B1582" s="431"/>
      <c r="C1582" s="437"/>
      <c r="F1582" s="431"/>
      <c r="G1582" s="596"/>
      <c r="H1582" s="488"/>
      <c r="J1582" s="437"/>
    </row>
    <row r="1583" spans="1:10" s="428" customFormat="1">
      <c r="A1583" s="449"/>
      <c r="B1583" s="431"/>
      <c r="C1583" s="437"/>
      <c r="F1583" s="431"/>
      <c r="G1583" s="596"/>
      <c r="H1583" s="488"/>
      <c r="J1583" s="437"/>
    </row>
    <row r="1584" spans="1:10" s="428" customFormat="1">
      <c r="A1584" s="449"/>
      <c r="B1584" s="431"/>
      <c r="C1584" s="437"/>
      <c r="F1584" s="431"/>
      <c r="G1584" s="596"/>
      <c r="H1584" s="488"/>
      <c r="J1584" s="437"/>
    </row>
    <row r="1585" spans="1:10" s="428" customFormat="1">
      <c r="A1585" s="449"/>
      <c r="B1585" s="431"/>
      <c r="C1585" s="437"/>
      <c r="F1585" s="431"/>
      <c r="G1585" s="596"/>
      <c r="H1585" s="488"/>
      <c r="J1585" s="437"/>
    </row>
    <row r="1586" spans="1:10" s="428" customFormat="1">
      <c r="A1586" s="449"/>
      <c r="B1586" s="431"/>
      <c r="C1586" s="437"/>
      <c r="F1586" s="431"/>
      <c r="G1586" s="596"/>
      <c r="H1586" s="488"/>
      <c r="J1586" s="437"/>
    </row>
    <row r="1587" spans="1:10" s="428" customFormat="1">
      <c r="A1587" s="449"/>
      <c r="B1587" s="431"/>
      <c r="C1587" s="437"/>
      <c r="F1587" s="431"/>
      <c r="G1587" s="596"/>
      <c r="H1587" s="488"/>
      <c r="J1587" s="437"/>
    </row>
    <row r="1588" spans="1:10" s="428" customFormat="1">
      <c r="A1588" s="449"/>
      <c r="B1588" s="431"/>
      <c r="C1588" s="437"/>
      <c r="F1588" s="431"/>
      <c r="G1588" s="596"/>
      <c r="H1588" s="488"/>
      <c r="J1588" s="437"/>
    </row>
    <row r="1589" spans="1:10" s="428" customFormat="1">
      <c r="A1589" s="449"/>
      <c r="B1589" s="431"/>
      <c r="C1589" s="437"/>
      <c r="F1589" s="431"/>
      <c r="G1589" s="596"/>
      <c r="H1589" s="488"/>
      <c r="J1589" s="437"/>
    </row>
    <row r="1590" spans="1:10" s="428" customFormat="1">
      <c r="A1590" s="449"/>
      <c r="B1590" s="431"/>
      <c r="C1590" s="437"/>
      <c r="F1590" s="431"/>
      <c r="G1590" s="596"/>
      <c r="H1590" s="488"/>
      <c r="J1590" s="437"/>
    </row>
    <row r="1591" spans="1:10" s="428" customFormat="1">
      <c r="A1591" s="449"/>
      <c r="B1591" s="431"/>
      <c r="C1591" s="437"/>
      <c r="F1591" s="431"/>
      <c r="G1591" s="596"/>
      <c r="H1591" s="488"/>
      <c r="J1591" s="437"/>
    </row>
    <row r="1592" spans="1:10" s="428" customFormat="1">
      <c r="A1592" s="449"/>
      <c r="B1592" s="431"/>
      <c r="C1592" s="437"/>
      <c r="F1592" s="431"/>
      <c r="G1592" s="596"/>
      <c r="H1592" s="488"/>
      <c r="J1592" s="437"/>
    </row>
    <row r="1593" spans="1:10" s="428" customFormat="1">
      <c r="A1593" s="449"/>
      <c r="B1593" s="431"/>
      <c r="C1593" s="437"/>
      <c r="F1593" s="431"/>
      <c r="G1593" s="596"/>
      <c r="H1593" s="488"/>
      <c r="J1593" s="437"/>
    </row>
    <row r="1594" spans="1:10" s="428" customFormat="1">
      <c r="A1594" s="449"/>
      <c r="B1594" s="431"/>
      <c r="C1594" s="437"/>
      <c r="F1594" s="431"/>
      <c r="G1594" s="596"/>
      <c r="H1594" s="488"/>
      <c r="J1594" s="437"/>
    </row>
    <row r="1595" spans="1:10" s="428" customFormat="1">
      <c r="A1595" s="449"/>
      <c r="B1595" s="431"/>
      <c r="C1595" s="437"/>
      <c r="F1595" s="431"/>
      <c r="G1595" s="596"/>
      <c r="H1595" s="488"/>
      <c r="J1595" s="437"/>
    </row>
    <row r="1596" spans="1:10" s="428" customFormat="1">
      <c r="A1596" s="449"/>
      <c r="B1596" s="431"/>
      <c r="C1596" s="437"/>
      <c r="F1596" s="431"/>
      <c r="G1596" s="596"/>
      <c r="H1596" s="488"/>
      <c r="J1596" s="437"/>
    </row>
    <row r="1597" spans="1:10" s="428" customFormat="1">
      <c r="A1597" s="449"/>
      <c r="B1597" s="431"/>
      <c r="C1597" s="437"/>
      <c r="F1597" s="431"/>
      <c r="G1597" s="596"/>
      <c r="H1597" s="488"/>
      <c r="J1597" s="437"/>
    </row>
    <row r="1598" spans="1:10" s="428" customFormat="1">
      <c r="A1598" s="449"/>
      <c r="B1598" s="431"/>
      <c r="C1598" s="437"/>
      <c r="F1598" s="431"/>
      <c r="G1598" s="596"/>
      <c r="H1598" s="488"/>
      <c r="J1598" s="437"/>
    </row>
    <row r="1599" spans="1:10" s="428" customFormat="1">
      <c r="A1599" s="449"/>
      <c r="B1599" s="431"/>
      <c r="C1599" s="437"/>
      <c r="F1599" s="431"/>
      <c r="G1599" s="596"/>
      <c r="H1599" s="488"/>
      <c r="J1599" s="437"/>
    </row>
    <row r="1600" spans="1:10" s="428" customFormat="1">
      <c r="A1600" s="449"/>
      <c r="B1600" s="431"/>
      <c r="C1600" s="437"/>
      <c r="F1600" s="431"/>
      <c r="G1600" s="596"/>
      <c r="H1600" s="488"/>
      <c r="J1600" s="437"/>
    </row>
    <row r="1601" spans="1:10" s="428" customFormat="1">
      <c r="A1601" s="449"/>
      <c r="B1601" s="431"/>
      <c r="C1601" s="437"/>
      <c r="F1601" s="431"/>
      <c r="G1601" s="596"/>
      <c r="H1601" s="488"/>
      <c r="J1601" s="437"/>
    </row>
    <row r="1602" spans="1:10" s="428" customFormat="1">
      <c r="A1602" s="449"/>
      <c r="B1602" s="431"/>
      <c r="C1602" s="437"/>
      <c r="F1602" s="431"/>
      <c r="G1602" s="596"/>
      <c r="H1602" s="488"/>
      <c r="J1602" s="437"/>
    </row>
    <row r="1603" spans="1:10" s="428" customFormat="1">
      <c r="A1603" s="449"/>
      <c r="B1603" s="431"/>
      <c r="C1603" s="437"/>
      <c r="F1603" s="431"/>
      <c r="G1603" s="596"/>
      <c r="H1603" s="488"/>
      <c r="J1603" s="437"/>
    </row>
    <row r="1604" spans="1:10" s="428" customFormat="1">
      <c r="A1604" s="449"/>
      <c r="B1604" s="431"/>
      <c r="C1604" s="437"/>
      <c r="F1604" s="431"/>
      <c r="G1604" s="596"/>
      <c r="H1604" s="488"/>
      <c r="J1604" s="437"/>
    </row>
    <row r="1605" spans="1:10" s="428" customFormat="1">
      <c r="A1605" s="449"/>
      <c r="B1605" s="431"/>
      <c r="C1605" s="437"/>
      <c r="F1605" s="431"/>
      <c r="G1605" s="596"/>
      <c r="H1605" s="488"/>
      <c r="J1605" s="437"/>
    </row>
    <row r="1606" spans="1:10" s="428" customFormat="1">
      <c r="A1606" s="449"/>
      <c r="B1606" s="431"/>
      <c r="C1606" s="437"/>
      <c r="F1606" s="431"/>
      <c r="G1606" s="596"/>
      <c r="H1606" s="488"/>
      <c r="J1606" s="437"/>
    </row>
    <row r="1607" spans="1:10" s="428" customFormat="1">
      <c r="A1607" s="449"/>
      <c r="B1607" s="431"/>
      <c r="C1607" s="437"/>
      <c r="F1607" s="431"/>
      <c r="G1607" s="596"/>
      <c r="H1607" s="488"/>
      <c r="J1607" s="437"/>
    </row>
    <row r="1608" spans="1:10" s="428" customFormat="1">
      <c r="A1608" s="449"/>
      <c r="B1608" s="431"/>
      <c r="C1608" s="437"/>
      <c r="F1608" s="431"/>
      <c r="G1608" s="596"/>
      <c r="H1608" s="488"/>
      <c r="J1608" s="437"/>
    </row>
    <row r="1609" spans="1:10" s="428" customFormat="1">
      <c r="A1609" s="449"/>
      <c r="B1609" s="431"/>
      <c r="C1609" s="437"/>
      <c r="F1609" s="431"/>
      <c r="G1609" s="596"/>
      <c r="H1609" s="488"/>
      <c r="J1609" s="437"/>
    </row>
    <row r="1610" spans="1:10" s="428" customFormat="1">
      <c r="A1610" s="449"/>
      <c r="B1610" s="431"/>
      <c r="C1610" s="437"/>
      <c r="F1610" s="431"/>
      <c r="G1610" s="596"/>
      <c r="H1610" s="488"/>
      <c r="J1610" s="437"/>
    </row>
    <row r="1611" spans="1:10" s="428" customFormat="1">
      <c r="A1611" s="449"/>
      <c r="B1611" s="431"/>
      <c r="C1611" s="437"/>
      <c r="F1611" s="431"/>
      <c r="G1611" s="596"/>
      <c r="H1611" s="488"/>
      <c r="J1611" s="437"/>
    </row>
    <row r="1612" spans="1:10" s="428" customFormat="1">
      <c r="A1612" s="449"/>
      <c r="B1612" s="431"/>
      <c r="C1612" s="437"/>
      <c r="F1612" s="431"/>
      <c r="G1612" s="596"/>
      <c r="H1612" s="488"/>
      <c r="J1612" s="437"/>
    </row>
    <row r="1613" spans="1:10" s="428" customFormat="1">
      <c r="A1613" s="449"/>
      <c r="B1613" s="431"/>
      <c r="C1613" s="437"/>
      <c r="F1613" s="431"/>
      <c r="G1613" s="596"/>
      <c r="H1613" s="488"/>
      <c r="J1613" s="437"/>
    </row>
    <row r="1614" spans="1:10" s="428" customFormat="1">
      <c r="A1614" s="449"/>
      <c r="B1614" s="431"/>
      <c r="C1614" s="437"/>
      <c r="F1614" s="431"/>
      <c r="G1614" s="596"/>
      <c r="H1614" s="488"/>
      <c r="J1614" s="437"/>
    </row>
    <row r="1615" spans="1:10" s="428" customFormat="1">
      <c r="A1615" s="449"/>
      <c r="B1615" s="431"/>
      <c r="C1615" s="437"/>
      <c r="F1615" s="431"/>
      <c r="G1615" s="596"/>
      <c r="H1615" s="488"/>
      <c r="J1615" s="437"/>
    </row>
    <row r="1616" spans="1:10" s="428" customFormat="1">
      <c r="A1616" s="449"/>
      <c r="B1616" s="431"/>
      <c r="C1616" s="437"/>
      <c r="F1616" s="431"/>
      <c r="G1616" s="596"/>
      <c r="H1616" s="488"/>
      <c r="J1616" s="437"/>
    </row>
    <row r="1617" spans="1:10" s="428" customFormat="1">
      <c r="A1617" s="449"/>
      <c r="B1617" s="431"/>
      <c r="C1617" s="437"/>
      <c r="F1617" s="431"/>
      <c r="G1617" s="596"/>
      <c r="H1617" s="488"/>
      <c r="J1617" s="437"/>
    </row>
    <row r="1618" spans="1:10" s="428" customFormat="1">
      <c r="A1618" s="449"/>
      <c r="B1618" s="431"/>
      <c r="C1618" s="437"/>
      <c r="F1618" s="431"/>
      <c r="G1618" s="596"/>
      <c r="H1618" s="488"/>
      <c r="J1618" s="437"/>
    </row>
    <row r="1619" spans="1:10" s="428" customFormat="1">
      <c r="A1619" s="449"/>
      <c r="B1619" s="431"/>
      <c r="C1619" s="437"/>
      <c r="F1619" s="431"/>
      <c r="G1619" s="596"/>
      <c r="H1619" s="488"/>
      <c r="J1619" s="437"/>
    </row>
    <row r="1620" spans="1:10" s="428" customFormat="1">
      <c r="A1620" s="449"/>
      <c r="B1620" s="431"/>
      <c r="C1620" s="437"/>
      <c r="F1620" s="431"/>
      <c r="G1620" s="596"/>
      <c r="H1620" s="488"/>
      <c r="J1620" s="437"/>
    </row>
    <row r="1621" spans="1:10" s="428" customFormat="1">
      <c r="A1621" s="449"/>
      <c r="B1621" s="431"/>
      <c r="C1621" s="437"/>
      <c r="F1621" s="431"/>
      <c r="G1621" s="596"/>
      <c r="H1621" s="488"/>
      <c r="J1621" s="437"/>
    </row>
    <row r="1622" spans="1:10" s="428" customFormat="1">
      <c r="A1622" s="449"/>
      <c r="B1622" s="431"/>
      <c r="C1622" s="437"/>
      <c r="F1622" s="431"/>
      <c r="G1622" s="596"/>
      <c r="H1622" s="488"/>
      <c r="J1622" s="437"/>
    </row>
    <row r="1623" spans="1:10" s="428" customFormat="1">
      <c r="A1623" s="449"/>
      <c r="B1623" s="431"/>
      <c r="C1623" s="437"/>
      <c r="F1623" s="431"/>
      <c r="G1623" s="596"/>
      <c r="H1623" s="488"/>
      <c r="J1623" s="437"/>
    </row>
    <row r="1624" spans="1:10" s="428" customFormat="1">
      <c r="A1624" s="449"/>
      <c r="B1624" s="431"/>
      <c r="C1624" s="437"/>
      <c r="F1624" s="431"/>
      <c r="G1624" s="596"/>
      <c r="H1624" s="488"/>
      <c r="J1624" s="437"/>
    </row>
    <row r="1625" spans="1:10" s="428" customFormat="1">
      <c r="A1625" s="449"/>
      <c r="B1625" s="431"/>
      <c r="C1625" s="437"/>
      <c r="F1625" s="431"/>
      <c r="G1625" s="596"/>
      <c r="H1625" s="488"/>
      <c r="J1625" s="437"/>
    </row>
    <row r="1626" spans="1:10" s="428" customFormat="1">
      <c r="A1626" s="449"/>
      <c r="B1626" s="431"/>
      <c r="C1626" s="437"/>
      <c r="F1626" s="431"/>
      <c r="G1626" s="596"/>
      <c r="H1626" s="488"/>
      <c r="J1626" s="437"/>
    </row>
    <row r="1627" spans="1:10" s="428" customFormat="1">
      <c r="A1627" s="449"/>
      <c r="B1627" s="431"/>
      <c r="C1627" s="437"/>
      <c r="F1627" s="431"/>
      <c r="G1627" s="596"/>
      <c r="H1627" s="488"/>
      <c r="J1627" s="437"/>
    </row>
    <row r="1628" spans="1:10" s="428" customFormat="1">
      <c r="A1628" s="449"/>
      <c r="B1628" s="431"/>
      <c r="C1628" s="437"/>
      <c r="F1628" s="431"/>
      <c r="G1628" s="596"/>
      <c r="H1628" s="488"/>
      <c r="J1628" s="437"/>
    </row>
    <row r="1629" spans="1:10" s="428" customFormat="1">
      <c r="A1629" s="449"/>
      <c r="B1629" s="431"/>
      <c r="C1629" s="437"/>
      <c r="F1629" s="431"/>
      <c r="G1629" s="596"/>
      <c r="H1629" s="488"/>
      <c r="J1629" s="437"/>
    </row>
    <row r="1630" spans="1:10" s="428" customFormat="1">
      <c r="A1630" s="449"/>
      <c r="B1630" s="431"/>
      <c r="C1630" s="437"/>
      <c r="F1630" s="431"/>
      <c r="G1630" s="596"/>
      <c r="H1630" s="488"/>
      <c r="J1630" s="437"/>
    </row>
    <row r="1631" spans="1:10" s="428" customFormat="1">
      <c r="A1631" s="449"/>
      <c r="B1631" s="431"/>
      <c r="C1631" s="437"/>
      <c r="F1631" s="431"/>
      <c r="G1631" s="596"/>
      <c r="H1631" s="488"/>
      <c r="J1631" s="437"/>
    </row>
    <row r="1632" spans="1:10" s="428" customFormat="1">
      <c r="A1632" s="449"/>
      <c r="B1632" s="431"/>
      <c r="C1632" s="437"/>
      <c r="F1632" s="431"/>
      <c r="G1632" s="596"/>
      <c r="H1632" s="488"/>
      <c r="J1632" s="437"/>
    </row>
    <row r="1633" spans="1:10" s="428" customFormat="1">
      <c r="A1633" s="449"/>
      <c r="B1633" s="431"/>
      <c r="C1633" s="437"/>
      <c r="F1633" s="431"/>
      <c r="G1633" s="596"/>
      <c r="H1633" s="488"/>
      <c r="J1633" s="437"/>
    </row>
    <row r="1634" spans="1:10" s="428" customFormat="1">
      <c r="A1634" s="449"/>
      <c r="B1634" s="431"/>
      <c r="C1634" s="437"/>
      <c r="F1634" s="431"/>
      <c r="G1634" s="596"/>
      <c r="H1634" s="488"/>
      <c r="J1634" s="437"/>
    </row>
    <row r="1635" spans="1:10" s="428" customFormat="1">
      <c r="A1635" s="449"/>
      <c r="B1635" s="431"/>
      <c r="C1635" s="437"/>
      <c r="F1635" s="431"/>
      <c r="G1635" s="596"/>
      <c r="H1635" s="488"/>
      <c r="J1635" s="437"/>
    </row>
    <row r="1636" spans="1:10" s="428" customFormat="1">
      <c r="A1636" s="449"/>
      <c r="B1636" s="431"/>
      <c r="C1636" s="437"/>
      <c r="F1636" s="431"/>
      <c r="G1636" s="596"/>
      <c r="H1636" s="488"/>
      <c r="J1636" s="437"/>
    </row>
    <row r="1637" spans="1:10" s="428" customFormat="1">
      <c r="A1637" s="449"/>
      <c r="B1637" s="431"/>
      <c r="C1637" s="437"/>
      <c r="F1637" s="431"/>
      <c r="G1637" s="596"/>
      <c r="H1637" s="488"/>
      <c r="J1637" s="437"/>
    </row>
    <row r="1638" spans="1:10" s="428" customFormat="1">
      <c r="A1638" s="449"/>
      <c r="B1638" s="431"/>
      <c r="C1638" s="437"/>
      <c r="F1638" s="431"/>
      <c r="G1638" s="596"/>
      <c r="H1638" s="488"/>
      <c r="J1638" s="437"/>
    </row>
    <row r="1639" spans="1:10" s="428" customFormat="1">
      <c r="A1639" s="449"/>
      <c r="B1639" s="431"/>
      <c r="C1639" s="437"/>
      <c r="F1639" s="431"/>
      <c r="G1639" s="596"/>
      <c r="H1639" s="488"/>
      <c r="J1639" s="437"/>
    </row>
    <row r="1640" spans="1:10" s="428" customFormat="1">
      <c r="A1640" s="449"/>
      <c r="B1640" s="431"/>
      <c r="C1640" s="437"/>
      <c r="F1640" s="431"/>
      <c r="G1640" s="596"/>
      <c r="H1640" s="488"/>
      <c r="J1640" s="437"/>
    </row>
    <row r="1641" spans="1:10" s="428" customFormat="1">
      <c r="A1641" s="449"/>
      <c r="B1641" s="431"/>
      <c r="C1641" s="437"/>
      <c r="F1641" s="431"/>
      <c r="G1641" s="596"/>
      <c r="H1641" s="488"/>
      <c r="J1641" s="437"/>
    </row>
    <row r="1642" spans="1:10" s="428" customFormat="1">
      <c r="A1642" s="449"/>
      <c r="B1642" s="431"/>
      <c r="C1642" s="437"/>
      <c r="F1642" s="431"/>
      <c r="G1642" s="596"/>
      <c r="H1642" s="488"/>
      <c r="J1642" s="437"/>
    </row>
    <row r="1643" spans="1:10" s="428" customFormat="1">
      <c r="A1643" s="449"/>
      <c r="B1643" s="431"/>
      <c r="C1643" s="437"/>
      <c r="F1643" s="431"/>
      <c r="G1643" s="596"/>
      <c r="H1643" s="488"/>
      <c r="J1643" s="437"/>
    </row>
    <row r="1644" spans="1:10" s="428" customFormat="1">
      <c r="A1644" s="449"/>
      <c r="B1644" s="431"/>
      <c r="C1644" s="437"/>
      <c r="F1644" s="431"/>
      <c r="G1644" s="596"/>
      <c r="H1644" s="488"/>
      <c r="J1644" s="437"/>
    </row>
    <row r="1645" spans="1:10" s="428" customFormat="1">
      <c r="A1645" s="449"/>
      <c r="B1645" s="431"/>
      <c r="C1645" s="437"/>
      <c r="F1645" s="431"/>
      <c r="G1645" s="596"/>
      <c r="H1645" s="488"/>
      <c r="J1645" s="437"/>
    </row>
    <row r="1646" spans="1:10" s="428" customFormat="1">
      <c r="A1646" s="449"/>
      <c r="B1646" s="431"/>
      <c r="C1646" s="437"/>
      <c r="F1646" s="431"/>
      <c r="G1646" s="596"/>
      <c r="H1646" s="488"/>
      <c r="J1646" s="437"/>
    </row>
    <row r="1647" spans="1:10" s="428" customFormat="1">
      <c r="A1647" s="449"/>
      <c r="B1647" s="431"/>
      <c r="C1647" s="437"/>
      <c r="F1647" s="431"/>
      <c r="G1647" s="596"/>
      <c r="H1647" s="488"/>
      <c r="J1647" s="437"/>
    </row>
    <row r="1648" spans="1:10" s="428" customFormat="1">
      <c r="A1648" s="449"/>
      <c r="B1648" s="431"/>
      <c r="C1648" s="437"/>
      <c r="F1648" s="431"/>
      <c r="G1648" s="596"/>
      <c r="H1648" s="488"/>
      <c r="J1648" s="437"/>
    </row>
    <row r="1649" spans="1:10" s="428" customFormat="1">
      <c r="A1649" s="449"/>
      <c r="B1649" s="431"/>
      <c r="C1649" s="437"/>
      <c r="F1649" s="431"/>
      <c r="G1649" s="596"/>
      <c r="H1649" s="488"/>
      <c r="J1649" s="437"/>
    </row>
    <row r="1650" spans="1:10" s="428" customFormat="1">
      <c r="A1650" s="449"/>
      <c r="B1650" s="431"/>
      <c r="C1650" s="437"/>
      <c r="F1650" s="431"/>
      <c r="G1650" s="596"/>
      <c r="H1650" s="488"/>
      <c r="J1650" s="437"/>
    </row>
    <row r="1651" spans="1:10" s="428" customFormat="1">
      <c r="A1651" s="449"/>
      <c r="B1651" s="431"/>
      <c r="C1651" s="437"/>
      <c r="F1651" s="431"/>
      <c r="G1651" s="596"/>
      <c r="H1651" s="488"/>
      <c r="J1651" s="437"/>
    </row>
    <row r="1652" spans="1:10" s="428" customFormat="1">
      <c r="A1652" s="449"/>
      <c r="B1652" s="431"/>
      <c r="C1652" s="437"/>
      <c r="F1652" s="431"/>
      <c r="G1652" s="596"/>
      <c r="H1652" s="488"/>
      <c r="J1652" s="437"/>
    </row>
    <row r="1653" spans="1:10" s="428" customFormat="1">
      <c r="A1653" s="449"/>
      <c r="B1653" s="431"/>
      <c r="C1653" s="437"/>
      <c r="F1653" s="431"/>
      <c r="G1653" s="596"/>
      <c r="H1653" s="488"/>
      <c r="J1653" s="437"/>
    </row>
    <row r="1654" spans="1:10" s="428" customFormat="1">
      <c r="A1654" s="449"/>
      <c r="B1654" s="431"/>
      <c r="C1654" s="437"/>
      <c r="F1654" s="431"/>
      <c r="G1654" s="596"/>
      <c r="H1654" s="488"/>
      <c r="J1654" s="437"/>
    </row>
    <row r="1655" spans="1:10" s="428" customFormat="1">
      <c r="A1655" s="449"/>
      <c r="B1655" s="431"/>
      <c r="C1655" s="437"/>
      <c r="F1655" s="431"/>
      <c r="G1655" s="596"/>
      <c r="H1655" s="488"/>
      <c r="J1655" s="437"/>
    </row>
    <row r="1656" spans="1:10" s="428" customFormat="1">
      <c r="A1656" s="449"/>
      <c r="B1656" s="431"/>
      <c r="C1656" s="437"/>
      <c r="F1656" s="431"/>
      <c r="G1656" s="596"/>
      <c r="H1656" s="488"/>
      <c r="J1656" s="437"/>
    </row>
    <row r="1657" spans="1:10" s="428" customFormat="1">
      <c r="A1657" s="449"/>
      <c r="B1657" s="431"/>
      <c r="C1657" s="437"/>
      <c r="F1657" s="431"/>
      <c r="G1657" s="596"/>
      <c r="H1657" s="488"/>
      <c r="J1657" s="437"/>
    </row>
    <row r="1658" spans="1:10" s="428" customFormat="1">
      <c r="A1658" s="449"/>
      <c r="B1658" s="431"/>
      <c r="C1658" s="437"/>
      <c r="F1658" s="431"/>
      <c r="G1658" s="596"/>
      <c r="H1658" s="488"/>
      <c r="J1658" s="437"/>
    </row>
    <row r="1659" spans="1:10" s="428" customFormat="1">
      <c r="A1659" s="449"/>
      <c r="B1659" s="431"/>
      <c r="C1659" s="437"/>
      <c r="F1659" s="431"/>
      <c r="G1659" s="596"/>
      <c r="H1659" s="488"/>
      <c r="J1659" s="437"/>
    </row>
    <row r="1660" spans="1:10" s="428" customFormat="1">
      <c r="A1660" s="449"/>
      <c r="B1660" s="431"/>
      <c r="C1660" s="437"/>
      <c r="F1660" s="431"/>
      <c r="G1660" s="596"/>
      <c r="H1660" s="488"/>
      <c r="J1660" s="437"/>
    </row>
    <row r="1661" spans="1:10" s="428" customFormat="1">
      <c r="A1661" s="449"/>
      <c r="B1661" s="431"/>
      <c r="C1661" s="437"/>
      <c r="F1661" s="431"/>
      <c r="G1661" s="596"/>
      <c r="H1661" s="488"/>
      <c r="J1661" s="437"/>
    </row>
    <row r="1662" spans="1:10" s="428" customFormat="1">
      <c r="A1662" s="449"/>
      <c r="B1662" s="431"/>
      <c r="C1662" s="437"/>
      <c r="F1662" s="431"/>
      <c r="G1662" s="596"/>
      <c r="H1662" s="488"/>
      <c r="J1662" s="437"/>
    </row>
    <row r="1663" spans="1:10" s="428" customFormat="1">
      <c r="A1663" s="449"/>
      <c r="B1663" s="431"/>
      <c r="C1663" s="437"/>
      <c r="F1663" s="431"/>
      <c r="G1663" s="596"/>
      <c r="H1663" s="488"/>
      <c r="J1663" s="437"/>
    </row>
    <row r="1664" spans="1:10" s="428" customFormat="1">
      <c r="A1664" s="449"/>
      <c r="B1664" s="431"/>
      <c r="C1664" s="437"/>
      <c r="F1664" s="431"/>
      <c r="G1664" s="596"/>
      <c r="H1664" s="488"/>
      <c r="J1664" s="437"/>
    </row>
    <row r="1665" spans="1:10" s="428" customFormat="1">
      <c r="A1665" s="449"/>
      <c r="B1665" s="431"/>
      <c r="C1665" s="437"/>
      <c r="F1665" s="431"/>
      <c r="G1665" s="596"/>
      <c r="H1665" s="488"/>
      <c r="J1665" s="437"/>
    </row>
    <row r="1666" spans="1:10" s="428" customFormat="1">
      <c r="A1666" s="449"/>
      <c r="B1666" s="431"/>
      <c r="C1666" s="437"/>
      <c r="F1666" s="431"/>
      <c r="G1666" s="596"/>
      <c r="H1666" s="488"/>
      <c r="J1666" s="437"/>
    </row>
    <row r="1667" spans="1:10" s="428" customFormat="1">
      <c r="A1667" s="449"/>
      <c r="B1667" s="431"/>
      <c r="C1667" s="437"/>
      <c r="F1667" s="431"/>
      <c r="G1667" s="596"/>
      <c r="H1667" s="488"/>
      <c r="J1667" s="437"/>
    </row>
    <row r="1668" spans="1:10" s="428" customFormat="1">
      <c r="A1668" s="449"/>
      <c r="B1668" s="431"/>
      <c r="C1668" s="437"/>
      <c r="F1668" s="431"/>
      <c r="G1668" s="596"/>
      <c r="H1668" s="488"/>
      <c r="J1668" s="437"/>
    </row>
    <row r="1669" spans="1:10" s="428" customFormat="1">
      <c r="A1669" s="449"/>
      <c r="B1669" s="431"/>
      <c r="C1669" s="437"/>
      <c r="F1669" s="431"/>
      <c r="G1669" s="596"/>
      <c r="H1669" s="488"/>
      <c r="J1669" s="437"/>
    </row>
    <row r="1670" spans="1:10" s="428" customFormat="1">
      <c r="A1670" s="449"/>
      <c r="B1670" s="431"/>
      <c r="C1670" s="437"/>
      <c r="F1670" s="431"/>
      <c r="G1670" s="596"/>
      <c r="H1670" s="488"/>
      <c r="J1670" s="437"/>
    </row>
    <row r="1671" spans="1:10" s="428" customFormat="1">
      <c r="A1671" s="449"/>
      <c r="B1671" s="431"/>
      <c r="C1671" s="437"/>
      <c r="F1671" s="431"/>
      <c r="G1671" s="596"/>
      <c r="H1671" s="488"/>
      <c r="J1671" s="437"/>
    </row>
    <row r="1672" spans="1:10" s="428" customFormat="1">
      <c r="A1672" s="449"/>
      <c r="B1672" s="431"/>
      <c r="C1672" s="437"/>
      <c r="F1672" s="431"/>
      <c r="G1672" s="596"/>
      <c r="H1672" s="488"/>
      <c r="J1672" s="437"/>
    </row>
    <row r="1673" spans="1:10" s="428" customFormat="1">
      <c r="A1673" s="449"/>
      <c r="B1673" s="431"/>
      <c r="C1673" s="437"/>
      <c r="F1673" s="431"/>
      <c r="G1673" s="596"/>
      <c r="H1673" s="488"/>
      <c r="J1673" s="437"/>
    </row>
    <row r="1674" spans="1:10" s="428" customFormat="1">
      <c r="A1674" s="449"/>
      <c r="B1674" s="431"/>
      <c r="C1674" s="437"/>
      <c r="F1674" s="431"/>
      <c r="G1674" s="596"/>
      <c r="H1674" s="488"/>
      <c r="J1674" s="437"/>
    </row>
    <row r="1675" spans="1:10" s="428" customFormat="1">
      <c r="A1675" s="449"/>
      <c r="B1675" s="431"/>
      <c r="C1675" s="437"/>
      <c r="F1675" s="431"/>
      <c r="G1675" s="596"/>
      <c r="H1675" s="488"/>
      <c r="J1675" s="437"/>
    </row>
    <row r="1676" spans="1:10" s="428" customFormat="1">
      <c r="A1676" s="449"/>
      <c r="B1676" s="431"/>
      <c r="C1676" s="437"/>
      <c r="F1676" s="431"/>
      <c r="G1676" s="596"/>
      <c r="H1676" s="488"/>
      <c r="J1676" s="437"/>
    </row>
    <row r="1677" spans="1:10" s="428" customFormat="1">
      <c r="A1677" s="449"/>
      <c r="B1677" s="431"/>
      <c r="C1677" s="437"/>
      <c r="F1677" s="431"/>
      <c r="G1677" s="596"/>
      <c r="H1677" s="488"/>
      <c r="J1677" s="437"/>
    </row>
    <row r="1678" spans="1:10" s="428" customFormat="1">
      <c r="A1678" s="449"/>
      <c r="B1678" s="431"/>
      <c r="C1678" s="437"/>
      <c r="F1678" s="431"/>
      <c r="G1678" s="596"/>
      <c r="H1678" s="488"/>
      <c r="J1678" s="437"/>
    </row>
    <row r="1679" spans="1:10" s="428" customFormat="1">
      <c r="A1679" s="449"/>
      <c r="B1679" s="431"/>
      <c r="C1679" s="437"/>
      <c r="F1679" s="431"/>
      <c r="G1679" s="596"/>
      <c r="H1679" s="488"/>
      <c r="J1679" s="437"/>
    </row>
    <row r="1680" spans="1:10" s="428" customFormat="1">
      <c r="A1680" s="449"/>
      <c r="B1680" s="431"/>
      <c r="C1680" s="437"/>
      <c r="F1680" s="431"/>
      <c r="G1680" s="596"/>
      <c r="H1680" s="488"/>
      <c r="J1680" s="437"/>
    </row>
    <row r="1681" spans="1:10" s="428" customFormat="1">
      <c r="A1681" s="449"/>
      <c r="B1681" s="431"/>
      <c r="C1681" s="437"/>
      <c r="F1681" s="431"/>
      <c r="G1681" s="596"/>
      <c r="H1681" s="488"/>
      <c r="J1681" s="437"/>
    </row>
    <row r="1682" spans="1:10" s="428" customFormat="1">
      <c r="A1682" s="449"/>
      <c r="B1682" s="431"/>
      <c r="C1682" s="437"/>
      <c r="F1682" s="431"/>
      <c r="G1682" s="596"/>
      <c r="H1682" s="488"/>
      <c r="J1682" s="437"/>
    </row>
    <row r="1683" spans="1:10" s="428" customFormat="1">
      <c r="A1683" s="449"/>
      <c r="B1683" s="431"/>
      <c r="C1683" s="437"/>
      <c r="F1683" s="431"/>
      <c r="G1683" s="596"/>
      <c r="H1683" s="488"/>
      <c r="J1683" s="437"/>
    </row>
    <row r="1684" spans="1:10" s="428" customFormat="1">
      <c r="A1684" s="449"/>
      <c r="B1684" s="431"/>
      <c r="C1684" s="437"/>
      <c r="F1684" s="431"/>
      <c r="G1684" s="596"/>
      <c r="H1684" s="488"/>
      <c r="J1684" s="437"/>
    </row>
    <row r="1685" spans="1:10" s="428" customFormat="1">
      <c r="A1685" s="449"/>
      <c r="B1685" s="431"/>
      <c r="C1685" s="437"/>
      <c r="F1685" s="431"/>
      <c r="G1685" s="596"/>
      <c r="H1685" s="488"/>
      <c r="J1685" s="437"/>
    </row>
    <row r="1686" spans="1:10" s="428" customFormat="1">
      <c r="A1686" s="449"/>
      <c r="B1686" s="431"/>
      <c r="C1686" s="437"/>
      <c r="F1686" s="431"/>
      <c r="G1686" s="596"/>
      <c r="H1686" s="488"/>
      <c r="J1686" s="437"/>
    </row>
    <row r="1687" spans="1:10" s="428" customFormat="1">
      <c r="A1687" s="449"/>
      <c r="B1687" s="431"/>
      <c r="C1687" s="437"/>
      <c r="F1687" s="431"/>
      <c r="G1687" s="596"/>
      <c r="H1687" s="488"/>
      <c r="J1687" s="437"/>
    </row>
    <row r="1688" spans="1:10" s="428" customFormat="1">
      <c r="A1688" s="449"/>
      <c r="B1688" s="431"/>
      <c r="C1688" s="437"/>
      <c r="F1688" s="431"/>
      <c r="G1688" s="596"/>
      <c r="H1688" s="488"/>
      <c r="J1688" s="437"/>
    </row>
    <row r="1689" spans="1:10" s="428" customFormat="1">
      <c r="A1689" s="449"/>
      <c r="B1689" s="431"/>
      <c r="C1689" s="437"/>
      <c r="F1689" s="431"/>
      <c r="G1689" s="596"/>
      <c r="H1689" s="488"/>
      <c r="J1689" s="437"/>
    </row>
    <row r="1690" spans="1:10" s="428" customFormat="1">
      <c r="A1690" s="449"/>
      <c r="B1690" s="431"/>
      <c r="C1690" s="437"/>
      <c r="F1690" s="431"/>
      <c r="G1690" s="596"/>
      <c r="H1690" s="488"/>
      <c r="J1690" s="437"/>
    </row>
    <row r="1691" spans="1:10" s="428" customFormat="1">
      <c r="A1691" s="449"/>
      <c r="B1691" s="431"/>
      <c r="C1691" s="437"/>
      <c r="F1691" s="431"/>
      <c r="G1691" s="596"/>
      <c r="H1691" s="488"/>
      <c r="J1691" s="437"/>
    </row>
    <row r="1692" spans="1:10" s="428" customFormat="1">
      <c r="A1692" s="449"/>
      <c r="B1692" s="431"/>
      <c r="C1692" s="437"/>
      <c r="F1692" s="431"/>
      <c r="G1692" s="596"/>
      <c r="H1692" s="488"/>
      <c r="J1692" s="437"/>
    </row>
    <row r="1693" spans="1:10" s="428" customFormat="1">
      <c r="A1693" s="449"/>
      <c r="B1693" s="431"/>
      <c r="C1693" s="437"/>
      <c r="F1693" s="431"/>
      <c r="G1693" s="596"/>
      <c r="H1693" s="488"/>
      <c r="J1693" s="437"/>
    </row>
    <row r="1694" spans="1:10" s="428" customFormat="1">
      <c r="A1694" s="449"/>
      <c r="B1694" s="431"/>
      <c r="C1694" s="437"/>
      <c r="F1694" s="431"/>
      <c r="G1694" s="596"/>
      <c r="H1694" s="488"/>
      <c r="J1694" s="437"/>
    </row>
    <row r="1695" spans="1:10" s="428" customFormat="1">
      <c r="A1695" s="449"/>
      <c r="B1695" s="431"/>
      <c r="C1695" s="437"/>
      <c r="F1695" s="431"/>
      <c r="G1695" s="596"/>
      <c r="H1695" s="488"/>
      <c r="J1695" s="437"/>
    </row>
    <row r="1696" spans="1:10" s="428" customFormat="1">
      <c r="A1696" s="449"/>
      <c r="B1696" s="431"/>
      <c r="C1696" s="437"/>
      <c r="F1696" s="431"/>
      <c r="G1696" s="596"/>
      <c r="H1696" s="488"/>
      <c r="J1696" s="437"/>
    </row>
    <row r="1697" spans="1:10" s="428" customFormat="1">
      <c r="A1697" s="449"/>
      <c r="B1697" s="431"/>
      <c r="C1697" s="437"/>
      <c r="F1697" s="431"/>
      <c r="G1697" s="596"/>
      <c r="H1697" s="488"/>
      <c r="J1697" s="437"/>
    </row>
    <row r="1698" spans="1:10" s="428" customFormat="1">
      <c r="A1698" s="449"/>
      <c r="B1698" s="431"/>
      <c r="C1698" s="437"/>
      <c r="F1698" s="431"/>
      <c r="G1698" s="596"/>
      <c r="H1698" s="488"/>
      <c r="J1698" s="437"/>
    </row>
    <row r="1699" spans="1:10" s="428" customFormat="1">
      <c r="A1699" s="449"/>
      <c r="B1699" s="431"/>
      <c r="C1699" s="437"/>
      <c r="F1699" s="431"/>
      <c r="G1699" s="596"/>
      <c r="H1699" s="488"/>
      <c r="J1699" s="437"/>
    </row>
    <row r="1700" spans="1:10" s="428" customFormat="1">
      <c r="A1700" s="449"/>
      <c r="B1700" s="431"/>
      <c r="C1700" s="437"/>
      <c r="F1700" s="431"/>
      <c r="G1700" s="596"/>
      <c r="H1700" s="488"/>
      <c r="J1700" s="437"/>
    </row>
    <row r="1701" spans="1:10" s="428" customFormat="1">
      <c r="A1701" s="449"/>
      <c r="B1701" s="431"/>
      <c r="C1701" s="437"/>
      <c r="F1701" s="431"/>
      <c r="G1701" s="596"/>
      <c r="H1701" s="488"/>
      <c r="J1701" s="437"/>
    </row>
    <row r="1702" spans="1:10" s="428" customFormat="1">
      <c r="A1702" s="449"/>
      <c r="B1702" s="431"/>
      <c r="C1702" s="437"/>
      <c r="F1702" s="431"/>
      <c r="G1702" s="596"/>
      <c r="H1702" s="488"/>
      <c r="J1702" s="437"/>
    </row>
    <row r="1703" spans="1:10" s="428" customFormat="1">
      <c r="A1703" s="449"/>
      <c r="B1703" s="431"/>
      <c r="C1703" s="437"/>
      <c r="F1703" s="431"/>
      <c r="G1703" s="596"/>
      <c r="H1703" s="488"/>
      <c r="J1703" s="437"/>
    </row>
    <row r="1704" spans="1:10" s="428" customFormat="1">
      <c r="A1704" s="449"/>
      <c r="B1704" s="431"/>
      <c r="C1704" s="437"/>
      <c r="F1704" s="431"/>
      <c r="G1704" s="596"/>
      <c r="H1704" s="488"/>
      <c r="J1704" s="437"/>
    </row>
    <row r="1705" spans="1:10" s="428" customFormat="1">
      <c r="A1705" s="449"/>
      <c r="B1705" s="431"/>
      <c r="C1705" s="437"/>
      <c r="F1705" s="431"/>
      <c r="G1705" s="596"/>
      <c r="H1705" s="488"/>
      <c r="J1705" s="437"/>
    </row>
    <row r="1706" spans="1:10" s="428" customFormat="1">
      <c r="A1706" s="449"/>
      <c r="B1706" s="431"/>
      <c r="C1706" s="437"/>
      <c r="F1706" s="431"/>
      <c r="G1706" s="596"/>
      <c r="H1706" s="488"/>
      <c r="J1706" s="437"/>
    </row>
    <row r="1707" spans="1:10" s="428" customFormat="1">
      <c r="A1707" s="449"/>
      <c r="B1707" s="431"/>
      <c r="C1707" s="437"/>
      <c r="F1707" s="431"/>
      <c r="G1707" s="596"/>
      <c r="H1707" s="488"/>
      <c r="J1707" s="437"/>
    </row>
    <row r="1708" spans="1:10" s="428" customFormat="1">
      <c r="A1708" s="449"/>
      <c r="B1708" s="431"/>
      <c r="C1708" s="437"/>
      <c r="F1708" s="431"/>
      <c r="G1708" s="596"/>
      <c r="H1708" s="488"/>
      <c r="J1708" s="437"/>
    </row>
    <row r="1709" spans="1:10" s="428" customFormat="1">
      <c r="A1709" s="449"/>
      <c r="B1709" s="431"/>
      <c r="C1709" s="437"/>
      <c r="F1709" s="431"/>
      <c r="G1709" s="596"/>
      <c r="H1709" s="488"/>
      <c r="J1709" s="437"/>
    </row>
    <row r="1710" spans="1:10" s="428" customFormat="1">
      <c r="A1710" s="449"/>
      <c r="B1710" s="431"/>
      <c r="C1710" s="437"/>
      <c r="F1710" s="431"/>
      <c r="G1710" s="596"/>
      <c r="H1710" s="488"/>
      <c r="J1710" s="437"/>
    </row>
    <row r="1711" spans="1:10" s="428" customFormat="1">
      <c r="A1711" s="449"/>
      <c r="B1711" s="431"/>
      <c r="C1711" s="437"/>
      <c r="F1711" s="431"/>
      <c r="G1711" s="596"/>
      <c r="H1711" s="488"/>
      <c r="J1711" s="437"/>
    </row>
    <row r="1712" spans="1:10" s="428" customFormat="1">
      <c r="A1712" s="449"/>
      <c r="B1712" s="431"/>
      <c r="C1712" s="437"/>
      <c r="F1712" s="431"/>
      <c r="G1712" s="596"/>
      <c r="H1712" s="488"/>
      <c r="J1712" s="437"/>
    </row>
    <row r="1713" spans="1:10" s="428" customFormat="1">
      <c r="A1713" s="449"/>
      <c r="B1713" s="431"/>
      <c r="C1713" s="437"/>
      <c r="F1713" s="431"/>
      <c r="G1713" s="596"/>
      <c r="H1713" s="488"/>
      <c r="J1713" s="437"/>
    </row>
    <row r="1714" spans="1:10" s="428" customFormat="1">
      <c r="A1714" s="449"/>
      <c r="B1714" s="431"/>
      <c r="C1714" s="437"/>
      <c r="F1714" s="431"/>
      <c r="G1714" s="596"/>
      <c r="H1714" s="488"/>
      <c r="J1714" s="437"/>
    </row>
    <row r="1715" spans="1:10" s="428" customFormat="1">
      <c r="A1715" s="449"/>
      <c r="B1715" s="431"/>
      <c r="C1715" s="437"/>
      <c r="F1715" s="431"/>
      <c r="G1715" s="596"/>
      <c r="H1715" s="488"/>
      <c r="J1715" s="437"/>
    </row>
    <row r="1716" spans="1:10" s="428" customFormat="1">
      <c r="A1716" s="449"/>
      <c r="B1716" s="431"/>
      <c r="C1716" s="437"/>
      <c r="F1716" s="431"/>
      <c r="G1716" s="596"/>
      <c r="H1716" s="488"/>
      <c r="J1716" s="437"/>
    </row>
    <row r="1717" spans="1:10" s="428" customFormat="1">
      <c r="A1717" s="449"/>
      <c r="B1717" s="431"/>
      <c r="C1717" s="437"/>
      <c r="F1717" s="431"/>
      <c r="G1717" s="596"/>
      <c r="H1717" s="488"/>
      <c r="J1717" s="437"/>
    </row>
    <row r="1718" spans="1:10" s="428" customFormat="1">
      <c r="A1718" s="449"/>
      <c r="B1718" s="431"/>
      <c r="C1718" s="437"/>
      <c r="F1718" s="431"/>
      <c r="G1718" s="596"/>
      <c r="H1718" s="488"/>
      <c r="J1718" s="437"/>
    </row>
    <row r="1719" spans="1:10" s="428" customFormat="1">
      <c r="A1719" s="449"/>
      <c r="B1719" s="431"/>
      <c r="C1719" s="437"/>
      <c r="F1719" s="431"/>
      <c r="G1719" s="596"/>
      <c r="H1719" s="488"/>
      <c r="J1719" s="437"/>
    </row>
    <row r="1720" spans="1:10" s="428" customFormat="1">
      <c r="A1720" s="449"/>
      <c r="B1720" s="431"/>
      <c r="C1720" s="437"/>
      <c r="F1720" s="431"/>
      <c r="G1720" s="596"/>
      <c r="H1720" s="488"/>
      <c r="J1720" s="437"/>
    </row>
    <row r="1721" spans="1:10" s="428" customFormat="1">
      <c r="A1721" s="449"/>
      <c r="B1721" s="431"/>
      <c r="C1721" s="437"/>
      <c r="F1721" s="431"/>
      <c r="G1721" s="596"/>
      <c r="H1721" s="488"/>
      <c r="J1721" s="437"/>
    </row>
    <row r="1722" spans="1:10" s="428" customFormat="1">
      <c r="A1722" s="449"/>
      <c r="B1722" s="431"/>
      <c r="C1722" s="437"/>
      <c r="F1722" s="431"/>
      <c r="G1722" s="596"/>
      <c r="H1722" s="488"/>
      <c r="J1722" s="437"/>
    </row>
    <row r="1723" spans="1:10" s="428" customFormat="1">
      <c r="A1723" s="449"/>
      <c r="B1723" s="431"/>
      <c r="C1723" s="437"/>
      <c r="F1723" s="431"/>
      <c r="G1723" s="596"/>
      <c r="H1723" s="488"/>
      <c r="J1723" s="437"/>
    </row>
    <row r="1724" spans="1:10" s="428" customFormat="1">
      <c r="A1724" s="449"/>
      <c r="B1724" s="431"/>
      <c r="C1724" s="437"/>
      <c r="F1724" s="431"/>
      <c r="G1724" s="596"/>
      <c r="H1724" s="488"/>
      <c r="J1724" s="437"/>
    </row>
    <row r="1725" spans="1:10" s="428" customFormat="1">
      <c r="A1725" s="449"/>
      <c r="B1725" s="431"/>
      <c r="C1725" s="437"/>
      <c r="F1725" s="431"/>
      <c r="G1725" s="596"/>
      <c r="H1725" s="488"/>
      <c r="J1725" s="437"/>
    </row>
    <row r="1726" spans="1:10" s="428" customFormat="1">
      <c r="A1726" s="449"/>
      <c r="B1726" s="431"/>
      <c r="C1726" s="437"/>
      <c r="F1726" s="431"/>
      <c r="G1726" s="596"/>
      <c r="H1726" s="488"/>
      <c r="J1726" s="437"/>
    </row>
    <row r="1727" spans="1:10" s="428" customFormat="1">
      <c r="A1727" s="449"/>
      <c r="B1727" s="431"/>
      <c r="C1727" s="437"/>
      <c r="F1727" s="431"/>
      <c r="G1727" s="596"/>
      <c r="H1727" s="488"/>
      <c r="J1727" s="437"/>
    </row>
    <row r="1728" spans="1:10" s="428" customFormat="1">
      <c r="A1728" s="449"/>
      <c r="B1728" s="431"/>
      <c r="C1728" s="437"/>
      <c r="F1728" s="431"/>
      <c r="G1728" s="596"/>
      <c r="H1728" s="488"/>
      <c r="J1728" s="437"/>
    </row>
    <row r="1729" spans="1:10" s="428" customFormat="1">
      <c r="A1729" s="449"/>
      <c r="B1729" s="431"/>
      <c r="C1729" s="437"/>
      <c r="F1729" s="431"/>
      <c r="G1729" s="596"/>
      <c r="H1729" s="488"/>
      <c r="J1729" s="437"/>
    </row>
    <row r="1730" spans="1:10" s="428" customFormat="1">
      <c r="A1730" s="449"/>
      <c r="B1730" s="431"/>
      <c r="C1730" s="437"/>
      <c r="F1730" s="431"/>
      <c r="G1730" s="596"/>
      <c r="H1730" s="488"/>
      <c r="J1730" s="437"/>
    </row>
    <row r="1731" spans="1:10" s="428" customFormat="1">
      <c r="A1731" s="449"/>
      <c r="B1731" s="431"/>
      <c r="C1731" s="437"/>
      <c r="F1731" s="431"/>
      <c r="G1731" s="596"/>
      <c r="H1731" s="488"/>
      <c r="J1731" s="437"/>
    </row>
    <row r="1732" spans="1:10" s="428" customFormat="1">
      <c r="A1732" s="449"/>
      <c r="B1732" s="431"/>
      <c r="C1732" s="437"/>
      <c r="F1732" s="431"/>
      <c r="G1732" s="596"/>
      <c r="H1732" s="488"/>
      <c r="J1732" s="437"/>
    </row>
    <row r="1733" spans="1:10" s="428" customFormat="1">
      <c r="A1733" s="449"/>
      <c r="B1733" s="431"/>
      <c r="C1733" s="437"/>
      <c r="F1733" s="431"/>
      <c r="G1733" s="596"/>
      <c r="H1733" s="488"/>
      <c r="J1733" s="437"/>
    </row>
    <row r="1734" spans="1:10" s="428" customFormat="1">
      <c r="A1734" s="449"/>
      <c r="B1734" s="431"/>
      <c r="C1734" s="437"/>
      <c r="F1734" s="431"/>
      <c r="G1734" s="596"/>
      <c r="H1734" s="488"/>
      <c r="J1734" s="437"/>
    </row>
    <row r="1735" spans="1:10" s="428" customFormat="1">
      <c r="A1735" s="449"/>
      <c r="B1735" s="431"/>
      <c r="C1735" s="437"/>
      <c r="F1735" s="431"/>
      <c r="G1735" s="596"/>
      <c r="H1735" s="488"/>
      <c r="J1735" s="437"/>
    </row>
    <row r="1736" spans="1:10" s="428" customFormat="1">
      <c r="A1736" s="449"/>
      <c r="B1736" s="431"/>
      <c r="C1736" s="437"/>
      <c r="F1736" s="431"/>
      <c r="G1736" s="596"/>
      <c r="H1736" s="488"/>
      <c r="J1736" s="437"/>
    </row>
    <row r="1737" spans="1:10" s="428" customFormat="1">
      <c r="A1737" s="449"/>
      <c r="B1737" s="431"/>
      <c r="C1737" s="437"/>
      <c r="F1737" s="431"/>
      <c r="G1737" s="596"/>
      <c r="H1737" s="488"/>
      <c r="J1737" s="437"/>
    </row>
    <row r="1738" spans="1:10" s="428" customFormat="1">
      <c r="A1738" s="449"/>
      <c r="B1738" s="431"/>
      <c r="C1738" s="437"/>
      <c r="F1738" s="431"/>
      <c r="G1738" s="596"/>
      <c r="H1738" s="488"/>
      <c r="J1738" s="437"/>
    </row>
    <row r="1739" spans="1:10" s="428" customFormat="1">
      <c r="A1739" s="449"/>
      <c r="B1739" s="431"/>
      <c r="C1739" s="437"/>
      <c r="F1739" s="431"/>
      <c r="G1739" s="596"/>
      <c r="H1739" s="488"/>
      <c r="J1739" s="437"/>
    </row>
    <row r="1740" spans="1:10" s="428" customFormat="1">
      <c r="A1740" s="449"/>
      <c r="B1740" s="431"/>
      <c r="C1740" s="437"/>
      <c r="F1740" s="431"/>
      <c r="G1740" s="596"/>
      <c r="H1740" s="488"/>
      <c r="J1740" s="437"/>
    </row>
    <row r="1741" spans="1:10" s="428" customFormat="1">
      <c r="A1741" s="449"/>
      <c r="B1741" s="431"/>
      <c r="C1741" s="437"/>
      <c r="F1741" s="431"/>
      <c r="G1741" s="596"/>
      <c r="H1741" s="488"/>
      <c r="J1741" s="437"/>
    </row>
    <row r="1742" spans="1:10" s="428" customFormat="1">
      <c r="A1742" s="449"/>
      <c r="B1742" s="431"/>
      <c r="C1742" s="437"/>
      <c r="F1742" s="431"/>
      <c r="G1742" s="596"/>
      <c r="H1742" s="488"/>
      <c r="J1742" s="437"/>
    </row>
    <row r="1743" spans="1:10" s="428" customFormat="1">
      <c r="A1743" s="449"/>
      <c r="B1743" s="431"/>
      <c r="C1743" s="437"/>
      <c r="F1743" s="431"/>
      <c r="G1743" s="596"/>
      <c r="H1743" s="488"/>
      <c r="J1743" s="437"/>
    </row>
    <row r="1744" spans="1:10" s="428" customFormat="1">
      <c r="A1744" s="449"/>
      <c r="B1744" s="431"/>
      <c r="C1744" s="437"/>
      <c r="F1744" s="431"/>
      <c r="G1744" s="596"/>
      <c r="H1744" s="488"/>
      <c r="J1744" s="437"/>
    </row>
    <row r="1745" spans="1:10" s="428" customFormat="1">
      <c r="A1745" s="449"/>
      <c r="B1745" s="431"/>
      <c r="C1745" s="437"/>
      <c r="F1745" s="431"/>
      <c r="G1745" s="596"/>
      <c r="H1745" s="488"/>
      <c r="J1745" s="437"/>
    </row>
    <row r="1746" spans="1:10" s="428" customFormat="1">
      <c r="A1746" s="449"/>
      <c r="B1746" s="431"/>
      <c r="C1746" s="437"/>
      <c r="F1746" s="431"/>
      <c r="G1746" s="596"/>
      <c r="H1746" s="488"/>
      <c r="J1746" s="437"/>
    </row>
    <row r="1747" spans="1:10" s="428" customFormat="1">
      <c r="A1747" s="449"/>
      <c r="B1747" s="431"/>
      <c r="C1747" s="437"/>
      <c r="F1747" s="431"/>
      <c r="G1747" s="596"/>
      <c r="H1747" s="488"/>
      <c r="J1747" s="437"/>
    </row>
    <row r="1748" spans="1:10" s="428" customFormat="1">
      <c r="A1748" s="449"/>
      <c r="B1748" s="431"/>
      <c r="C1748" s="437"/>
      <c r="F1748" s="431"/>
      <c r="G1748" s="596"/>
      <c r="H1748" s="488"/>
      <c r="J1748" s="437"/>
    </row>
    <row r="1749" spans="1:10" s="428" customFormat="1">
      <c r="A1749" s="449"/>
      <c r="B1749" s="431"/>
      <c r="C1749" s="437"/>
      <c r="F1749" s="431"/>
      <c r="G1749" s="596"/>
      <c r="H1749" s="488"/>
      <c r="J1749" s="437"/>
    </row>
    <row r="1750" spans="1:10" s="428" customFormat="1">
      <c r="A1750" s="449"/>
      <c r="B1750" s="431"/>
      <c r="C1750" s="437"/>
      <c r="F1750" s="431"/>
      <c r="G1750" s="596"/>
      <c r="H1750" s="488"/>
      <c r="J1750" s="437"/>
    </row>
    <row r="1751" spans="1:10" s="428" customFormat="1">
      <c r="A1751" s="449"/>
      <c r="B1751" s="431"/>
      <c r="C1751" s="437"/>
      <c r="F1751" s="431"/>
      <c r="G1751" s="596"/>
      <c r="H1751" s="488"/>
      <c r="J1751" s="437"/>
    </row>
    <row r="1752" spans="1:10" s="428" customFormat="1">
      <c r="A1752" s="449"/>
      <c r="B1752" s="431"/>
      <c r="C1752" s="437"/>
      <c r="F1752" s="431"/>
      <c r="G1752" s="596"/>
      <c r="H1752" s="488"/>
      <c r="J1752" s="437"/>
    </row>
    <row r="1753" spans="1:10" s="428" customFormat="1">
      <c r="A1753" s="449"/>
      <c r="B1753" s="431"/>
      <c r="C1753" s="437"/>
      <c r="F1753" s="431"/>
      <c r="G1753" s="596"/>
      <c r="H1753" s="488"/>
      <c r="J1753" s="437"/>
    </row>
    <row r="1754" spans="1:10" s="428" customFormat="1">
      <c r="A1754" s="449"/>
      <c r="B1754" s="431"/>
      <c r="C1754" s="437"/>
      <c r="F1754" s="431"/>
      <c r="G1754" s="596"/>
      <c r="H1754" s="488"/>
      <c r="J1754" s="437"/>
    </row>
    <row r="1755" spans="1:10" s="428" customFormat="1">
      <c r="A1755" s="449"/>
      <c r="B1755" s="431"/>
      <c r="C1755" s="437"/>
      <c r="F1755" s="431"/>
      <c r="G1755" s="596"/>
      <c r="H1755" s="488"/>
      <c r="J1755" s="437"/>
    </row>
    <row r="1756" spans="1:10" s="428" customFormat="1">
      <c r="A1756" s="449"/>
      <c r="B1756" s="431"/>
      <c r="C1756" s="437"/>
      <c r="F1756" s="431"/>
      <c r="G1756" s="596"/>
      <c r="H1756" s="488"/>
      <c r="J1756" s="437"/>
    </row>
    <row r="1757" spans="1:10" s="428" customFormat="1">
      <c r="A1757" s="449"/>
      <c r="B1757" s="431"/>
      <c r="C1757" s="437"/>
      <c r="F1757" s="431"/>
      <c r="G1757" s="596"/>
      <c r="H1757" s="488"/>
      <c r="J1757" s="437"/>
    </row>
    <row r="1758" spans="1:10" s="428" customFormat="1">
      <c r="A1758" s="449"/>
      <c r="B1758" s="431"/>
      <c r="C1758" s="437"/>
      <c r="F1758" s="431"/>
      <c r="G1758" s="596"/>
      <c r="H1758" s="488"/>
      <c r="J1758" s="437"/>
    </row>
    <row r="1759" spans="1:10" s="428" customFormat="1">
      <c r="A1759" s="449"/>
      <c r="B1759" s="431"/>
      <c r="C1759" s="437"/>
      <c r="F1759" s="431"/>
      <c r="G1759" s="596"/>
      <c r="H1759" s="488"/>
      <c r="J1759" s="437"/>
    </row>
    <row r="1760" spans="1:10" s="428" customFormat="1">
      <c r="A1760" s="449"/>
      <c r="B1760" s="431"/>
      <c r="C1760" s="437"/>
      <c r="F1760" s="431"/>
      <c r="G1760" s="596"/>
      <c r="H1760" s="488"/>
      <c r="J1760" s="437"/>
    </row>
    <row r="1761" spans="1:10" s="428" customFormat="1">
      <c r="A1761" s="449"/>
      <c r="B1761" s="431"/>
      <c r="C1761" s="437"/>
      <c r="F1761" s="431"/>
      <c r="G1761" s="596"/>
      <c r="H1761" s="488"/>
      <c r="J1761" s="437"/>
    </row>
    <row r="1762" spans="1:10" s="428" customFormat="1">
      <c r="A1762" s="449"/>
      <c r="B1762" s="431"/>
      <c r="C1762" s="437"/>
      <c r="F1762" s="431"/>
      <c r="G1762" s="596"/>
      <c r="H1762" s="488"/>
      <c r="J1762" s="437"/>
    </row>
    <row r="1763" spans="1:10" s="428" customFormat="1">
      <c r="A1763" s="449"/>
      <c r="B1763" s="431"/>
      <c r="C1763" s="437"/>
      <c r="F1763" s="431"/>
      <c r="G1763" s="596"/>
      <c r="H1763" s="488"/>
      <c r="J1763" s="437"/>
    </row>
    <row r="1764" spans="1:10" s="428" customFormat="1">
      <c r="A1764" s="449"/>
      <c r="B1764" s="431"/>
      <c r="C1764" s="437"/>
      <c r="F1764" s="431"/>
      <c r="G1764" s="596"/>
      <c r="H1764" s="488"/>
      <c r="J1764" s="437"/>
    </row>
    <row r="1765" spans="1:10" s="428" customFormat="1">
      <c r="A1765" s="449"/>
      <c r="B1765" s="431"/>
      <c r="C1765" s="437"/>
      <c r="F1765" s="431"/>
      <c r="G1765" s="596"/>
      <c r="H1765" s="488"/>
      <c r="J1765" s="437"/>
    </row>
    <row r="1766" spans="1:10" s="428" customFormat="1">
      <c r="A1766" s="449"/>
      <c r="B1766" s="431"/>
      <c r="C1766" s="437"/>
      <c r="F1766" s="431"/>
      <c r="G1766" s="596"/>
      <c r="H1766" s="488"/>
      <c r="J1766" s="437"/>
    </row>
    <row r="1767" spans="1:10" s="428" customFormat="1">
      <c r="A1767" s="449"/>
      <c r="B1767" s="431"/>
      <c r="C1767" s="437"/>
      <c r="F1767" s="431"/>
      <c r="G1767" s="596"/>
      <c r="H1767" s="488"/>
      <c r="J1767" s="437"/>
    </row>
    <row r="1768" spans="1:10" s="428" customFormat="1">
      <c r="A1768" s="449"/>
      <c r="B1768" s="431"/>
      <c r="C1768" s="437"/>
      <c r="F1768" s="431"/>
      <c r="G1768" s="596"/>
      <c r="H1768" s="488"/>
      <c r="J1768" s="437"/>
    </row>
    <row r="1769" spans="1:10" s="428" customFormat="1">
      <c r="A1769" s="449"/>
      <c r="B1769" s="431"/>
      <c r="C1769" s="437"/>
      <c r="F1769" s="431"/>
      <c r="G1769" s="596"/>
      <c r="H1769" s="488"/>
      <c r="J1769" s="437"/>
    </row>
    <row r="1770" spans="1:10" s="428" customFormat="1">
      <c r="A1770" s="449"/>
      <c r="B1770" s="431"/>
      <c r="C1770" s="437"/>
      <c r="F1770" s="431"/>
      <c r="G1770" s="596"/>
      <c r="H1770" s="488"/>
      <c r="J1770" s="437"/>
    </row>
    <row r="1771" spans="1:10" s="428" customFormat="1">
      <c r="A1771" s="449"/>
      <c r="B1771" s="431"/>
      <c r="C1771" s="437"/>
      <c r="F1771" s="431"/>
      <c r="G1771" s="596"/>
      <c r="H1771" s="488"/>
      <c r="J1771" s="437"/>
    </row>
    <row r="1772" spans="1:10" s="428" customFormat="1">
      <c r="A1772" s="449"/>
      <c r="B1772" s="431"/>
      <c r="C1772" s="437"/>
      <c r="F1772" s="431"/>
      <c r="G1772" s="596"/>
      <c r="H1772" s="488"/>
      <c r="J1772" s="437"/>
    </row>
    <row r="1773" spans="1:10" s="428" customFormat="1">
      <c r="A1773" s="449"/>
      <c r="B1773" s="431"/>
      <c r="C1773" s="437"/>
      <c r="F1773" s="431"/>
      <c r="G1773" s="596"/>
      <c r="H1773" s="488"/>
      <c r="J1773" s="437"/>
    </row>
    <row r="1774" spans="1:10" s="428" customFormat="1">
      <c r="A1774" s="449"/>
      <c r="B1774" s="431"/>
      <c r="C1774" s="437"/>
      <c r="F1774" s="431"/>
      <c r="G1774" s="596"/>
      <c r="H1774" s="488"/>
      <c r="J1774" s="437"/>
    </row>
    <row r="1775" spans="1:10" s="428" customFormat="1">
      <c r="A1775" s="449"/>
      <c r="B1775" s="431"/>
      <c r="C1775" s="437"/>
      <c r="F1775" s="431"/>
      <c r="G1775" s="596"/>
      <c r="H1775" s="488"/>
      <c r="J1775" s="437"/>
    </row>
    <row r="1776" spans="1:10" s="428" customFormat="1">
      <c r="A1776" s="449"/>
      <c r="B1776" s="431"/>
      <c r="C1776" s="437"/>
      <c r="F1776" s="431"/>
      <c r="G1776" s="596"/>
      <c r="H1776" s="488"/>
      <c r="J1776" s="437"/>
    </row>
    <row r="1777" spans="1:10" s="428" customFormat="1">
      <c r="A1777" s="449"/>
      <c r="B1777" s="431"/>
      <c r="C1777" s="437"/>
      <c r="F1777" s="431"/>
      <c r="G1777" s="596"/>
      <c r="H1777" s="488"/>
      <c r="J1777" s="437"/>
    </row>
    <row r="1778" spans="1:10" s="428" customFormat="1">
      <c r="A1778" s="449"/>
      <c r="B1778" s="431"/>
      <c r="C1778" s="437"/>
      <c r="F1778" s="431"/>
      <c r="G1778" s="596"/>
      <c r="H1778" s="488"/>
      <c r="J1778" s="437"/>
    </row>
    <row r="1779" spans="1:10" s="428" customFormat="1">
      <c r="A1779" s="449"/>
      <c r="B1779" s="431"/>
      <c r="C1779" s="437"/>
      <c r="F1779" s="431"/>
      <c r="G1779" s="596"/>
      <c r="H1779" s="488"/>
      <c r="J1779" s="437"/>
    </row>
    <row r="1780" spans="1:10" s="428" customFormat="1">
      <c r="A1780" s="449"/>
      <c r="B1780" s="431"/>
      <c r="C1780" s="437"/>
      <c r="F1780" s="431"/>
      <c r="G1780" s="596"/>
      <c r="H1780" s="488"/>
      <c r="J1780" s="437"/>
    </row>
    <row r="1781" spans="1:10" s="428" customFormat="1">
      <c r="A1781" s="449"/>
      <c r="B1781" s="431"/>
      <c r="C1781" s="437"/>
      <c r="F1781" s="431"/>
      <c r="G1781" s="596"/>
      <c r="H1781" s="488"/>
      <c r="J1781" s="437"/>
    </row>
    <row r="1782" spans="1:10" s="428" customFormat="1">
      <c r="A1782" s="449"/>
      <c r="B1782" s="431"/>
      <c r="C1782" s="437"/>
      <c r="F1782" s="431"/>
      <c r="G1782" s="596"/>
      <c r="H1782" s="488"/>
      <c r="J1782" s="437"/>
    </row>
    <row r="1783" spans="1:10" s="428" customFormat="1">
      <c r="A1783" s="449"/>
      <c r="B1783" s="431"/>
      <c r="C1783" s="437"/>
      <c r="F1783" s="431"/>
      <c r="G1783" s="596"/>
      <c r="H1783" s="488"/>
      <c r="J1783" s="437"/>
    </row>
    <row r="1784" spans="1:10" s="428" customFormat="1">
      <c r="A1784" s="449"/>
      <c r="B1784" s="431"/>
      <c r="C1784" s="437"/>
      <c r="F1784" s="431"/>
      <c r="G1784" s="596"/>
      <c r="H1784" s="488"/>
      <c r="J1784" s="437"/>
    </row>
    <row r="1785" spans="1:10" s="428" customFormat="1">
      <c r="A1785" s="449"/>
      <c r="B1785" s="431"/>
      <c r="C1785" s="437"/>
      <c r="F1785" s="431"/>
      <c r="G1785" s="596"/>
      <c r="H1785" s="488"/>
      <c r="J1785" s="437"/>
    </row>
    <row r="1786" spans="1:10" s="428" customFormat="1">
      <c r="A1786" s="449"/>
      <c r="B1786" s="431"/>
      <c r="C1786" s="437"/>
      <c r="F1786" s="431"/>
      <c r="G1786" s="596"/>
      <c r="H1786" s="488"/>
      <c r="J1786" s="437"/>
    </row>
    <row r="1787" spans="1:10" s="428" customFormat="1">
      <c r="A1787" s="449"/>
      <c r="B1787" s="431"/>
      <c r="C1787" s="437"/>
      <c r="F1787" s="431"/>
      <c r="G1787" s="596"/>
      <c r="H1787" s="488"/>
      <c r="J1787" s="437"/>
    </row>
    <row r="1788" spans="1:10" s="428" customFormat="1">
      <c r="A1788" s="449"/>
      <c r="B1788" s="431"/>
      <c r="C1788" s="437"/>
      <c r="F1788" s="431"/>
      <c r="G1788" s="596"/>
      <c r="H1788" s="488"/>
      <c r="J1788" s="437"/>
    </row>
    <row r="1789" spans="1:10" s="428" customFormat="1">
      <c r="A1789" s="449"/>
      <c r="B1789" s="431"/>
      <c r="C1789" s="437"/>
      <c r="F1789" s="431"/>
      <c r="G1789" s="596"/>
      <c r="H1789" s="488"/>
      <c r="J1789" s="437"/>
    </row>
    <row r="1790" spans="1:10" s="428" customFormat="1">
      <c r="A1790" s="449"/>
      <c r="B1790" s="431"/>
      <c r="C1790" s="437"/>
      <c r="F1790" s="431"/>
      <c r="G1790" s="596"/>
      <c r="H1790" s="488"/>
      <c r="J1790" s="437"/>
    </row>
    <row r="1791" spans="1:10" s="428" customFormat="1">
      <c r="A1791" s="449"/>
      <c r="B1791" s="431"/>
      <c r="C1791" s="437"/>
      <c r="F1791" s="431"/>
      <c r="G1791" s="596"/>
      <c r="H1791" s="488"/>
      <c r="J1791" s="437"/>
    </row>
    <row r="1792" spans="1:10" s="428" customFormat="1">
      <c r="A1792" s="449"/>
      <c r="B1792" s="431"/>
      <c r="C1792" s="437"/>
      <c r="F1792" s="431"/>
      <c r="G1792" s="596"/>
      <c r="H1792" s="488"/>
      <c r="J1792" s="437"/>
    </row>
    <row r="1793" spans="1:10" s="428" customFormat="1">
      <c r="A1793" s="449"/>
      <c r="B1793" s="431"/>
      <c r="C1793" s="437"/>
      <c r="F1793" s="431"/>
      <c r="G1793" s="596"/>
      <c r="H1793" s="488"/>
      <c r="J1793" s="437"/>
    </row>
    <row r="1794" spans="1:10" s="428" customFormat="1">
      <c r="A1794" s="449"/>
      <c r="B1794" s="431"/>
      <c r="C1794" s="437"/>
      <c r="F1794" s="431"/>
      <c r="G1794" s="596"/>
      <c r="H1794" s="488"/>
      <c r="J1794" s="437"/>
    </row>
    <row r="1795" spans="1:10" s="428" customFormat="1">
      <c r="A1795" s="449"/>
      <c r="B1795" s="431"/>
      <c r="C1795" s="437"/>
      <c r="F1795" s="431"/>
      <c r="G1795" s="596"/>
      <c r="H1795" s="488"/>
      <c r="J1795" s="437"/>
    </row>
    <row r="1796" spans="1:10" s="428" customFormat="1">
      <c r="A1796" s="449"/>
      <c r="B1796" s="431"/>
      <c r="C1796" s="437"/>
      <c r="F1796" s="431"/>
      <c r="G1796" s="596"/>
      <c r="H1796" s="488"/>
      <c r="J1796" s="437"/>
    </row>
    <row r="1797" spans="1:10" s="428" customFormat="1">
      <c r="A1797" s="449"/>
      <c r="B1797" s="431"/>
      <c r="C1797" s="437"/>
      <c r="F1797" s="431"/>
      <c r="G1797" s="596"/>
      <c r="H1797" s="488"/>
      <c r="J1797" s="437"/>
    </row>
    <row r="1798" spans="1:10" s="428" customFormat="1">
      <c r="A1798" s="449"/>
      <c r="B1798" s="431"/>
      <c r="C1798" s="437"/>
      <c r="F1798" s="431"/>
      <c r="G1798" s="596"/>
      <c r="H1798" s="488"/>
      <c r="J1798" s="437"/>
    </row>
    <row r="1799" spans="1:10" s="428" customFormat="1">
      <c r="A1799" s="449"/>
      <c r="B1799" s="431"/>
      <c r="C1799" s="437"/>
      <c r="F1799" s="431"/>
      <c r="G1799" s="596"/>
      <c r="H1799" s="488"/>
      <c r="J1799" s="437"/>
    </row>
    <row r="1800" spans="1:10" s="428" customFormat="1">
      <c r="A1800" s="449"/>
      <c r="B1800" s="431"/>
      <c r="C1800" s="437"/>
      <c r="F1800" s="431"/>
      <c r="G1800" s="596"/>
      <c r="H1800" s="488"/>
      <c r="J1800" s="437"/>
    </row>
    <row r="1801" spans="1:10" s="428" customFormat="1">
      <c r="A1801" s="449"/>
      <c r="B1801" s="431"/>
      <c r="C1801" s="437"/>
      <c r="F1801" s="431"/>
      <c r="G1801" s="596"/>
      <c r="H1801" s="488"/>
      <c r="J1801" s="437"/>
    </row>
    <row r="1802" spans="1:10" s="428" customFormat="1">
      <c r="A1802" s="449"/>
      <c r="B1802" s="431"/>
      <c r="C1802" s="437"/>
      <c r="F1802" s="431"/>
      <c r="G1802" s="596"/>
      <c r="H1802" s="488"/>
      <c r="J1802" s="437"/>
    </row>
    <row r="1803" spans="1:10" s="428" customFormat="1">
      <c r="A1803" s="449"/>
      <c r="B1803" s="431"/>
      <c r="C1803" s="437"/>
      <c r="F1803" s="431"/>
      <c r="G1803" s="596"/>
      <c r="H1803" s="488"/>
      <c r="J1803" s="437"/>
    </row>
    <row r="1804" spans="1:10" s="428" customFormat="1">
      <c r="A1804" s="449"/>
      <c r="B1804" s="431"/>
      <c r="C1804" s="437"/>
      <c r="F1804" s="431"/>
      <c r="G1804" s="596"/>
      <c r="H1804" s="488"/>
      <c r="J1804" s="437"/>
    </row>
    <row r="1805" spans="1:10" s="428" customFormat="1">
      <c r="A1805" s="449"/>
      <c r="B1805" s="431"/>
      <c r="C1805" s="437"/>
      <c r="F1805" s="431"/>
      <c r="G1805" s="596"/>
      <c r="H1805" s="488"/>
      <c r="J1805" s="437"/>
    </row>
    <row r="1806" spans="1:10" s="428" customFormat="1">
      <c r="A1806" s="449"/>
      <c r="B1806" s="431"/>
      <c r="C1806" s="437"/>
      <c r="F1806" s="431"/>
      <c r="G1806" s="596"/>
      <c r="H1806" s="488"/>
      <c r="J1806" s="437"/>
    </row>
    <row r="1807" spans="1:10" s="428" customFormat="1">
      <c r="A1807" s="449"/>
      <c r="B1807" s="431"/>
      <c r="C1807" s="437"/>
      <c r="F1807" s="431"/>
      <c r="G1807" s="596"/>
      <c r="H1807" s="488"/>
      <c r="J1807" s="437"/>
    </row>
    <row r="1808" spans="1:10" s="428" customFormat="1">
      <c r="A1808" s="449"/>
      <c r="B1808" s="431"/>
      <c r="C1808" s="437"/>
      <c r="F1808" s="431"/>
      <c r="G1808" s="596"/>
      <c r="H1808" s="488"/>
      <c r="J1808" s="437"/>
    </row>
    <row r="1809" spans="1:10" s="428" customFormat="1">
      <c r="A1809" s="449"/>
      <c r="B1809" s="431"/>
      <c r="C1809" s="437"/>
      <c r="F1809" s="431"/>
      <c r="G1809" s="596"/>
      <c r="H1809" s="488"/>
      <c r="J1809" s="437"/>
    </row>
    <row r="1810" spans="1:10" s="428" customFormat="1">
      <c r="A1810" s="449"/>
      <c r="B1810" s="431"/>
      <c r="C1810" s="437"/>
      <c r="F1810" s="431"/>
      <c r="G1810" s="596"/>
      <c r="H1810" s="488"/>
      <c r="J1810" s="437"/>
    </row>
    <row r="1811" spans="1:10" s="428" customFormat="1">
      <c r="A1811" s="449"/>
      <c r="B1811" s="431"/>
      <c r="C1811" s="437"/>
      <c r="F1811" s="431"/>
      <c r="G1811" s="596"/>
      <c r="H1811" s="488"/>
      <c r="J1811" s="437"/>
    </row>
    <row r="1812" spans="1:10" s="428" customFormat="1">
      <c r="A1812" s="449"/>
      <c r="B1812" s="431"/>
      <c r="C1812" s="437"/>
      <c r="F1812" s="431"/>
      <c r="G1812" s="596"/>
      <c r="H1812" s="488"/>
      <c r="J1812" s="437"/>
    </row>
    <row r="1813" spans="1:10" s="428" customFormat="1">
      <c r="A1813" s="449"/>
      <c r="B1813" s="431"/>
      <c r="C1813" s="437"/>
      <c r="F1813" s="431"/>
      <c r="G1813" s="596"/>
      <c r="H1813" s="488"/>
      <c r="J1813" s="437"/>
    </row>
    <row r="1814" spans="1:10" s="428" customFormat="1">
      <c r="A1814" s="449"/>
      <c r="B1814" s="431"/>
      <c r="C1814" s="437"/>
      <c r="F1814" s="431"/>
      <c r="G1814" s="596"/>
      <c r="H1814" s="488"/>
      <c r="J1814" s="437"/>
    </row>
    <row r="1815" spans="1:10" s="428" customFormat="1">
      <c r="A1815" s="449"/>
      <c r="B1815" s="431"/>
      <c r="C1815" s="437"/>
      <c r="F1815" s="431"/>
      <c r="G1815" s="596"/>
      <c r="H1815" s="488"/>
      <c r="J1815" s="437"/>
    </row>
    <row r="1816" spans="1:10" s="428" customFormat="1">
      <c r="A1816" s="449"/>
      <c r="B1816" s="431"/>
      <c r="C1816" s="437"/>
      <c r="F1816" s="431"/>
      <c r="G1816" s="596"/>
      <c r="H1816" s="488"/>
      <c r="J1816" s="437"/>
    </row>
    <row r="1817" spans="1:10" s="428" customFormat="1">
      <c r="A1817" s="449"/>
      <c r="B1817" s="431"/>
      <c r="C1817" s="437"/>
      <c r="F1817" s="431"/>
      <c r="G1817" s="596"/>
      <c r="H1817" s="488"/>
      <c r="J1817" s="437"/>
    </row>
    <row r="1818" spans="1:10" s="428" customFormat="1">
      <c r="A1818" s="449"/>
      <c r="B1818" s="431"/>
      <c r="C1818" s="437"/>
      <c r="F1818" s="431"/>
      <c r="G1818" s="596"/>
      <c r="H1818" s="488"/>
      <c r="J1818" s="437"/>
    </row>
    <row r="1819" spans="1:10" s="428" customFormat="1">
      <c r="A1819" s="449"/>
      <c r="B1819" s="431"/>
      <c r="C1819" s="437"/>
      <c r="F1819" s="431"/>
      <c r="G1819" s="596"/>
      <c r="H1819" s="488"/>
      <c r="J1819" s="437"/>
    </row>
    <row r="1820" spans="1:10" s="428" customFormat="1">
      <c r="A1820" s="449"/>
      <c r="B1820" s="431"/>
      <c r="C1820" s="437"/>
      <c r="F1820" s="431"/>
      <c r="G1820" s="596"/>
      <c r="H1820" s="488"/>
      <c r="J1820" s="437"/>
    </row>
    <row r="1821" spans="1:10" s="428" customFormat="1">
      <c r="A1821" s="449"/>
      <c r="B1821" s="431"/>
      <c r="C1821" s="437"/>
      <c r="F1821" s="431"/>
      <c r="G1821" s="596"/>
      <c r="H1821" s="488"/>
      <c r="J1821" s="437"/>
    </row>
    <row r="1822" spans="1:10" s="428" customFormat="1">
      <c r="A1822" s="449"/>
      <c r="B1822" s="431"/>
      <c r="C1822" s="437"/>
      <c r="F1822" s="431"/>
      <c r="G1822" s="596"/>
      <c r="H1822" s="488"/>
      <c r="J1822" s="437"/>
    </row>
    <row r="1823" spans="1:10" s="428" customFormat="1">
      <c r="A1823" s="449"/>
      <c r="B1823" s="431"/>
      <c r="C1823" s="437"/>
      <c r="F1823" s="431"/>
      <c r="G1823" s="596"/>
      <c r="H1823" s="488"/>
      <c r="J1823" s="437"/>
    </row>
    <row r="1824" spans="1:10" s="428" customFormat="1">
      <c r="A1824" s="449"/>
      <c r="B1824" s="431"/>
      <c r="C1824" s="437"/>
      <c r="F1824" s="431"/>
      <c r="G1824" s="596"/>
      <c r="H1824" s="488"/>
      <c r="J1824" s="437"/>
    </row>
    <row r="1825" spans="1:10" s="428" customFormat="1">
      <c r="A1825" s="449"/>
      <c r="B1825" s="431"/>
      <c r="C1825" s="437"/>
      <c r="F1825" s="431"/>
      <c r="G1825" s="596"/>
      <c r="H1825" s="488"/>
      <c r="J1825" s="437"/>
    </row>
    <row r="1826" spans="1:10" s="428" customFormat="1">
      <c r="A1826" s="449"/>
      <c r="B1826" s="431"/>
      <c r="C1826" s="437"/>
      <c r="F1826" s="431"/>
      <c r="G1826" s="596"/>
      <c r="H1826" s="488"/>
      <c r="J1826" s="437"/>
    </row>
    <row r="1827" spans="1:10" s="428" customFormat="1">
      <c r="A1827" s="449"/>
      <c r="B1827" s="431"/>
      <c r="C1827" s="437"/>
      <c r="F1827" s="431"/>
      <c r="G1827" s="596"/>
      <c r="H1827" s="488"/>
      <c r="J1827" s="437"/>
    </row>
    <row r="1828" spans="1:10" s="428" customFormat="1">
      <c r="A1828" s="449"/>
      <c r="B1828" s="431"/>
      <c r="C1828" s="437"/>
      <c r="F1828" s="431"/>
      <c r="G1828" s="596"/>
      <c r="H1828" s="488"/>
      <c r="J1828" s="437"/>
    </row>
    <row r="1829" spans="1:10" s="428" customFormat="1">
      <c r="A1829" s="449"/>
      <c r="B1829" s="431"/>
      <c r="C1829" s="437"/>
      <c r="F1829" s="431"/>
      <c r="G1829" s="596"/>
      <c r="H1829" s="488"/>
      <c r="J1829" s="437"/>
    </row>
    <row r="1830" spans="1:10" s="428" customFormat="1">
      <c r="A1830" s="449"/>
      <c r="B1830" s="431"/>
      <c r="C1830" s="437"/>
      <c r="F1830" s="431"/>
      <c r="G1830" s="596"/>
      <c r="H1830" s="488"/>
      <c r="J1830" s="437"/>
    </row>
    <row r="1831" spans="1:10" s="428" customFormat="1">
      <c r="A1831" s="449"/>
      <c r="B1831" s="431"/>
      <c r="C1831" s="437"/>
      <c r="F1831" s="431"/>
      <c r="G1831" s="596"/>
      <c r="H1831" s="488"/>
      <c r="J1831" s="437"/>
    </row>
    <row r="1832" spans="1:10" s="428" customFormat="1">
      <c r="A1832" s="449"/>
      <c r="B1832" s="431"/>
      <c r="C1832" s="437"/>
      <c r="F1832" s="431"/>
      <c r="G1832" s="596"/>
      <c r="H1832" s="488"/>
      <c r="J1832" s="437"/>
    </row>
    <row r="1833" spans="1:10" s="428" customFormat="1">
      <c r="A1833" s="449"/>
      <c r="B1833" s="431"/>
      <c r="C1833" s="437"/>
      <c r="F1833" s="431"/>
      <c r="G1833" s="596"/>
      <c r="H1833" s="488"/>
      <c r="J1833" s="437"/>
    </row>
    <row r="1834" spans="1:10" s="428" customFormat="1">
      <c r="A1834" s="449"/>
      <c r="B1834" s="431"/>
      <c r="C1834" s="437"/>
      <c r="F1834" s="431"/>
      <c r="G1834" s="596"/>
      <c r="H1834" s="488"/>
      <c r="J1834" s="437"/>
    </row>
    <row r="1835" spans="1:10" s="428" customFormat="1">
      <c r="A1835" s="449"/>
      <c r="B1835" s="431"/>
      <c r="C1835" s="437"/>
      <c r="F1835" s="431"/>
      <c r="G1835" s="596"/>
      <c r="H1835" s="488"/>
      <c r="J1835" s="437"/>
    </row>
    <row r="1836" spans="1:10" s="428" customFormat="1">
      <c r="A1836" s="449"/>
      <c r="B1836" s="431"/>
      <c r="C1836" s="437"/>
      <c r="F1836" s="431"/>
      <c r="G1836" s="596"/>
      <c r="H1836" s="488"/>
      <c r="J1836" s="437"/>
    </row>
    <row r="1837" spans="1:10" s="428" customFormat="1">
      <c r="A1837" s="449"/>
      <c r="B1837" s="431"/>
      <c r="C1837" s="437"/>
      <c r="F1837" s="431"/>
      <c r="G1837" s="596"/>
      <c r="H1837" s="488"/>
      <c r="J1837" s="437"/>
    </row>
    <row r="1838" spans="1:10" s="428" customFormat="1">
      <c r="A1838" s="449"/>
      <c r="B1838" s="431"/>
      <c r="C1838" s="437"/>
      <c r="F1838" s="431"/>
      <c r="G1838" s="596"/>
      <c r="H1838" s="488"/>
      <c r="J1838" s="437"/>
    </row>
    <row r="1839" spans="1:10" s="428" customFormat="1">
      <c r="A1839" s="449"/>
      <c r="B1839" s="431"/>
      <c r="C1839" s="437"/>
      <c r="F1839" s="431"/>
      <c r="G1839" s="596"/>
      <c r="H1839" s="488"/>
      <c r="J1839" s="437"/>
    </row>
    <row r="1840" spans="1:10" s="428" customFormat="1">
      <c r="A1840" s="449"/>
      <c r="B1840" s="431"/>
      <c r="C1840" s="437"/>
      <c r="F1840" s="431"/>
      <c r="G1840" s="596"/>
      <c r="H1840" s="488"/>
      <c r="J1840" s="437"/>
    </row>
    <row r="1841" spans="1:10" s="428" customFormat="1">
      <c r="A1841" s="449"/>
      <c r="B1841" s="431"/>
      <c r="C1841" s="437"/>
      <c r="F1841" s="431"/>
      <c r="G1841" s="596"/>
      <c r="H1841" s="488"/>
      <c r="J1841" s="437"/>
    </row>
    <row r="1842" spans="1:10" s="428" customFormat="1">
      <c r="A1842" s="449"/>
      <c r="B1842" s="431"/>
      <c r="C1842" s="437"/>
      <c r="F1842" s="431"/>
      <c r="G1842" s="596"/>
      <c r="H1842" s="488"/>
      <c r="J1842" s="437"/>
    </row>
    <row r="1843" spans="1:10" s="428" customFormat="1">
      <c r="A1843" s="449"/>
      <c r="B1843" s="431"/>
      <c r="C1843" s="437"/>
      <c r="F1843" s="431"/>
      <c r="G1843" s="596"/>
      <c r="H1843" s="488"/>
      <c r="J1843" s="437"/>
    </row>
    <row r="1844" spans="1:10" s="428" customFormat="1">
      <c r="A1844" s="449"/>
      <c r="B1844" s="431"/>
      <c r="C1844" s="437"/>
      <c r="F1844" s="431"/>
      <c r="G1844" s="596"/>
      <c r="H1844" s="488"/>
      <c r="J1844" s="437"/>
    </row>
    <row r="1845" spans="1:10" s="428" customFormat="1">
      <c r="A1845" s="449"/>
      <c r="B1845" s="431"/>
      <c r="C1845" s="437"/>
      <c r="F1845" s="431"/>
      <c r="G1845" s="596"/>
      <c r="H1845" s="488"/>
      <c r="J1845" s="437"/>
    </row>
    <row r="1846" spans="1:10" s="428" customFormat="1">
      <c r="A1846" s="449"/>
      <c r="B1846" s="431"/>
      <c r="C1846" s="437"/>
      <c r="F1846" s="431"/>
      <c r="G1846" s="596"/>
      <c r="H1846" s="488"/>
      <c r="J1846" s="437"/>
    </row>
    <row r="1847" spans="1:10" s="428" customFormat="1">
      <c r="A1847" s="449"/>
      <c r="B1847" s="431"/>
      <c r="C1847" s="437"/>
      <c r="F1847" s="431"/>
      <c r="G1847" s="596"/>
      <c r="H1847" s="488"/>
      <c r="J1847" s="437"/>
    </row>
    <row r="1848" spans="1:10" s="428" customFormat="1">
      <c r="A1848" s="449"/>
      <c r="B1848" s="431"/>
      <c r="C1848" s="437"/>
      <c r="F1848" s="431"/>
      <c r="G1848" s="596"/>
      <c r="H1848" s="488"/>
      <c r="J1848" s="437"/>
    </row>
    <row r="1849" spans="1:10" s="428" customFormat="1">
      <c r="A1849" s="449"/>
      <c r="B1849" s="431"/>
      <c r="C1849" s="437"/>
      <c r="F1849" s="431"/>
      <c r="G1849" s="596"/>
      <c r="H1849" s="488"/>
      <c r="J1849" s="437"/>
    </row>
    <row r="1850" spans="1:10" s="428" customFormat="1">
      <c r="A1850" s="449"/>
      <c r="B1850" s="431"/>
      <c r="C1850" s="437"/>
      <c r="F1850" s="431"/>
      <c r="G1850" s="596"/>
      <c r="H1850" s="488"/>
      <c r="J1850" s="437"/>
    </row>
    <row r="1851" spans="1:10" s="428" customFormat="1">
      <c r="A1851" s="449"/>
      <c r="B1851" s="431"/>
      <c r="C1851" s="437"/>
      <c r="F1851" s="431"/>
      <c r="G1851" s="596"/>
      <c r="H1851" s="488"/>
      <c r="J1851" s="437"/>
    </row>
    <row r="1852" spans="1:10" s="428" customFormat="1">
      <c r="A1852" s="449"/>
      <c r="B1852" s="431"/>
      <c r="C1852" s="437"/>
      <c r="F1852" s="431"/>
      <c r="G1852" s="596"/>
      <c r="H1852" s="488"/>
      <c r="J1852" s="437"/>
    </row>
    <row r="1853" spans="1:10" s="428" customFormat="1">
      <c r="A1853" s="449"/>
      <c r="B1853" s="431"/>
      <c r="C1853" s="437"/>
      <c r="F1853" s="431"/>
      <c r="G1853" s="596"/>
      <c r="H1853" s="488"/>
      <c r="J1853" s="437"/>
    </row>
    <row r="1854" spans="1:10" s="428" customFormat="1">
      <c r="A1854" s="449"/>
      <c r="B1854" s="431"/>
      <c r="C1854" s="437"/>
      <c r="F1854" s="431"/>
      <c r="G1854" s="596"/>
      <c r="H1854" s="488"/>
      <c r="J1854" s="437"/>
    </row>
    <row r="1855" spans="1:10" s="428" customFormat="1">
      <c r="A1855" s="449"/>
      <c r="B1855" s="431"/>
      <c r="C1855" s="437"/>
      <c r="F1855" s="431"/>
      <c r="G1855" s="596"/>
      <c r="H1855" s="488"/>
      <c r="J1855" s="437"/>
    </row>
    <row r="1856" spans="1:10" s="428" customFormat="1">
      <c r="A1856" s="449"/>
      <c r="B1856" s="431"/>
      <c r="C1856" s="437"/>
      <c r="F1856" s="431"/>
      <c r="G1856" s="596"/>
      <c r="H1856" s="488"/>
      <c r="J1856" s="437"/>
    </row>
    <row r="1857" spans="1:10" s="428" customFormat="1">
      <c r="A1857" s="449"/>
      <c r="B1857" s="431"/>
      <c r="C1857" s="437"/>
      <c r="F1857" s="431"/>
      <c r="G1857" s="596"/>
      <c r="H1857" s="488"/>
      <c r="J1857" s="437"/>
    </row>
    <row r="1858" spans="1:10" s="428" customFormat="1">
      <c r="A1858" s="449"/>
      <c r="B1858" s="431"/>
      <c r="C1858" s="437"/>
      <c r="F1858" s="431"/>
      <c r="G1858" s="596"/>
      <c r="H1858" s="488"/>
      <c r="J1858" s="437"/>
    </row>
    <row r="1859" spans="1:10" s="428" customFormat="1">
      <c r="A1859" s="449"/>
      <c r="B1859" s="431"/>
      <c r="C1859" s="437"/>
      <c r="F1859" s="431"/>
      <c r="G1859" s="596"/>
      <c r="H1859" s="488"/>
      <c r="J1859" s="437"/>
    </row>
    <row r="1860" spans="1:10" s="428" customFormat="1">
      <c r="A1860" s="449"/>
      <c r="B1860" s="431"/>
      <c r="C1860" s="437"/>
      <c r="F1860" s="431"/>
      <c r="G1860" s="596"/>
      <c r="H1860" s="488"/>
      <c r="J1860" s="437"/>
    </row>
    <row r="1861" spans="1:10" s="428" customFormat="1">
      <c r="A1861" s="449"/>
      <c r="B1861" s="431"/>
      <c r="C1861" s="437"/>
      <c r="F1861" s="431"/>
      <c r="G1861" s="596"/>
      <c r="H1861" s="488"/>
      <c r="J1861" s="437"/>
    </row>
    <row r="1862" spans="1:10" s="428" customFormat="1">
      <c r="A1862" s="449"/>
      <c r="B1862" s="431"/>
      <c r="C1862" s="437"/>
      <c r="F1862" s="431"/>
      <c r="G1862" s="596"/>
      <c r="H1862" s="488"/>
      <c r="J1862" s="437"/>
    </row>
    <row r="1863" spans="1:10" s="428" customFormat="1">
      <c r="A1863" s="449"/>
      <c r="B1863" s="431"/>
      <c r="C1863" s="437"/>
      <c r="F1863" s="431"/>
      <c r="G1863" s="596"/>
      <c r="H1863" s="488"/>
      <c r="J1863" s="437"/>
    </row>
    <row r="1864" spans="1:10" s="428" customFormat="1">
      <c r="A1864" s="449"/>
      <c r="B1864" s="431"/>
      <c r="C1864" s="437"/>
      <c r="F1864" s="431"/>
      <c r="G1864" s="596"/>
      <c r="H1864" s="488"/>
      <c r="J1864" s="437"/>
    </row>
    <row r="1865" spans="1:10" s="428" customFormat="1">
      <c r="A1865" s="449"/>
      <c r="B1865" s="431"/>
      <c r="C1865" s="437"/>
      <c r="F1865" s="431"/>
      <c r="G1865" s="596"/>
      <c r="H1865" s="488"/>
      <c r="J1865" s="437"/>
    </row>
    <row r="1866" spans="1:10" s="428" customFormat="1">
      <c r="A1866" s="449"/>
      <c r="B1866" s="431"/>
      <c r="C1866" s="437"/>
      <c r="F1866" s="431"/>
      <c r="G1866" s="596"/>
      <c r="H1866" s="488"/>
      <c r="J1866" s="437"/>
    </row>
    <row r="1867" spans="1:10" s="428" customFormat="1">
      <c r="A1867" s="449"/>
      <c r="B1867" s="431"/>
      <c r="C1867" s="437"/>
      <c r="F1867" s="431"/>
      <c r="G1867" s="596"/>
      <c r="H1867" s="488"/>
      <c r="J1867" s="437"/>
    </row>
    <row r="1868" spans="1:10" s="428" customFormat="1">
      <c r="A1868" s="449"/>
      <c r="B1868" s="431"/>
      <c r="C1868" s="437"/>
      <c r="F1868" s="431"/>
      <c r="G1868" s="596"/>
      <c r="H1868" s="488"/>
      <c r="J1868" s="437"/>
    </row>
    <row r="1869" spans="1:10" s="428" customFormat="1">
      <c r="A1869" s="449"/>
      <c r="B1869" s="431"/>
      <c r="C1869" s="437"/>
      <c r="F1869" s="431"/>
      <c r="G1869" s="596"/>
      <c r="H1869" s="488"/>
      <c r="J1869" s="437"/>
    </row>
    <row r="1870" spans="1:10" s="428" customFormat="1">
      <c r="A1870" s="449"/>
      <c r="B1870" s="431"/>
      <c r="C1870" s="437"/>
      <c r="F1870" s="431"/>
      <c r="G1870" s="596"/>
      <c r="H1870" s="488"/>
      <c r="J1870" s="437"/>
    </row>
    <row r="1871" spans="1:10" s="428" customFormat="1">
      <c r="A1871" s="449"/>
      <c r="B1871" s="431"/>
      <c r="C1871" s="437"/>
      <c r="F1871" s="431"/>
      <c r="G1871" s="596"/>
      <c r="H1871" s="488"/>
      <c r="J1871" s="437"/>
    </row>
    <row r="1872" spans="1:10" s="428" customFormat="1">
      <c r="A1872" s="449"/>
      <c r="B1872" s="431"/>
      <c r="C1872" s="437"/>
      <c r="F1872" s="431"/>
      <c r="G1872" s="596"/>
      <c r="H1872" s="488"/>
      <c r="J1872" s="437"/>
    </row>
    <row r="1873" spans="1:10" s="428" customFormat="1">
      <c r="A1873" s="449"/>
      <c r="B1873" s="431"/>
      <c r="C1873" s="437"/>
      <c r="F1873" s="431"/>
      <c r="G1873" s="596"/>
      <c r="H1873" s="488"/>
      <c r="J1873" s="437"/>
    </row>
    <row r="1874" spans="1:10" s="428" customFormat="1">
      <c r="A1874" s="449"/>
      <c r="B1874" s="431"/>
      <c r="C1874" s="437"/>
      <c r="F1874" s="431"/>
      <c r="G1874" s="596"/>
      <c r="H1874" s="488"/>
      <c r="J1874" s="437"/>
    </row>
    <row r="1875" spans="1:10" s="428" customFormat="1">
      <c r="A1875" s="449"/>
      <c r="B1875" s="431"/>
      <c r="C1875" s="437"/>
      <c r="F1875" s="431"/>
      <c r="G1875" s="596"/>
      <c r="H1875" s="488"/>
      <c r="J1875" s="437"/>
    </row>
    <row r="1876" spans="1:10" s="428" customFormat="1">
      <c r="A1876" s="449"/>
      <c r="B1876" s="431"/>
      <c r="C1876" s="437"/>
      <c r="F1876" s="431"/>
      <c r="G1876" s="596"/>
      <c r="H1876" s="488"/>
      <c r="J1876" s="437"/>
    </row>
    <row r="1877" spans="1:10" s="428" customFormat="1">
      <c r="A1877" s="449"/>
      <c r="B1877" s="431"/>
      <c r="C1877" s="437"/>
      <c r="F1877" s="431"/>
      <c r="G1877" s="596"/>
      <c r="H1877" s="488"/>
      <c r="J1877" s="437"/>
    </row>
    <row r="1878" spans="1:10" s="428" customFormat="1">
      <c r="A1878" s="449"/>
      <c r="B1878" s="431"/>
      <c r="C1878" s="437"/>
      <c r="F1878" s="431"/>
      <c r="G1878" s="596"/>
      <c r="H1878" s="488"/>
      <c r="J1878" s="437"/>
    </row>
    <row r="1879" spans="1:10" s="428" customFormat="1">
      <c r="A1879" s="449"/>
      <c r="B1879" s="431"/>
      <c r="C1879" s="437"/>
      <c r="F1879" s="431"/>
      <c r="G1879" s="596"/>
      <c r="H1879" s="488"/>
      <c r="J1879" s="437"/>
    </row>
    <row r="1880" spans="1:10" s="428" customFormat="1">
      <c r="A1880" s="449"/>
      <c r="B1880" s="431"/>
      <c r="C1880" s="437"/>
      <c r="F1880" s="431"/>
      <c r="G1880" s="596"/>
      <c r="H1880" s="488"/>
      <c r="J1880" s="437"/>
    </row>
    <row r="1881" spans="1:10" s="428" customFormat="1">
      <c r="A1881" s="449"/>
      <c r="B1881" s="431"/>
      <c r="C1881" s="437"/>
      <c r="F1881" s="431"/>
      <c r="G1881" s="596"/>
      <c r="H1881" s="488"/>
      <c r="J1881" s="437"/>
    </row>
    <row r="1882" spans="1:10" s="428" customFormat="1">
      <c r="A1882" s="449"/>
      <c r="B1882" s="431"/>
      <c r="C1882" s="437"/>
      <c r="F1882" s="431"/>
      <c r="G1882" s="596"/>
      <c r="H1882" s="488"/>
      <c r="J1882" s="437"/>
    </row>
    <row r="1883" spans="1:10" s="428" customFormat="1">
      <c r="A1883" s="449"/>
      <c r="B1883" s="431"/>
      <c r="C1883" s="437"/>
      <c r="F1883" s="431"/>
      <c r="G1883" s="596"/>
      <c r="H1883" s="488"/>
      <c r="J1883" s="437"/>
    </row>
    <row r="1884" spans="1:10" s="428" customFormat="1">
      <c r="A1884" s="449"/>
      <c r="B1884" s="431"/>
      <c r="C1884" s="437"/>
      <c r="F1884" s="431"/>
      <c r="G1884" s="596"/>
      <c r="H1884" s="488"/>
      <c r="J1884" s="437"/>
    </row>
    <row r="1885" spans="1:10" s="428" customFormat="1">
      <c r="A1885" s="449"/>
      <c r="B1885" s="431"/>
      <c r="C1885" s="437"/>
      <c r="F1885" s="431"/>
      <c r="G1885" s="596"/>
      <c r="H1885" s="488"/>
      <c r="J1885" s="437"/>
    </row>
    <row r="1886" spans="1:10" s="428" customFormat="1">
      <c r="A1886" s="449"/>
      <c r="B1886" s="431"/>
      <c r="C1886" s="437"/>
      <c r="F1886" s="431"/>
      <c r="G1886" s="596"/>
      <c r="H1886" s="488"/>
      <c r="J1886" s="437"/>
    </row>
    <row r="1887" spans="1:10" s="428" customFormat="1">
      <c r="A1887" s="449"/>
      <c r="B1887" s="431"/>
      <c r="C1887" s="437"/>
      <c r="F1887" s="431"/>
      <c r="G1887" s="596"/>
      <c r="H1887" s="488"/>
      <c r="J1887" s="437"/>
    </row>
    <row r="1888" spans="1:10" s="428" customFormat="1">
      <c r="A1888" s="449"/>
      <c r="B1888" s="431"/>
      <c r="C1888" s="437"/>
      <c r="F1888" s="431"/>
      <c r="G1888" s="596"/>
      <c r="H1888" s="488"/>
      <c r="J1888" s="437"/>
    </row>
    <row r="1889" spans="1:10" s="428" customFormat="1">
      <c r="A1889" s="449"/>
      <c r="B1889" s="431"/>
      <c r="C1889" s="437"/>
      <c r="F1889" s="431"/>
      <c r="G1889" s="596"/>
      <c r="H1889" s="488"/>
      <c r="J1889" s="437"/>
    </row>
    <row r="1890" spans="1:10" s="428" customFormat="1">
      <c r="A1890" s="449"/>
      <c r="B1890" s="431"/>
      <c r="C1890" s="437"/>
      <c r="F1890" s="431"/>
      <c r="G1890" s="596"/>
      <c r="H1890" s="488"/>
      <c r="J1890" s="437"/>
    </row>
    <row r="1891" spans="1:10" s="428" customFormat="1">
      <c r="A1891" s="449"/>
      <c r="B1891" s="431"/>
      <c r="C1891" s="437"/>
      <c r="F1891" s="431"/>
      <c r="G1891" s="596"/>
      <c r="H1891" s="488"/>
      <c r="J1891" s="437"/>
    </row>
    <row r="1892" spans="1:10" s="428" customFormat="1">
      <c r="A1892" s="449"/>
      <c r="B1892" s="431"/>
      <c r="C1892" s="437"/>
      <c r="F1892" s="431"/>
      <c r="G1892" s="596"/>
      <c r="H1892" s="488"/>
      <c r="J1892" s="437"/>
    </row>
    <row r="1893" spans="1:10" s="428" customFormat="1">
      <c r="A1893" s="449"/>
      <c r="B1893" s="431"/>
      <c r="C1893" s="437"/>
      <c r="F1893" s="431"/>
      <c r="G1893" s="596"/>
      <c r="H1893" s="488"/>
      <c r="J1893" s="437"/>
    </row>
    <row r="1894" spans="1:10" s="428" customFormat="1">
      <c r="A1894" s="449"/>
      <c r="B1894" s="431"/>
      <c r="C1894" s="437"/>
      <c r="F1894" s="431"/>
      <c r="G1894" s="596"/>
      <c r="H1894" s="488"/>
      <c r="J1894" s="437"/>
    </row>
    <row r="1895" spans="1:10" s="428" customFormat="1">
      <c r="A1895" s="449"/>
      <c r="B1895" s="431"/>
      <c r="C1895" s="437"/>
      <c r="F1895" s="431"/>
      <c r="G1895" s="596"/>
      <c r="H1895" s="488"/>
      <c r="J1895" s="437"/>
    </row>
    <row r="1896" spans="1:10" s="428" customFormat="1">
      <c r="A1896" s="449"/>
      <c r="B1896" s="431"/>
      <c r="C1896" s="437"/>
      <c r="F1896" s="431"/>
      <c r="G1896" s="596"/>
      <c r="H1896" s="488"/>
      <c r="J1896" s="437"/>
    </row>
    <row r="1897" spans="1:10" s="428" customFormat="1">
      <c r="A1897" s="449"/>
      <c r="B1897" s="431"/>
      <c r="C1897" s="437"/>
      <c r="F1897" s="431"/>
      <c r="G1897" s="596"/>
      <c r="H1897" s="488"/>
      <c r="J1897" s="437"/>
    </row>
    <row r="1898" spans="1:10" s="428" customFormat="1">
      <c r="A1898" s="449"/>
      <c r="B1898" s="431"/>
      <c r="C1898" s="437"/>
      <c r="F1898" s="431"/>
      <c r="G1898" s="596"/>
      <c r="H1898" s="488"/>
      <c r="J1898" s="437"/>
    </row>
    <row r="1899" spans="1:10" s="428" customFormat="1">
      <c r="A1899" s="449"/>
      <c r="B1899" s="431"/>
      <c r="C1899" s="437"/>
      <c r="F1899" s="431"/>
      <c r="G1899" s="596"/>
      <c r="H1899" s="488"/>
      <c r="J1899" s="437"/>
    </row>
    <row r="1900" spans="1:10" s="428" customFormat="1">
      <c r="A1900" s="449"/>
      <c r="B1900" s="431"/>
      <c r="C1900" s="437"/>
      <c r="F1900" s="431"/>
      <c r="G1900" s="596"/>
      <c r="H1900" s="488"/>
      <c r="J1900" s="437"/>
    </row>
    <row r="1901" spans="1:10" s="428" customFormat="1">
      <c r="A1901" s="449"/>
      <c r="B1901" s="431"/>
      <c r="C1901" s="437"/>
      <c r="F1901" s="431"/>
      <c r="G1901" s="596"/>
      <c r="H1901" s="488"/>
      <c r="J1901" s="437"/>
    </row>
    <row r="1902" spans="1:10" s="428" customFormat="1">
      <c r="A1902" s="449"/>
      <c r="B1902" s="431"/>
      <c r="C1902" s="437"/>
      <c r="F1902" s="431"/>
      <c r="G1902" s="596"/>
      <c r="H1902" s="488"/>
      <c r="J1902" s="437"/>
    </row>
    <row r="1903" spans="1:10" s="428" customFormat="1">
      <c r="A1903" s="449"/>
      <c r="B1903" s="431"/>
      <c r="C1903" s="437"/>
      <c r="F1903" s="431"/>
      <c r="G1903" s="596"/>
      <c r="H1903" s="488"/>
      <c r="J1903" s="437"/>
    </row>
    <row r="1904" spans="1:10" s="428" customFormat="1">
      <c r="A1904" s="449"/>
      <c r="B1904" s="431"/>
      <c r="C1904" s="437"/>
      <c r="F1904" s="431"/>
      <c r="G1904" s="596"/>
      <c r="H1904" s="488"/>
      <c r="J1904" s="437"/>
    </row>
    <row r="1905" spans="1:10" s="428" customFormat="1">
      <c r="A1905" s="449"/>
      <c r="B1905" s="431"/>
      <c r="C1905" s="437"/>
      <c r="F1905" s="431"/>
      <c r="G1905" s="596"/>
      <c r="H1905" s="488"/>
      <c r="J1905" s="437"/>
    </row>
    <row r="1906" spans="1:10" s="428" customFormat="1">
      <c r="A1906" s="449"/>
      <c r="B1906" s="431"/>
      <c r="C1906" s="437"/>
      <c r="F1906" s="431"/>
      <c r="G1906" s="596"/>
      <c r="H1906" s="488"/>
      <c r="J1906" s="437"/>
    </row>
    <row r="1907" spans="1:10" s="428" customFormat="1">
      <c r="A1907" s="449"/>
      <c r="B1907" s="431"/>
      <c r="C1907" s="437"/>
      <c r="F1907" s="431"/>
      <c r="G1907" s="596"/>
      <c r="H1907" s="488"/>
      <c r="J1907" s="437"/>
    </row>
    <row r="1908" spans="1:10" s="428" customFormat="1">
      <c r="A1908" s="449"/>
      <c r="B1908" s="431"/>
      <c r="C1908" s="437"/>
      <c r="F1908" s="431"/>
      <c r="G1908" s="596"/>
      <c r="H1908" s="488"/>
      <c r="J1908" s="437"/>
    </row>
    <row r="1909" spans="1:10" s="428" customFormat="1">
      <c r="A1909" s="449"/>
      <c r="B1909" s="431"/>
      <c r="C1909" s="437"/>
      <c r="F1909" s="431"/>
      <c r="G1909" s="596"/>
      <c r="H1909" s="488"/>
      <c r="J1909" s="437"/>
    </row>
    <row r="1910" spans="1:10" s="428" customFormat="1">
      <c r="A1910" s="449"/>
      <c r="B1910" s="431"/>
      <c r="C1910" s="437"/>
      <c r="F1910" s="431"/>
      <c r="G1910" s="596"/>
      <c r="H1910" s="488"/>
      <c r="J1910" s="437"/>
    </row>
    <row r="1911" spans="1:10" s="428" customFormat="1">
      <c r="A1911" s="449"/>
      <c r="B1911" s="431"/>
      <c r="C1911" s="437"/>
      <c r="F1911" s="431"/>
      <c r="G1911" s="596"/>
      <c r="H1911" s="488"/>
      <c r="J1911" s="437"/>
    </row>
    <row r="1912" spans="1:10" s="428" customFormat="1">
      <c r="A1912" s="449"/>
      <c r="B1912" s="431"/>
      <c r="C1912" s="437"/>
      <c r="F1912" s="431"/>
      <c r="G1912" s="596"/>
      <c r="H1912" s="488"/>
      <c r="J1912" s="437"/>
    </row>
    <row r="1913" spans="1:10" s="428" customFormat="1">
      <c r="A1913" s="449"/>
      <c r="B1913" s="431"/>
      <c r="C1913" s="437"/>
      <c r="F1913" s="431"/>
      <c r="G1913" s="596"/>
      <c r="H1913" s="488"/>
      <c r="J1913" s="437"/>
    </row>
    <row r="1914" spans="1:10" s="428" customFormat="1">
      <c r="A1914" s="449"/>
      <c r="B1914" s="431"/>
      <c r="C1914" s="437"/>
      <c r="F1914" s="431"/>
      <c r="G1914" s="596"/>
      <c r="H1914" s="488"/>
      <c r="J1914" s="437"/>
    </row>
    <row r="1915" spans="1:10" s="428" customFormat="1">
      <c r="A1915" s="449"/>
      <c r="B1915" s="431"/>
      <c r="C1915" s="437"/>
      <c r="F1915" s="431"/>
      <c r="G1915" s="596"/>
      <c r="H1915" s="488"/>
      <c r="J1915" s="437"/>
    </row>
    <row r="1916" spans="1:10" s="428" customFormat="1">
      <c r="A1916" s="449"/>
      <c r="B1916" s="431"/>
      <c r="C1916" s="437"/>
      <c r="F1916" s="431"/>
      <c r="G1916" s="596"/>
      <c r="H1916" s="488"/>
      <c r="J1916" s="437"/>
    </row>
    <row r="1917" spans="1:10" s="428" customFormat="1">
      <c r="A1917" s="449"/>
      <c r="B1917" s="431"/>
      <c r="C1917" s="437"/>
      <c r="F1917" s="431"/>
      <c r="G1917" s="596"/>
      <c r="H1917" s="488"/>
      <c r="J1917" s="437"/>
    </row>
    <row r="1918" spans="1:10" s="428" customFormat="1">
      <c r="A1918" s="449"/>
      <c r="B1918" s="431"/>
      <c r="C1918" s="437"/>
      <c r="F1918" s="431"/>
      <c r="G1918" s="596"/>
      <c r="H1918" s="488"/>
      <c r="J1918" s="437"/>
    </row>
    <row r="1919" spans="1:10" s="428" customFormat="1">
      <c r="A1919" s="449"/>
      <c r="B1919" s="431"/>
      <c r="C1919" s="437"/>
      <c r="F1919" s="431"/>
      <c r="G1919" s="596"/>
      <c r="H1919" s="488"/>
      <c r="J1919" s="437"/>
    </row>
    <row r="1920" spans="1:10" s="428" customFormat="1">
      <c r="A1920" s="449"/>
      <c r="B1920" s="431"/>
      <c r="C1920" s="437"/>
      <c r="F1920" s="431"/>
      <c r="G1920" s="596"/>
      <c r="H1920" s="488"/>
      <c r="J1920" s="437"/>
    </row>
    <row r="1921" spans="1:10" s="428" customFormat="1">
      <c r="A1921" s="449"/>
      <c r="B1921" s="431"/>
      <c r="C1921" s="437"/>
      <c r="F1921" s="431"/>
      <c r="G1921" s="596"/>
      <c r="H1921" s="488"/>
      <c r="J1921" s="437"/>
    </row>
    <row r="1922" spans="1:10" s="428" customFormat="1">
      <c r="A1922" s="449"/>
      <c r="B1922" s="431"/>
      <c r="C1922" s="437"/>
      <c r="F1922" s="431"/>
      <c r="G1922" s="596"/>
      <c r="H1922" s="488"/>
      <c r="J1922" s="437"/>
    </row>
    <row r="1923" spans="1:10" s="428" customFormat="1">
      <c r="A1923" s="449"/>
      <c r="B1923" s="431"/>
      <c r="C1923" s="437"/>
      <c r="F1923" s="431"/>
      <c r="G1923" s="596"/>
      <c r="H1923" s="488"/>
      <c r="J1923" s="437"/>
    </row>
    <row r="1924" spans="1:10" s="428" customFormat="1">
      <c r="A1924" s="449"/>
      <c r="B1924" s="431"/>
      <c r="C1924" s="437"/>
      <c r="F1924" s="431"/>
      <c r="G1924" s="596"/>
      <c r="H1924" s="488"/>
      <c r="J1924" s="437"/>
    </row>
    <row r="1925" spans="1:10" s="428" customFormat="1">
      <c r="A1925" s="449"/>
      <c r="B1925" s="431"/>
      <c r="C1925" s="437"/>
      <c r="F1925" s="431"/>
      <c r="G1925" s="596"/>
      <c r="H1925" s="488"/>
      <c r="J1925" s="437"/>
    </row>
    <row r="1926" spans="1:10" s="428" customFormat="1">
      <c r="A1926" s="449"/>
      <c r="B1926" s="431"/>
      <c r="C1926" s="437"/>
      <c r="F1926" s="431"/>
      <c r="G1926" s="596"/>
      <c r="H1926" s="488"/>
      <c r="J1926" s="437"/>
    </row>
    <row r="1927" spans="1:10" s="428" customFormat="1">
      <c r="A1927" s="449"/>
      <c r="B1927" s="431"/>
      <c r="C1927" s="437"/>
      <c r="F1927" s="431"/>
      <c r="G1927" s="596"/>
      <c r="H1927" s="488"/>
      <c r="J1927" s="437"/>
    </row>
    <row r="1928" spans="1:10" s="428" customFormat="1">
      <c r="A1928" s="449"/>
      <c r="B1928" s="431"/>
      <c r="C1928" s="437"/>
      <c r="F1928" s="431"/>
      <c r="G1928" s="596"/>
      <c r="H1928" s="488"/>
      <c r="J1928" s="437"/>
    </row>
    <row r="1929" spans="1:10" s="428" customFormat="1">
      <c r="A1929" s="449"/>
      <c r="B1929" s="431"/>
      <c r="C1929" s="437"/>
      <c r="F1929" s="431"/>
      <c r="G1929" s="596"/>
      <c r="H1929" s="488"/>
      <c r="J1929" s="437"/>
    </row>
    <row r="1930" spans="1:10" s="428" customFormat="1">
      <c r="A1930" s="449"/>
      <c r="B1930" s="431"/>
      <c r="C1930" s="437"/>
      <c r="F1930" s="431"/>
      <c r="G1930" s="596"/>
      <c r="H1930" s="488"/>
      <c r="J1930" s="437"/>
    </row>
    <row r="1931" spans="1:10" s="428" customFormat="1">
      <c r="A1931" s="449"/>
      <c r="B1931" s="431"/>
      <c r="C1931" s="437"/>
      <c r="F1931" s="431"/>
      <c r="G1931" s="596"/>
      <c r="H1931" s="488"/>
      <c r="J1931" s="437"/>
    </row>
    <row r="1932" spans="1:10" s="428" customFormat="1">
      <c r="A1932" s="449"/>
      <c r="B1932" s="431"/>
      <c r="C1932" s="437"/>
      <c r="F1932" s="431"/>
      <c r="G1932" s="596"/>
      <c r="H1932" s="488"/>
      <c r="J1932" s="437"/>
    </row>
    <row r="1933" spans="1:10" s="428" customFormat="1">
      <c r="A1933" s="449"/>
      <c r="B1933" s="431"/>
      <c r="C1933" s="437"/>
      <c r="F1933" s="431"/>
      <c r="G1933" s="596"/>
      <c r="H1933" s="488"/>
      <c r="J1933" s="437"/>
    </row>
    <row r="1934" spans="1:10" s="428" customFormat="1">
      <c r="A1934" s="449"/>
      <c r="B1934" s="431"/>
      <c r="C1934" s="437"/>
      <c r="F1934" s="431"/>
      <c r="G1934" s="596"/>
      <c r="H1934" s="488"/>
      <c r="J1934" s="437"/>
    </row>
    <row r="1935" spans="1:10" s="428" customFormat="1">
      <c r="A1935" s="449"/>
      <c r="B1935" s="431"/>
      <c r="C1935" s="437"/>
      <c r="F1935" s="431"/>
      <c r="G1935" s="596"/>
      <c r="H1935" s="488"/>
      <c r="J1935" s="437"/>
    </row>
    <row r="1936" spans="1:10" s="428" customFormat="1">
      <c r="A1936" s="449"/>
      <c r="B1936" s="431"/>
      <c r="C1936" s="437"/>
      <c r="F1936" s="431"/>
      <c r="G1936" s="596"/>
      <c r="H1936" s="488"/>
      <c r="J1936" s="437"/>
    </row>
    <row r="1937" spans="1:10" s="428" customFormat="1">
      <c r="A1937" s="449"/>
      <c r="B1937" s="431"/>
      <c r="C1937" s="437"/>
      <c r="F1937" s="431"/>
      <c r="G1937" s="596"/>
      <c r="H1937" s="488"/>
      <c r="J1937" s="437"/>
    </row>
    <row r="1938" spans="1:10" s="428" customFormat="1">
      <c r="A1938" s="449"/>
      <c r="B1938" s="431"/>
      <c r="C1938" s="437"/>
      <c r="F1938" s="431"/>
      <c r="G1938" s="596"/>
      <c r="H1938" s="488"/>
      <c r="J1938" s="437"/>
    </row>
    <row r="1939" spans="1:10" s="428" customFormat="1">
      <c r="A1939" s="449"/>
      <c r="B1939" s="431"/>
      <c r="C1939" s="437"/>
      <c r="F1939" s="431"/>
      <c r="G1939" s="596"/>
      <c r="H1939" s="488"/>
      <c r="J1939" s="437"/>
    </row>
    <row r="1940" spans="1:10" s="428" customFormat="1">
      <c r="A1940" s="449"/>
      <c r="B1940" s="431"/>
      <c r="C1940" s="437"/>
      <c r="F1940" s="431"/>
      <c r="G1940" s="596"/>
      <c r="H1940" s="488"/>
      <c r="J1940" s="437"/>
    </row>
    <row r="1941" spans="1:10" s="428" customFormat="1">
      <c r="A1941" s="449"/>
      <c r="B1941" s="431"/>
      <c r="C1941" s="437"/>
      <c r="F1941" s="431"/>
      <c r="G1941" s="596"/>
      <c r="H1941" s="488"/>
      <c r="J1941" s="437"/>
    </row>
    <row r="1942" spans="1:10" s="428" customFormat="1">
      <c r="A1942" s="449"/>
      <c r="B1942" s="431"/>
      <c r="C1942" s="437"/>
      <c r="F1942" s="431"/>
      <c r="G1942" s="596"/>
      <c r="H1942" s="488"/>
      <c r="J1942" s="437"/>
    </row>
    <row r="1943" spans="1:10" s="428" customFormat="1">
      <c r="A1943" s="449"/>
      <c r="B1943" s="431"/>
      <c r="C1943" s="437"/>
      <c r="F1943" s="431"/>
      <c r="G1943" s="596"/>
      <c r="H1943" s="488"/>
      <c r="J1943" s="437"/>
    </row>
    <row r="1944" spans="1:10" s="428" customFormat="1">
      <c r="A1944" s="449"/>
      <c r="B1944" s="431"/>
      <c r="C1944" s="437"/>
      <c r="F1944" s="431"/>
      <c r="G1944" s="596"/>
      <c r="H1944" s="488"/>
      <c r="J1944" s="437"/>
    </row>
    <row r="1945" spans="1:10" s="428" customFormat="1">
      <c r="A1945" s="449"/>
      <c r="B1945" s="431"/>
      <c r="C1945" s="437"/>
      <c r="F1945" s="431"/>
      <c r="G1945" s="596"/>
      <c r="H1945" s="488"/>
      <c r="J1945" s="437"/>
    </row>
    <row r="1946" spans="1:10" s="428" customFormat="1">
      <c r="A1946" s="449"/>
      <c r="B1946" s="431"/>
      <c r="C1946" s="437"/>
      <c r="F1946" s="431"/>
      <c r="G1946" s="596"/>
      <c r="H1946" s="488"/>
      <c r="J1946" s="437"/>
    </row>
    <row r="1947" spans="1:10" s="428" customFormat="1">
      <c r="A1947" s="449"/>
      <c r="B1947" s="431"/>
      <c r="C1947" s="437"/>
      <c r="F1947" s="431"/>
      <c r="G1947" s="596"/>
      <c r="H1947" s="488"/>
      <c r="J1947" s="437"/>
    </row>
    <row r="1948" spans="1:10" s="428" customFormat="1">
      <c r="A1948" s="449"/>
      <c r="B1948" s="431"/>
      <c r="C1948" s="437"/>
      <c r="F1948" s="431"/>
      <c r="G1948" s="596"/>
      <c r="H1948" s="488"/>
      <c r="J1948" s="437"/>
    </row>
    <row r="1949" spans="1:10" s="428" customFormat="1">
      <c r="A1949" s="449"/>
      <c r="B1949" s="431"/>
      <c r="C1949" s="437"/>
      <c r="F1949" s="431"/>
      <c r="G1949" s="596"/>
      <c r="H1949" s="488"/>
      <c r="J1949" s="437"/>
    </row>
    <row r="1950" spans="1:10" s="428" customFormat="1">
      <c r="A1950" s="449"/>
      <c r="B1950" s="431"/>
      <c r="C1950" s="437"/>
      <c r="F1950" s="431"/>
      <c r="G1950" s="596"/>
      <c r="H1950" s="488"/>
      <c r="J1950" s="437"/>
    </row>
    <row r="1951" spans="1:10" s="428" customFormat="1">
      <c r="A1951" s="449"/>
      <c r="B1951" s="431"/>
      <c r="C1951" s="437"/>
      <c r="F1951" s="431"/>
      <c r="G1951" s="596"/>
      <c r="H1951" s="488"/>
      <c r="J1951" s="437"/>
    </row>
    <row r="1952" spans="1:10" s="428" customFormat="1">
      <c r="A1952" s="449"/>
      <c r="B1952" s="431"/>
      <c r="C1952" s="437"/>
      <c r="F1952" s="431"/>
      <c r="G1952" s="596"/>
      <c r="H1952" s="488"/>
      <c r="J1952" s="437"/>
    </row>
    <row r="1953" spans="1:10" s="428" customFormat="1">
      <c r="A1953" s="449"/>
      <c r="B1953" s="431"/>
      <c r="C1953" s="437"/>
      <c r="F1953" s="431"/>
      <c r="G1953" s="596"/>
      <c r="H1953" s="488"/>
      <c r="J1953" s="437"/>
    </row>
    <row r="1954" spans="1:10" s="428" customFormat="1">
      <c r="A1954" s="449"/>
      <c r="B1954" s="431"/>
      <c r="C1954" s="437"/>
      <c r="F1954" s="431"/>
      <c r="G1954" s="596"/>
      <c r="H1954" s="488"/>
      <c r="J1954" s="437"/>
    </row>
    <row r="1955" spans="1:10" s="428" customFormat="1">
      <c r="A1955" s="449"/>
      <c r="B1955" s="431"/>
      <c r="C1955" s="437"/>
      <c r="F1955" s="431"/>
      <c r="G1955" s="596"/>
      <c r="H1955" s="488"/>
      <c r="J1955" s="437"/>
    </row>
    <row r="1956" spans="1:10" s="428" customFormat="1">
      <c r="A1956" s="449"/>
      <c r="B1956" s="431"/>
      <c r="C1956" s="437"/>
      <c r="F1956" s="431"/>
      <c r="G1956" s="596"/>
      <c r="H1956" s="488"/>
      <c r="J1956" s="437"/>
    </row>
    <row r="1957" spans="1:10" s="428" customFormat="1">
      <c r="A1957" s="449"/>
      <c r="B1957" s="431"/>
      <c r="C1957" s="437"/>
      <c r="F1957" s="431"/>
      <c r="G1957" s="596"/>
      <c r="H1957" s="488"/>
      <c r="J1957" s="437"/>
    </row>
    <row r="1958" spans="1:10" s="428" customFormat="1">
      <c r="A1958" s="449"/>
      <c r="B1958" s="431"/>
      <c r="C1958" s="437"/>
      <c r="F1958" s="431"/>
      <c r="G1958" s="596"/>
      <c r="H1958" s="488"/>
      <c r="J1958" s="437"/>
    </row>
    <row r="1959" spans="1:10" s="428" customFormat="1">
      <c r="A1959" s="449"/>
      <c r="B1959" s="431"/>
      <c r="C1959" s="437"/>
      <c r="F1959" s="431"/>
      <c r="G1959" s="596"/>
      <c r="H1959" s="488"/>
      <c r="J1959" s="437"/>
    </row>
    <row r="1960" spans="1:10" s="428" customFormat="1">
      <c r="A1960" s="449"/>
      <c r="B1960" s="431"/>
      <c r="C1960" s="437"/>
      <c r="F1960" s="431"/>
      <c r="G1960" s="596"/>
      <c r="H1960" s="488"/>
      <c r="J1960" s="437"/>
    </row>
    <row r="1961" spans="1:10" s="428" customFormat="1">
      <c r="A1961" s="449"/>
      <c r="B1961" s="431"/>
      <c r="C1961" s="437"/>
      <c r="F1961" s="431"/>
      <c r="G1961" s="596"/>
      <c r="H1961" s="488"/>
      <c r="J1961" s="437"/>
    </row>
    <row r="1962" spans="1:10" s="428" customFormat="1">
      <c r="A1962" s="449"/>
      <c r="B1962" s="431"/>
      <c r="C1962" s="437"/>
      <c r="F1962" s="431"/>
      <c r="G1962" s="596"/>
      <c r="H1962" s="488"/>
      <c r="J1962" s="437"/>
    </row>
    <row r="1963" spans="1:10" s="428" customFormat="1">
      <c r="A1963" s="449"/>
      <c r="B1963" s="431"/>
      <c r="C1963" s="437"/>
      <c r="F1963" s="431"/>
      <c r="G1963" s="596"/>
      <c r="H1963" s="488"/>
      <c r="J1963" s="437"/>
    </row>
    <row r="1964" spans="1:10" s="428" customFormat="1">
      <c r="A1964" s="449"/>
      <c r="B1964" s="431"/>
      <c r="C1964" s="437"/>
      <c r="F1964" s="431"/>
      <c r="G1964" s="596"/>
      <c r="H1964" s="488"/>
      <c r="J1964" s="437"/>
    </row>
    <row r="1965" spans="1:10" s="428" customFormat="1">
      <c r="A1965" s="449"/>
      <c r="B1965" s="431"/>
      <c r="C1965" s="437"/>
      <c r="F1965" s="431"/>
      <c r="G1965" s="596"/>
      <c r="H1965" s="488"/>
      <c r="J1965" s="437"/>
    </row>
    <row r="1966" spans="1:10" s="428" customFormat="1">
      <c r="A1966" s="449"/>
      <c r="B1966" s="431"/>
      <c r="C1966" s="437"/>
      <c r="F1966" s="431"/>
      <c r="G1966" s="596"/>
      <c r="H1966" s="488"/>
      <c r="J1966" s="437"/>
    </row>
    <row r="1967" spans="1:10" s="428" customFormat="1">
      <c r="A1967" s="449"/>
      <c r="B1967" s="431"/>
      <c r="C1967" s="437"/>
      <c r="F1967" s="431"/>
      <c r="G1967" s="596"/>
      <c r="H1967" s="488"/>
      <c r="J1967" s="437"/>
    </row>
    <row r="1968" spans="1:10" s="428" customFormat="1">
      <c r="A1968" s="449"/>
      <c r="B1968" s="431"/>
      <c r="C1968" s="437"/>
      <c r="F1968" s="431"/>
      <c r="G1968" s="596"/>
      <c r="H1968" s="488"/>
      <c r="J1968" s="437"/>
    </row>
    <row r="1969" spans="1:10" s="428" customFormat="1">
      <c r="A1969" s="449"/>
      <c r="B1969" s="431"/>
      <c r="C1969" s="437"/>
      <c r="F1969" s="431"/>
      <c r="G1969" s="596"/>
      <c r="H1969" s="488"/>
      <c r="J1969" s="437"/>
    </row>
    <row r="1970" spans="1:10" s="428" customFormat="1">
      <c r="A1970" s="449"/>
      <c r="B1970" s="431"/>
      <c r="C1970" s="437"/>
      <c r="F1970" s="431"/>
      <c r="G1970" s="596"/>
      <c r="H1970" s="488"/>
      <c r="J1970" s="437"/>
    </row>
    <row r="1971" spans="1:10" s="428" customFormat="1">
      <c r="A1971" s="449"/>
      <c r="B1971" s="431"/>
      <c r="C1971" s="437"/>
      <c r="F1971" s="431"/>
      <c r="G1971" s="596"/>
      <c r="H1971" s="488"/>
      <c r="J1971" s="437"/>
    </row>
    <row r="1972" spans="1:10" s="428" customFormat="1">
      <c r="A1972" s="449"/>
      <c r="B1972" s="431"/>
      <c r="C1972" s="437"/>
      <c r="F1972" s="431"/>
      <c r="G1972" s="596"/>
      <c r="H1972" s="488"/>
      <c r="J1972" s="437"/>
    </row>
    <row r="1973" spans="1:10" s="428" customFormat="1">
      <c r="A1973" s="449"/>
      <c r="B1973" s="431"/>
      <c r="C1973" s="437"/>
      <c r="F1973" s="431"/>
      <c r="G1973" s="596"/>
      <c r="H1973" s="488"/>
      <c r="J1973" s="437"/>
    </row>
    <row r="1974" spans="1:10" s="428" customFormat="1">
      <c r="A1974" s="449"/>
      <c r="B1974" s="431"/>
      <c r="C1974" s="437"/>
      <c r="F1974" s="431"/>
      <c r="G1974" s="596"/>
      <c r="H1974" s="488"/>
      <c r="J1974" s="437"/>
    </row>
    <row r="1975" spans="1:10" s="428" customFormat="1">
      <c r="A1975" s="449"/>
      <c r="B1975" s="431"/>
      <c r="C1975" s="437"/>
      <c r="F1975" s="431"/>
      <c r="G1975" s="596"/>
      <c r="H1975" s="488"/>
      <c r="J1975" s="437"/>
    </row>
    <row r="1976" spans="1:10" s="428" customFormat="1">
      <c r="A1976" s="449"/>
      <c r="B1976" s="431"/>
      <c r="C1976" s="437"/>
      <c r="F1976" s="431"/>
      <c r="G1976" s="596"/>
      <c r="H1976" s="488"/>
      <c r="J1976" s="437"/>
    </row>
    <row r="1977" spans="1:10" s="428" customFormat="1">
      <c r="A1977" s="449"/>
      <c r="B1977" s="431"/>
      <c r="C1977" s="437"/>
      <c r="F1977" s="431"/>
      <c r="G1977" s="596"/>
      <c r="H1977" s="488"/>
      <c r="J1977" s="437"/>
    </row>
    <row r="1978" spans="1:10" s="428" customFormat="1">
      <c r="A1978" s="449"/>
      <c r="B1978" s="431"/>
      <c r="C1978" s="437"/>
      <c r="F1978" s="431"/>
      <c r="G1978" s="596"/>
      <c r="H1978" s="488"/>
      <c r="J1978" s="437"/>
    </row>
    <row r="1979" spans="1:10" s="428" customFormat="1">
      <c r="A1979" s="449"/>
      <c r="B1979" s="431"/>
      <c r="C1979" s="437"/>
      <c r="F1979" s="431"/>
      <c r="G1979" s="596"/>
      <c r="H1979" s="488"/>
      <c r="J1979" s="437"/>
    </row>
    <row r="1980" spans="1:10" s="428" customFormat="1">
      <c r="A1980" s="449"/>
      <c r="B1980" s="431"/>
      <c r="C1980" s="437"/>
      <c r="F1980" s="431"/>
      <c r="G1980" s="596"/>
      <c r="H1980" s="488"/>
      <c r="J1980" s="437"/>
    </row>
    <row r="1981" spans="1:10" s="428" customFormat="1">
      <c r="A1981" s="449"/>
      <c r="B1981" s="431"/>
      <c r="C1981" s="437"/>
      <c r="F1981" s="431"/>
      <c r="G1981" s="596"/>
      <c r="H1981" s="488"/>
      <c r="J1981" s="437"/>
    </row>
    <row r="1982" spans="1:10" s="428" customFormat="1">
      <c r="A1982" s="449"/>
      <c r="B1982" s="431"/>
      <c r="C1982" s="437"/>
      <c r="F1982" s="431"/>
      <c r="G1982" s="596"/>
      <c r="H1982" s="488"/>
      <c r="J1982" s="437"/>
    </row>
    <row r="1983" spans="1:10" s="428" customFormat="1">
      <c r="A1983" s="449"/>
      <c r="B1983" s="431"/>
      <c r="C1983" s="437"/>
      <c r="F1983" s="431"/>
      <c r="G1983" s="596"/>
      <c r="H1983" s="488"/>
      <c r="J1983" s="437"/>
    </row>
    <row r="1984" spans="1:10" s="428" customFormat="1">
      <c r="A1984" s="449"/>
      <c r="B1984" s="431"/>
      <c r="C1984" s="437"/>
      <c r="F1984" s="431"/>
      <c r="G1984" s="596"/>
      <c r="H1984" s="488"/>
      <c r="J1984" s="437"/>
    </row>
    <row r="1985" spans="1:10" s="428" customFormat="1">
      <c r="A1985" s="449"/>
      <c r="B1985" s="431"/>
      <c r="C1985" s="437"/>
      <c r="F1985" s="431"/>
      <c r="G1985" s="596"/>
      <c r="H1985" s="488"/>
      <c r="J1985" s="437"/>
    </row>
    <row r="1986" spans="1:10" s="428" customFormat="1">
      <c r="A1986" s="449"/>
      <c r="B1986" s="431"/>
      <c r="C1986" s="437"/>
      <c r="F1986" s="431"/>
      <c r="G1986" s="596"/>
      <c r="H1986" s="488"/>
      <c r="J1986" s="437"/>
    </row>
    <row r="1987" spans="1:10" s="428" customFormat="1">
      <c r="A1987" s="449"/>
      <c r="B1987" s="431"/>
      <c r="C1987" s="437"/>
      <c r="F1987" s="431"/>
      <c r="G1987" s="596"/>
      <c r="H1987" s="488"/>
      <c r="J1987" s="437"/>
    </row>
    <row r="1988" spans="1:10" s="428" customFormat="1">
      <c r="A1988" s="449"/>
      <c r="B1988" s="431"/>
      <c r="C1988" s="437"/>
      <c r="F1988" s="431"/>
      <c r="G1988" s="596"/>
      <c r="H1988" s="488"/>
      <c r="J1988" s="437"/>
    </row>
    <row r="1989" spans="1:10" s="428" customFormat="1">
      <c r="A1989" s="449"/>
      <c r="B1989" s="431"/>
      <c r="C1989" s="437"/>
      <c r="F1989" s="431"/>
      <c r="G1989" s="596"/>
      <c r="H1989" s="488"/>
      <c r="J1989" s="437"/>
    </row>
    <row r="1990" spans="1:10" s="428" customFormat="1">
      <c r="A1990" s="449"/>
      <c r="B1990" s="431"/>
      <c r="C1990" s="437"/>
      <c r="F1990" s="431"/>
      <c r="G1990" s="596"/>
      <c r="H1990" s="488"/>
      <c r="J1990" s="437"/>
    </row>
    <row r="1991" spans="1:10" s="428" customFormat="1">
      <c r="A1991" s="449"/>
      <c r="B1991" s="431"/>
      <c r="C1991" s="437"/>
      <c r="F1991" s="431"/>
      <c r="G1991" s="596"/>
      <c r="H1991" s="488"/>
      <c r="J1991" s="437"/>
    </row>
    <row r="1992" spans="1:10" s="428" customFormat="1">
      <c r="A1992" s="449"/>
      <c r="B1992" s="431"/>
      <c r="C1992" s="437"/>
      <c r="F1992" s="431"/>
      <c r="G1992" s="596"/>
      <c r="H1992" s="488"/>
      <c r="J1992" s="437"/>
    </row>
    <row r="1993" spans="1:10" s="428" customFormat="1">
      <c r="A1993" s="449"/>
      <c r="B1993" s="431"/>
      <c r="C1993" s="437"/>
      <c r="F1993" s="431"/>
      <c r="G1993" s="596"/>
      <c r="H1993" s="488"/>
      <c r="J1993" s="437"/>
    </row>
    <row r="1994" spans="1:10" s="428" customFormat="1">
      <c r="A1994" s="449"/>
      <c r="B1994" s="431"/>
      <c r="C1994" s="437"/>
      <c r="F1994" s="431"/>
      <c r="G1994" s="596"/>
      <c r="H1994" s="488"/>
      <c r="J1994" s="437"/>
    </row>
    <row r="1995" spans="1:10" s="428" customFormat="1">
      <c r="A1995" s="449"/>
      <c r="B1995" s="431"/>
      <c r="C1995" s="437"/>
      <c r="F1995" s="431"/>
      <c r="G1995" s="596"/>
      <c r="H1995" s="488"/>
      <c r="J1995" s="437"/>
    </row>
    <row r="1996" spans="1:10" s="428" customFormat="1">
      <c r="A1996" s="449"/>
      <c r="B1996" s="431"/>
      <c r="C1996" s="437"/>
      <c r="F1996" s="431"/>
      <c r="G1996" s="596"/>
      <c r="H1996" s="488"/>
      <c r="J1996" s="437"/>
    </row>
    <row r="1997" spans="1:10" s="428" customFormat="1">
      <c r="A1997" s="449"/>
      <c r="B1997" s="431"/>
      <c r="C1997" s="437"/>
      <c r="F1997" s="431"/>
      <c r="G1997" s="596"/>
      <c r="H1997" s="488"/>
      <c r="J1997" s="437"/>
    </row>
    <row r="1998" spans="1:10" s="428" customFormat="1">
      <c r="A1998" s="449"/>
      <c r="B1998" s="431"/>
      <c r="C1998" s="437"/>
      <c r="F1998" s="431"/>
      <c r="G1998" s="596"/>
      <c r="H1998" s="488"/>
      <c r="J1998" s="437"/>
    </row>
    <row r="1999" spans="1:10" s="428" customFormat="1">
      <c r="A1999" s="449"/>
      <c r="B1999" s="431"/>
      <c r="C1999" s="437"/>
      <c r="F1999" s="431"/>
      <c r="G1999" s="596"/>
      <c r="H1999" s="488"/>
      <c r="J1999" s="437"/>
    </row>
    <row r="2000" spans="1:10" s="428" customFormat="1">
      <c r="A2000" s="449"/>
      <c r="B2000" s="431"/>
      <c r="C2000" s="437"/>
      <c r="F2000" s="431"/>
      <c r="G2000" s="596"/>
      <c r="H2000" s="488"/>
      <c r="J2000" s="437"/>
    </row>
    <row r="2001" spans="1:10" s="428" customFormat="1">
      <c r="A2001" s="449"/>
      <c r="B2001" s="431"/>
      <c r="C2001" s="437"/>
      <c r="F2001" s="431"/>
      <c r="G2001" s="596"/>
      <c r="H2001" s="488"/>
      <c r="J2001" s="437"/>
    </row>
    <row r="2002" spans="1:10" s="428" customFormat="1">
      <c r="A2002" s="449"/>
      <c r="B2002" s="431"/>
      <c r="C2002" s="437"/>
      <c r="F2002" s="431"/>
      <c r="G2002" s="596"/>
      <c r="H2002" s="488"/>
      <c r="J2002" s="437"/>
    </row>
    <row r="2003" spans="1:10" s="428" customFormat="1">
      <c r="A2003" s="449"/>
      <c r="B2003" s="431"/>
      <c r="C2003" s="437"/>
      <c r="F2003" s="431"/>
      <c r="G2003" s="596"/>
      <c r="H2003" s="488"/>
      <c r="J2003" s="437"/>
    </row>
    <row r="2004" spans="1:10" s="428" customFormat="1">
      <c r="A2004" s="449"/>
      <c r="B2004" s="431"/>
      <c r="C2004" s="437"/>
      <c r="F2004" s="431"/>
      <c r="G2004" s="596"/>
      <c r="H2004" s="488"/>
      <c r="J2004" s="437"/>
    </row>
    <row r="2005" spans="1:10" s="428" customFormat="1">
      <c r="A2005" s="449"/>
      <c r="B2005" s="431"/>
      <c r="C2005" s="437"/>
      <c r="F2005" s="431"/>
      <c r="G2005" s="596"/>
      <c r="H2005" s="488"/>
      <c r="J2005" s="437"/>
    </row>
    <row r="2006" spans="1:10" s="428" customFormat="1">
      <c r="A2006" s="449"/>
      <c r="B2006" s="431"/>
      <c r="C2006" s="437"/>
      <c r="F2006" s="431"/>
      <c r="G2006" s="596"/>
      <c r="H2006" s="488"/>
      <c r="J2006" s="437"/>
    </row>
    <row r="2007" spans="1:10" s="428" customFormat="1">
      <c r="A2007" s="449"/>
      <c r="B2007" s="431"/>
      <c r="C2007" s="437"/>
      <c r="F2007" s="431"/>
      <c r="G2007" s="596"/>
      <c r="H2007" s="488"/>
      <c r="J2007" s="437"/>
    </row>
    <row r="2008" spans="1:10" s="428" customFormat="1">
      <c r="A2008" s="449"/>
      <c r="B2008" s="431"/>
      <c r="C2008" s="437"/>
      <c r="F2008" s="431"/>
      <c r="G2008" s="596"/>
      <c r="H2008" s="488"/>
      <c r="J2008" s="437"/>
    </row>
    <row r="2009" spans="1:10" s="428" customFormat="1">
      <c r="A2009" s="449"/>
      <c r="B2009" s="431"/>
      <c r="C2009" s="437"/>
      <c r="F2009" s="431"/>
      <c r="G2009" s="596"/>
      <c r="H2009" s="488"/>
      <c r="J2009" s="437"/>
    </row>
    <row r="2010" spans="1:10" s="428" customFormat="1">
      <c r="A2010" s="449"/>
      <c r="B2010" s="431"/>
      <c r="C2010" s="437"/>
      <c r="F2010" s="431"/>
      <c r="G2010" s="596"/>
      <c r="H2010" s="488"/>
      <c r="J2010" s="437"/>
    </row>
    <row r="2011" spans="1:10" s="428" customFormat="1">
      <c r="A2011" s="449"/>
      <c r="B2011" s="431"/>
      <c r="C2011" s="437"/>
      <c r="F2011" s="431"/>
      <c r="G2011" s="596"/>
      <c r="H2011" s="488"/>
      <c r="J2011" s="437"/>
    </row>
    <row r="2012" spans="1:10" s="428" customFormat="1">
      <c r="A2012" s="449"/>
      <c r="B2012" s="431"/>
      <c r="C2012" s="437"/>
      <c r="F2012" s="431"/>
      <c r="G2012" s="596"/>
      <c r="H2012" s="488"/>
      <c r="J2012" s="437"/>
    </row>
    <row r="2013" spans="1:10" s="428" customFormat="1">
      <c r="A2013" s="449"/>
      <c r="B2013" s="431"/>
      <c r="C2013" s="437"/>
      <c r="F2013" s="431"/>
      <c r="G2013" s="596"/>
      <c r="H2013" s="488"/>
      <c r="J2013" s="437"/>
    </row>
    <row r="2014" spans="1:10" s="428" customFormat="1">
      <c r="A2014" s="449"/>
      <c r="B2014" s="431"/>
      <c r="C2014" s="437"/>
      <c r="F2014" s="431"/>
      <c r="G2014" s="596"/>
      <c r="H2014" s="488"/>
      <c r="J2014" s="437"/>
    </row>
    <row r="2015" spans="1:10" s="428" customFormat="1">
      <c r="A2015" s="449"/>
      <c r="B2015" s="431"/>
      <c r="C2015" s="437"/>
      <c r="F2015" s="431"/>
      <c r="G2015" s="596"/>
      <c r="H2015" s="488"/>
      <c r="J2015" s="437"/>
    </row>
    <row r="2016" spans="1:10" s="428" customFormat="1">
      <c r="A2016" s="449"/>
      <c r="B2016" s="431"/>
      <c r="C2016" s="437"/>
      <c r="F2016" s="431"/>
      <c r="G2016" s="596"/>
      <c r="H2016" s="488"/>
      <c r="J2016" s="437"/>
    </row>
    <row r="2017" spans="1:10" s="428" customFormat="1">
      <c r="A2017" s="449"/>
      <c r="B2017" s="431"/>
      <c r="C2017" s="437"/>
      <c r="F2017" s="431"/>
      <c r="G2017" s="596"/>
      <c r="H2017" s="488"/>
      <c r="J2017" s="437"/>
    </row>
    <row r="2018" spans="1:10" s="428" customFormat="1">
      <c r="A2018" s="449"/>
      <c r="B2018" s="431"/>
      <c r="C2018" s="437"/>
      <c r="F2018" s="431"/>
      <c r="G2018" s="596"/>
      <c r="H2018" s="488"/>
      <c r="J2018" s="437"/>
    </row>
    <row r="2019" spans="1:10" s="428" customFormat="1">
      <c r="A2019" s="449"/>
      <c r="B2019" s="431"/>
      <c r="C2019" s="437"/>
      <c r="F2019" s="431"/>
      <c r="G2019" s="596"/>
      <c r="H2019" s="488"/>
      <c r="J2019" s="437"/>
    </row>
    <row r="2020" spans="1:10" s="428" customFormat="1">
      <c r="A2020" s="449"/>
      <c r="B2020" s="431"/>
      <c r="C2020" s="437"/>
      <c r="F2020" s="431"/>
      <c r="G2020" s="596"/>
      <c r="H2020" s="488"/>
      <c r="J2020" s="437"/>
    </row>
    <row r="2021" spans="1:10" s="428" customFormat="1">
      <c r="A2021" s="449"/>
      <c r="B2021" s="431"/>
      <c r="C2021" s="437"/>
      <c r="F2021" s="431"/>
      <c r="G2021" s="596"/>
      <c r="H2021" s="488"/>
      <c r="J2021" s="437"/>
    </row>
    <row r="2022" spans="1:10" s="428" customFormat="1">
      <c r="A2022" s="449"/>
      <c r="B2022" s="431"/>
      <c r="C2022" s="437"/>
      <c r="F2022" s="431"/>
      <c r="G2022" s="596"/>
      <c r="H2022" s="488"/>
      <c r="J2022" s="437"/>
    </row>
    <row r="2023" spans="1:10" s="428" customFormat="1">
      <c r="A2023" s="449"/>
      <c r="B2023" s="431"/>
      <c r="C2023" s="437"/>
      <c r="F2023" s="431"/>
      <c r="G2023" s="596"/>
      <c r="H2023" s="488"/>
      <c r="J2023" s="437"/>
    </row>
    <row r="2024" spans="1:10" s="428" customFormat="1">
      <c r="A2024" s="449"/>
      <c r="B2024" s="431"/>
      <c r="C2024" s="437"/>
      <c r="F2024" s="431"/>
      <c r="G2024" s="596"/>
      <c r="H2024" s="488"/>
      <c r="J2024" s="437"/>
    </row>
    <row r="2025" spans="1:10" s="428" customFormat="1">
      <c r="A2025" s="449"/>
      <c r="B2025" s="431"/>
      <c r="C2025" s="437"/>
      <c r="F2025" s="431"/>
      <c r="G2025" s="596"/>
      <c r="H2025" s="488"/>
      <c r="J2025" s="437"/>
    </row>
    <row r="2026" spans="1:10" s="428" customFormat="1">
      <c r="A2026" s="449"/>
      <c r="B2026" s="431"/>
      <c r="C2026" s="437"/>
      <c r="F2026" s="431"/>
      <c r="G2026" s="596"/>
      <c r="H2026" s="488"/>
      <c r="J2026" s="437"/>
    </row>
    <row r="2027" spans="1:10" s="428" customFormat="1">
      <c r="A2027" s="449"/>
      <c r="B2027" s="431"/>
      <c r="C2027" s="437"/>
      <c r="F2027" s="431"/>
      <c r="G2027" s="596"/>
      <c r="H2027" s="488"/>
      <c r="J2027" s="437"/>
    </row>
    <row r="2028" spans="1:10" s="428" customFormat="1">
      <c r="A2028" s="449"/>
      <c r="B2028" s="431"/>
      <c r="C2028" s="437"/>
      <c r="F2028" s="431"/>
      <c r="G2028" s="596"/>
      <c r="H2028" s="488"/>
      <c r="J2028" s="437"/>
    </row>
    <row r="2029" spans="1:10" s="428" customFormat="1">
      <c r="A2029" s="449"/>
      <c r="B2029" s="431"/>
      <c r="C2029" s="437"/>
      <c r="F2029" s="431"/>
      <c r="G2029" s="596"/>
      <c r="H2029" s="488"/>
      <c r="J2029" s="437"/>
    </row>
    <row r="2030" spans="1:10" s="428" customFormat="1">
      <c r="A2030" s="449"/>
      <c r="B2030" s="431"/>
      <c r="C2030" s="437"/>
      <c r="F2030" s="431"/>
      <c r="G2030" s="596"/>
      <c r="H2030" s="488"/>
      <c r="J2030" s="437"/>
    </row>
    <row r="2031" spans="1:10" s="428" customFormat="1">
      <c r="A2031" s="449"/>
      <c r="B2031" s="431"/>
      <c r="C2031" s="437"/>
      <c r="F2031" s="431"/>
      <c r="G2031" s="596"/>
      <c r="H2031" s="488"/>
      <c r="J2031" s="437"/>
    </row>
    <row r="2032" spans="1:10" s="428" customFormat="1">
      <c r="A2032" s="449"/>
      <c r="B2032" s="431"/>
      <c r="C2032" s="437"/>
      <c r="F2032" s="431"/>
      <c r="G2032" s="596"/>
      <c r="H2032" s="488"/>
      <c r="J2032" s="437"/>
    </row>
    <row r="2033" spans="1:10" s="428" customFormat="1">
      <c r="A2033" s="449"/>
      <c r="B2033" s="431"/>
      <c r="C2033" s="437"/>
      <c r="F2033" s="431"/>
      <c r="G2033" s="596"/>
      <c r="H2033" s="488"/>
      <c r="J2033" s="437"/>
    </row>
    <row r="2034" spans="1:10" s="428" customFormat="1">
      <c r="A2034" s="449"/>
      <c r="B2034" s="431"/>
      <c r="C2034" s="437"/>
      <c r="F2034" s="431"/>
      <c r="G2034" s="596"/>
      <c r="H2034" s="488"/>
      <c r="J2034" s="437"/>
    </row>
    <row r="2035" spans="1:10" s="428" customFormat="1">
      <c r="A2035" s="449"/>
      <c r="B2035" s="431"/>
      <c r="C2035" s="437"/>
      <c r="F2035" s="431"/>
      <c r="G2035" s="596"/>
      <c r="H2035" s="488"/>
      <c r="J2035" s="437"/>
    </row>
    <row r="2036" spans="1:10" s="428" customFormat="1">
      <c r="A2036" s="449"/>
      <c r="B2036" s="431"/>
      <c r="C2036" s="437"/>
      <c r="F2036" s="431"/>
      <c r="G2036" s="596"/>
      <c r="H2036" s="488"/>
      <c r="J2036" s="437"/>
    </row>
    <row r="2037" spans="1:10" s="428" customFormat="1">
      <c r="A2037" s="449"/>
      <c r="B2037" s="431"/>
      <c r="C2037" s="437"/>
      <c r="F2037" s="431"/>
      <c r="G2037" s="596"/>
      <c r="H2037" s="488"/>
      <c r="J2037" s="437"/>
    </row>
    <row r="2038" spans="1:10" s="428" customFormat="1">
      <c r="A2038" s="449"/>
      <c r="B2038" s="431"/>
      <c r="C2038" s="437"/>
      <c r="F2038" s="431"/>
      <c r="G2038" s="596"/>
      <c r="H2038" s="488"/>
      <c r="J2038" s="437"/>
    </row>
    <row r="2039" spans="1:10" s="428" customFormat="1">
      <c r="A2039" s="449"/>
      <c r="B2039" s="431"/>
      <c r="C2039" s="437"/>
      <c r="F2039" s="431"/>
      <c r="G2039" s="596"/>
      <c r="H2039" s="488"/>
      <c r="J2039" s="437"/>
    </row>
    <row r="2040" spans="1:10" s="428" customFormat="1">
      <c r="A2040" s="449"/>
      <c r="B2040" s="431"/>
      <c r="C2040" s="437"/>
      <c r="F2040" s="431"/>
      <c r="G2040" s="596"/>
      <c r="H2040" s="488"/>
      <c r="J2040" s="437"/>
    </row>
    <row r="2041" spans="1:10" s="428" customFormat="1">
      <c r="A2041" s="449"/>
      <c r="B2041" s="431"/>
      <c r="C2041" s="437"/>
      <c r="F2041" s="431"/>
      <c r="G2041" s="596"/>
      <c r="H2041" s="488"/>
      <c r="J2041" s="437"/>
    </row>
    <row r="2042" spans="1:10" s="428" customFormat="1">
      <c r="A2042" s="449"/>
      <c r="B2042" s="431"/>
      <c r="C2042" s="437"/>
      <c r="F2042" s="431"/>
      <c r="G2042" s="596"/>
      <c r="H2042" s="488"/>
      <c r="J2042" s="437"/>
    </row>
    <row r="2043" spans="1:10" s="428" customFormat="1">
      <c r="A2043" s="449"/>
      <c r="B2043" s="431"/>
      <c r="C2043" s="437"/>
      <c r="F2043" s="431"/>
      <c r="G2043" s="596"/>
      <c r="H2043" s="488"/>
      <c r="J2043" s="437"/>
    </row>
    <row r="2044" spans="1:10" s="428" customFormat="1">
      <c r="A2044" s="449"/>
      <c r="B2044" s="431"/>
      <c r="C2044" s="437"/>
      <c r="F2044" s="431"/>
      <c r="G2044" s="596"/>
      <c r="H2044" s="488"/>
      <c r="J2044" s="437"/>
    </row>
    <row r="2045" spans="1:10" s="428" customFormat="1">
      <c r="A2045" s="449"/>
      <c r="B2045" s="431"/>
      <c r="C2045" s="437"/>
      <c r="F2045" s="431"/>
      <c r="G2045" s="596"/>
      <c r="H2045" s="488"/>
      <c r="J2045" s="437"/>
    </row>
    <row r="2046" spans="1:10" s="428" customFormat="1">
      <c r="A2046" s="449"/>
      <c r="B2046" s="431"/>
      <c r="C2046" s="437"/>
      <c r="F2046" s="431"/>
      <c r="G2046" s="596"/>
      <c r="H2046" s="488"/>
      <c r="J2046" s="437"/>
    </row>
    <row r="2047" spans="1:10" s="428" customFormat="1">
      <c r="A2047" s="449"/>
      <c r="B2047" s="431"/>
      <c r="C2047" s="437"/>
      <c r="F2047" s="431"/>
      <c r="G2047" s="596"/>
      <c r="H2047" s="488"/>
      <c r="J2047" s="437"/>
    </row>
  </sheetData>
  <conditionalFormatting sqref="J228:J230 C228:C230 F1:G56 F58:G61 G57 F63:G70 G62 F72:G65589 G71">
    <cfRule type="cellIs" dxfId="6" priority="99" stopIfTrue="1" operator="lessThan">
      <formula>0</formula>
    </cfRule>
  </conditionalFormatting>
  <conditionalFormatting sqref="J228:J230">
    <cfRule type="cellIs" dxfId="5" priority="6" stopIfTrue="1" operator="lessThan">
      <formula>0</formula>
    </cfRule>
  </conditionalFormatting>
  <conditionalFormatting sqref="F46">
    <cfRule type="cellIs" dxfId="4" priority="5" stopIfTrue="1" operator="lessThan">
      <formula>0</formula>
    </cfRule>
  </conditionalFormatting>
  <conditionalFormatting sqref="F52">
    <cfRule type="cellIs" dxfId="3" priority="4" stopIfTrue="1" operator="lessThan">
      <formula>0</formula>
    </cfRule>
  </conditionalFormatting>
  <conditionalFormatting sqref="F57">
    <cfRule type="cellIs" dxfId="2" priority="3" stopIfTrue="1" operator="lessThan">
      <formula>0</formula>
    </cfRule>
  </conditionalFormatting>
  <conditionalFormatting sqref="F62">
    <cfRule type="cellIs" dxfId="1" priority="2" stopIfTrue="1" operator="lessThan">
      <formula>0</formula>
    </cfRule>
  </conditionalFormatting>
  <conditionalFormatting sqref="F71">
    <cfRule type="cellIs" dxfId="0" priority="1" stopIfTrue="1" operator="lessThan">
      <formula>0</formula>
    </cfRule>
  </conditionalFormatting>
  <printOptions horizontalCentered="1" headings="1"/>
  <pageMargins left="0.70866141732283472" right="0.31496062992125984" top="0.35433070866141736" bottom="0.27559055118110237" header="0.31496062992125984" footer="0.31496062992125984"/>
  <pageSetup paperSize="9" scale="75" fitToHeight="0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1"/>
  <dimension ref="B1:P42"/>
  <sheetViews>
    <sheetView zoomScale="70" zoomScaleNormal="70" workbookViewId="0">
      <selection activeCell="P15" sqref="P15"/>
    </sheetView>
  </sheetViews>
  <sheetFormatPr baseColWidth="10" defaultColWidth="11.44140625" defaultRowHeight="13.2"/>
  <cols>
    <col min="2" max="2" width="11.44140625" style="61" customWidth="1"/>
    <col min="3" max="3" width="4.5546875" style="61" customWidth="1"/>
    <col min="4" max="4" width="10.44140625" style="61" customWidth="1"/>
    <col min="5" max="6" width="11.44140625" style="61" customWidth="1"/>
    <col min="7" max="7" width="4.5546875" style="61" customWidth="1"/>
    <col min="8" max="8" width="13.44140625" style="61" customWidth="1"/>
    <col min="10" max="10" width="11.44140625" style="61" customWidth="1"/>
    <col min="11" max="11" width="4.5546875" style="61" customWidth="1"/>
    <col min="12" max="12" width="11.5546875" style="61" customWidth="1"/>
  </cols>
  <sheetData>
    <row r="1" spans="2:16">
      <c r="B1" s="661"/>
      <c r="C1" s="661"/>
      <c r="D1" s="661"/>
      <c r="E1" s="661"/>
      <c r="F1" s="661"/>
      <c r="G1" s="661"/>
      <c r="H1" s="661"/>
      <c r="I1" s="662"/>
      <c r="J1" s="661"/>
      <c r="K1" s="661"/>
      <c r="L1" s="661"/>
      <c r="M1" s="662"/>
      <c r="N1" s="661"/>
      <c r="O1" s="661"/>
      <c r="P1" s="661"/>
    </row>
    <row r="2" spans="2:16">
      <c r="B2" s="661"/>
      <c r="C2" s="661"/>
      <c r="D2" s="661"/>
      <c r="E2" s="661"/>
      <c r="F2" s="661"/>
      <c r="G2" s="661"/>
      <c r="H2" s="661"/>
      <c r="I2" s="662"/>
      <c r="J2" s="661"/>
      <c r="K2" s="661"/>
      <c r="L2" s="661"/>
      <c r="M2" s="662"/>
      <c r="N2" s="661"/>
      <c r="O2" s="661"/>
      <c r="P2" s="661"/>
    </row>
    <row r="3" spans="2:16">
      <c r="B3" s="1454" t="s">
        <v>2553</v>
      </c>
      <c r="C3" s="1454"/>
      <c r="D3" s="672" t="s">
        <v>2557</v>
      </c>
      <c r="E3" s="661">
        <f>COUNTIF(Area_v1,"PH")+COUNTIF(Area_v2,"PH")+COUNTIF(Area_v3,"PH")+COUNTIF(Area_v4,"PH")+COUNTIF(Area_v5,"PH")+COUNTIF(Area_v6,"PH")</f>
        <v>2</v>
      </c>
      <c r="F3" s="661"/>
      <c r="G3" s="661"/>
      <c r="H3" s="661"/>
      <c r="I3" s="662"/>
      <c r="J3" s="661"/>
      <c r="K3" s="661"/>
      <c r="L3" s="661"/>
      <c r="M3" s="662"/>
      <c r="N3" s="661"/>
      <c r="O3" s="661"/>
      <c r="P3" s="661"/>
    </row>
    <row r="4" spans="2:16">
      <c r="B4" s="1454" t="s">
        <v>2555</v>
      </c>
      <c r="C4" s="1454"/>
      <c r="D4" s="672" t="s">
        <v>2530</v>
      </c>
      <c r="E4" s="661">
        <f>COUNTIF(Area_v1,"PH-Q")+COUNTIF(Area_v2,"PH-Q")+COUNTIF(Area_v3,"PH-Q")+COUNTIF(Area_v4,"PH-Q")+COUNTIF(Area_v5,"PH-Q")+COUNTIF(Area_v6,"PH-Q")</f>
        <v>1</v>
      </c>
      <c r="F4" s="661"/>
      <c r="G4" s="661"/>
      <c r="H4" s="661"/>
      <c r="I4" s="662"/>
      <c r="J4" s="661"/>
      <c r="K4" s="661"/>
      <c r="L4" s="661"/>
      <c r="M4" s="662"/>
      <c r="N4" s="661"/>
      <c r="O4" s="661"/>
      <c r="P4" s="661"/>
    </row>
    <row r="5" spans="2:16">
      <c r="B5" s="1454" t="s">
        <v>2556</v>
      </c>
      <c r="C5" s="1454"/>
      <c r="D5" s="672" t="s">
        <v>2531</v>
      </c>
      <c r="E5" s="661">
        <f>COUNTIF(Area_v1,"PH-C")+COUNTIF(Area_v2,"PH-C")+COUNTIF(Area_v3,"PH-C")+COUNTIF(Area_v4,"PH-C")+COUNTIF(Area_v5,"PH-C")+COUNTIF(Area_v6,"PH-C")</f>
        <v>2</v>
      </c>
      <c r="F5" s="661"/>
      <c r="G5" s="661"/>
      <c r="H5" s="661"/>
      <c r="I5" s="662"/>
      <c r="J5" s="661"/>
      <c r="K5" s="661"/>
      <c r="L5" s="661"/>
      <c r="M5" s="662"/>
      <c r="N5" s="661"/>
      <c r="O5" s="661"/>
      <c r="P5" s="661"/>
    </row>
    <row r="6" spans="2:16">
      <c r="B6" s="1454" t="s">
        <v>2554</v>
      </c>
      <c r="C6" s="1454"/>
      <c r="D6" s="672" t="s">
        <v>2558</v>
      </c>
      <c r="E6" s="661">
        <f>COUNTIF(Area_v1,"BC")+COUNTIF(Area_v2,"BC")+COUNTIF(Area_v3,"BC")+COUNTIF(Area_v4,"BC")+COUNTIF(Area_v5,"BC")+COUNTIF(Area_v6,"BC")</f>
        <v>0</v>
      </c>
      <c r="F6" s="661"/>
      <c r="G6" s="661"/>
      <c r="H6" s="661"/>
      <c r="I6" s="662"/>
      <c r="J6" s="661"/>
      <c r="K6" s="661"/>
      <c r="L6" s="661"/>
      <c r="M6" s="662"/>
      <c r="N6" s="661"/>
      <c r="O6" s="661"/>
      <c r="P6" s="661"/>
    </row>
    <row r="7" spans="2:16">
      <c r="B7" s="661"/>
      <c r="C7" s="661"/>
      <c r="D7" s="661"/>
      <c r="E7" s="661"/>
      <c r="F7" s="661"/>
      <c r="G7" s="661"/>
      <c r="H7" s="661"/>
      <c r="I7" s="662"/>
      <c r="J7" s="661"/>
      <c r="K7" s="661"/>
      <c r="L7" s="661"/>
      <c r="M7" s="662"/>
      <c r="N7" s="661"/>
      <c r="O7" s="661"/>
      <c r="P7" s="661"/>
    </row>
    <row r="8" spans="2:16" ht="13.8" thickBot="1">
      <c r="B8" s="661"/>
      <c r="C8" s="661"/>
      <c r="D8" s="661"/>
      <c r="E8" s="661"/>
      <c r="F8" s="661"/>
      <c r="G8" s="661"/>
      <c r="H8" s="661"/>
      <c r="I8" s="662"/>
      <c r="J8" s="661"/>
      <c r="K8" s="661"/>
      <c r="L8" s="661"/>
      <c r="M8" s="662"/>
      <c r="N8" s="661"/>
      <c r="O8" s="661"/>
      <c r="P8" s="661"/>
    </row>
    <row r="9" spans="2:16" ht="12.75" customHeight="1">
      <c r="B9" s="1442" t="s">
        <v>2517</v>
      </c>
      <c r="C9" s="1443"/>
      <c r="D9" s="1444"/>
      <c r="E9" s="661"/>
      <c r="F9" s="1448" t="s">
        <v>2559</v>
      </c>
      <c r="G9" s="1449"/>
      <c r="H9" s="1450"/>
      <c r="I9" s="662"/>
      <c r="J9" s="1448" t="s">
        <v>2560</v>
      </c>
      <c r="K9" s="1449"/>
      <c r="L9" s="1450"/>
      <c r="M9" s="662"/>
      <c r="N9" s="1442" t="s">
        <v>2518</v>
      </c>
      <c r="O9" s="1443"/>
      <c r="P9" s="1444"/>
    </row>
    <row r="10" spans="2:16" ht="13.5" customHeight="1" thickBot="1">
      <c r="B10" s="1445"/>
      <c r="C10" s="1446"/>
      <c r="D10" s="1447"/>
      <c r="E10" s="661"/>
      <c r="F10" s="1451"/>
      <c r="G10" s="1452"/>
      <c r="H10" s="1453"/>
      <c r="I10" s="662"/>
      <c r="J10" s="1451"/>
      <c r="K10" s="1452"/>
      <c r="L10" s="1453"/>
      <c r="M10" s="662"/>
      <c r="N10" s="1445"/>
      <c r="O10" s="1446"/>
      <c r="P10" s="1447"/>
    </row>
    <row r="11" spans="2:16" ht="13.8" thickBot="1">
      <c r="B11" s="1437" t="s">
        <v>489</v>
      </c>
      <c r="C11" s="1438"/>
      <c r="D11" s="663" t="s">
        <v>490</v>
      </c>
      <c r="E11" s="661"/>
      <c r="F11" s="1437" t="s">
        <v>489</v>
      </c>
      <c r="G11" s="1438"/>
      <c r="H11" s="663" t="s">
        <v>490</v>
      </c>
      <c r="I11" s="662"/>
      <c r="J11" s="1437" t="s">
        <v>489</v>
      </c>
      <c r="K11" s="1438"/>
      <c r="L11" s="663" t="s">
        <v>490</v>
      </c>
      <c r="M11" s="662"/>
      <c r="N11" s="1437" t="s">
        <v>489</v>
      </c>
      <c r="O11" s="1438"/>
      <c r="P11" s="663" t="s">
        <v>490</v>
      </c>
    </row>
    <row r="12" spans="2:16">
      <c r="B12" s="1439" t="s">
        <v>2612</v>
      </c>
      <c r="C12" s="1439"/>
      <c r="D12" s="664">
        <f>COUNTIF('HR Track 1'!$AC$3:$AE$800,B12)+COUNTIF('HR Track 2'!$AC$3:$AE$717,B12)+COUNTIF('HR Track 3'!$AC$3:$AE$717,B12)+COUNTIF('HR Track 4'!$AC$3:$AE$717,B12)</f>
        <v>92</v>
      </c>
      <c r="E12" s="661"/>
      <c r="F12" s="1439" t="s">
        <v>2977</v>
      </c>
      <c r="G12" s="1439"/>
      <c r="H12" s="664">
        <f>COUNTIF('HR Track 1'!$AC$3:$AE$800,F12)+COUNTIF('HR Track 2'!$AC$3:$AE$717,F12)+COUNTIF('HR Track 3'!$AC$3:$AE$717,F12)+COUNTIF('HR Track 4'!$AC$3:$AE$717,F12)</f>
        <v>263</v>
      </c>
      <c r="I12" s="662"/>
      <c r="J12" s="1439" t="s">
        <v>3014</v>
      </c>
      <c r="K12" s="1439"/>
      <c r="L12" s="664">
        <f>COUNTIF('HR Track 1'!$AC$3:$AE$800,J12)+COUNTIF('HR Track 2'!$AC$3:$AE$717,J12)+COUNTIF('HR Track 3'!$AC$3:$AE$717,J12)+COUNTIF('HR Track 4'!$AC$3:$AE$717,J12)</f>
        <v>0</v>
      </c>
      <c r="M12" s="662"/>
      <c r="N12" s="1439" t="s">
        <v>491</v>
      </c>
      <c r="O12" s="1439"/>
      <c r="P12" s="664">
        <f>COUNTIF('HR Track 1'!$AC$3:$AE$800,N12)+COUNTIF('HR Track 2'!$AC$3:$AE$717,N12)+COUNTIF('HR Track 3'!$AC$3:$AE$717,N12)+COUNTIF('HR Track 4'!$AC$3:$AE$717,N12)</f>
        <v>0</v>
      </c>
    </row>
    <row r="13" spans="2:16">
      <c r="B13" s="1436" t="s">
        <v>2613</v>
      </c>
      <c r="C13" s="1436"/>
      <c r="D13" s="664">
        <f>COUNTIF('HR Track 1'!$AC$3:$AE$800,B13)+COUNTIF('HR Track 2'!$AC$3:$AE$717,B13)+COUNTIF('HR Track 3'!$AC$3:$AE$717,B13)+COUNTIF('HR Track 4'!$AC$3:$AE$717,B13)</f>
        <v>5</v>
      </c>
      <c r="E13" s="661"/>
      <c r="F13" s="1436" t="s">
        <v>3007</v>
      </c>
      <c r="G13" s="1436"/>
      <c r="H13" s="664">
        <f>COUNTIF('HR Track 1'!$AC$3:$AE$800,F13)+COUNTIF('HR Track 2'!$AC$3:$AE$717,F13)+COUNTIF('HR Track 3'!$AC$3:$AE$717,F13)+COUNTIF('HR Track 4'!$AC$3:$AE$717,F13)</f>
        <v>0</v>
      </c>
      <c r="I13" s="662"/>
      <c r="J13" s="1436" t="s">
        <v>3015</v>
      </c>
      <c r="K13" s="1436"/>
      <c r="L13" s="664">
        <f>COUNTIF('HR Track 1'!$AC$3:$AE$800,J13)+COUNTIF('HR Track 2'!$AC$3:$AE$717,J13)+COUNTIF('HR Track 3'!$AC$3:$AE$717,J13)+COUNTIF('HR Track 4'!$AC$3:$AE$717,J13)</f>
        <v>0</v>
      </c>
      <c r="M13" s="662"/>
      <c r="N13" s="1440" t="s">
        <v>492</v>
      </c>
      <c r="O13" s="1441"/>
      <c r="P13" s="664">
        <f>COUNTIF('HR Track 1'!$AC$3:$AE$800,N13)+COUNTIF('HR Track 2'!$AC$3:$AE$717,N13)+COUNTIF('HR Track 3'!$AC$3:$AE$717,N13)+COUNTIF('HR Track 4'!$AC$3:$AE$717,N13)</f>
        <v>1</v>
      </c>
    </row>
    <row r="14" spans="2:16">
      <c r="B14" s="1436" t="s">
        <v>2614</v>
      </c>
      <c r="C14" s="1436"/>
      <c r="D14" s="664">
        <f>COUNTIF('HR Track 1'!$AC$3:$AE$800,B14)+COUNTIF('HR Track 2'!$AC$3:$AE$717,B14)+COUNTIF('HR Track 3'!$AC$3:$AE$717,B14)+COUNTIF('HR Track 4'!$AC$3:$AE$717,B14)</f>
        <v>36</v>
      </c>
      <c r="E14" s="661"/>
      <c r="F14" s="1436" t="s">
        <v>2979</v>
      </c>
      <c r="G14" s="1436"/>
      <c r="H14" s="664">
        <f>COUNTIF('HR Track 1'!$AC$3:$AE$800,F14)+COUNTIF('HR Track 2'!$AC$3:$AE$717,F14)+COUNTIF('HR Track 3'!$AC$3:$AE$717,F14)+COUNTIF('HR Track 4'!$AC$3:$AE$717,F14)</f>
        <v>116</v>
      </c>
      <c r="I14" s="662"/>
      <c r="J14" s="1436" t="s">
        <v>3016</v>
      </c>
      <c r="K14" s="1436"/>
      <c r="L14" s="664">
        <f>COUNTIF('HR Track 1'!$AC$3:$AE$800,J14)+COUNTIF('HR Track 2'!$AC$3:$AE$717,J14)+COUNTIF('HR Track 3'!$AC$3:$AE$717,J14)+COUNTIF('HR Track 4'!$AC$3:$AE$717,J14)</f>
        <v>0</v>
      </c>
      <c r="M14" s="662"/>
      <c r="N14" s="1440" t="s">
        <v>493</v>
      </c>
      <c r="O14" s="1441"/>
      <c r="P14" s="664">
        <f>COUNTIF('HR Track 1'!$AC$3:$AE$800,N14)+COUNTIF('HR Track 2'!$AC$3:$AE$717,N14)+COUNTIF('HR Track 3'!$AC$3:$AE$717,N14)+COUNTIF('HR Track 4'!$AC$3:$AE$717,N14)</f>
        <v>2</v>
      </c>
    </row>
    <row r="15" spans="2:16">
      <c r="B15" s="1436" t="s">
        <v>2615</v>
      </c>
      <c r="C15" s="1436"/>
      <c r="D15" s="664">
        <f>COUNTIF('HR Track 1'!$AC$3:$AE$800,B15)+COUNTIF('HR Track 2'!$AC$3:$AE$717,B15)+COUNTIF('HR Track 3'!$AC$3:$AE$717,B15)+COUNTIF('HR Track 4'!$AC$3:$AE$717,B15)</f>
        <v>2</v>
      </c>
      <c r="E15" s="661"/>
      <c r="F15" s="1436" t="s">
        <v>3008</v>
      </c>
      <c r="G15" s="1436"/>
      <c r="H15" s="664">
        <f>COUNTIF('HR Track 1'!$AC$3:$AE$800,F15)+COUNTIF('HR Track 2'!$AC$3:$AE$717,F15)+COUNTIF('HR Track 3'!$AC$3:$AE$717,F15)+COUNTIF('HR Track 4'!$AC$3:$AE$717,F15)</f>
        <v>0</v>
      </c>
      <c r="I15" s="662"/>
      <c r="J15" s="1436" t="s">
        <v>3017</v>
      </c>
      <c r="K15" s="1436"/>
      <c r="L15" s="664">
        <f>COUNTIF('HR Track 1'!$AC$3:$AE$800,J15)+COUNTIF('HR Track 2'!$AC$3:$AE$717,J15)+COUNTIF('HR Track 3'!$AC$3:$AE$717,J15)+COUNTIF('HR Track 4'!$AC$3:$AE$717,J15)</f>
        <v>0</v>
      </c>
      <c r="M15" s="662"/>
      <c r="N15" s="1439" t="s">
        <v>3149</v>
      </c>
      <c r="O15" s="1439"/>
      <c r="P15" s="664">
        <f>COUNTIF('HR Track 1'!$AC$3:$AE$800,N15)+COUNTIF('HR Track 2'!$AC$3:$AE$717,N15)+COUNTIF('HR Track 3'!$AC$3:$AE$717,N15)+COUNTIF('HR Track 4'!$AC$3:$AE$717,N15)</f>
        <v>0</v>
      </c>
    </row>
    <row r="16" spans="2:16">
      <c r="B16" s="1436" t="s">
        <v>2616</v>
      </c>
      <c r="C16" s="1436"/>
      <c r="D16" s="664">
        <f>COUNTIF('HR Track 1'!$AC$3:$AE$800,B16)+COUNTIF('HR Track 2'!$AC$3:$AE$717,B16)+COUNTIF('HR Track 3'!$AC$3:$AE$717,B16)+COUNTIF('HR Track 4'!$AC$3:$AE$717,B16)</f>
        <v>80</v>
      </c>
      <c r="E16" s="661"/>
      <c r="F16" s="1436" t="s">
        <v>2978</v>
      </c>
      <c r="G16" s="1436"/>
      <c r="H16" s="664">
        <f>COUNTIF('HR Track 1'!$AC$3:$AE$800,F16)+COUNTIF('HR Track 2'!$AC$3:$AE$717,F16)+COUNTIF('HR Track 3'!$AC$3:$AE$717,F16)+COUNTIF('HR Track 4'!$AC$3:$AE$717,F16)</f>
        <v>104</v>
      </c>
      <c r="I16" s="662"/>
      <c r="J16" s="1436" t="s">
        <v>3003</v>
      </c>
      <c r="K16" s="1436"/>
      <c r="L16" s="664">
        <f>COUNTIF('HR Track 1'!$AC$3:$AE$800,J16)+COUNTIF('HR Track 2'!$AC$3:$AE$717,J16)+COUNTIF('HR Track 3'!$AC$3:$AE$717,J16)+COUNTIF('HR Track 4'!$AC$3:$AE$717,J16)</f>
        <v>20</v>
      </c>
      <c r="M16" s="662"/>
      <c r="N16" s="1439" t="s">
        <v>3148</v>
      </c>
      <c r="O16" s="1439"/>
      <c r="P16" s="664">
        <f>COUNTIF('HR Track 1'!$AC$3:$AE$800,N16)+COUNTIF('HR Track 2'!$AC$3:$AE$717,N16)+COUNTIF('HR Track 3'!$AC$3:$AE$717,N16)+COUNTIF('HR Track 4'!$AC$3:$AE$717,N16)</f>
        <v>3</v>
      </c>
    </row>
    <row r="17" spans="2:16">
      <c r="B17" s="1436" t="s">
        <v>2617</v>
      </c>
      <c r="C17" s="1436"/>
      <c r="D17" s="664">
        <f>COUNTIF('HR Track 1'!$AC$3:$AE$800,B17)+COUNTIF('HR Track 2'!$AC$3:$AE$717,B17)+COUNTIF('HR Track 3'!$AC$3:$AE$717,B17)+COUNTIF('HR Track 4'!$AC$3:$AE$717,B17)</f>
        <v>0</v>
      </c>
      <c r="E17" s="661"/>
      <c r="F17" s="1436" t="s">
        <v>3009</v>
      </c>
      <c r="G17" s="1436"/>
      <c r="H17" s="664">
        <f>COUNTIF('HR Track 1'!$AC$3:$AE$800,F17)+COUNTIF('HR Track 2'!$AC$3:$AE$717,F17)+COUNTIF('HR Track 3'!$AC$3:$AE$717,F17)+COUNTIF('HR Track 4'!$AC$3:$AE$717,F17)</f>
        <v>0</v>
      </c>
      <c r="I17" s="662"/>
      <c r="J17" s="1436" t="s">
        <v>3018</v>
      </c>
      <c r="K17" s="1436"/>
      <c r="L17" s="664">
        <f>COUNTIF('HR Track 1'!$AC$3:$AE$800,J17)+COUNTIF('HR Track 2'!$AC$3:$AE$717,J17)+COUNTIF('HR Track 3'!$AC$3:$AE$717,J17)+COUNTIF('HR Track 4'!$AC$3:$AE$717,J17)</f>
        <v>0</v>
      </c>
      <c r="M17" s="662"/>
      <c r="N17" s="665"/>
      <c r="O17" s="665"/>
      <c r="P17" s="661"/>
    </row>
    <row r="18" spans="2:16">
      <c r="B18" s="1436" t="s">
        <v>2618</v>
      </c>
      <c r="C18" s="1436"/>
      <c r="D18" s="664">
        <f>COUNTIF('HR Track 1'!$AC$3:$AE$800,B18)+COUNTIF('HR Track 2'!$AC$3:$AE$717,B18)+COUNTIF('HR Track 3'!$AC$3:$AE$717,B18)+COUNTIF('HR Track 4'!$AC$3:$AE$717,B18)</f>
        <v>0</v>
      </c>
      <c r="E18" s="661"/>
      <c r="F18" s="1436" t="s">
        <v>3005</v>
      </c>
      <c r="G18" s="1436"/>
      <c r="H18" s="664">
        <f>COUNTIF('HR Track 1'!$AC$3:$AE$800,F18)+COUNTIF('HR Track 2'!$AC$3:$AE$717,F18)+COUNTIF('HR Track 3'!$AC$3:$AE$717,F18)+COUNTIF('HR Track 4'!$AC$3:$AE$717,F18)</f>
        <v>11</v>
      </c>
      <c r="I18" s="662"/>
      <c r="J18" s="1436" t="s">
        <v>3004</v>
      </c>
      <c r="K18" s="1436"/>
      <c r="L18" s="664">
        <f>COUNTIF('HR Track 1'!$AC$3:$AE$800,J18)+COUNTIF('HR Track 2'!$AC$3:$AE$717,J18)+COUNTIF('HR Track 3'!$AC$3:$AE$717,J18)+COUNTIF('HR Track 4'!$AC$3:$AE$717,J18)</f>
        <v>5</v>
      </c>
      <c r="M18" s="662"/>
      <c r="N18" s="665"/>
      <c r="O18" s="665"/>
      <c r="P18" s="661"/>
    </row>
    <row r="19" spans="2:16">
      <c r="B19" s="1436" t="s">
        <v>2619</v>
      </c>
      <c r="C19" s="1436"/>
      <c r="D19" s="664">
        <f>COUNTIF('HR Track 1'!$AC$3:$AE$800,B19)+COUNTIF('HR Track 2'!$AC$3:$AE$717,B19)+COUNTIF('HR Track 3'!$AC$3:$AE$717,B19)+COUNTIF('HR Track 4'!$AC$3:$AE$717,B19)</f>
        <v>0</v>
      </c>
      <c r="E19" s="661"/>
      <c r="F19" s="1436" t="s">
        <v>3010</v>
      </c>
      <c r="G19" s="1436"/>
      <c r="H19" s="664">
        <f>COUNTIF('HR Track 1'!$AC$3:$AE$800,F19)+COUNTIF('HR Track 2'!$AC$3:$AE$717,F19)+COUNTIF('HR Track 3'!$AC$3:$AE$717,F19)+COUNTIF('HR Track 4'!$AC$3:$AE$717,F19)</f>
        <v>0</v>
      </c>
      <c r="I19" s="662"/>
      <c r="J19" s="1436" t="s">
        <v>3019</v>
      </c>
      <c r="K19" s="1436"/>
      <c r="L19" s="664">
        <f>COUNTIF('HR Track 1'!$AC$3:$AE$800,J19)+COUNTIF('HR Track 2'!$AC$3:$AE$717,J19)+COUNTIF('HR Track 3'!$AC$3:$AE$717,J19)+COUNTIF('HR Track 4'!$AC$3:$AE$717,J19)</f>
        <v>0</v>
      </c>
      <c r="M19" s="662"/>
    </row>
    <row r="20" spans="2:16">
      <c r="B20" s="1436" t="s">
        <v>2620</v>
      </c>
      <c r="C20" s="1436"/>
      <c r="D20" s="664">
        <f>COUNTIF('HR Track 1'!$AC$3:$AE$800,B20)+COUNTIF('HR Track 2'!$AC$3:$AE$717,B20)+COUNTIF('HR Track 3'!$AC$3:$AE$717,B20)+COUNTIF('HR Track 4'!$AC$3:$AE$717,B20)</f>
        <v>0</v>
      </c>
      <c r="E20" s="661"/>
      <c r="F20" s="1436" t="s">
        <v>3006</v>
      </c>
      <c r="G20" s="1436"/>
      <c r="H20" s="664">
        <f>COUNTIF('HR Track 1'!$AC$3:$AE$800,F20)+COUNTIF('HR Track 2'!$AC$3:$AE$717,F20)+COUNTIF('HR Track 3'!$AC$3:$AE$717,F20)+COUNTIF('HR Track 4'!$AC$3:$AE$717,F20)</f>
        <v>2</v>
      </c>
      <c r="I20" s="662"/>
      <c r="J20" s="1436" t="s">
        <v>3020</v>
      </c>
      <c r="K20" s="1436"/>
      <c r="L20" s="664">
        <f>COUNTIF('HR Track 1'!$AC$3:$AE$800,J20)+COUNTIF('HR Track 2'!$AC$3:$AE$717,J20)+COUNTIF('HR Track 3'!$AC$3:$AE$717,J20)+COUNTIF('HR Track 4'!$AC$3:$AE$717,J20)</f>
        <v>0</v>
      </c>
      <c r="M20" s="662"/>
    </row>
    <row r="21" spans="2:16">
      <c r="B21" s="1436" t="s">
        <v>2621</v>
      </c>
      <c r="C21" s="1436"/>
      <c r="D21" s="664">
        <f>COUNTIF('HR Track 1'!$AC$3:$AE$800,B21)+COUNTIF('HR Track 2'!$AC$3:$AE$717,B21)+COUNTIF('HR Track 3'!$AC$3:$AE$717,B21)+COUNTIF('HR Track 4'!$AC$3:$AE$717,B21)</f>
        <v>0</v>
      </c>
      <c r="E21" s="661"/>
      <c r="F21" s="1436" t="s">
        <v>3011</v>
      </c>
      <c r="G21" s="1436"/>
      <c r="H21" s="664">
        <f>COUNTIF('HR Track 1'!$AC$3:$AE$800,F21)+COUNTIF('HR Track 2'!$AC$3:$AE$717,F21)+COUNTIF('HR Track 3'!$AC$3:$AE$717,F21)+COUNTIF('HR Track 4'!$AC$3:$AE$717,F21)</f>
        <v>0</v>
      </c>
      <c r="I21" s="662"/>
      <c r="J21" s="1436" t="s">
        <v>3021</v>
      </c>
      <c r="K21" s="1436"/>
      <c r="L21" s="664">
        <f>COUNTIF('HR Track 1'!$AC$3:$AE$800,J21)+COUNTIF('HR Track 2'!$AC$3:$AE$717,J21)+COUNTIF('HR Track 3'!$AC$3:$AE$717,J21)+COUNTIF('HR Track 4'!$AC$3:$AE$717,J21)</f>
        <v>0</v>
      </c>
      <c r="M21" s="662"/>
    </row>
    <row r="22" spans="2:16">
      <c r="B22" s="1436" t="s">
        <v>2622</v>
      </c>
      <c r="C22" s="1436"/>
      <c r="D22" s="664">
        <f>COUNTIF('HR Track 1'!$AC$3:$AE$800,B22)+COUNTIF('HR Track 2'!$AC$3:$AE$717,B22)+COUNTIF('HR Track 3'!$AC$3:$AE$717,B22)+COUNTIF('HR Track 4'!$AC$3:$AE$717,B22)</f>
        <v>0</v>
      </c>
      <c r="E22" s="661"/>
      <c r="F22" s="1436" t="s">
        <v>3012</v>
      </c>
      <c r="G22" s="1436"/>
      <c r="H22" s="664">
        <f>COUNTIF('HR Track 1'!$AC$3:$AE$800,F22)+COUNTIF('HR Track 2'!$AC$3:$AE$717,F22)+COUNTIF('HR Track 3'!$AC$3:$AE$717,F22)+COUNTIF('HR Track 4'!$AC$3:$AE$717,F22)</f>
        <v>7</v>
      </c>
      <c r="I22" s="662"/>
      <c r="J22" s="1436" t="s">
        <v>3022</v>
      </c>
      <c r="K22" s="1436"/>
      <c r="L22" s="664">
        <f>COUNTIF('HR Track 1'!$AC$3:$AE$800,J22)+COUNTIF('HR Track 2'!$AC$3:$AE$717,J22)+COUNTIF('HR Track 3'!$AC$3:$AE$717,J22)+COUNTIF('HR Track 4'!$AC$3:$AE$717,J22)</f>
        <v>0</v>
      </c>
      <c r="M22" s="662"/>
      <c r="N22" s="665"/>
      <c r="O22" s="665"/>
      <c r="P22" s="661"/>
    </row>
    <row r="23" spans="2:16">
      <c r="B23" s="1436" t="s">
        <v>2623</v>
      </c>
      <c r="C23" s="1436"/>
      <c r="D23" s="664">
        <f>COUNTIF('HR Track 1'!$AC$3:$AE$800,B23)+COUNTIF('HR Track 2'!$AC$3:$AE$717,B23)+COUNTIF('HR Track 3'!$AC$3:$AE$717,B23)+COUNTIF('HR Track 4'!$AC$3:$AE$717,B23)</f>
        <v>2</v>
      </c>
      <c r="E23" s="661"/>
      <c r="F23" s="1436" t="s">
        <v>3026</v>
      </c>
      <c r="G23" s="1436"/>
      <c r="H23" s="664">
        <f>COUNTIF('HR Track 1'!$AC$3:$AE$800,F23)+COUNTIF('HR Track 2'!$AC$3:$AE$717,F23)+COUNTIF('HR Track 3'!$AC$3:$AE$717,F23)+COUNTIF('HR Track 4'!$AC$3:$AE$717,F23)</f>
        <v>1</v>
      </c>
      <c r="I23" s="662"/>
      <c r="J23" s="1436" t="s">
        <v>3024</v>
      </c>
      <c r="K23" s="1436"/>
      <c r="L23" s="664">
        <f>COUNTIF('HR Track 1'!$AC$3:$AE$800,J23)+COUNTIF('HR Track 2'!$AC$3:$AE$717,J23)+COUNTIF('HR Track 3'!$AC$3:$AE$717,J23)+COUNTIF('HR Track 4'!$AC$3:$AE$717,J23)</f>
        <v>8</v>
      </c>
      <c r="M23" s="662"/>
      <c r="N23" s="665"/>
      <c r="O23" s="665"/>
      <c r="P23" s="661"/>
    </row>
    <row r="24" spans="2:16">
      <c r="B24" s="661"/>
      <c r="C24" s="661"/>
      <c r="D24" s="661"/>
      <c r="E24" s="661"/>
      <c r="F24" s="1436" t="s">
        <v>3013</v>
      </c>
      <c r="G24" s="1436"/>
      <c r="H24" s="664">
        <f>COUNTIF('HR Track 1'!$AC$3:$AE$800,F24)+COUNTIF('HR Track 2'!$AC$3:$AE$717,F24)+COUNTIF('HR Track 3'!$AC$3:$AE$717,F24)+COUNTIF('HR Track 4'!$AC$3:$AE$717,F24)</f>
        <v>0</v>
      </c>
      <c r="I24" s="662"/>
      <c r="J24" s="1436" t="s">
        <v>3023</v>
      </c>
      <c r="K24" s="1436"/>
      <c r="L24" s="664">
        <f>COUNTIF('HR Track 1'!$AC$3:$AE$800,J24)+COUNTIF('HR Track 2'!$AC$3:$AE$717,J24)+COUNTIF('HR Track 3'!$AC$3:$AE$717,J24)+COUNTIF('HR Track 4'!$AC$3:$AE$717,J24)</f>
        <v>0</v>
      </c>
      <c r="M24" s="662"/>
      <c r="N24" s="665"/>
      <c r="O24" s="665"/>
      <c r="P24" s="661"/>
    </row>
    <row r="28" spans="2:16">
      <c r="B28" s="1391" t="s">
        <v>2522</v>
      </c>
      <c r="C28" s="1391"/>
      <c r="D28" s="1391"/>
      <c r="E28" s="1391"/>
      <c r="F28" s="1391"/>
      <c r="G28" s="1391"/>
      <c r="H28" s="1391"/>
    </row>
    <row r="29" spans="2:16">
      <c r="B29" s="661"/>
      <c r="C29" s="666"/>
      <c r="D29" s="661"/>
    </row>
    <row r="30" spans="2:16" ht="13.8" thickBot="1">
      <c r="B30" s="661"/>
      <c r="C30" s="661"/>
      <c r="D30" s="666"/>
    </row>
    <row r="31" spans="2:16" ht="14.4" thickBot="1">
      <c r="B31" s="1351" t="s">
        <v>691</v>
      </c>
      <c r="C31" s="1352"/>
      <c r="D31" s="1353"/>
    </row>
    <row r="32" spans="2:16" ht="14.4" thickBot="1">
      <c r="B32" s="535" t="s">
        <v>665</v>
      </c>
      <c r="C32" s="535" t="s">
        <v>666</v>
      </c>
      <c r="D32" s="535" t="s">
        <v>667</v>
      </c>
    </row>
    <row r="33" spans="2:12">
      <c r="B33" s="666" t="s">
        <v>2611</v>
      </c>
      <c r="C33" s="661"/>
      <c r="D33" s="661"/>
    </row>
    <row r="41" spans="2:12">
      <c r="B41" s="62"/>
      <c r="C41" s="62"/>
      <c r="D41" s="62"/>
      <c r="F41" s="62"/>
      <c r="G41" s="62"/>
      <c r="H41" s="62"/>
    </row>
    <row r="42" spans="2:12">
      <c r="J42" s="62"/>
      <c r="K42" s="62"/>
      <c r="L42" s="62"/>
    </row>
  </sheetData>
  <mergeCells count="57">
    <mergeCell ref="N16:O16"/>
    <mergeCell ref="B5:C5"/>
    <mergeCell ref="B4:C4"/>
    <mergeCell ref="B3:C3"/>
    <mergeCell ref="B6:C6"/>
    <mergeCell ref="J9:L10"/>
    <mergeCell ref="J11:K11"/>
    <mergeCell ref="J12:K12"/>
    <mergeCell ref="J13:K13"/>
    <mergeCell ref="B14:C14"/>
    <mergeCell ref="F14:G14"/>
    <mergeCell ref="J14:K14"/>
    <mergeCell ref="B15:C15"/>
    <mergeCell ref="F15:G15"/>
    <mergeCell ref="J15:K15"/>
    <mergeCell ref="N9:P10"/>
    <mergeCell ref="B31:D31"/>
    <mergeCell ref="B28:H28"/>
    <mergeCell ref="B9:D10"/>
    <mergeCell ref="F9:H10"/>
    <mergeCell ref="B13:C13"/>
    <mergeCell ref="F13:G13"/>
    <mergeCell ref="B16:C16"/>
    <mergeCell ref="F16:G16"/>
    <mergeCell ref="B17:C17"/>
    <mergeCell ref="F17:G17"/>
    <mergeCell ref="B18:C18"/>
    <mergeCell ref="F18:G18"/>
    <mergeCell ref="B11:C11"/>
    <mergeCell ref="F11:G11"/>
    <mergeCell ref="B12:C12"/>
    <mergeCell ref="F12:G12"/>
    <mergeCell ref="B22:C22"/>
    <mergeCell ref="F22:G22"/>
    <mergeCell ref="B23:C23"/>
    <mergeCell ref="F24:G24"/>
    <mergeCell ref="B19:C19"/>
    <mergeCell ref="F19:G19"/>
    <mergeCell ref="B20:C20"/>
    <mergeCell ref="F20:G20"/>
    <mergeCell ref="B21:C21"/>
    <mergeCell ref="F21:G21"/>
    <mergeCell ref="F23:G23"/>
    <mergeCell ref="N11:O11"/>
    <mergeCell ref="N12:O12"/>
    <mergeCell ref="N15:O15"/>
    <mergeCell ref="N13:O13"/>
    <mergeCell ref="N14:O14"/>
    <mergeCell ref="J20:K20"/>
    <mergeCell ref="J21:K21"/>
    <mergeCell ref="J22:K22"/>
    <mergeCell ref="J24:K24"/>
    <mergeCell ref="J16:K16"/>
    <mergeCell ref="J17:K17"/>
    <mergeCell ref="J18:K18"/>
    <mergeCell ref="J19:K19"/>
    <mergeCell ref="J23:K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16</vt:i4>
      </vt:variant>
      <vt:variant>
        <vt:lpstr>Rangos con nombre</vt:lpstr>
      </vt:variant>
      <vt:variant>
        <vt:i4>59</vt:i4>
      </vt:variant>
    </vt:vector>
  </HeadingPairs>
  <TitlesOfParts>
    <vt:vector size="75" baseType="lpstr">
      <vt:lpstr>Revision data</vt:lpstr>
      <vt:lpstr>HR Track 1</vt:lpstr>
      <vt:lpstr>HR Track 2</vt:lpstr>
      <vt:lpstr>HR Track 3</vt:lpstr>
      <vt:lpstr>HR Track 4</vt:lpstr>
      <vt:lpstr>HR Track 5</vt:lpstr>
      <vt:lpstr>HR Track 6</vt:lpstr>
      <vt:lpstr>Foundation Calculation</vt:lpstr>
      <vt:lpstr>CW&amp;MW Drums</vt:lpstr>
      <vt:lpstr>control</vt:lpstr>
      <vt:lpstr>Recuento Conjuntos</vt:lpstr>
      <vt:lpstr>Recuento Especiales</vt:lpstr>
      <vt:lpstr>Mediciones TOTAL</vt:lpstr>
      <vt:lpstr>Recuento Conjuntos-OLD</vt:lpstr>
      <vt:lpstr>Mediciones TOTAL-OLD</vt:lpstr>
      <vt:lpstr>Arms</vt:lpstr>
      <vt:lpstr>control!Área_de_impresión</vt:lpstr>
      <vt:lpstr>'CW&amp;MW Drums'!Área_de_impresión</vt:lpstr>
      <vt:lpstr>'HR Track 1'!Área_de_impresión</vt:lpstr>
      <vt:lpstr>'HR Track 2'!Área_de_impresión</vt:lpstr>
      <vt:lpstr>'HR Track 3'!Área_de_impresión</vt:lpstr>
      <vt:lpstr>'HR Track 4'!Área_de_impresión</vt:lpstr>
      <vt:lpstr>'HR Track 5'!Área_de_impresión</vt:lpstr>
      <vt:lpstr>'HR Track 6'!Área_de_impresión</vt:lpstr>
      <vt:lpstr>'Mediciones TOTAL'!Área_de_impresión</vt:lpstr>
      <vt:lpstr>'Mediciones TOTAL-OLD'!Área_de_impresión</vt:lpstr>
      <vt:lpstr>'Recuento Conjuntos'!Área_de_impresión</vt:lpstr>
      <vt:lpstr>'Recuento Conjuntos-OLD'!Área_de_impresión</vt:lpstr>
      <vt:lpstr>'Revision data'!Área_de_impresión</vt:lpstr>
      <vt:lpstr>'Revision data'!Area_S1</vt:lpstr>
      <vt:lpstr>Area_S1</vt:lpstr>
      <vt:lpstr>Area_S2</vt:lpstr>
      <vt:lpstr>Area_S3</vt:lpstr>
      <vt:lpstr>Area_S4</vt:lpstr>
      <vt:lpstr>'Revision data'!Area_v1</vt:lpstr>
      <vt:lpstr>Area_v1</vt:lpstr>
      <vt:lpstr>Area_v2</vt:lpstr>
      <vt:lpstr>Area_v3</vt:lpstr>
      <vt:lpstr>Area_v4</vt:lpstr>
      <vt:lpstr>Area_v5</vt:lpstr>
      <vt:lpstr>Area_v6</vt:lpstr>
      <vt:lpstr>'Revision data'!cantones_v1</vt:lpstr>
      <vt:lpstr>cantones_v1</vt:lpstr>
      <vt:lpstr>cantones_v2</vt:lpstr>
      <vt:lpstr>cantones_v3</vt:lpstr>
      <vt:lpstr>cantones_v4</vt:lpstr>
      <vt:lpstr>cantones_v5</vt:lpstr>
      <vt:lpstr>cantones_v6</vt:lpstr>
      <vt:lpstr>'Revision data'!m2_v1</vt:lpstr>
      <vt:lpstr>m2_v1</vt:lpstr>
      <vt:lpstr>m2_v2</vt:lpstr>
      <vt:lpstr>m2_v3</vt:lpstr>
      <vt:lpstr>m2_v4</vt:lpstr>
      <vt:lpstr>m2_v5</vt:lpstr>
      <vt:lpstr>m2_v6</vt:lpstr>
      <vt:lpstr>'Mediciones TOTAL'!Print_Area</vt:lpstr>
      <vt:lpstr>'Recuento Conjuntos'!Print_Area</vt:lpstr>
      <vt:lpstr>'Mediciones TOTAL'!Print_Titles</vt:lpstr>
      <vt:lpstr>'Recuento Conjuntos'!Print_Titles</vt:lpstr>
      <vt:lpstr>'HR Track 1'!Títulos_a_imprimir</vt:lpstr>
      <vt:lpstr>'HR Track 2'!Títulos_a_imprimir</vt:lpstr>
      <vt:lpstr>'HR Track 3'!Títulos_a_imprimir</vt:lpstr>
      <vt:lpstr>'HR Track 4'!Títulos_a_imprimir</vt:lpstr>
      <vt:lpstr>'HR Track 5'!Títulos_a_imprimir</vt:lpstr>
      <vt:lpstr>'HR Track 6'!Títulos_a_imprimir</vt:lpstr>
      <vt:lpstr>'Mediciones TOTAL'!Títulos_a_imprimir</vt:lpstr>
      <vt:lpstr>'Mediciones TOTAL-OLD'!Títulos_a_imprimir</vt:lpstr>
      <vt:lpstr>'Recuento Conjuntos'!Títulos_a_imprimir</vt:lpstr>
      <vt:lpstr>'Recuento Conjuntos-OLD'!Títulos_a_imprimir</vt:lpstr>
      <vt:lpstr>'Revision data'!Títulos_a_imprimir</vt:lpstr>
      <vt:lpstr>'Revision data'!Vanos_v1</vt:lpstr>
      <vt:lpstr>Vanos_v1</vt:lpstr>
      <vt:lpstr>vanos_v2</vt:lpstr>
      <vt:lpstr>vanos_v3</vt:lpstr>
      <vt:lpstr>vanos_v4</vt:lpstr>
    </vt:vector>
  </TitlesOfParts>
  <Company>aaa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B15PFX</dc:creator>
  <cp:lastModifiedBy>ALEJANDRO GUERRERO EGIDO</cp:lastModifiedBy>
  <cp:lastPrinted>2019-03-28T10:20:34Z</cp:lastPrinted>
  <dcterms:created xsi:type="dcterms:W3CDTF">2004-11-10T08:21:46Z</dcterms:created>
  <dcterms:modified xsi:type="dcterms:W3CDTF">2025-07-29T13:36:50Z</dcterms:modified>
</cp:coreProperties>
</file>