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d50da7730b885/Documents/TOU_analysis/"/>
    </mc:Choice>
  </mc:AlternateContent>
  <xr:revisionPtr revIDLastSave="261" documentId="8_{F0E87120-3E09-C340-AB62-B85760477DED}" xr6:coauthVersionLast="47" xr6:coauthVersionMax="47" xr10:uidLastSave="{34AB12F5-9F28-1A48-9CB8-D831EA17DABA}"/>
  <bookViews>
    <workbookView xWindow="180" yWindow="2540" windowWidth="32160" windowHeight="23820" xr2:uid="{1A87D379-06A0-BC40-A650-8DF4C831EFEF}"/>
  </bookViews>
  <sheets>
    <sheet name="Xcel TOU vs. Flat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M25" i="1"/>
  <c r="L25" i="1"/>
  <c r="L46" i="1" s="1"/>
  <c r="L47" i="1" s="1"/>
  <c r="K25" i="1"/>
  <c r="J25" i="1"/>
  <c r="I25" i="1"/>
  <c r="I46" i="1" s="1"/>
  <c r="I47" i="1" s="1"/>
  <c r="H25" i="1"/>
  <c r="H46" i="1" s="1"/>
  <c r="H47" i="1" s="1"/>
  <c r="G25" i="1"/>
  <c r="F25" i="1"/>
  <c r="E25" i="1"/>
  <c r="D25" i="1"/>
  <c r="D46" i="1" s="1"/>
  <c r="O24" i="1"/>
  <c r="N24" i="1"/>
  <c r="M24" i="1"/>
  <c r="L24" i="1"/>
  <c r="K24" i="1"/>
  <c r="J24" i="1"/>
  <c r="I24" i="1"/>
  <c r="H24" i="1"/>
  <c r="G24" i="1"/>
  <c r="F24" i="1"/>
  <c r="E24" i="1"/>
  <c r="D24" i="1"/>
  <c r="O22" i="1"/>
  <c r="N22" i="1"/>
  <c r="M22" i="1"/>
  <c r="L22" i="1"/>
  <c r="K22" i="1"/>
  <c r="J22" i="1"/>
  <c r="I22" i="1"/>
  <c r="H22" i="1"/>
  <c r="G22" i="1"/>
  <c r="G46" i="1" s="1"/>
  <c r="G47" i="1" s="1"/>
  <c r="F22" i="1"/>
  <c r="F46" i="1" s="1"/>
  <c r="F47" i="1" s="1"/>
  <c r="E22" i="1"/>
  <c r="E46" i="1" s="1"/>
  <c r="E47" i="1" s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C46" i="1"/>
  <c r="C43" i="1"/>
  <c r="B46" i="1"/>
  <c r="B43" i="1"/>
  <c r="D54" i="1"/>
  <c r="D55" i="1" s="1"/>
  <c r="O54" i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40" i="1"/>
  <c r="D45" i="1" s="1"/>
  <c r="O55" i="1"/>
  <c r="E40" i="1"/>
  <c r="E45" i="1" s="1"/>
  <c r="F40" i="1"/>
  <c r="F45" i="1" s="1"/>
  <c r="G40" i="1"/>
  <c r="G45" i="1" s="1"/>
  <c r="H40" i="1"/>
  <c r="H45" i="1" s="1"/>
  <c r="I40" i="1"/>
  <c r="I45" i="1" s="1"/>
  <c r="J40" i="1"/>
  <c r="J45" i="1" s="1"/>
  <c r="K40" i="1"/>
  <c r="K45" i="1" s="1"/>
  <c r="L40" i="1"/>
  <c r="L45" i="1" s="1"/>
  <c r="M40" i="1"/>
  <c r="M45" i="1" s="1"/>
  <c r="N40" i="1"/>
  <c r="N45" i="1" s="1"/>
  <c r="O40" i="1"/>
  <c r="O45" i="1" s="1"/>
  <c r="J46" i="1"/>
  <c r="J47" i="1" s="1"/>
  <c r="K46" i="1"/>
  <c r="K47" i="1" s="1"/>
  <c r="M46" i="1"/>
  <c r="M47" i="1" s="1"/>
  <c r="N46" i="1"/>
  <c r="N47" i="1" s="1"/>
  <c r="O46" i="1"/>
  <c r="O47" i="1" s="1"/>
  <c r="P35" i="1"/>
  <c r="O34" i="1"/>
  <c r="O39" i="1" s="1"/>
  <c r="O42" i="1" s="1"/>
  <c r="N34" i="1"/>
  <c r="N39" i="1" s="1"/>
  <c r="N42" i="1" s="1"/>
  <c r="M34" i="1"/>
  <c r="M39" i="1" s="1"/>
  <c r="M42" i="1" s="1"/>
  <c r="L34" i="1"/>
  <c r="L39" i="1" s="1"/>
  <c r="L42" i="1" s="1"/>
  <c r="K34" i="1"/>
  <c r="K39" i="1" s="1"/>
  <c r="K42" i="1" s="1"/>
  <c r="J34" i="1"/>
  <c r="J39" i="1" s="1"/>
  <c r="J42" i="1" s="1"/>
  <c r="I34" i="1"/>
  <c r="I39" i="1" s="1"/>
  <c r="I42" i="1" s="1"/>
  <c r="H34" i="1"/>
  <c r="H39" i="1" s="1"/>
  <c r="H42" i="1" s="1"/>
  <c r="G34" i="1"/>
  <c r="G39" i="1" s="1"/>
  <c r="G42" i="1" s="1"/>
  <c r="F34" i="1"/>
  <c r="F39" i="1" s="1"/>
  <c r="F42" i="1" s="1"/>
  <c r="E34" i="1"/>
  <c r="E39" i="1" s="1"/>
  <c r="E42" i="1" s="1"/>
  <c r="D34" i="1"/>
  <c r="D39" i="1" s="1"/>
  <c r="D42" i="1" s="1"/>
  <c r="O16" i="1"/>
  <c r="N16" i="1"/>
  <c r="M16" i="1"/>
  <c r="M43" i="1" s="1"/>
  <c r="M44" i="1" s="1"/>
  <c r="L16" i="1"/>
  <c r="K16" i="1"/>
  <c r="J16" i="1"/>
  <c r="I16" i="1"/>
  <c r="H16" i="1"/>
  <c r="G16" i="1"/>
  <c r="F16" i="1"/>
  <c r="E16" i="1"/>
  <c r="D16" i="1"/>
  <c r="P17" i="1"/>
  <c r="D47" i="1" l="1"/>
  <c r="L43" i="1"/>
  <c r="L44" i="1" s="1"/>
  <c r="K43" i="1"/>
  <c r="K44" i="1" s="1"/>
  <c r="K48" i="1" s="1"/>
  <c r="G43" i="1"/>
  <c r="G44" i="1" s="1"/>
  <c r="D26" i="1"/>
  <c r="L48" i="1"/>
  <c r="P46" i="1"/>
  <c r="J26" i="1"/>
  <c r="J43" i="1"/>
  <c r="J44" i="1" s="1"/>
  <c r="D43" i="1"/>
  <c r="D44" i="1" s="1"/>
  <c r="M26" i="1"/>
  <c r="L26" i="1"/>
  <c r="P25" i="1"/>
  <c r="P45" i="1"/>
  <c r="G26" i="1" l="1"/>
  <c r="K26" i="1"/>
  <c r="M48" i="1"/>
  <c r="G48" i="1"/>
  <c r="P47" i="1"/>
  <c r="D48" i="1"/>
  <c r="J48" i="1"/>
  <c r="N26" i="1"/>
  <c r="N43" i="1"/>
  <c r="O26" i="1"/>
  <c r="O43" i="1"/>
  <c r="I26" i="1"/>
  <c r="I43" i="1"/>
  <c r="F26" i="1"/>
  <c r="F43" i="1"/>
  <c r="E26" i="1"/>
  <c r="E43" i="1"/>
  <c r="H26" i="1"/>
  <c r="H43" i="1"/>
  <c r="P24" i="1"/>
  <c r="P26" i="1" l="1"/>
  <c r="R26" i="1" s="1"/>
  <c r="H44" i="1"/>
  <c r="H48" i="1" s="1"/>
  <c r="E44" i="1"/>
  <c r="F44" i="1"/>
  <c r="F48" i="1" s="1"/>
  <c r="N44" i="1"/>
  <c r="N48" i="1" s="1"/>
  <c r="I44" i="1"/>
  <c r="I48" i="1" s="1"/>
  <c r="O44" i="1"/>
  <c r="O48" i="1" s="1"/>
  <c r="P43" i="1"/>
  <c r="P42" i="1"/>
  <c r="P44" i="1" l="1"/>
  <c r="P48" i="1" s="1"/>
  <c r="R48" i="1" s="1"/>
  <c r="E48" i="1"/>
</calcChain>
</file>

<file path=xl/sharedStrings.xml><?xml version="1.0" encoding="utf-8"?>
<sst xmlns="http://schemas.openxmlformats.org/spreadsheetml/2006/main" count="83" uniqueCount="59">
  <si>
    <t>Time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</si>
  <si>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</si>
  <si>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</si>
  <si>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</si>
  <si>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</si>
  <si>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</si>
  <si>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</si>
  <si>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</si>
  <si>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</si>
  <si>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</si>
  <si>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</si>
  <si>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</si>
  <si>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</si>
  <si>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Xcel Denver rates as of 10/1/2025</t>
  </si>
  <si>
    <t>Notes</t>
  </si>
  <si>
    <t>this is the effective or blended rate you'd pay per kWh on Time of Use (TOU) pricing</t>
  </si>
  <si>
    <t>gross consumption - aka, the total amount of power your household consumed from the grid and solar if you have it</t>
  </si>
  <si>
    <t>this is what you'd pay on TOU pricing</t>
  </si>
  <si>
    <t>this is what you'd pay with flat rate pricing</t>
  </si>
  <si>
    <t>input the total amount of energy your panels should produce for the given month</t>
  </si>
  <si>
    <t>input the percentage of energy you expect to be produced during the given month</t>
  </si>
  <si>
    <t>Input the percentage of energy you expect to be consumed in on-peak hours for the given month</t>
  </si>
  <si>
    <t>5 - 9 pm on weekdays, weekends are excluded</t>
  </si>
  <si>
    <t>TOU on-peak</t>
  </si>
  <si>
    <t>TOU off-peak</t>
  </si>
  <si>
    <t>Flat Rate</t>
  </si>
  <si>
    <t>Usage Forecast Inputs</t>
  </si>
  <si>
    <t xml:space="preserve">Total Energy Consumed </t>
  </si>
  <si>
    <t>$/kWh</t>
  </si>
  <si>
    <t>%</t>
  </si>
  <si>
    <t>On-Peak Usage</t>
  </si>
  <si>
    <t>Off-Peak Usage</t>
  </si>
  <si>
    <t>kWh</t>
  </si>
  <si>
    <t>Blended TOU Rate</t>
  </si>
  <si>
    <t>Ref: Flat Rate</t>
  </si>
  <si>
    <t>TOU Cost (Rate x Usage)</t>
  </si>
  <si>
    <t>$</t>
  </si>
  <si>
    <t>Flat Rate Cost (Rate X Usage)</t>
  </si>
  <si>
    <t>Difference (TOU - Flat)</t>
  </si>
  <si>
    <t>Cost Comparison</t>
  </si>
  <si>
    <t>Usage Cost Forecast</t>
  </si>
  <si>
    <t>Indifference Point</t>
  </si>
  <si>
    <t xml:space="preserve">Total Energy Produced </t>
  </si>
  <si>
    <t>TOU Revenue (Rate x Usage)</t>
  </si>
  <si>
    <t>Flat Rate Revenue (Rate X Usage)</t>
  </si>
  <si>
    <t>This is the amount of bill credits in USD that you'd receive (assumes you use the solar rollover bank option)</t>
  </si>
  <si>
    <t>Data last updated: 10.1.2025</t>
  </si>
  <si>
    <t>Data sourced from the Xcel TOU price table ↗</t>
  </si>
  <si>
    <t>Usage and more information at: https://github.com/alexwelch/xcel-tou-analysis/</t>
  </si>
  <si>
    <t>Production Forecast Inputs</t>
  </si>
  <si>
    <t>On-Peak Production</t>
  </si>
  <si>
    <t>Off-Peak Production</t>
  </si>
  <si>
    <t>Revenue Comparison</t>
  </si>
  <si>
    <t xml:space="preserve">Production Credit ($) Forecast </t>
  </si>
  <si>
    <t>Assumes solar credit bank election</t>
  </si>
  <si>
    <t>Net TOU Cost</t>
  </si>
  <si>
    <t>Net Flat Rate Cost</t>
  </si>
  <si>
    <t>I.E. the on-peak/off-peak mix at which TOU and Flat Rate cost the same</t>
  </si>
  <si>
    <t>*** SOLAR OWNERS: Expand the section below. Non-solar users can collapse this section.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</si>
</sst>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0000_);_(* \(#,##0.00000\);_(* &quot;-&quot;??_);_(@_)"/>
    <numFmt numFmtId="166" formatCode="0.0%"/>
  </numFmts>
  <fonts count="2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name val="Aptos Narrow"/>
      <scheme val="minor"/>
    </font>
    <font>
      <i/>
      <sz val="12"/>
      <color theme="1" tint="0.499984740745262"/>
      <name val="Aptos Narrow"/>
      <scheme val="minor"/>
    </font>
    <font>
      <b/>
      <sz val="1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4">
    <xf numFmtId="0" fontId="0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6" fillId="12" borderId="0" xfId="10" applyFont="1" applyFill="1" applyAlignment="1"/>
    <xf numFmtId="0" fontId="8" fillId="12" borderId="0" xfId="10" applyFont="1" applyFill="1" applyAlignment="1"/>
    <xf numFmtId="0" fontId="1" fillId="13" borderId="0" xfId="0" applyFont="1" applyFill="1"/>
    <xf numFmtId="0" fontId="6" fillId="13" borderId="0" xfId="10" applyFont="1" applyFill="1" applyAlignment="1"/>
    <xf numFmtId="0" fontId="8" fillId="13" borderId="0" xfId="10" applyFont="1" applyFill="1" applyAlignment="1"/>
    <xf numFmtId="0" fontId="7" fillId="0" borderId="5" xfId="9" applyFont="1" applyFill="1" applyBorder="1"/>
    <xf numFmtId="164" fontId="11" fillId="0" borderId="5" xfId="8" applyNumberFormat="1" applyFont="1" applyFill="1" applyBorder="1" applyAlignment="1">
      <alignment horizontal="center" vertical="center"/>
    </xf>
    <xf numFmtId="0" fontId="7" fillId="0" borderId="5" xfId="7" applyFont="1" applyFill="1" applyBorder="1"/>
    <xf numFmtId="164" fontId="11" fillId="0" borderId="5" xfId="6" applyNumberFormat="1" applyFont="1" applyFill="1" applyBorder="1" applyAlignment="1">
      <alignment horizontal="center" vertical="center"/>
    </xf>
    <xf numFmtId="0" fontId="7" fillId="13" borderId="0" xfId="12" applyFont="1" applyFill="1"/>
    <xf numFmtId="0" fontId="7" fillId="13" borderId="0" xfId="9" applyFont="1" applyFill="1"/>
    <xf numFmtId="0" fontId="7" fillId="0" borderId="0" xfId="0" applyFont="1"/>
    <xf numFmtId="0" fontId="10" fillId="0" borderId="0" xfId="0" applyFont="1" applyAlignment="1">
      <alignment horizontal="center" vertical="center"/>
    </xf>
    <xf numFmtId="9" fontId="11" fillId="11" borderId="5" xfId="4" applyNumberFormat="1" applyFont="1" applyFill="1" applyBorder="1"/>
    <xf numFmtId="9" fontId="12" fillId="11" borderId="5" xfId="5" applyNumberFormat="1" applyFont="1" applyFill="1" applyBorder="1"/>
    <xf numFmtId="0" fontId="11" fillId="11" borderId="5" xfId="4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6" fillId="12" borderId="0" xfId="10" applyFont="1" applyFill="1" applyAlignment="1">
      <alignment horizontal="center" vertical="center"/>
    </xf>
    <xf numFmtId="0" fontId="6" fillId="13" borderId="0" xfId="10" applyFont="1" applyFill="1" applyAlignment="1">
      <alignment horizontal="center" vertical="center"/>
    </xf>
    <xf numFmtId="0" fontId="10" fillId="13" borderId="0" xfId="12" applyFont="1" applyFill="1" applyAlignment="1">
      <alignment horizontal="center" vertical="center"/>
    </xf>
    <xf numFmtId="0" fontId="10" fillId="0" borderId="0" xfId="12" applyFont="1" applyFill="1" applyBorder="1" applyAlignment="1">
      <alignment horizontal="center" vertical="center"/>
    </xf>
    <xf numFmtId="0" fontId="7" fillId="13" borderId="0" xfId="7" applyFont="1" applyFill="1"/>
    <xf numFmtId="165" fontId="12" fillId="13" borderId="5" xfId="5" applyNumberFormat="1" applyFont="1" applyFill="1" applyBorder="1"/>
    <xf numFmtId="43" fontId="9" fillId="3" borderId="5" xfId="5" applyNumberFormat="1" applyFont="1" applyBorder="1"/>
    <xf numFmtId="0" fontId="9" fillId="0" borderId="4" xfId="10" applyFont="1" applyFill="1" applyBorder="1" applyAlignment="1"/>
    <xf numFmtId="0" fontId="6" fillId="0" borderId="4" xfId="10" applyFont="1" applyFill="1" applyBorder="1" applyAlignment="1">
      <alignment horizontal="center" vertical="center"/>
    </xf>
    <xf numFmtId="0" fontId="8" fillId="0" borderId="4" xfId="10" applyFont="1" applyFill="1" applyBorder="1" applyAlignment="1"/>
    <xf numFmtId="165" fontId="12" fillId="13" borderId="0" xfId="5" applyNumberFormat="1" applyFont="1" applyFill="1" applyBorder="1"/>
    <xf numFmtId="0" fontId="14" fillId="14" borderId="6" xfId="3" applyFont="1" applyFill="1" applyBorder="1" applyAlignment="1">
      <alignment horizontal="center" vertical="center"/>
    </xf>
    <xf numFmtId="0" fontId="6" fillId="14" borderId="6" xfId="3" applyFont="1" applyFill="1" applyBorder="1"/>
    <xf numFmtId="0" fontId="6" fillId="14" borderId="6" xfId="3" applyFont="1" applyFill="1" applyBorder="1" applyAlignment="1">
      <alignment horizontal="center" vertical="center"/>
    </xf>
    <xf numFmtId="0" fontId="7" fillId="0" borderId="5" xfId="12" applyFont="1" applyFill="1" applyBorder="1"/>
    <xf numFmtId="0" fontId="10" fillId="0" borderId="5" xfId="12" applyFont="1" applyFill="1" applyBorder="1" applyAlignment="1">
      <alignment horizontal="center" vertical="center"/>
    </xf>
    <xf numFmtId="164" fontId="11" fillId="0" borderId="5" xfId="11" applyNumberFormat="1" applyFont="1" applyFill="1" applyBorder="1" applyAlignment="1">
      <alignment horizontal="center" vertical="center"/>
    </xf>
    <xf numFmtId="43" fontId="9" fillId="3" borderId="3" xfId="5" applyNumberFormat="1" applyFont="1"/>
    <xf numFmtId="43" fontId="9" fillId="3" borderId="7" xfId="5" applyNumberFormat="1" applyFont="1" applyBorder="1"/>
    <xf numFmtId="43" fontId="9" fillId="3" borderId="8" xfId="5" applyNumberFormat="1" applyFont="1" applyBorder="1"/>
    <xf numFmtId="43" fontId="13" fillId="0" borderId="0" xfId="2" applyFont="1" applyFill="1" applyBorder="1"/>
    <xf numFmtId="43" fontId="13" fillId="0" borderId="0" xfId="5" applyNumberFormat="1" applyFont="1" applyFill="1" applyBorder="1"/>
    <xf numFmtId="166" fontId="1" fillId="15" borderId="5" xfId="4" applyNumberFormat="1" applyFont="1" applyFill="1" applyBorder="1"/>
    <xf numFmtId="166" fontId="12" fillId="15" borderId="5" xfId="5" applyNumberFormat="1" applyFont="1" applyFill="1" applyBorder="1"/>
    <xf numFmtId="0" fontId="15" fillId="0" borderId="0" xfId="13"/>
    <xf numFmtId="0" fontId="17" fillId="0" borderId="0" xfId="0" applyFont="1"/>
    <xf numFmtId="0" fontId="15" fillId="0" borderId="0" xfId="13" applyAlignment="1">
      <alignment horizontal="center"/>
    </xf>
    <xf numFmtId="0" fontId="18" fillId="0" borderId="0" xfId="0" applyFont="1"/>
    <xf numFmtId="0" fontId="19" fillId="0" borderId="0" xfId="0" applyFont="1"/>
    <xf numFmtId="43" fontId="20" fillId="0" borderId="5" xfId="5" applyNumberFormat="1" applyFont="1" applyFill="1" applyBorder="1"/>
    <xf numFmtId="43" fontId="20" fillId="0" borderId="7" xfId="5" applyNumberFormat="1" applyFont="1" applyFill="1" applyBorder="1"/>
    <xf numFmtId="43" fontId="20" fillId="0" borderId="8" xfId="5" applyNumberFormat="1" applyFont="1" applyFill="1" applyBorder="1"/>
    <xf numFmtId="43" fontId="20" fillId="0" borderId="9" xfId="5" applyNumberFormat="1" applyFont="1" applyFill="1" applyBorder="1"/>
    <xf numFmtId="43" fontId="9" fillId="3" borderId="10" xfId="5" applyNumberFormat="1" applyFont="1" applyBorder="1"/>
    <xf numFmtId="0" fontId="16" fillId="0" borderId="0" xfId="1"/>
    <xf numFmtId="0" fontId="16" fillId="0" borderId="0" xfId="1" applyAlignment="1">
      <alignment horizontal="center" vertical="center"/>
    </xf>
    <xf numFmtId="0" fontId="21" fillId="0" borderId="0" xfId="0" applyFont="1" applyAlignment="1">
      <alignment horizontal="center"/>
    </xf>
    <xf numFmtId="43" fontId="1" fillId="0" borderId="0" xfId="0" applyNumberFormat="1" applyFont="1" applyAlignment="1">
      <alignment horizontal="left"/>
    </xf>
    <xf numFmtId="43" fontId="20" fillId="0" borderId="0" xfId="2" applyFont="1" applyFill="1" applyBorder="1"/>
    <xf numFmtId="43" fontId="22" fillId="16" borderId="9" xfId="5" applyNumberFormat="1" applyFont="1" applyFill="1" applyBorder="1"/>
    <xf numFmtId="43" fontId="22" fillId="16" borderId="9" xfId="2" applyFont="1" applyFill="1" applyBorder="1"/>
  </cellXfs>
  <cellStyles count="14">
    <cellStyle name="20% - Accent2" xfId="6" builtinId="34"/>
    <cellStyle name="20% - Accent3" xfId="8" builtinId="38"/>
    <cellStyle name="20% - Accent4" xfId="10" builtinId="42"/>
    <cellStyle name="20% - Accent5" xfId="11" builtinId="46"/>
    <cellStyle name="40% - Accent2" xfId="7" builtinId="35"/>
    <cellStyle name="40% - Accent3" xfId="9" builtinId="39"/>
    <cellStyle name="40% - Accent5" xfId="12" builtinId="47"/>
    <cellStyle name="Comma" xfId="2" builtinId="3"/>
    <cellStyle name="Heading 2" xfId="3" builtinId="17"/>
    <cellStyle name="Hyperlink" xfId="13" builtinId="8"/>
    <cellStyle name="Input" xfId="4" builtinId="20"/>
    <cellStyle name="Normal" xfId="0" builtinId="0"/>
    <cellStyle name="Output" xfId="5" builtinId="21"/>
    <cellStyle name="RowLevel_1" xfId="1" builtinId="1" iLevel="0"/>
  </cellStyles>
  <dxfs count="0"/>
  <tableStyles count="0" defaultTableStyle="TableStyleMedium2" defaultPivotStyle="PivotStyleLight16"/>
  <colors>
    <mruColors>
      <color rgb="FFCCEC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exwelch/xcel-tou-analysis/" TargetMode="External"/><Relationship Id="rId1" Type="http://schemas.openxmlformats.org/officeDocument/2006/relationships/hyperlink" Target="https://co.my.xcelenergy.com/s/billing-payment/residential-rates/time-of-use-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5370-69A5-284B-8787-B38EBDCFD6C2}">
  <dimension ref="B1:R61"/>
  <sheetViews>
    <sheetView showGridLine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baseColWidth="10" defaultColWidth="10.6640625" defaultRowHeight="15" outlineLevelRow="1" x14ac:dyDescent="0.2"/>
  <cols>
    <col min="1" max="1" width="1.83203125" style="1" customWidth="1"/>
    <col min="2" max="2" width="27.83203125" style="1" bestFit="1" customWidth="1"/>
    <col min="3" max="3" width="8.33203125" style="19" customWidth="1"/>
    <col min="4" max="16" width="10.6640625" style="1"/>
    <col min="17" max="17" width="4.1640625" style="1" customWidth="1"/>
    <col min="18" max="18" width="84.5" style="1" customWidth="1"/>
    <col min="19" max="16384" width="10.6640625" style="1"/>
  </cols>
  <sheetData>
    <row r="1" spans="2:18" ht="16" x14ac:dyDescent="0.2">
      <c r="B1" s="46" t="s">
        <v>48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8" ht="9" customHeight="1" x14ac:dyDescent="0.2"/>
    <row r="3" spans="2:18" x14ac:dyDescent="0.2">
      <c r="B3" s="32" t="s">
        <v>0</v>
      </c>
      <c r="C3" s="31"/>
      <c r="D3" s="33" t="s">
        <v>1</v>
      </c>
      <c r="E3" s="33" t="s">
        <v>2</v>
      </c>
      <c r="F3" s="33" t="s">
        <v>3</v>
      </c>
      <c r="G3" s="33" t="s">
        <v>4</v>
      </c>
      <c r="H3" s="33" t="s">
        <v>5</v>
      </c>
      <c r="I3" s="33" t="s">
        <v>6</v>
      </c>
      <c r="J3" s="33" t="s">
        <v>7</v>
      </c>
      <c r="K3" s="33" t="s">
        <v>8</v>
      </c>
      <c r="L3" s="33" t="s">
        <v>9</v>
      </c>
      <c r="M3" s="33" t="s">
        <v>10</v>
      </c>
      <c r="N3" s="33" t="s">
        <v>11</v>
      </c>
      <c r="O3" s="33" t="s">
        <v>12</v>
      </c>
    </row>
    <row r="4" spans="2:18" ht="9" customHeight="1" x14ac:dyDescent="0.2"/>
    <row r="5" spans="2:18" x14ac:dyDescent="0.2">
      <c r="B5" s="2" t="s">
        <v>13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R5" s="1" t="s">
        <v>14</v>
      </c>
    </row>
    <row r="6" spans="2:18" s="4" customFormat="1" ht="4.5" customHeight="1" x14ac:dyDescent="0.2">
      <c r="B6" s="5"/>
      <c r="C6" s="2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8" x14ac:dyDescent="0.2">
      <c r="B7" s="34" t="s">
        <v>23</v>
      </c>
      <c r="C7" s="35" t="s">
        <v>28</v>
      </c>
      <c r="D7" s="36">
        <v>0.18331</v>
      </c>
      <c r="E7" s="36">
        <v>0.18331</v>
      </c>
      <c r="F7" s="36">
        <v>0.18331</v>
      </c>
      <c r="G7" s="36">
        <v>0.18331</v>
      </c>
      <c r="H7" s="36">
        <v>0.18331</v>
      </c>
      <c r="I7" s="36">
        <v>0.21276999999999999</v>
      </c>
      <c r="J7" s="36">
        <v>0.21276999999999999</v>
      </c>
      <c r="K7" s="36">
        <v>0.21276999999999999</v>
      </c>
      <c r="L7" s="36">
        <v>0.21276999999999999</v>
      </c>
      <c r="M7" s="36">
        <v>0.18331</v>
      </c>
      <c r="N7" s="36">
        <v>0.18331</v>
      </c>
      <c r="O7" s="36">
        <v>0.18331</v>
      </c>
      <c r="R7" s="1" t="s">
        <v>22</v>
      </c>
    </row>
    <row r="8" spans="2:18" ht="16" x14ac:dyDescent="0.2">
      <c r="B8" s="7" t="s">
        <v>24</v>
      </c>
      <c r="C8" s="35" t="s">
        <v>28</v>
      </c>
      <c r="D8" s="8">
        <v>6.7919999999999994E-2</v>
      </c>
      <c r="E8" s="8">
        <v>6.7919999999999994E-2</v>
      </c>
      <c r="F8" s="8">
        <v>6.7919999999999994E-2</v>
      </c>
      <c r="G8" s="8">
        <v>6.7919999999999994E-2</v>
      </c>
      <c r="H8" s="8">
        <v>6.7919999999999994E-2</v>
      </c>
      <c r="I8" s="8">
        <v>7.8839999999999993E-2</v>
      </c>
      <c r="J8" s="8">
        <v>7.8839999999999993E-2</v>
      </c>
      <c r="K8" s="8">
        <v>7.8839999999999993E-2</v>
      </c>
      <c r="L8" s="8">
        <v>7.8839999999999993E-2</v>
      </c>
      <c r="M8" s="8">
        <v>6.7919999999999994E-2</v>
      </c>
      <c r="N8" s="8">
        <v>6.7919999999999994E-2</v>
      </c>
      <c r="O8" s="8">
        <v>6.7919999999999994E-2</v>
      </c>
      <c r="R8" s="44" t="s">
        <v>47</v>
      </c>
    </row>
    <row r="9" spans="2:18" x14ac:dyDescent="0.2">
      <c r="B9" s="9" t="s">
        <v>25</v>
      </c>
      <c r="C9" s="35" t="s">
        <v>28</v>
      </c>
      <c r="D9" s="10">
        <v>8.5699999999999998E-2</v>
      </c>
      <c r="E9" s="10">
        <v>8.5699999999999998E-2</v>
      </c>
      <c r="F9" s="10">
        <v>8.5699999999999998E-2</v>
      </c>
      <c r="G9" s="10">
        <v>8.5699999999999998E-2</v>
      </c>
      <c r="H9" s="10">
        <v>8.5699999999999998E-2</v>
      </c>
      <c r="I9" s="10">
        <v>0.1038</v>
      </c>
      <c r="J9" s="10">
        <v>0.1038</v>
      </c>
      <c r="K9" s="10">
        <v>0.1038</v>
      </c>
      <c r="L9" s="10">
        <v>0.1038</v>
      </c>
      <c r="M9" s="10">
        <v>8.5699999999999998E-2</v>
      </c>
      <c r="N9" s="10">
        <v>8.5699999999999998E-2</v>
      </c>
      <c r="O9" s="10">
        <v>8.5699999999999998E-2</v>
      </c>
      <c r="R9" s="1" t="s">
        <v>46</v>
      </c>
    </row>
    <row r="11" spans="2:18" x14ac:dyDescent="0.2">
      <c r="B11" s="2" t="s">
        <v>40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8" s="4" customFormat="1" ht="7" customHeight="1" x14ac:dyDescent="0.2">
      <c r="B12" s="5"/>
      <c r="C12" s="2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8" x14ac:dyDescent="0.2">
      <c r="B13" s="27" t="s">
        <v>26</v>
      </c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2:18" s="4" customFormat="1" ht="7" customHeight="1" x14ac:dyDescent="0.2">
      <c r="B14" s="5"/>
      <c r="C14" s="2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8" x14ac:dyDescent="0.2">
      <c r="B15" s="11" t="s">
        <v>30</v>
      </c>
      <c r="C15" s="22" t="s">
        <v>29</v>
      </c>
      <c r="D15" s="15">
        <v>0.25</v>
      </c>
      <c r="E15" s="15">
        <v>0.25</v>
      </c>
      <c r="F15" s="15">
        <v>0.25</v>
      </c>
      <c r="G15" s="15">
        <v>0.25</v>
      </c>
      <c r="H15" s="15">
        <v>0.25</v>
      </c>
      <c r="I15" s="15">
        <v>0.25</v>
      </c>
      <c r="J15" s="15">
        <v>0.25</v>
      </c>
      <c r="K15" s="15">
        <v>0.25</v>
      </c>
      <c r="L15" s="15">
        <v>0.25</v>
      </c>
      <c r="M15" s="15">
        <v>0.25</v>
      </c>
      <c r="N15" s="15">
        <v>0.25</v>
      </c>
      <c r="O15" s="15">
        <v>0.25</v>
      </c>
      <c r="R15" s="1" t="s">
        <v>21</v>
      </c>
    </row>
    <row r="16" spans="2:18" x14ac:dyDescent="0.2">
      <c r="B16" s="12" t="s">
        <v>31</v>
      </c>
      <c r="C16" s="22" t="s">
        <v>29</v>
      </c>
      <c r="D16" s="16">
        <f>1-D15</f>
        <v>0.75</v>
      </c>
      <c r="E16" s="16">
        <f t="shared" ref="E16:O16" si="0">1-E15</f>
        <v>0.75</v>
      </c>
      <c r="F16" s="16">
        <f t="shared" si="0"/>
        <v>0.75</v>
      </c>
      <c r="G16" s="16">
        <f t="shared" si="0"/>
        <v>0.75</v>
      </c>
      <c r="H16" s="16">
        <f t="shared" si="0"/>
        <v>0.75</v>
      </c>
      <c r="I16" s="16">
        <f t="shared" si="0"/>
        <v>0.75</v>
      </c>
      <c r="J16" s="16">
        <f t="shared" si="0"/>
        <v>0.75</v>
      </c>
      <c r="K16" s="16">
        <f t="shared" si="0"/>
        <v>0.75</v>
      </c>
      <c r="L16" s="16">
        <f t="shared" si="0"/>
        <v>0.75</v>
      </c>
      <c r="M16" s="16">
        <f t="shared" si="0"/>
        <v>0.75</v>
      </c>
      <c r="N16" s="16">
        <f t="shared" si="0"/>
        <v>0.75</v>
      </c>
      <c r="O16" s="16">
        <f t="shared" si="0"/>
        <v>0.75</v>
      </c>
    </row>
    <row r="17" spans="2:18" x14ac:dyDescent="0.2">
      <c r="B17" s="13" t="s">
        <v>27</v>
      </c>
      <c r="C17" s="14" t="s">
        <v>32</v>
      </c>
      <c r="D17" s="17">
        <v>860</v>
      </c>
      <c r="E17" s="17">
        <v>1235</v>
      </c>
      <c r="F17" s="17">
        <v>1472</v>
      </c>
      <c r="G17" s="17">
        <v>1055</v>
      </c>
      <c r="H17" s="17">
        <v>711</v>
      </c>
      <c r="I17" s="17">
        <v>504</v>
      </c>
      <c r="J17" s="17">
        <v>974</v>
      </c>
      <c r="K17" s="17">
        <v>660</v>
      </c>
      <c r="L17" s="17">
        <v>805</v>
      </c>
      <c r="M17" s="17">
        <v>810</v>
      </c>
      <c r="N17" s="17">
        <v>565</v>
      </c>
      <c r="O17" s="17">
        <v>748</v>
      </c>
      <c r="P17" s="26">
        <f>SUM(D17:O17)</f>
        <v>10399</v>
      </c>
      <c r="R17" s="1" t="s">
        <v>16</v>
      </c>
    </row>
    <row r="19" spans="2:18" x14ac:dyDescent="0.2">
      <c r="B19" s="27" t="s">
        <v>39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2:18" ht="6.5" customHeight="1" x14ac:dyDescent="0.2"/>
    <row r="21" spans="2:18" x14ac:dyDescent="0.2">
      <c r="B21" s="13" t="s">
        <v>33</v>
      </c>
      <c r="C21" s="23" t="s">
        <v>28</v>
      </c>
      <c r="D21" s="25">
        <f>SUMPRODUCT(D$7:D$8,D$15:D$16)/SUM(D$15:D$16)</f>
        <v>9.6767500000000006E-2</v>
      </c>
      <c r="E21" s="25">
        <f t="shared" ref="E21:O21" si="1">SUMPRODUCT(E$7:E$8,E$15:E$16)/SUM(E$15:E$16)</f>
        <v>9.6767500000000006E-2</v>
      </c>
      <c r="F21" s="25">
        <f t="shared" si="1"/>
        <v>9.6767500000000006E-2</v>
      </c>
      <c r="G21" s="25">
        <f t="shared" si="1"/>
        <v>9.6767500000000006E-2</v>
      </c>
      <c r="H21" s="25">
        <f t="shared" si="1"/>
        <v>9.6767500000000006E-2</v>
      </c>
      <c r="I21" s="25">
        <f t="shared" si="1"/>
        <v>0.11232249999999999</v>
      </c>
      <c r="J21" s="25">
        <f t="shared" si="1"/>
        <v>0.11232249999999999</v>
      </c>
      <c r="K21" s="25">
        <f t="shared" si="1"/>
        <v>0.11232249999999999</v>
      </c>
      <c r="L21" s="25">
        <f t="shared" si="1"/>
        <v>0.11232249999999999</v>
      </c>
      <c r="M21" s="25">
        <f t="shared" si="1"/>
        <v>9.6767500000000006E-2</v>
      </c>
      <c r="N21" s="25">
        <f t="shared" si="1"/>
        <v>9.6767500000000006E-2</v>
      </c>
      <c r="O21" s="25">
        <f t="shared" si="1"/>
        <v>9.6767500000000006E-2</v>
      </c>
      <c r="R21" s="1" t="s">
        <v>15</v>
      </c>
    </row>
    <row r="22" spans="2:18" x14ac:dyDescent="0.2">
      <c r="B22" s="13" t="s">
        <v>34</v>
      </c>
      <c r="C22" s="23" t="s">
        <v>28</v>
      </c>
      <c r="D22" s="25">
        <f>D9</f>
        <v>8.5699999999999998E-2</v>
      </c>
      <c r="E22" s="25">
        <f t="shared" ref="E22:O22" si="2">E9</f>
        <v>8.5699999999999998E-2</v>
      </c>
      <c r="F22" s="25">
        <f t="shared" si="2"/>
        <v>8.5699999999999998E-2</v>
      </c>
      <c r="G22" s="25">
        <f t="shared" si="2"/>
        <v>8.5699999999999998E-2</v>
      </c>
      <c r="H22" s="25">
        <f t="shared" si="2"/>
        <v>8.5699999999999998E-2</v>
      </c>
      <c r="I22" s="25">
        <f t="shared" si="2"/>
        <v>0.1038</v>
      </c>
      <c r="J22" s="25">
        <f t="shared" si="2"/>
        <v>0.1038</v>
      </c>
      <c r="K22" s="25">
        <f t="shared" si="2"/>
        <v>0.1038</v>
      </c>
      <c r="L22" s="25">
        <f t="shared" si="2"/>
        <v>0.1038</v>
      </c>
      <c r="M22" s="25">
        <f t="shared" si="2"/>
        <v>8.5699999999999998E-2</v>
      </c>
      <c r="N22" s="25">
        <f t="shared" si="2"/>
        <v>8.5699999999999998E-2</v>
      </c>
      <c r="O22" s="25">
        <f t="shared" si="2"/>
        <v>8.5699999999999998E-2</v>
      </c>
    </row>
    <row r="24" spans="2:18" x14ac:dyDescent="0.2">
      <c r="B24" s="13" t="s">
        <v>35</v>
      </c>
      <c r="C24" s="14" t="s">
        <v>36</v>
      </c>
      <c r="D24" s="26">
        <f>(D$21*D$17)*-1</f>
        <v>-83.220050000000001</v>
      </c>
      <c r="E24" s="26">
        <f t="shared" ref="E24:O24" si="3">(E$21*E$17)*-1</f>
        <v>-119.5078625</v>
      </c>
      <c r="F24" s="26">
        <f t="shared" si="3"/>
        <v>-142.44176000000002</v>
      </c>
      <c r="G24" s="26">
        <f t="shared" si="3"/>
        <v>-102.0897125</v>
      </c>
      <c r="H24" s="26">
        <f t="shared" si="3"/>
        <v>-68.801692500000001</v>
      </c>
      <c r="I24" s="26">
        <f t="shared" si="3"/>
        <v>-56.610539999999993</v>
      </c>
      <c r="J24" s="26">
        <f t="shared" si="3"/>
        <v>-109.40211499999999</v>
      </c>
      <c r="K24" s="26">
        <f t="shared" si="3"/>
        <v>-74.132849999999991</v>
      </c>
      <c r="L24" s="26">
        <f t="shared" si="3"/>
        <v>-90.419612499999999</v>
      </c>
      <c r="M24" s="26">
        <f t="shared" si="3"/>
        <v>-78.381675000000001</v>
      </c>
      <c r="N24" s="26">
        <f t="shared" si="3"/>
        <v>-54.673637500000005</v>
      </c>
      <c r="O24" s="26">
        <f t="shared" si="3"/>
        <v>-72.382090000000005</v>
      </c>
      <c r="P24" s="26">
        <f>SUM(D24:O24)</f>
        <v>-1052.0635975</v>
      </c>
      <c r="R24" s="1" t="s">
        <v>17</v>
      </c>
    </row>
    <row r="25" spans="2:18" x14ac:dyDescent="0.2">
      <c r="B25" s="24" t="s">
        <v>37</v>
      </c>
      <c r="C25" s="14" t="s">
        <v>36</v>
      </c>
      <c r="D25" s="26">
        <f>D$22*D$17*-1</f>
        <v>-73.701999999999998</v>
      </c>
      <c r="E25" s="26">
        <f t="shared" ref="E25:O25" si="4">E$22*E$17*-1</f>
        <v>-105.8395</v>
      </c>
      <c r="F25" s="26">
        <f t="shared" si="4"/>
        <v>-126.15039999999999</v>
      </c>
      <c r="G25" s="26">
        <f t="shared" si="4"/>
        <v>-90.413499999999999</v>
      </c>
      <c r="H25" s="26">
        <f t="shared" si="4"/>
        <v>-60.932699999999997</v>
      </c>
      <c r="I25" s="26">
        <f t="shared" si="4"/>
        <v>-52.315200000000004</v>
      </c>
      <c r="J25" s="26">
        <f t="shared" si="4"/>
        <v>-101.10120000000001</v>
      </c>
      <c r="K25" s="26">
        <f t="shared" si="4"/>
        <v>-68.507999999999996</v>
      </c>
      <c r="L25" s="26">
        <f t="shared" si="4"/>
        <v>-83.558999999999997</v>
      </c>
      <c r="M25" s="26">
        <f t="shared" si="4"/>
        <v>-69.417000000000002</v>
      </c>
      <c r="N25" s="26">
        <f t="shared" si="4"/>
        <v>-48.420499999999997</v>
      </c>
      <c r="O25" s="26">
        <f t="shared" si="4"/>
        <v>-64.1036</v>
      </c>
      <c r="P25" s="38">
        <f>SUM(D25:O25)</f>
        <v>-944.46260000000007</v>
      </c>
      <c r="R25" s="1" t="s">
        <v>18</v>
      </c>
    </row>
    <row r="26" spans="2:18" x14ac:dyDescent="0.2">
      <c r="B26" s="47" t="s">
        <v>38</v>
      </c>
      <c r="C26" s="14" t="s">
        <v>36</v>
      </c>
      <c r="D26" s="58">
        <f t="shared" ref="D26:O26" si="5">D24-D25</f>
        <v>-9.5180500000000023</v>
      </c>
      <c r="E26" s="58">
        <f t="shared" si="5"/>
        <v>-13.668362500000001</v>
      </c>
      <c r="F26" s="58">
        <f t="shared" si="5"/>
        <v>-16.291360000000026</v>
      </c>
      <c r="G26" s="58">
        <f t="shared" si="5"/>
        <v>-11.676212500000005</v>
      </c>
      <c r="H26" s="58">
        <f t="shared" si="5"/>
        <v>-7.8689925000000045</v>
      </c>
      <c r="I26" s="58">
        <f t="shared" si="5"/>
        <v>-4.2953399999999888</v>
      </c>
      <c r="J26" s="58">
        <f t="shared" si="5"/>
        <v>-8.3009149999999892</v>
      </c>
      <c r="K26" s="58">
        <f t="shared" si="5"/>
        <v>-5.624849999999995</v>
      </c>
      <c r="L26" s="58">
        <f t="shared" si="5"/>
        <v>-6.860612500000002</v>
      </c>
      <c r="M26" s="58">
        <f t="shared" si="5"/>
        <v>-8.9646749999999997</v>
      </c>
      <c r="N26" s="58">
        <f t="shared" si="5"/>
        <v>-6.2531375000000082</v>
      </c>
      <c r="O26" s="58">
        <f t="shared" si="5"/>
        <v>-8.278490000000005</v>
      </c>
      <c r="P26" s="59">
        <f>SUM(D26:O26)</f>
        <v>-107.60099750000002</v>
      </c>
      <c r="R26" s="1" t="str">
        <f>_xlfn.CONCAT("You would save ",TEXT(ABS(P26),"$#,##0.00")," by using ",IF(P26&gt;0,"Time of Use pricing","Flat Rate pricing"))</f>
        <v>You would save $107.60 by using Flat Rate pricing</v>
      </c>
    </row>
    <row r="27" spans="2:18" x14ac:dyDescent="0.2">
      <c r="B27" s="18"/>
      <c r="C27" s="1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</row>
    <row r="28" spans="2:18" ht="16" x14ac:dyDescent="0.2">
      <c r="B28" s="56" t="s">
        <v>58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pans="2:18" outlineLevel="1" x14ac:dyDescent="0.2">
      <c r="B29" s="2" t="s">
        <v>53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R29" s="1" t="s">
        <v>54</v>
      </c>
    </row>
    <row r="30" spans="2:18" s="4" customFormat="1" ht="7" customHeight="1" outlineLevel="1" x14ac:dyDescent="0.2">
      <c r="B30" s="5"/>
      <c r="C30" s="2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8" outlineLevel="1" x14ac:dyDescent="0.2">
      <c r="B31" s="27" t="s">
        <v>49</v>
      </c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2:18" s="4" customFormat="1" ht="7" customHeight="1" outlineLevel="1" x14ac:dyDescent="0.2">
      <c r="B32" s="5"/>
      <c r="C32" s="2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8" outlineLevel="1" x14ac:dyDescent="0.2">
      <c r="B33" s="11" t="s">
        <v>50</v>
      </c>
      <c r="C33" s="22" t="s">
        <v>29</v>
      </c>
      <c r="D33" s="15">
        <v>0.1</v>
      </c>
      <c r="E33" s="15">
        <v>0.1</v>
      </c>
      <c r="F33" s="15">
        <v>0.1</v>
      </c>
      <c r="G33" s="15">
        <v>0.1</v>
      </c>
      <c r="H33" s="15">
        <v>0.1</v>
      </c>
      <c r="I33" s="15">
        <v>0.1</v>
      </c>
      <c r="J33" s="15">
        <v>0.1</v>
      </c>
      <c r="K33" s="15">
        <v>0.1</v>
      </c>
      <c r="L33" s="15">
        <v>0.1</v>
      </c>
      <c r="M33" s="15">
        <v>0.1</v>
      </c>
      <c r="N33" s="15">
        <v>0.1</v>
      </c>
      <c r="O33" s="15">
        <v>0.1</v>
      </c>
      <c r="R33" s="1" t="s">
        <v>20</v>
      </c>
    </row>
    <row r="34" spans="2:18" outlineLevel="1" x14ac:dyDescent="0.2">
      <c r="B34" s="12" t="s">
        <v>51</v>
      </c>
      <c r="C34" s="22" t="s">
        <v>29</v>
      </c>
      <c r="D34" s="16">
        <f>1-D33</f>
        <v>0.9</v>
      </c>
      <c r="E34" s="16">
        <f t="shared" ref="E34" si="6">1-E33</f>
        <v>0.9</v>
      </c>
      <c r="F34" s="16">
        <f t="shared" ref="F34" si="7">1-F33</f>
        <v>0.9</v>
      </c>
      <c r="G34" s="16">
        <f t="shared" ref="G34" si="8">1-G33</f>
        <v>0.9</v>
      </c>
      <c r="H34" s="16">
        <f t="shared" ref="H34" si="9">1-H33</f>
        <v>0.9</v>
      </c>
      <c r="I34" s="16">
        <f t="shared" ref="I34" si="10">1-I33</f>
        <v>0.9</v>
      </c>
      <c r="J34" s="16">
        <f t="shared" ref="J34" si="11">1-J33</f>
        <v>0.9</v>
      </c>
      <c r="K34" s="16">
        <f t="shared" ref="K34" si="12">1-K33</f>
        <v>0.9</v>
      </c>
      <c r="L34" s="16">
        <f t="shared" ref="L34" si="13">1-L33</f>
        <v>0.9</v>
      </c>
      <c r="M34" s="16">
        <f t="shared" ref="M34" si="14">1-M33</f>
        <v>0.9</v>
      </c>
      <c r="N34" s="16">
        <f t="shared" ref="N34" si="15">1-N33</f>
        <v>0.9</v>
      </c>
      <c r="O34" s="16">
        <f t="shared" ref="O34" si="16">1-O33</f>
        <v>0.9</v>
      </c>
    </row>
    <row r="35" spans="2:18" outlineLevel="1" x14ac:dyDescent="0.2">
      <c r="B35" s="13" t="s">
        <v>42</v>
      </c>
      <c r="C35" s="14" t="s">
        <v>32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37">
        <f>SUM(D35:O35)</f>
        <v>0</v>
      </c>
      <c r="R35" s="1" t="s">
        <v>19</v>
      </c>
    </row>
    <row r="36" spans="2:18" outlineLevel="1" x14ac:dyDescent="0.2"/>
    <row r="37" spans="2:18" outlineLevel="1" x14ac:dyDescent="0.2">
      <c r="B37" s="27" t="s">
        <v>52</v>
      </c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2:18" ht="6.5" customHeight="1" outlineLevel="1" x14ac:dyDescent="0.2"/>
    <row r="39" spans="2:18" outlineLevel="1" x14ac:dyDescent="0.2">
      <c r="B39" s="13" t="s">
        <v>33</v>
      </c>
      <c r="C39" s="23" t="s">
        <v>28</v>
      </c>
      <c r="D39" s="25">
        <f t="shared" ref="D39:O39" si="17">SUMPRODUCT(D$7:D$8,D$33:D$34)/SUM(D$33:D$34)</f>
        <v>7.9459000000000002E-2</v>
      </c>
      <c r="E39" s="25">
        <f t="shared" si="17"/>
        <v>7.9459000000000002E-2</v>
      </c>
      <c r="F39" s="25">
        <f t="shared" si="17"/>
        <v>7.9459000000000002E-2</v>
      </c>
      <c r="G39" s="25">
        <f t="shared" si="17"/>
        <v>7.9459000000000002E-2</v>
      </c>
      <c r="H39" s="25">
        <f t="shared" si="17"/>
        <v>7.9459000000000002E-2</v>
      </c>
      <c r="I39" s="25">
        <f t="shared" si="17"/>
        <v>9.2232999999999996E-2</v>
      </c>
      <c r="J39" s="25">
        <f t="shared" si="17"/>
        <v>9.2232999999999996E-2</v>
      </c>
      <c r="K39" s="25">
        <f t="shared" si="17"/>
        <v>9.2232999999999996E-2</v>
      </c>
      <c r="L39" s="25">
        <f t="shared" si="17"/>
        <v>9.2232999999999996E-2</v>
      </c>
      <c r="M39" s="25">
        <f t="shared" si="17"/>
        <v>7.9459000000000002E-2</v>
      </c>
      <c r="N39" s="25">
        <f t="shared" si="17"/>
        <v>7.9459000000000002E-2</v>
      </c>
      <c r="O39" s="25">
        <f t="shared" si="17"/>
        <v>7.9459000000000002E-2</v>
      </c>
    </row>
    <row r="40" spans="2:18" outlineLevel="1" x14ac:dyDescent="0.2">
      <c r="B40" s="13" t="s">
        <v>34</v>
      </c>
      <c r="C40" s="23" t="s">
        <v>28</v>
      </c>
      <c r="D40" s="25">
        <f t="shared" ref="D40:O40" si="18">D9</f>
        <v>8.5699999999999998E-2</v>
      </c>
      <c r="E40" s="25">
        <f t="shared" si="18"/>
        <v>8.5699999999999998E-2</v>
      </c>
      <c r="F40" s="25">
        <f t="shared" si="18"/>
        <v>8.5699999999999998E-2</v>
      </c>
      <c r="G40" s="25">
        <f t="shared" si="18"/>
        <v>8.5699999999999998E-2</v>
      </c>
      <c r="H40" s="25">
        <f t="shared" si="18"/>
        <v>8.5699999999999998E-2</v>
      </c>
      <c r="I40" s="25">
        <f t="shared" si="18"/>
        <v>0.1038</v>
      </c>
      <c r="J40" s="25">
        <f t="shared" si="18"/>
        <v>0.1038</v>
      </c>
      <c r="K40" s="25">
        <f t="shared" si="18"/>
        <v>0.1038</v>
      </c>
      <c r="L40" s="25">
        <f t="shared" si="18"/>
        <v>0.1038</v>
      </c>
      <c r="M40" s="25">
        <f t="shared" si="18"/>
        <v>8.5699999999999998E-2</v>
      </c>
      <c r="N40" s="25">
        <f t="shared" si="18"/>
        <v>8.5699999999999998E-2</v>
      </c>
      <c r="O40" s="25">
        <f t="shared" si="18"/>
        <v>8.5699999999999998E-2</v>
      </c>
    </row>
    <row r="41" spans="2:18" outlineLevel="1" x14ac:dyDescent="0.2">
      <c r="B41" s="13"/>
      <c r="C41" s="23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2:18" outlineLevel="1" x14ac:dyDescent="0.2">
      <c r="B42" s="13" t="s">
        <v>43</v>
      </c>
      <c r="C42" s="14" t="s">
        <v>36</v>
      </c>
      <c r="D42" s="50">
        <f t="shared" ref="D42:O42" si="19">D$39*D$35</f>
        <v>0</v>
      </c>
      <c r="E42" s="50">
        <f t="shared" si="19"/>
        <v>0</v>
      </c>
      <c r="F42" s="50">
        <f t="shared" si="19"/>
        <v>0</v>
      </c>
      <c r="G42" s="50">
        <f t="shared" si="19"/>
        <v>0</v>
      </c>
      <c r="H42" s="50">
        <f t="shared" si="19"/>
        <v>0</v>
      </c>
      <c r="I42" s="50">
        <f t="shared" si="19"/>
        <v>0</v>
      </c>
      <c r="J42" s="50">
        <f t="shared" si="19"/>
        <v>0</v>
      </c>
      <c r="K42" s="50">
        <f t="shared" si="19"/>
        <v>0</v>
      </c>
      <c r="L42" s="50">
        <f t="shared" si="19"/>
        <v>0</v>
      </c>
      <c r="M42" s="50">
        <f t="shared" si="19"/>
        <v>0</v>
      </c>
      <c r="N42" s="50">
        <f t="shared" si="19"/>
        <v>0</v>
      </c>
      <c r="O42" s="50">
        <f t="shared" si="19"/>
        <v>0</v>
      </c>
      <c r="P42" s="51">
        <f>SUM(D42:O42)</f>
        <v>0</v>
      </c>
      <c r="R42" s="1" t="s">
        <v>45</v>
      </c>
    </row>
    <row r="43" spans="2:18" outlineLevel="1" x14ac:dyDescent="0.2">
      <c r="B43" s="48" t="str">
        <f>_xlfn.CONCAT("Ref: ",B24)</f>
        <v>Ref: TOU Cost (Rate x Usage)</v>
      </c>
      <c r="C43" s="14" t="str">
        <f>C24</f>
        <v>$</v>
      </c>
      <c r="D43" s="49">
        <f>D24</f>
        <v>-83.220050000000001</v>
      </c>
      <c r="E43" s="49">
        <f>E24</f>
        <v>-119.5078625</v>
      </c>
      <c r="F43" s="49">
        <f>F24</f>
        <v>-142.44176000000002</v>
      </c>
      <c r="G43" s="49">
        <f>G24</f>
        <v>-102.0897125</v>
      </c>
      <c r="H43" s="49">
        <f>H24</f>
        <v>-68.801692500000001</v>
      </c>
      <c r="I43" s="49">
        <f>I24</f>
        <v>-56.610539999999993</v>
      </c>
      <c r="J43" s="49">
        <f>J24</f>
        <v>-109.40211499999999</v>
      </c>
      <c r="K43" s="49">
        <f>K24</f>
        <v>-74.132849999999991</v>
      </c>
      <c r="L43" s="49">
        <f>L24</f>
        <v>-90.419612499999999</v>
      </c>
      <c r="M43" s="49">
        <f>M24</f>
        <v>-78.381675000000001</v>
      </c>
      <c r="N43" s="49">
        <f>N24</f>
        <v>-54.673637500000005</v>
      </c>
      <c r="O43" s="49">
        <f>O24</f>
        <v>-72.382090000000005</v>
      </c>
      <c r="P43" s="49">
        <f>SUM(D43:O43)</f>
        <v>-1052.0635975</v>
      </c>
      <c r="R43" s="45"/>
    </row>
    <row r="44" spans="2:18" outlineLevel="1" x14ac:dyDescent="0.2">
      <c r="B44" s="48" t="s">
        <v>55</v>
      </c>
      <c r="C44" s="14"/>
      <c r="D44" s="38">
        <f>SUM(D42:D43)</f>
        <v>-83.220050000000001</v>
      </c>
      <c r="E44" s="38">
        <f t="shared" ref="E44:O44" si="20">SUM(E42:E43)</f>
        <v>-119.5078625</v>
      </c>
      <c r="F44" s="38">
        <f t="shared" si="20"/>
        <v>-142.44176000000002</v>
      </c>
      <c r="G44" s="38">
        <f t="shared" si="20"/>
        <v>-102.0897125</v>
      </c>
      <c r="H44" s="38">
        <f t="shared" si="20"/>
        <v>-68.801692500000001</v>
      </c>
      <c r="I44" s="38">
        <f t="shared" si="20"/>
        <v>-56.610539999999993</v>
      </c>
      <c r="J44" s="38">
        <f t="shared" si="20"/>
        <v>-109.40211499999999</v>
      </c>
      <c r="K44" s="38">
        <f t="shared" si="20"/>
        <v>-74.132849999999991</v>
      </c>
      <c r="L44" s="38">
        <f t="shared" si="20"/>
        <v>-90.419612499999999</v>
      </c>
      <c r="M44" s="38">
        <f t="shared" si="20"/>
        <v>-78.381675000000001</v>
      </c>
      <c r="N44" s="38">
        <f t="shared" si="20"/>
        <v>-54.673637500000005</v>
      </c>
      <c r="O44" s="38">
        <f t="shared" si="20"/>
        <v>-72.382090000000005</v>
      </c>
      <c r="P44" s="39">
        <f>SUM(D44:O44)</f>
        <v>-1052.0635975</v>
      </c>
      <c r="R44" s="45"/>
    </row>
    <row r="45" spans="2:18" outlineLevel="1" x14ac:dyDescent="0.2">
      <c r="B45" s="24" t="s">
        <v>44</v>
      </c>
      <c r="C45" s="14" t="s">
        <v>36</v>
      </c>
      <c r="D45" s="52">
        <f>D$40*D$35</f>
        <v>0</v>
      </c>
      <c r="E45" s="52">
        <f t="shared" ref="E45:O45" si="21">E$40*E$35</f>
        <v>0</v>
      </c>
      <c r="F45" s="52">
        <f t="shared" si="21"/>
        <v>0</v>
      </c>
      <c r="G45" s="52">
        <f t="shared" si="21"/>
        <v>0</v>
      </c>
      <c r="H45" s="52">
        <f t="shared" si="21"/>
        <v>0</v>
      </c>
      <c r="I45" s="52">
        <f t="shared" si="21"/>
        <v>0</v>
      </c>
      <c r="J45" s="52">
        <f>J$40*J$35</f>
        <v>0</v>
      </c>
      <c r="K45" s="52">
        <f t="shared" si="21"/>
        <v>0</v>
      </c>
      <c r="L45" s="52">
        <f t="shared" si="21"/>
        <v>0</v>
      </c>
      <c r="M45" s="52">
        <f t="shared" si="21"/>
        <v>0</v>
      </c>
      <c r="N45" s="52">
        <f t="shared" si="21"/>
        <v>0</v>
      </c>
      <c r="O45" s="52">
        <f t="shared" si="21"/>
        <v>0</v>
      </c>
      <c r="P45" s="52">
        <f>SUM(D45:O45)</f>
        <v>0</v>
      </c>
      <c r="R45" s="1" t="s">
        <v>45</v>
      </c>
    </row>
    <row r="46" spans="2:18" outlineLevel="1" x14ac:dyDescent="0.2">
      <c r="B46" s="48" t="str">
        <f>_xlfn.CONCAT("Ref: ",B25)</f>
        <v>Ref: Flat Rate Cost (Rate X Usage)</v>
      </c>
      <c r="C46" s="14" t="str">
        <f>C25</f>
        <v>$</v>
      </c>
      <c r="D46" s="49">
        <f>D25</f>
        <v>-73.701999999999998</v>
      </c>
      <c r="E46" s="49">
        <f>E25</f>
        <v>-105.8395</v>
      </c>
      <c r="F46" s="49">
        <f>F25</f>
        <v>-126.15039999999999</v>
      </c>
      <c r="G46" s="49">
        <f>G25</f>
        <v>-90.413499999999999</v>
      </c>
      <c r="H46" s="49">
        <f>H25</f>
        <v>-60.932699999999997</v>
      </c>
      <c r="I46" s="49">
        <f>I25</f>
        <v>-52.315200000000004</v>
      </c>
      <c r="J46" s="49">
        <f>J25</f>
        <v>-101.10120000000001</v>
      </c>
      <c r="K46" s="49">
        <f>K25</f>
        <v>-68.507999999999996</v>
      </c>
      <c r="L46" s="49">
        <f>L25</f>
        <v>-83.558999999999997</v>
      </c>
      <c r="M46" s="49">
        <f>M25</f>
        <v>-69.417000000000002</v>
      </c>
      <c r="N46" s="49">
        <f>N25</f>
        <v>-48.420499999999997</v>
      </c>
      <c r="O46" s="49">
        <f>O25</f>
        <v>-64.1036</v>
      </c>
      <c r="P46" s="49">
        <f>SUM(D46:O46)</f>
        <v>-944.46260000000007</v>
      </c>
      <c r="R46" s="45"/>
    </row>
    <row r="47" spans="2:18" outlineLevel="1" x14ac:dyDescent="0.2">
      <c r="B47" s="48" t="s">
        <v>56</v>
      </c>
      <c r="C47" s="14"/>
      <c r="D47" s="53">
        <f>SUM(D45:D46)</f>
        <v>-73.701999999999998</v>
      </c>
      <c r="E47" s="53">
        <f t="shared" ref="E47:O47" si="22">SUM(E45:E46)</f>
        <v>-105.8395</v>
      </c>
      <c r="F47" s="53">
        <f t="shared" si="22"/>
        <v>-126.15039999999999</v>
      </c>
      <c r="G47" s="53">
        <f t="shared" si="22"/>
        <v>-90.413499999999999</v>
      </c>
      <c r="H47" s="53">
        <f t="shared" si="22"/>
        <v>-60.932699999999997</v>
      </c>
      <c r="I47" s="53">
        <f t="shared" si="22"/>
        <v>-52.315200000000004</v>
      </c>
      <c r="J47" s="53">
        <f t="shared" si="22"/>
        <v>-101.10120000000001</v>
      </c>
      <c r="K47" s="53">
        <f t="shared" si="22"/>
        <v>-68.507999999999996</v>
      </c>
      <c r="L47" s="53">
        <f t="shared" si="22"/>
        <v>-83.558999999999997</v>
      </c>
      <c r="M47" s="53">
        <f t="shared" si="22"/>
        <v>-69.417000000000002</v>
      </c>
      <c r="N47" s="53">
        <f t="shared" si="22"/>
        <v>-48.420499999999997</v>
      </c>
      <c r="O47" s="53">
        <f t="shared" si="22"/>
        <v>-64.1036</v>
      </c>
      <c r="P47" s="39">
        <f>SUM(D47:O47)</f>
        <v>-944.46260000000007</v>
      </c>
    </row>
    <row r="48" spans="2:18" outlineLevel="1" x14ac:dyDescent="0.2">
      <c r="B48" s="47" t="s">
        <v>38</v>
      </c>
      <c r="C48" s="14" t="s">
        <v>36</v>
      </c>
      <c r="D48" s="58">
        <f>D44-D47</f>
        <v>-9.5180500000000023</v>
      </c>
      <c r="E48" s="58">
        <f>E44-E47</f>
        <v>-13.668362500000001</v>
      </c>
      <c r="F48" s="58">
        <f>F44-F47</f>
        <v>-16.291360000000026</v>
      </c>
      <c r="G48" s="58">
        <f>G44-G47</f>
        <v>-11.676212500000005</v>
      </c>
      <c r="H48" s="58">
        <f>H44-H47</f>
        <v>-7.8689925000000045</v>
      </c>
      <c r="I48" s="58">
        <f>I44-I47</f>
        <v>-4.2953399999999888</v>
      </c>
      <c r="J48" s="58">
        <f>J44-J47</f>
        <v>-8.3009149999999892</v>
      </c>
      <c r="K48" s="58">
        <f>K44-K47</f>
        <v>-5.624849999999995</v>
      </c>
      <c r="L48" s="58">
        <f>L44-L47</f>
        <v>-6.860612500000002</v>
      </c>
      <c r="M48" s="58">
        <f>M44-M47</f>
        <v>-8.9646749999999997</v>
      </c>
      <c r="N48" s="58">
        <f>N44-N47</f>
        <v>-6.2531375000000082</v>
      </c>
      <c r="O48" s="58">
        <f>O44-O47</f>
        <v>-8.278490000000005</v>
      </c>
      <c r="P48" s="60">
        <f>P44-P47</f>
        <v>-107.60099749999995</v>
      </c>
      <c r="R48" s="1" t="str">
        <f>_xlfn.CONCAT("You would save ",TEXT(ABS(P48),"$#,##0.00")," by using ",IF(P48&gt;0,"Time of Use pricing","Flat Rate pricing"))</f>
        <v>You would save $107.60 by using Flat Rate pricing</v>
      </c>
    </row>
    <row r="49" spans="2:18" s="54" customFormat="1" ht="16" x14ac:dyDescent="0.2">
      <c r="C49" s="55"/>
    </row>
    <row r="50" spans="2:18" x14ac:dyDescent="0.2">
      <c r="B50" s="2" t="s">
        <v>41</v>
      </c>
      <c r="C50" s="2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8" x14ac:dyDescent="0.2">
      <c r="B51" s="5"/>
      <c r="C51" s="2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4"/>
    </row>
    <row r="52" spans="2:18" x14ac:dyDescent="0.2">
      <c r="B52" s="27" t="s">
        <v>26</v>
      </c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2:18" x14ac:dyDescent="0.2">
      <c r="B53" s="5"/>
      <c r="C53" s="2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4"/>
    </row>
    <row r="54" spans="2:18" x14ac:dyDescent="0.2">
      <c r="B54" s="11" t="s">
        <v>30</v>
      </c>
      <c r="C54" s="22" t="s">
        <v>29</v>
      </c>
      <c r="D54" s="42">
        <f>(D9-D8)/(D7-D8)</f>
        <v>0.15408614264667653</v>
      </c>
      <c r="E54" s="42">
        <f>(E9-E8)/(E7-E8)</f>
        <v>0.15408614264667653</v>
      </c>
      <c r="F54" s="42">
        <f>(F9-F8)/(F7-F8)</f>
        <v>0.15408614264667653</v>
      </c>
      <c r="G54" s="42">
        <f>(G9-G8)/(G7-G8)</f>
        <v>0.15408614264667653</v>
      </c>
      <c r="H54" s="42">
        <f>(H9-H8)/(H7-H8)</f>
        <v>0.15408614264667653</v>
      </c>
      <c r="I54" s="42">
        <f>(I9-I8)/(I7-I8)</f>
        <v>0.18636601209587106</v>
      </c>
      <c r="J54" s="42">
        <f>(J9-J8)/(J7-J8)</f>
        <v>0.18636601209587106</v>
      </c>
      <c r="K54" s="42">
        <f>(K9-K8)/(K7-K8)</f>
        <v>0.18636601209587106</v>
      </c>
      <c r="L54" s="42">
        <f>(L9-L8)/(L7-L8)</f>
        <v>0.18636601209587106</v>
      </c>
      <c r="M54" s="42">
        <f>(M9-M8)/(M7-M8)</f>
        <v>0.15408614264667653</v>
      </c>
      <c r="N54" s="42">
        <f>(N9-N8)/(N7-N8)</f>
        <v>0.15408614264667653</v>
      </c>
      <c r="O54" s="42">
        <f>(O9-O8)/(O7-O8)</f>
        <v>0.15408614264667653</v>
      </c>
      <c r="R54" s="1" t="s">
        <v>57</v>
      </c>
    </row>
    <row r="55" spans="2:18" x14ac:dyDescent="0.2">
      <c r="B55" s="12" t="s">
        <v>31</v>
      </c>
      <c r="C55" s="22" t="s">
        <v>29</v>
      </c>
      <c r="D55" s="43">
        <f>1-D54</f>
        <v>0.84591385735332347</v>
      </c>
      <c r="E55" s="43">
        <f t="shared" ref="E55:O55" si="23">1-E54</f>
        <v>0.84591385735332347</v>
      </c>
      <c r="F55" s="43">
        <f t="shared" si="23"/>
        <v>0.84591385735332347</v>
      </c>
      <c r="G55" s="43">
        <f t="shared" si="23"/>
        <v>0.84591385735332347</v>
      </c>
      <c r="H55" s="43">
        <f t="shared" si="23"/>
        <v>0.84591385735332347</v>
      </c>
      <c r="I55" s="43">
        <f t="shared" si="23"/>
        <v>0.813633987904129</v>
      </c>
      <c r="J55" s="43">
        <f t="shared" si="23"/>
        <v>0.813633987904129</v>
      </c>
      <c r="K55" s="43">
        <f t="shared" si="23"/>
        <v>0.813633987904129</v>
      </c>
      <c r="L55" s="43">
        <f t="shared" si="23"/>
        <v>0.813633987904129</v>
      </c>
      <c r="M55" s="43">
        <f t="shared" si="23"/>
        <v>0.84591385735332347</v>
      </c>
      <c r="N55" s="43">
        <f t="shared" si="23"/>
        <v>0.84591385735332347</v>
      </c>
      <c r="O55" s="43">
        <f t="shared" si="23"/>
        <v>0.84591385735332347</v>
      </c>
    </row>
    <row r="60" spans="2:18" x14ac:dyDescent="0.2">
      <c r="D60" s="57"/>
    </row>
    <row r="61" spans="2:18" x14ac:dyDescent="0.2">
      <c r="D61" s="57"/>
    </row>
  </sheetData>
  <mergeCells count="2">
    <mergeCell ref="B1:O1"/>
    <mergeCell ref="B28:O28"/>
  </mergeCells>
  <hyperlinks>
    <hyperlink ref="R8" r:id="rId1" display="From the Xcel TOU price table &gt;&gt;" xr:uid="{AD355557-59D1-D047-AA38-50BD00F7EAE0}"/>
    <hyperlink ref="B1:O1" r:id="rId2" display="Usage and more information at: https://github.com/alexwelch/xcel-tou-analysis/" xr:uid="{05BD5743-DBD0-A240-8523-22F819082A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Xcel TOU vs. Flat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Welch</dc:creator>
  <cp:lastModifiedBy>Alex Welch</cp:lastModifiedBy>
  <dcterms:created xsi:type="dcterms:W3CDTF">2025-10-01T16:55:49Z</dcterms:created>
  <dcterms:modified xsi:type="dcterms:W3CDTF">2025-10-01T23:36:14Z</dcterms:modified>
</cp:coreProperties>
</file>